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codeName="{1563B04E-AB91-75FE-B8BC-B18F01832D57}"/>
  <workbookPr codeName="ThisWorkbook"/>
  <mc:AlternateContent xmlns:mc="http://schemas.openxmlformats.org/markup-compatibility/2006">
    <mc:Choice Requires="x15">
      <x15ac:absPath xmlns:x15ac="http://schemas.microsoft.com/office/spreadsheetml/2010/11/ac" url="https://usepa-my.sharepoint.com/personal/frame_alicia_epa_gov/Documents/VI/"/>
    </mc:Choice>
  </mc:AlternateContent>
  <workbookProtection workbookAlgorithmName="SHA-512" workbookHashValue="nJGFXUgNJa7FCebWXWs2in1n03X4rjSjcs3R7m53Y5SNlzDmxJxFfAWA8VdN7bsX1EFRoE07pPUrBzmW2VCJ9w==" workbookSaltValue="VhLrfrzQNqpKolAPsKkabQ==" workbookSpinCount="100000" lockStructure="1"/>
  <bookViews>
    <workbookView xWindow="-120" yWindow="36" windowWidth="19788" windowHeight="9552" tabRatio="654" activeTab="1"/>
  </bookViews>
  <sheets>
    <sheet name="Navigation Guide" sheetId="53" r:id="rId1"/>
    <sheet name="VISL" sheetId="21" r:id="rId2"/>
    <sheet name="SG_IA_calc" sheetId="58" r:id="rId3"/>
    <sheet name="GW_IA_calc" sheetId="56" r:id="rId4"/>
    <sheet name="IA_risk_calc" sheetId="57" r:id="rId5"/>
    <sheet name="Chem Props" sheetId="31" r:id="rId6"/>
    <sheet name="Tox Summary" sheetId="51" r:id="rId7"/>
    <sheet name="Parameters Summary" sheetId="52" r:id="rId8"/>
    <sheet name="Version Notes" sheetId="59" r:id="rId9"/>
  </sheets>
  <definedNames>
    <definedName name="_xlnm._FilterDatabase" localSheetId="5" hidden="1">'Chem Props'!$A$5:$AM$809</definedName>
    <definedName name="_xlnm._FilterDatabase" localSheetId="3" hidden="1">GW_IA_calc!$A$12:$U$199</definedName>
    <definedName name="_xlnm._FilterDatabase" localSheetId="4" hidden="1">IA_risk_calc!$A$12:$U$199</definedName>
    <definedName name="_xlnm._FilterDatabase" localSheetId="7" hidden="1">'Parameters Summary'!$A$2:$AB$826</definedName>
    <definedName name="_xlnm._FilterDatabase" localSheetId="2" hidden="1">SG_IA_calc!$A$12:$V$252</definedName>
    <definedName name="_xlnm._FilterDatabase" localSheetId="6" hidden="1">'Tox Summary'!$A$3:$S$827</definedName>
    <definedName name="_xlnm._FilterDatabase" localSheetId="1" hidden="1">VISL!$A$17:$AA$818</definedName>
    <definedName name="_VP25">'Chem Props'!$G:$G</definedName>
    <definedName name="AFgw">VISL!$P$832</definedName>
    <definedName name="AFgw_C">VISL!$L$832</definedName>
    <definedName name="AFgw_C_GW">GW_IA_calc!$J$213</definedName>
    <definedName name="AFgw_C_IA">IA_risk_calc!$I$214</definedName>
    <definedName name="AFgw_C_SG">SG_IA_calc!$J$213</definedName>
    <definedName name="AFgw_GW">GW_IA_calc!$N$213</definedName>
    <definedName name="AFgw_IA">IA_risk_calc!$M$214</definedName>
    <definedName name="AFgw_R">VISL!$J$832</definedName>
    <definedName name="AFgw_R_GW">GW_IA_calc!$H$213</definedName>
    <definedName name="AFgw_R_IA">IA_risk_calc!$G$214</definedName>
    <definedName name="AFgw_R_SG">SG_IA_calc!$H$213</definedName>
    <definedName name="AFgw_SG">SG_IA_calc!$N$213</definedName>
    <definedName name="Afss">VISL!$P$833</definedName>
    <definedName name="AFss_C">VISL!$L$833</definedName>
    <definedName name="AFss_C_GW">GW_IA_calc!$J$214</definedName>
    <definedName name="AFss_C_IA">IA_risk_calc!$I$215</definedName>
    <definedName name="AFss_C_SG">SG_IA_calc!$J$214</definedName>
    <definedName name="AFss_GW">GW_IA_calc!$N$214</definedName>
    <definedName name="AFss_IA">IA_risk_calc!$M$215</definedName>
    <definedName name="AFss_R">VISL!$J$833</definedName>
    <definedName name="AFss_R_GW">GW_IA_calc!$H$214</definedName>
    <definedName name="AFss_R_IA">IA_risk_calc!$G$215</definedName>
    <definedName name="AFss_R_SG">SG_IA_calc!$H$214</definedName>
    <definedName name="AFss_SG">SG_IA_calc!$N$214</definedName>
    <definedName name="AllChemProps">'Chem Props'!$A$3:$AI$786</definedName>
    <definedName name="Atc">VISL!$P$824</definedName>
    <definedName name="ATc_C">VISL!$L$824</definedName>
    <definedName name="ATc_C_GW">GW_IA_calc!$J$205</definedName>
    <definedName name="ATc_C_IA">IA_risk_calc!$I$206</definedName>
    <definedName name="ATc_C_SG">SG_IA_calc!$J$205</definedName>
    <definedName name="ATc_GW">GW_IA_calc!$N$205</definedName>
    <definedName name="ATc_IA">IA_risk_calc!$M$206</definedName>
    <definedName name="ATc_R">VISL!$J$824</definedName>
    <definedName name="ATc_R_GW">GW_IA_calc!$H$205</definedName>
    <definedName name="ATc_R_IA">IA_risk_calc!$G$206</definedName>
    <definedName name="ATc_R_SG">SG_IA_calc!$H$205</definedName>
    <definedName name="ATc_SG">SG_IA_calc!$N$205</definedName>
    <definedName name="Atnc">VISL!$P$825</definedName>
    <definedName name="ATnc_C">VISL!$L$825</definedName>
    <definedName name="ATnc_C_GW">GW_IA_calc!$J$206</definedName>
    <definedName name="ATnc_C_IA">IA_risk_calc!$I$207</definedName>
    <definedName name="ATnc_C_SG">SG_IA_calc!$J$206</definedName>
    <definedName name="Atnc_GW">GW_IA_calc!$N$206</definedName>
    <definedName name="ATnc_IA">IA_risk_calc!$M$207</definedName>
    <definedName name="ATnc_R">VISL!$J$825</definedName>
    <definedName name="ATnc_R_GW">GW_IA_calc!$H$206</definedName>
    <definedName name="ATnc_R_IA">IA_risk_calc!$G$207</definedName>
    <definedName name="ATnc_R_SG">SG_IA_calc!$H$206</definedName>
    <definedName name="ATnc_SG">SG_IA_calc!$N$206</definedName>
    <definedName name="CASNoChem">'Chem Props'!$A:$A</definedName>
    <definedName name="CASNoParams">'Parameters Summary'!$B:$B</definedName>
    <definedName name="CASNoTox">'Tox Summary'!$O:$O</definedName>
    <definedName name="ChemNameChem">'Chem Props'!$B:$B</definedName>
    <definedName name="ChemNameTox">'Tox Summary'!$N:$N</definedName>
    <definedName name="Cia">IA_risk_calc!$G$104</definedName>
    <definedName name="DaParams">'Parameters Summary'!$P:$P</definedName>
    <definedName name="Dia_Ref">'Parameters Summary'!$R$2:$R$780</definedName>
    <definedName name="DwParams">'Parameters Summary'!$Q:$Q</definedName>
    <definedName name="ED">VISL!$P$826</definedName>
    <definedName name="ED_C">VISL!$L$826</definedName>
    <definedName name="ED_C_GW">GW_IA_calc!$J$207</definedName>
    <definedName name="ED_C_IA">IA_risk_calc!$I$208</definedName>
    <definedName name="ED_C_SG">SG_IA_calc!$J$207</definedName>
    <definedName name="ED_GW">GW_IA_calc!$N$207</definedName>
    <definedName name="ED_IA">IA_risk_calc!$M$208</definedName>
    <definedName name="ED_R">VISL!$J$826</definedName>
    <definedName name="ED_R_GW">GW_IA_calc!$H$207</definedName>
    <definedName name="ED_R_IA">IA_risk_calc!$G$208</definedName>
    <definedName name="ED_R_SG">SG_IA_calc!$H$207</definedName>
    <definedName name="ED_SG">SG_IA_calc!$N$207</definedName>
    <definedName name="EF">VISL!$P$827</definedName>
    <definedName name="EF_C">VISL!$L$827</definedName>
    <definedName name="EF_C_GW">GW_IA_calc!$J$208</definedName>
    <definedName name="EF_C_IA">IA_risk_calc!$I$209</definedName>
    <definedName name="EF_C_SG">SG_IA_calc!$J$208</definedName>
    <definedName name="EF_GW">GW_IA_calc!$N$208</definedName>
    <definedName name="EF_IA">IA_risk_calc!$M$209</definedName>
    <definedName name="EF_R">VISL!$J$827</definedName>
    <definedName name="EF_R_GW">GW_IA_calc!$H$208</definedName>
    <definedName name="EF_R_IA">IA_risk_calc!$G$209</definedName>
    <definedName name="EF_R_SG">SG_IA_calc!$H$208</definedName>
    <definedName name="EF_SG">SG_IA_calc!$N$208</definedName>
    <definedName name="ET">VISL!$P$828</definedName>
    <definedName name="ET_C">VISL!$L$828</definedName>
    <definedName name="ET_C_GW">GW_IA_calc!$J$209</definedName>
    <definedName name="ET_C_IA">IA_risk_calc!$I$210</definedName>
    <definedName name="ET_C_SG">SG_IA_calc!$J$209</definedName>
    <definedName name="ET_GW">GW_IA_calc!$N$209</definedName>
    <definedName name="ET_IA">IA_risk_calc!$M$210</definedName>
    <definedName name="ET_R">VISL!$J$828</definedName>
    <definedName name="ET_R_GW">GW_IA_calc!$H$209</definedName>
    <definedName name="ET_R_IA">IA_risk_calc!$G$210</definedName>
    <definedName name="ET_R_SG">SG_IA_calc!$H$209</definedName>
    <definedName name="ET_SG">SG_IA_calc!$N$209</definedName>
    <definedName name="H25C">'Chem Props'!$N:$N</definedName>
    <definedName name="Hc25Params">'Parameters Summary'!$H:$H</definedName>
    <definedName name="HLC">'Chem Props'!$P:$P</definedName>
    <definedName name="HLC_GW">'Chem Props'!$R:$R</definedName>
    <definedName name="HLC_source">'Parameters Summary'!$I:$I</definedName>
    <definedName name="HTgw">'Chem Props'!$O:$O</definedName>
    <definedName name="HTgw_GW">'Chem Props'!$Q:$Q</definedName>
    <definedName name="IUR">'Tox Summary'!$C:$C</definedName>
    <definedName name="IURSource">'Tox Summary'!$D:$D</definedName>
    <definedName name="IURTCE">VISL!$P$843</definedName>
    <definedName name="IURTCE_C">VISL!$L$843</definedName>
    <definedName name="IURTCE_C_GW">GW_IA_calc!$J$224</definedName>
    <definedName name="IURTCE_C_IA">IA_risk_calc!$I$225</definedName>
    <definedName name="IURTCE_C_SG">SG_IA_calc!$J$224</definedName>
    <definedName name="IURTCE_GW">GW_IA_calc!$N$224</definedName>
    <definedName name="IURTCE_IA">IA_risk_calc!$M$225</definedName>
    <definedName name="IURTCE_R">VISL!$J$843</definedName>
    <definedName name="IURTCE_R_GW">GW_IA_calc!$H$224</definedName>
    <definedName name="IURTCE_R_IA">IA_risk_calc!$G$225</definedName>
    <definedName name="IURTCE_R_SG">SG_IA_calc!$H$224</definedName>
    <definedName name="IURTCE_SG">SG_IA_calc!$N$224</definedName>
    <definedName name="Koc_ref">'Parameters Summary'!$V$2:$V$780</definedName>
    <definedName name="KocParams">'Parameters Summary'!$U:$U</definedName>
    <definedName name="LEL">'Chem Props'!$AF:$AF</definedName>
    <definedName name="LELsource">'Chem Props'!$AG:$AG</definedName>
    <definedName name="LOCAL_DATE_SEPARATOR" hidden="1">INDEX(GET.WORKSPACE(37),17)</definedName>
    <definedName name="LOCAL_DAY_FORMAT" hidden="1">INDEX(GET.WORKSPACE(37),21)</definedName>
    <definedName name="LOCAL_HOUR_FORMAT" hidden="1">INDEX(GET.WORKSPACE(37),22)</definedName>
    <definedName name="LOCAL_MINUTE_FORMAT" hidden="1">INDEX(GET.WORKSPACE(37),23)</definedName>
    <definedName name="LOCAL_MONTH_FORMAT" hidden="1">INDEX(GET.WORKSPACE(37),20)</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ECOND_FORMAT" hidden="1">INDEX(GET.WORKSPACE(37),24)</definedName>
    <definedName name="LOCAL_TIME_SEPARATOR" hidden="1">INDEX(GET.WORKSPACE(37),18)</definedName>
    <definedName name="LOCAL_YEAR_FORMAT" hidden="1">INDEX(GET.WORKSPACE(37),19)</definedName>
    <definedName name="MCL">'Chem Props'!$K:$K</definedName>
    <definedName name="MCLParams">'Tox Summary'!$P:$P</definedName>
    <definedName name="mIURTCE">VISL!$P$842</definedName>
    <definedName name="mIURTCE_C">VISL!$L$842</definedName>
    <definedName name="mIURTCE_C_GW">GW_IA_calc!$J$223</definedName>
    <definedName name="mIURTCE_C_IA">IA_risk_calc!$I$224</definedName>
    <definedName name="mIURTCE_C_SG">SG_IA_calc!$J$223</definedName>
    <definedName name="mIURTCE_GW">GW_IA_calc!$N$223</definedName>
    <definedName name="mIURTCE_IA">IA_risk_calc!$M$224</definedName>
    <definedName name="mIURTCE_R">VISL!$J$842</definedName>
    <definedName name="mIURTCE_R_GW">GW_IA_calc!$H$223</definedName>
    <definedName name="mIURTCE_R_IA">IA_risk_calc!$G$224</definedName>
    <definedName name="mIURTCE_R_SG">SG_IA_calc!$H$223</definedName>
    <definedName name="mIURTCE_SG">SG_IA_calc!$N$223</definedName>
    <definedName name="MMOAAF">VISL!$I$854</definedName>
    <definedName name="MMOAAF_GW">GW_IA_calc!$G$235</definedName>
    <definedName name="MMOAAF_IA">IA_risk_calc!$F$236</definedName>
    <definedName name="MMOAAF_SG">SG_IA_calc!$G$235</definedName>
    <definedName name="Mutagen">'Tox Summary'!$J:$J</definedName>
    <definedName name="MW">'Chem Props'!$E:$E</definedName>
    <definedName name="MW_ref">'Parameters Summary'!$F$2:$F$780</definedName>
    <definedName name="MWParams">'Parameters Summary'!$E:$E</definedName>
    <definedName name="_xlnm.Print_Area" localSheetId="5">'Chem Props'!$A$3:$AI$832</definedName>
    <definedName name="_xlnm.Print_Area" localSheetId="3">GW_IA_calc!$A$1:$O$252</definedName>
    <definedName name="_xlnm.Print_Area" localSheetId="4">IA_risk_calc!$A$1:$O$253</definedName>
    <definedName name="_xlnm.Print_Area" localSheetId="0">'Navigation Guide'!$A$1:$H$216</definedName>
    <definedName name="_xlnm.Print_Area" localSheetId="2">SG_IA_calc!$A$1:$O$252</definedName>
    <definedName name="_xlnm.Print_Area" localSheetId="1">VISL!$A$1:$Y$878</definedName>
    <definedName name="_xlnm.Print_Titles" localSheetId="5">'Chem Props'!$A:$B,'Chem Props'!$3:$5</definedName>
    <definedName name="_xlnm.Print_Titles" localSheetId="3">GW_IA_calc!$1:$12</definedName>
    <definedName name="_xlnm.Print_Titles" localSheetId="4">IA_risk_calc!$1:$12</definedName>
    <definedName name="_xlnm.Print_Titles" localSheetId="7">'Parameters Summary'!$1:$3</definedName>
    <definedName name="_xlnm.Print_Titles" localSheetId="2">SG_IA_calc!$1:$12</definedName>
    <definedName name="_xlnm.Print_Titles" localSheetId="6">'Tox Summary'!$1:$3</definedName>
    <definedName name="_xlnm.Print_Titles" localSheetId="1">VISL!$1:$17</definedName>
    <definedName name="PWCS">'Chem Props'!$I:$I</definedName>
    <definedName name="PWCSParams">'Parameters Summary'!$Y:$Y</definedName>
    <definedName name="ResAir">'Tox Summary'!#REF!</definedName>
    <definedName name="RFC">'Tox Summary'!$G:$G</definedName>
    <definedName name="RFCSource">'Tox Summary'!$H:$H</definedName>
    <definedName name="S_Ref">'Parameters Summary'!$Z$2:$Z$780</definedName>
    <definedName name="Scenario">VISL!$G$10</definedName>
    <definedName name="Scenario_GW">GW_IA_calc!$E$5</definedName>
    <definedName name="Scenario_IA">IA_risk_calc!$E$5</definedName>
    <definedName name="Scenario_SG">SG_IA_calc!$E$5</definedName>
    <definedName name="Sol">'Chem Props'!$I:$I</definedName>
    <definedName name="TCR">VISL!$G$11</definedName>
    <definedName name="TCR_GW">GW_IA_calc!$E$6</definedName>
    <definedName name="TCR_IA">IA_risk_calc!$E$6</definedName>
    <definedName name="TCR_SG">SG_IA_calc!$E$6</definedName>
    <definedName name="Tgw">VISL!$G$13</definedName>
    <definedName name="Tgw_GW">GW_IA_calc!$E$8</definedName>
    <definedName name="THQ">VISL!$G$12</definedName>
    <definedName name="THQ_GW">GW_IA_calc!$E$7</definedName>
    <definedName name="THQ_IA">IA_risk_calc!$E$7</definedName>
    <definedName name="THQ_SG">SG_IA_calc!$E$7</definedName>
    <definedName name="Vapor_Pressure">'Parameters Summary'!$J:$J</definedName>
    <definedName name="VIScreening">VISL!$A$17:$Y$241</definedName>
    <definedName name="VOC">'Tox Summary'!$I:$I</definedName>
    <definedName name="VP">'Chem Props'!$G:$G</definedName>
    <definedName name="VP_source">'Parameters Summary'!$K:$K</definedName>
    <definedName name="VPTgw">'Chem Props'!$S:$S</definedName>
  </definedNames>
  <calcPr calcId="171027"/>
</workbook>
</file>

<file path=xl/calcChain.xml><?xml version="1.0" encoding="utf-8"?>
<calcChain xmlns="http://schemas.openxmlformats.org/spreadsheetml/2006/main">
  <c r="X54" i="21" l="1"/>
  <c r="W28" i="21"/>
  <c r="W29" i="21"/>
  <c r="W30" i="21"/>
  <c r="W31" i="21"/>
  <c r="W32" i="21"/>
  <c r="W33" i="21"/>
  <c r="W34" i="21"/>
  <c r="W35" i="21"/>
  <c r="W36" i="21"/>
  <c r="W37" i="21"/>
  <c r="W38" i="21"/>
  <c r="W39" i="21"/>
  <c r="W40" i="21"/>
  <c r="W41" i="21"/>
  <c r="W42" i="21"/>
  <c r="W43" i="21"/>
  <c r="S43" i="21" s="1"/>
  <c r="W44" i="21"/>
  <c r="W45" i="21"/>
  <c r="W46" i="21"/>
  <c r="W47" i="21"/>
  <c r="W48" i="21"/>
  <c r="W49" i="21"/>
  <c r="W50" i="21"/>
  <c r="W51" i="21"/>
  <c r="W52" i="21"/>
  <c r="W53" i="21"/>
  <c r="W54" i="21"/>
  <c r="W55" i="21"/>
  <c r="W56" i="21"/>
  <c r="W57" i="21"/>
  <c r="W58" i="21"/>
  <c r="W59" i="21"/>
  <c r="W60" i="21"/>
  <c r="W61" i="21"/>
  <c r="W62" i="21"/>
  <c r="W63" i="21"/>
  <c r="W64" i="21"/>
  <c r="S64" i="21" s="1"/>
  <c r="W65" i="21"/>
  <c r="S65" i="21" s="1"/>
  <c r="E65" i="21" s="1"/>
  <c r="W66" i="21"/>
  <c r="S66" i="21" s="1"/>
  <c r="W67" i="21"/>
  <c r="W68" i="21"/>
  <c r="W69" i="21"/>
  <c r="W70" i="21"/>
  <c r="W71" i="21"/>
  <c r="W72" i="21"/>
  <c r="S72" i="21" s="1"/>
  <c r="W73" i="21"/>
  <c r="W74" i="21"/>
  <c r="W75" i="21"/>
  <c r="S75" i="21" s="1"/>
  <c r="W76" i="21"/>
  <c r="W77" i="21"/>
  <c r="W78" i="21"/>
  <c r="W79" i="21"/>
  <c r="W80" i="21"/>
  <c r="W81" i="21"/>
  <c r="W82" i="21"/>
  <c r="S82" i="21" s="1"/>
  <c r="W83" i="21"/>
  <c r="W84" i="21"/>
  <c r="W85" i="21"/>
  <c r="W86" i="21"/>
  <c r="W87" i="21"/>
  <c r="W88" i="21"/>
  <c r="S88" i="21" s="1"/>
  <c r="W89" i="21"/>
  <c r="S89" i="21" s="1"/>
  <c r="E89" i="21" s="1"/>
  <c r="W90" i="21"/>
  <c r="S90" i="21" s="1"/>
  <c r="W91" i="21"/>
  <c r="S91" i="21" s="1"/>
  <c r="W92" i="21"/>
  <c r="W93" i="21"/>
  <c r="W94" i="21"/>
  <c r="W95" i="21"/>
  <c r="W96" i="21"/>
  <c r="S96" i="21" s="1"/>
  <c r="W97" i="21"/>
  <c r="W98" i="21"/>
  <c r="W99" i="21"/>
  <c r="W100" i="21"/>
  <c r="W101" i="21"/>
  <c r="W102" i="21"/>
  <c r="W103" i="21"/>
  <c r="W104" i="21"/>
  <c r="S104" i="21" s="1"/>
  <c r="W105" i="21"/>
  <c r="W106" i="21"/>
  <c r="W107" i="21"/>
  <c r="W108" i="21"/>
  <c r="W109" i="21"/>
  <c r="W110" i="21"/>
  <c r="W111" i="21"/>
  <c r="W112" i="21"/>
  <c r="W113" i="21"/>
  <c r="W114" i="21"/>
  <c r="W115" i="21"/>
  <c r="W116" i="21"/>
  <c r="W117" i="21"/>
  <c r="W118" i="21"/>
  <c r="W119" i="21"/>
  <c r="W120" i="21"/>
  <c r="W121" i="21"/>
  <c r="W122" i="21"/>
  <c r="S122" i="21" s="1"/>
  <c r="W123" i="21"/>
  <c r="W124" i="21"/>
  <c r="W125" i="21"/>
  <c r="W126" i="21"/>
  <c r="W127" i="21"/>
  <c r="W128" i="21"/>
  <c r="S128" i="21" s="1"/>
  <c r="W129" i="21"/>
  <c r="W130" i="21"/>
  <c r="W131" i="21"/>
  <c r="W132" i="21"/>
  <c r="W133" i="21"/>
  <c r="W134" i="21"/>
  <c r="W135" i="21"/>
  <c r="W136" i="21"/>
  <c r="S136" i="21" s="1"/>
  <c r="W137" i="21"/>
  <c r="S137" i="21" s="1"/>
  <c r="W138" i="21"/>
  <c r="W139" i="21"/>
  <c r="W140" i="21"/>
  <c r="W141" i="21"/>
  <c r="W142" i="21"/>
  <c r="W143" i="21"/>
  <c r="W144" i="21"/>
  <c r="W145" i="21"/>
  <c r="W146" i="21"/>
  <c r="S146" i="21" s="1"/>
  <c r="W147" i="21"/>
  <c r="W148" i="21"/>
  <c r="W149" i="21"/>
  <c r="W150" i="21"/>
  <c r="W151" i="21"/>
  <c r="W152" i="21"/>
  <c r="W153" i="21"/>
  <c r="W154" i="21"/>
  <c r="S154" i="21" s="1"/>
  <c r="W155" i="21"/>
  <c r="S155" i="21" s="1"/>
  <c r="W156" i="21"/>
  <c r="W157" i="21"/>
  <c r="W158" i="21"/>
  <c r="W159" i="21"/>
  <c r="W160" i="21"/>
  <c r="W161" i="21"/>
  <c r="W162" i="21"/>
  <c r="S162" i="21" s="1"/>
  <c r="W163" i="21"/>
  <c r="W164" i="21"/>
  <c r="W165" i="21"/>
  <c r="W166" i="21"/>
  <c r="W167" i="21"/>
  <c r="W168" i="21"/>
  <c r="W169" i="21"/>
  <c r="W170" i="21"/>
  <c r="W171" i="21"/>
  <c r="S171" i="21" s="1"/>
  <c r="W172" i="21"/>
  <c r="W173" i="21"/>
  <c r="W174" i="21"/>
  <c r="W175" i="21"/>
  <c r="W176" i="21"/>
  <c r="W177" i="21"/>
  <c r="S177" i="21" s="1"/>
  <c r="W178" i="21"/>
  <c r="W179" i="21"/>
  <c r="S179" i="21" s="1"/>
  <c r="W180" i="21"/>
  <c r="W181" i="21"/>
  <c r="W182" i="21"/>
  <c r="W183" i="21"/>
  <c r="W184" i="21"/>
  <c r="W185" i="21"/>
  <c r="S185" i="21" s="1"/>
  <c r="E185" i="21" s="1"/>
  <c r="W186" i="21"/>
  <c r="W187" i="21"/>
  <c r="W188" i="21"/>
  <c r="W189" i="21"/>
  <c r="W190" i="21"/>
  <c r="W191" i="21"/>
  <c r="W192" i="21"/>
  <c r="W193" i="21"/>
  <c r="W194" i="21"/>
  <c r="W195" i="21"/>
  <c r="W196" i="21"/>
  <c r="W197" i="21"/>
  <c r="W198" i="21"/>
  <c r="W199" i="21"/>
  <c r="W200" i="21"/>
  <c r="S200" i="21" s="1"/>
  <c r="W201" i="21"/>
  <c r="S201" i="21" s="1"/>
  <c r="E201" i="21" s="1"/>
  <c r="W202" i="21"/>
  <c r="W203" i="21"/>
  <c r="W204" i="21"/>
  <c r="W205" i="21"/>
  <c r="W206" i="21"/>
  <c r="W207" i="21"/>
  <c r="W208" i="21"/>
  <c r="W209" i="21"/>
  <c r="W210" i="21"/>
  <c r="W211" i="21"/>
  <c r="S211" i="21" s="1"/>
  <c r="W212" i="21"/>
  <c r="W213" i="21"/>
  <c r="W214" i="21"/>
  <c r="W215" i="21"/>
  <c r="W216" i="21"/>
  <c r="W217" i="21"/>
  <c r="W218" i="21"/>
  <c r="W219" i="21"/>
  <c r="W220" i="21"/>
  <c r="W221" i="21"/>
  <c r="W222" i="21"/>
  <c r="W223" i="21"/>
  <c r="W224" i="21"/>
  <c r="W225" i="21"/>
  <c r="W226" i="21"/>
  <c r="W227" i="21"/>
  <c r="S227" i="21" s="1"/>
  <c r="W229" i="21"/>
  <c r="W230" i="21"/>
  <c r="W231" i="21"/>
  <c r="W232" i="21"/>
  <c r="W233" i="21"/>
  <c r="W234" i="21"/>
  <c r="W235" i="21"/>
  <c r="W236" i="21"/>
  <c r="W237" i="21"/>
  <c r="W238" i="21"/>
  <c r="W239" i="21"/>
  <c r="W240" i="21"/>
  <c r="W241" i="21"/>
  <c r="S241" i="21" s="1"/>
  <c r="W242" i="21"/>
  <c r="W243" i="21"/>
  <c r="W244" i="21"/>
  <c r="W245" i="21"/>
  <c r="W246" i="21"/>
  <c r="W247" i="21"/>
  <c r="W248" i="21"/>
  <c r="W249" i="21"/>
  <c r="W250" i="21"/>
  <c r="W251" i="21"/>
  <c r="S251" i="21" s="1"/>
  <c r="W252" i="21"/>
  <c r="S252" i="21" s="1"/>
  <c r="W253" i="21"/>
  <c r="W254" i="21"/>
  <c r="W255" i="21"/>
  <c r="W256" i="21"/>
  <c r="S256" i="21" s="1"/>
  <c r="W257" i="21"/>
  <c r="S257" i="21" s="1"/>
  <c r="W258" i="21"/>
  <c r="W259" i="21"/>
  <c r="W260" i="21"/>
  <c r="S260" i="21" s="1"/>
  <c r="W261" i="21"/>
  <c r="W262" i="21"/>
  <c r="W263" i="21"/>
  <c r="W264" i="21"/>
  <c r="W265" i="21"/>
  <c r="W266" i="21"/>
  <c r="W267" i="21"/>
  <c r="S267" i="21" s="1"/>
  <c r="W268" i="21"/>
  <c r="W269" i="21"/>
  <c r="W270" i="21"/>
  <c r="W271" i="21"/>
  <c r="W272" i="21"/>
  <c r="W273" i="21"/>
  <c r="W274" i="21"/>
  <c r="S274" i="21" s="1"/>
  <c r="W275" i="21"/>
  <c r="S275" i="21" s="1"/>
  <c r="W276" i="21"/>
  <c r="W277" i="21"/>
  <c r="W278" i="21"/>
  <c r="W279" i="21"/>
  <c r="W280" i="21"/>
  <c r="W281" i="21"/>
  <c r="S281" i="21" s="1"/>
  <c r="W282" i="21"/>
  <c r="W283" i="21"/>
  <c r="W284" i="21"/>
  <c r="W285" i="21"/>
  <c r="W286" i="21"/>
  <c r="W287" i="21"/>
  <c r="W288" i="21"/>
  <c r="W289" i="21"/>
  <c r="W290" i="21"/>
  <c r="W291" i="21"/>
  <c r="W292" i="21"/>
  <c r="W293" i="21"/>
  <c r="W294" i="21"/>
  <c r="W295" i="21"/>
  <c r="W296" i="21"/>
  <c r="W297" i="21"/>
  <c r="W298" i="21"/>
  <c r="S298" i="21" s="1"/>
  <c r="E298" i="21" s="1"/>
  <c r="W299" i="21"/>
  <c r="W300" i="21"/>
  <c r="W301" i="21"/>
  <c r="W302" i="21"/>
  <c r="W303" i="21"/>
  <c r="W304" i="21"/>
  <c r="W305" i="21"/>
  <c r="W306" i="21"/>
  <c r="W307" i="21"/>
  <c r="S307" i="21" s="1"/>
  <c r="W308" i="21"/>
  <c r="W309" i="21"/>
  <c r="W310" i="21"/>
  <c r="W311" i="21"/>
  <c r="W312" i="21"/>
  <c r="W313" i="21"/>
  <c r="W314" i="21"/>
  <c r="W315" i="21"/>
  <c r="S315" i="21" s="1"/>
  <c r="W316" i="21"/>
  <c r="W317" i="21"/>
  <c r="W318" i="21"/>
  <c r="W319" i="21"/>
  <c r="W320" i="21"/>
  <c r="W321" i="21"/>
  <c r="S321" i="21" s="1"/>
  <c r="W322" i="21"/>
  <c r="W323" i="21"/>
  <c r="W324" i="21"/>
  <c r="W325" i="21"/>
  <c r="W326" i="21"/>
  <c r="W327" i="21"/>
  <c r="W328" i="21"/>
  <c r="W329" i="21"/>
  <c r="S329" i="21" s="1"/>
  <c r="W330" i="21"/>
  <c r="S330" i="21" s="1"/>
  <c r="W331" i="21"/>
  <c r="S331" i="21" s="1"/>
  <c r="W332" i="21"/>
  <c r="W333" i="21"/>
  <c r="W334" i="21"/>
  <c r="W335" i="21"/>
  <c r="W336" i="21"/>
  <c r="W337" i="21"/>
  <c r="W338" i="21"/>
  <c r="W339" i="21"/>
  <c r="W340" i="21"/>
  <c r="S340" i="21" s="1"/>
  <c r="W341" i="21"/>
  <c r="W342" i="21"/>
  <c r="W343" i="21"/>
  <c r="W344" i="21"/>
  <c r="W345" i="21"/>
  <c r="W346" i="21"/>
  <c r="W347" i="21"/>
  <c r="W348" i="21"/>
  <c r="W349" i="21"/>
  <c r="W350" i="21"/>
  <c r="W351" i="21"/>
  <c r="W352" i="21"/>
  <c r="W353" i="21"/>
  <c r="S353" i="21" s="1"/>
  <c r="W354" i="21"/>
  <c r="W355" i="21"/>
  <c r="W356" i="21"/>
  <c r="W357" i="21"/>
  <c r="W358" i="21"/>
  <c r="W359" i="21"/>
  <c r="W360" i="21"/>
  <c r="S360" i="21" s="1"/>
  <c r="W361" i="21"/>
  <c r="W362" i="21"/>
  <c r="W363" i="21"/>
  <c r="W364" i="21"/>
  <c r="W365" i="21"/>
  <c r="W366" i="21"/>
  <c r="W367" i="21"/>
  <c r="W368" i="21"/>
  <c r="W369" i="21"/>
  <c r="W370" i="21"/>
  <c r="W371" i="21"/>
  <c r="W372" i="21"/>
  <c r="W373" i="21"/>
  <c r="W374" i="21"/>
  <c r="W375" i="21"/>
  <c r="W376" i="21"/>
  <c r="W377" i="21"/>
  <c r="W378" i="21"/>
  <c r="W379" i="21"/>
  <c r="S379" i="21" s="1"/>
  <c r="W380" i="21"/>
  <c r="W381" i="21"/>
  <c r="W382" i="21"/>
  <c r="W383" i="21"/>
  <c r="W384" i="21"/>
  <c r="W385" i="21"/>
  <c r="S385" i="21" s="1"/>
  <c r="W386" i="21"/>
  <c r="S386" i="21" s="1"/>
  <c r="E386" i="21" s="1"/>
  <c r="W387" i="21"/>
  <c r="W388" i="21"/>
  <c r="W389" i="21"/>
  <c r="W390" i="21"/>
  <c r="W391" i="21"/>
  <c r="W392" i="21"/>
  <c r="W393" i="21"/>
  <c r="W394" i="21"/>
  <c r="W395" i="21"/>
  <c r="S395" i="21" s="1"/>
  <c r="W396" i="21"/>
  <c r="S396" i="21" s="1"/>
  <c r="W397" i="21"/>
  <c r="W398" i="21"/>
  <c r="W399" i="21"/>
  <c r="W400" i="21"/>
  <c r="W401" i="21"/>
  <c r="W402" i="21"/>
  <c r="S402" i="21" s="1"/>
  <c r="E402" i="21" s="1"/>
  <c r="W403" i="21"/>
  <c r="S403" i="21" s="1"/>
  <c r="W404" i="21"/>
  <c r="S404" i="21" s="1"/>
  <c r="W405" i="21"/>
  <c r="W406" i="21"/>
  <c r="W407" i="21"/>
  <c r="W408" i="21"/>
  <c r="S408" i="21" s="1"/>
  <c r="W409" i="21"/>
  <c r="S409" i="21" s="1"/>
  <c r="W410" i="21"/>
  <c r="S410" i="21" s="1"/>
  <c r="E410" i="21" s="1"/>
  <c r="W411" i="21"/>
  <c r="S411" i="21" s="1"/>
  <c r="W412" i="21"/>
  <c r="W413" i="21"/>
  <c r="W414" i="21"/>
  <c r="W415" i="21"/>
  <c r="W416" i="21"/>
  <c r="W417" i="21"/>
  <c r="W418" i="21"/>
  <c r="W419" i="21"/>
  <c r="W420" i="21"/>
  <c r="W421" i="21"/>
  <c r="W422" i="21"/>
  <c r="W423" i="21"/>
  <c r="W424" i="21"/>
  <c r="W425" i="21"/>
  <c r="S425" i="21" s="1"/>
  <c r="W426" i="21"/>
  <c r="S426" i="21" s="1"/>
  <c r="E426" i="21" s="1"/>
  <c r="W427" i="21"/>
  <c r="W428" i="21"/>
  <c r="W429" i="21"/>
  <c r="W430" i="21"/>
  <c r="W431" i="21"/>
  <c r="W432" i="21"/>
  <c r="W433" i="21"/>
  <c r="W434" i="21"/>
  <c r="W435" i="21"/>
  <c r="S435" i="21" s="1"/>
  <c r="W436" i="21"/>
  <c r="W437" i="21"/>
  <c r="W438" i="21"/>
  <c r="W439" i="21"/>
  <c r="W440" i="21"/>
  <c r="W441" i="21"/>
  <c r="W442" i="21"/>
  <c r="W443" i="21"/>
  <c r="W444" i="21"/>
  <c r="W445" i="21"/>
  <c r="W446" i="21"/>
  <c r="W447" i="21"/>
  <c r="W448" i="21"/>
  <c r="W449" i="21"/>
  <c r="S449" i="21" s="1"/>
  <c r="W450" i="21"/>
  <c r="S450" i="21" s="1"/>
  <c r="E450" i="21" s="1"/>
  <c r="W451" i="21"/>
  <c r="W452" i="21"/>
  <c r="W453" i="21"/>
  <c r="W454" i="21"/>
  <c r="W455" i="21"/>
  <c r="W456" i="21"/>
  <c r="W457" i="21"/>
  <c r="W458" i="21"/>
  <c r="W459" i="21"/>
  <c r="W460" i="21"/>
  <c r="W461" i="21"/>
  <c r="W462"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S491" i="21" s="1"/>
  <c r="W492" i="21"/>
  <c r="W493" i="21"/>
  <c r="W494" i="21"/>
  <c r="W495" i="21"/>
  <c r="W496" i="21"/>
  <c r="W497" i="21"/>
  <c r="W498" i="21"/>
  <c r="W499" i="21"/>
  <c r="S499" i="21" s="1"/>
  <c r="W500" i="21"/>
  <c r="W501" i="21"/>
  <c r="W502" i="21"/>
  <c r="W503" i="21"/>
  <c r="W504" i="21"/>
  <c r="S504" i="21" s="1"/>
  <c r="W505" i="21"/>
  <c r="S505" i="21" s="1"/>
  <c r="W506" i="21"/>
  <c r="S506" i="21" s="1"/>
  <c r="E506" i="21" s="1"/>
  <c r="W507" i="21"/>
  <c r="S507" i="21" s="1"/>
  <c r="W508" i="21"/>
  <c r="W509" i="21"/>
  <c r="W510" i="21"/>
  <c r="W511" i="21"/>
  <c r="W512" i="21"/>
  <c r="W513" i="21"/>
  <c r="W514" i="21"/>
  <c r="W515" i="21"/>
  <c r="W516" i="21"/>
  <c r="W517" i="21"/>
  <c r="W518" i="21"/>
  <c r="W519" i="21"/>
  <c r="W520" i="21"/>
  <c r="W521" i="21"/>
  <c r="W522" i="21"/>
  <c r="W523" i="21"/>
  <c r="W524" i="21"/>
  <c r="W525" i="21"/>
  <c r="W526" i="21"/>
  <c r="W527" i="21"/>
  <c r="W528" i="21"/>
  <c r="W529" i="21"/>
  <c r="W530" i="21"/>
  <c r="W531" i="21"/>
  <c r="W532" i="21"/>
  <c r="S532" i="21" s="1"/>
  <c r="W533" i="21"/>
  <c r="W534" i="21"/>
  <c r="W535" i="21"/>
  <c r="W536" i="21"/>
  <c r="S536" i="21" s="1"/>
  <c r="W537" i="21"/>
  <c r="S537" i="21" s="1"/>
  <c r="W538" i="21"/>
  <c r="S538" i="21" s="1"/>
  <c r="W539" i="21"/>
  <c r="S539" i="21" s="1"/>
  <c r="W540" i="21"/>
  <c r="S540" i="21" s="1"/>
  <c r="W541" i="21"/>
  <c r="W542" i="21"/>
  <c r="W543" i="21"/>
  <c r="W544" i="21"/>
  <c r="W545" i="21"/>
  <c r="W546" i="21"/>
  <c r="W547" i="21"/>
  <c r="W548" i="21"/>
  <c r="S548" i="21" s="1"/>
  <c r="W549" i="21"/>
  <c r="W550" i="21"/>
  <c r="W551" i="21"/>
  <c r="W552" i="21"/>
  <c r="W553" i="21"/>
  <c r="W554" i="21"/>
  <c r="S554" i="21" s="1"/>
  <c r="E554" i="21" s="1"/>
  <c r="W555" i="21"/>
  <c r="S555" i="21" s="1"/>
  <c r="W556" i="21"/>
  <c r="S556" i="21" s="1"/>
  <c r="W557" i="21"/>
  <c r="W558" i="21"/>
  <c r="W559" i="21"/>
  <c r="W560" i="21"/>
  <c r="S560" i="21" s="1"/>
  <c r="W561" i="21"/>
  <c r="S561" i="21" s="1"/>
  <c r="W562" i="21"/>
  <c r="S562" i="21" s="1"/>
  <c r="W563" i="21"/>
  <c r="S563" i="21" s="1"/>
  <c r="W564" i="21"/>
  <c r="S564" i="21" s="1"/>
  <c r="W565" i="21"/>
  <c r="W566" i="21"/>
  <c r="W567" i="21"/>
  <c r="W568" i="21"/>
  <c r="S568" i="21" s="1"/>
  <c r="W569" i="21"/>
  <c r="W570" i="21"/>
  <c r="W571" i="21"/>
  <c r="W572" i="21"/>
  <c r="W573" i="21"/>
  <c r="W574" i="21"/>
  <c r="W575" i="21"/>
  <c r="W576" i="21"/>
  <c r="W577" i="21"/>
  <c r="W578" i="21"/>
  <c r="W579" i="21"/>
  <c r="W580" i="21"/>
  <c r="W581" i="21"/>
  <c r="W582" i="21"/>
  <c r="W583" i="21"/>
  <c r="W584" i="21"/>
  <c r="W585" i="21"/>
  <c r="W586" i="21"/>
  <c r="W587" i="21"/>
  <c r="W588" i="21"/>
  <c r="W589" i="21"/>
  <c r="W590" i="21"/>
  <c r="W591" i="21"/>
  <c r="W592" i="21"/>
  <c r="S592" i="21" s="1"/>
  <c r="W593" i="21"/>
  <c r="S593" i="21" s="1"/>
  <c r="W594" i="21"/>
  <c r="S594" i="21" s="1"/>
  <c r="W595" i="21"/>
  <c r="W596" i="21"/>
  <c r="W597" i="21"/>
  <c r="W598" i="21"/>
  <c r="W599" i="21"/>
  <c r="W600" i="21"/>
  <c r="W601" i="21"/>
  <c r="W602" i="21"/>
  <c r="W603" i="21"/>
  <c r="W604" i="21"/>
  <c r="S604" i="21" s="1"/>
  <c r="W605" i="21"/>
  <c r="W606" i="21"/>
  <c r="W607" i="21"/>
  <c r="W608" i="21"/>
  <c r="W609" i="21"/>
  <c r="W610" i="21"/>
  <c r="W611" i="21"/>
  <c r="W612" i="21"/>
  <c r="W613" i="21"/>
  <c r="W614" i="21"/>
  <c r="W615" i="21"/>
  <c r="W616" i="21"/>
  <c r="W617" i="21"/>
  <c r="W618" i="21"/>
  <c r="W619" i="21"/>
  <c r="W620" i="21"/>
  <c r="W621" i="21"/>
  <c r="W622" i="21"/>
  <c r="W623" i="21"/>
  <c r="W624" i="21"/>
  <c r="W625" i="21"/>
  <c r="W626" i="21"/>
  <c r="W627" i="21"/>
  <c r="S627" i="21" s="1"/>
  <c r="W628" i="21"/>
  <c r="W629" i="21"/>
  <c r="W630" i="21"/>
  <c r="W631" i="21"/>
  <c r="W632" i="21"/>
  <c r="W633" i="21"/>
  <c r="W634" i="21"/>
  <c r="W635" i="21"/>
  <c r="W636" i="21"/>
  <c r="W637" i="21"/>
  <c r="W638" i="21"/>
  <c r="W639" i="21"/>
  <c r="W640" i="21"/>
  <c r="W641" i="21"/>
  <c r="W642" i="21"/>
  <c r="W643" i="21"/>
  <c r="W644" i="21"/>
  <c r="W645" i="21"/>
  <c r="W646" i="21"/>
  <c r="W647" i="21"/>
  <c r="W648" i="21"/>
  <c r="W649" i="21"/>
  <c r="W650" i="21"/>
  <c r="W651" i="21"/>
  <c r="W652" i="21"/>
  <c r="S652" i="21" s="1"/>
  <c r="W653" i="21"/>
  <c r="W654" i="21"/>
  <c r="W655" i="21"/>
  <c r="W656" i="21"/>
  <c r="W657" i="21"/>
  <c r="W658" i="21"/>
  <c r="W659" i="21"/>
  <c r="W660" i="21"/>
  <c r="W661" i="21"/>
  <c r="W662" i="21"/>
  <c r="W663" i="21"/>
  <c r="W664" i="21"/>
  <c r="W665" i="21"/>
  <c r="W666" i="21"/>
  <c r="W667" i="21"/>
  <c r="W668" i="21"/>
  <c r="W669" i="21"/>
  <c r="W670" i="21"/>
  <c r="W671" i="21"/>
  <c r="W672" i="21"/>
  <c r="W673" i="21"/>
  <c r="W674" i="21"/>
  <c r="W675" i="21"/>
  <c r="W676" i="21"/>
  <c r="W677" i="21"/>
  <c r="W678" i="21"/>
  <c r="W679" i="21"/>
  <c r="W680" i="21"/>
  <c r="W681" i="21"/>
  <c r="W682" i="21"/>
  <c r="W683" i="21"/>
  <c r="W684" i="21"/>
  <c r="W685" i="21"/>
  <c r="W686" i="21"/>
  <c r="W687" i="21"/>
  <c r="W688" i="21"/>
  <c r="W689" i="21"/>
  <c r="W690" i="21"/>
  <c r="W691" i="21"/>
  <c r="W692" i="21"/>
  <c r="W693" i="21"/>
  <c r="W694" i="21"/>
  <c r="W695" i="21"/>
  <c r="W696" i="21"/>
  <c r="W697" i="21"/>
  <c r="S697" i="21" s="1"/>
  <c r="W698" i="21"/>
  <c r="S698" i="21" s="1"/>
  <c r="W699" i="21"/>
  <c r="W700" i="21"/>
  <c r="W701" i="21"/>
  <c r="W702" i="21"/>
  <c r="W703" i="21"/>
  <c r="W704" i="21"/>
  <c r="W705" i="21"/>
  <c r="W706" i="21"/>
  <c r="W707" i="21"/>
  <c r="S707" i="21" s="1"/>
  <c r="W708" i="21"/>
  <c r="W709" i="21"/>
  <c r="W710" i="21"/>
  <c r="W711" i="21"/>
  <c r="W712" i="21"/>
  <c r="W713" i="21"/>
  <c r="W714" i="21"/>
  <c r="W715" i="21"/>
  <c r="W716" i="21"/>
  <c r="W717" i="21"/>
  <c r="W718" i="21"/>
  <c r="W719" i="21"/>
  <c r="W720" i="21"/>
  <c r="W721" i="21"/>
  <c r="W722" i="21"/>
  <c r="W723" i="21"/>
  <c r="W724" i="21"/>
  <c r="W725" i="21"/>
  <c r="W726" i="21"/>
  <c r="W727" i="21"/>
  <c r="W728" i="21"/>
  <c r="W729" i="21"/>
  <c r="W730" i="21"/>
  <c r="W731" i="21"/>
  <c r="W732" i="21"/>
  <c r="W733" i="21"/>
  <c r="W734" i="21"/>
  <c r="W735" i="21"/>
  <c r="W736" i="21"/>
  <c r="W737" i="21"/>
  <c r="W738" i="21"/>
  <c r="W739" i="21"/>
  <c r="W740" i="21"/>
  <c r="S740" i="21" s="1"/>
  <c r="W741" i="21"/>
  <c r="W742" i="21"/>
  <c r="W743" i="21"/>
  <c r="W744" i="21"/>
  <c r="W745" i="21"/>
  <c r="W746" i="21"/>
  <c r="S746" i="21" s="1"/>
  <c r="W747" i="21"/>
  <c r="W748" i="21"/>
  <c r="W749" i="21"/>
  <c r="W750" i="21"/>
  <c r="W751" i="21"/>
  <c r="W752" i="21"/>
  <c r="W753" i="21"/>
  <c r="W754" i="21"/>
  <c r="W755" i="21"/>
  <c r="W756" i="21"/>
  <c r="W757" i="21"/>
  <c r="W758" i="21"/>
  <c r="W759" i="21"/>
  <c r="W760" i="21"/>
  <c r="W761" i="21"/>
  <c r="W762" i="21"/>
  <c r="W763" i="21"/>
  <c r="W764" i="21"/>
  <c r="W765" i="21"/>
  <c r="W766" i="21"/>
  <c r="W767" i="21"/>
  <c r="W768" i="21"/>
  <c r="W769" i="21"/>
  <c r="W770" i="21"/>
  <c r="W771" i="21"/>
  <c r="S771" i="21" s="1"/>
  <c r="W772" i="21"/>
  <c r="W773" i="21"/>
  <c r="W774" i="21"/>
  <c r="W775" i="21"/>
  <c r="W776" i="21"/>
  <c r="W777" i="21"/>
  <c r="W778" i="21"/>
  <c r="W779" i="21"/>
  <c r="W780" i="21"/>
  <c r="W781" i="21"/>
  <c r="W782" i="21"/>
  <c r="W783" i="21"/>
  <c r="W784" i="21"/>
  <c r="W785" i="21"/>
  <c r="W786" i="21"/>
  <c r="W787" i="21"/>
  <c r="W788" i="21"/>
  <c r="W789" i="21"/>
  <c r="W790" i="21"/>
  <c r="W791" i="21"/>
  <c r="W792" i="21"/>
  <c r="W793" i="21"/>
  <c r="W794" i="21"/>
  <c r="W795" i="21"/>
  <c r="W796" i="21"/>
  <c r="S796" i="21" s="1"/>
  <c r="W797" i="21"/>
  <c r="W798" i="21"/>
  <c r="W799" i="21"/>
  <c r="W800" i="21"/>
  <c r="W801" i="21"/>
  <c r="S801" i="21" s="1"/>
  <c r="W802" i="21"/>
  <c r="W803" i="21"/>
  <c r="S803" i="21" s="1"/>
  <c r="W804" i="21"/>
  <c r="W805" i="21"/>
  <c r="W806" i="21"/>
  <c r="W807" i="21"/>
  <c r="W808" i="21"/>
  <c r="W809" i="21"/>
  <c r="W810" i="21"/>
  <c r="W811" i="21"/>
  <c r="W812" i="21"/>
  <c r="W813" i="21"/>
  <c r="W814" i="21"/>
  <c r="W815" i="21"/>
  <c r="W816" i="21"/>
  <c r="W817" i="21"/>
  <c r="W818" i="21"/>
  <c r="W19" i="21"/>
  <c r="W20" i="21"/>
  <c r="S20" i="21" s="1"/>
  <c r="W21" i="21"/>
  <c r="W22" i="21"/>
  <c r="W23" i="21"/>
  <c r="W24" i="21"/>
  <c r="W25" i="21"/>
  <c r="W26" i="21"/>
  <c r="S26" i="21" s="1"/>
  <c r="E26" i="21" s="1"/>
  <c r="W27" i="21"/>
  <c r="W18" i="21"/>
  <c r="Q95" i="31"/>
  <c r="Q96" i="31"/>
  <c r="D806" i="31"/>
  <c r="S18" i="21"/>
  <c r="T18" i="21"/>
  <c r="U18" i="21"/>
  <c r="Y18" i="21" s="1"/>
  <c r="V18" i="21"/>
  <c r="S19" i="21"/>
  <c r="T19" i="21"/>
  <c r="U19" i="21"/>
  <c r="Y19" i="21" s="1"/>
  <c r="V19" i="21"/>
  <c r="T20" i="21"/>
  <c r="U20" i="21"/>
  <c r="V20" i="21"/>
  <c r="S21" i="21"/>
  <c r="T21" i="21"/>
  <c r="U21" i="21"/>
  <c r="Y21" i="21" s="1"/>
  <c r="V21" i="21"/>
  <c r="S22" i="21"/>
  <c r="T22" i="21"/>
  <c r="U22" i="21"/>
  <c r="V22" i="21"/>
  <c r="S23" i="21"/>
  <c r="E23" i="21" s="1"/>
  <c r="T23" i="21"/>
  <c r="U23" i="21"/>
  <c r="V23" i="21"/>
  <c r="S24" i="21"/>
  <c r="T24" i="21"/>
  <c r="U24" i="21"/>
  <c r="V24" i="21"/>
  <c r="S25" i="21"/>
  <c r="T25" i="21"/>
  <c r="U25" i="21"/>
  <c r="Y25" i="21" s="1"/>
  <c r="V25" i="21"/>
  <c r="T26" i="21"/>
  <c r="U26" i="21"/>
  <c r="Y26" i="21" s="1"/>
  <c r="V26" i="21"/>
  <c r="S27" i="21"/>
  <c r="T27" i="21"/>
  <c r="U27" i="21"/>
  <c r="V27" i="21"/>
  <c r="S28" i="21"/>
  <c r="T28" i="21"/>
  <c r="U28" i="21"/>
  <c r="V28" i="21"/>
  <c r="S29" i="21"/>
  <c r="E29" i="21" s="1"/>
  <c r="T29" i="21"/>
  <c r="U29" i="21"/>
  <c r="V29" i="21"/>
  <c r="S30" i="21"/>
  <c r="T30" i="21"/>
  <c r="U30" i="21"/>
  <c r="V30" i="21"/>
  <c r="S31" i="21"/>
  <c r="T31" i="21"/>
  <c r="U31" i="21"/>
  <c r="V31" i="21"/>
  <c r="S32" i="21"/>
  <c r="T32" i="21"/>
  <c r="U32" i="21"/>
  <c r="Y32" i="21" s="1"/>
  <c r="V32" i="21"/>
  <c r="S33" i="21"/>
  <c r="T33" i="21"/>
  <c r="U33" i="21"/>
  <c r="Y33" i="21" s="1"/>
  <c r="V33" i="21"/>
  <c r="S34" i="21"/>
  <c r="T34" i="21"/>
  <c r="U34" i="21"/>
  <c r="Y34" i="21" s="1"/>
  <c r="V34" i="21"/>
  <c r="S35" i="21"/>
  <c r="T35" i="21"/>
  <c r="U35" i="21"/>
  <c r="Y35" i="21" s="1"/>
  <c r="V35" i="21"/>
  <c r="S36" i="21"/>
  <c r="T36" i="21"/>
  <c r="U36" i="21"/>
  <c r="Y36" i="21" s="1"/>
  <c r="V36" i="21"/>
  <c r="S37" i="21"/>
  <c r="E37" i="21" s="1"/>
  <c r="T37" i="21"/>
  <c r="U37" i="21"/>
  <c r="V37" i="21"/>
  <c r="S38" i="21"/>
  <c r="T38" i="21"/>
  <c r="U38" i="21"/>
  <c r="V38" i="21"/>
  <c r="S39" i="21"/>
  <c r="T39" i="21"/>
  <c r="U39" i="21"/>
  <c r="V39" i="21"/>
  <c r="S40" i="21"/>
  <c r="T40" i="21"/>
  <c r="U40" i="21"/>
  <c r="Y40" i="21" s="1"/>
  <c r="V40" i="21"/>
  <c r="S41" i="21"/>
  <c r="T41" i="21"/>
  <c r="U41" i="21"/>
  <c r="Y41" i="21" s="1"/>
  <c r="V41" i="21"/>
  <c r="S42" i="21"/>
  <c r="T42" i="21"/>
  <c r="U42" i="21"/>
  <c r="Y42" i="21" s="1"/>
  <c r="V42" i="21"/>
  <c r="T43" i="21"/>
  <c r="U43" i="21"/>
  <c r="V43" i="21"/>
  <c r="S44" i="21"/>
  <c r="T44" i="21"/>
  <c r="U44" i="21"/>
  <c r="Y44" i="21" s="1"/>
  <c r="V44" i="21"/>
  <c r="S46" i="21"/>
  <c r="T46" i="21"/>
  <c r="U46" i="21"/>
  <c r="Y46" i="21" s="1"/>
  <c r="V46" i="21"/>
  <c r="S47" i="21"/>
  <c r="T47" i="21"/>
  <c r="U47" i="21"/>
  <c r="Y47" i="21" s="1"/>
  <c r="V47" i="21"/>
  <c r="S48" i="21"/>
  <c r="T48" i="21"/>
  <c r="U48" i="21"/>
  <c r="V48" i="21"/>
  <c r="S49" i="21"/>
  <c r="T49" i="21"/>
  <c r="U49" i="21"/>
  <c r="Y49" i="21" s="1"/>
  <c r="V49" i="21"/>
  <c r="S50" i="21"/>
  <c r="T50" i="21"/>
  <c r="U50" i="21"/>
  <c r="Y50" i="21" s="1"/>
  <c r="V50" i="21"/>
  <c r="S51" i="21"/>
  <c r="T51" i="21"/>
  <c r="U51" i="21"/>
  <c r="Y51" i="21" s="1"/>
  <c r="V51" i="21"/>
  <c r="S52" i="21"/>
  <c r="T52" i="21"/>
  <c r="U52" i="21"/>
  <c r="V52" i="21"/>
  <c r="S111" i="21"/>
  <c r="T111" i="21"/>
  <c r="U111" i="21"/>
  <c r="Y111" i="21" s="1"/>
  <c r="V111" i="21"/>
  <c r="S112" i="21"/>
  <c r="T112" i="21"/>
  <c r="U112" i="21"/>
  <c r="Y112" i="21" s="1"/>
  <c r="V112" i="21"/>
  <c r="S119" i="21"/>
  <c r="T119" i="21"/>
  <c r="U119" i="21"/>
  <c r="V119" i="21"/>
  <c r="S285" i="21"/>
  <c r="T285" i="21"/>
  <c r="U285" i="21"/>
  <c r="V285" i="21"/>
  <c r="S323" i="21"/>
  <c r="T323" i="21"/>
  <c r="U323" i="21"/>
  <c r="V323" i="21"/>
  <c r="S398" i="21"/>
  <c r="T398" i="21"/>
  <c r="U398" i="21"/>
  <c r="V398" i="21"/>
  <c r="S446" i="21"/>
  <c r="T446" i="21"/>
  <c r="U446" i="21"/>
  <c r="Y446" i="21" s="1"/>
  <c r="V446" i="21"/>
  <c r="S497" i="21"/>
  <c r="T497" i="21"/>
  <c r="U497" i="21"/>
  <c r="V497" i="21"/>
  <c r="S743" i="21"/>
  <c r="T743" i="21"/>
  <c r="U743" i="21"/>
  <c r="Y743" i="21" s="1"/>
  <c r="V743" i="21"/>
  <c r="S56" i="21"/>
  <c r="T56" i="21"/>
  <c r="U56" i="21"/>
  <c r="Y56" i="21" s="1"/>
  <c r="V56" i="21"/>
  <c r="S57" i="21"/>
  <c r="T57" i="21"/>
  <c r="U57" i="21"/>
  <c r="Y57" i="21" s="1"/>
  <c r="V57" i="21"/>
  <c r="S58" i="21"/>
  <c r="T58" i="21"/>
  <c r="U58" i="21"/>
  <c r="Y58" i="21" s="1"/>
  <c r="V58" i="21"/>
  <c r="S59" i="21"/>
  <c r="T59" i="21"/>
  <c r="U59" i="21"/>
  <c r="V59" i="21"/>
  <c r="S60" i="21"/>
  <c r="T60" i="21"/>
  <c r="U60" i="21"/>
  <c r="Y60" i="21" s="1"/>
  <c r="V60" i="21"/>
  <c r="S61" i="21"/>
  <c r="T61" i="21"/>
  <c r="U61" i="21"/>
  <c r="Y61" i="21" s="1"/>
  <c r="V61" i="21"/>
  <c r="S62" i="21"/>
  <c r="T62" i="21"/>
  <c r="U62" i="21"/>
  <c r="Y62" i="21" s="1"/>
  <c r="V62" i="21"/>
  <c r="S63" i="21"/>
  <c r="T63" i="21"/>
  <c r="U63" i="21"/>
  <c r="Y63" i="21" s="1"/>
  <c r="V63" i="21"/>
  <c r="T64" i="21"/>
  <c r="U64" i="21"/>
  <c r="Y64" i="21" s="1"/>
  <c r="V64" i="21"/>
  <c r="T65" i="21"/>
  <c r="U65" i="21"/>
  <c r="Y65" i="21" s="1"/>
  <c r="V65" i="21"/>
  <c r="T66" i="21"/>
  <c r="U66" i="21"/>
  <c r="Y66" i="21" s="1"/>
  <c r="V66" i="21"/>
  <c r="S67" i="21"/>
  <c r="T67" i="21"/>
  <c r="U67" i="21"/>
  <c r="Y67" i="21" s="1"/>
  <c r="V67" i="21"/>
  <c r="S68" i="21"/>
  <c r="T68" i="21"/>
  <c r="U68" i="21"/>
  <c r="V68" i="21"/>
  <c r="S69" i="21"/>
  <c r="T69" i="21"/>
  <c r="U69" i="21"/>
  <c r="V69" i="21"/>
  <c r="S70" i="21"/>
  <c r="T70" i="21"/>
  <c r="U70" i="21"/>
  <c r="Y70" i="21" s="1"/>
  <c r="V70" i="21"/>
  <c r="S71" i="21"/>
  <c r="T71" i="21"/>
  <c r="U71" i="21"/>
  <c r="Y71" i="21" s="1"/>
  <c r="V71" i="21"/>
  <c r="T72" i="21"/>
  <c r="U72" i="21"/>
  <c r="Y72" i="21" s="1"/>
  <c r="V72" i="21"/>
  <c r="S73" i="21"/>
  <c r="T73" i="21"/>
  <c r="U73" i="21"/>
  <c r="Y73" i="21" s="1"/>
  <c r="V73" i="21"/>
  <c r="S74" i="21"/>
  <c r="T74" i="21"/>
  <c r="U74" i="21"/>
  <c r="V74" i="21"/>
  <c r="T75" i="21"/>
  <c r="U75" i="21"/>
  <c r="Y75" i="21" s="1"/>
  <c r="V75" i="21"/>
  <c r="S76" i="21"/>
  <c r="T76" i="21"/>
  <c r="U76" i="21"/>
  <c r="V76" i="21"/>
  <c r="S77" i="21"/>
  <c r="T77" i="21"/>
  <c r="U77" i="21"/>
  <c r="V77" i="21"/>
  <c r="S78" i="21"/>
  <c r="T78" i="21"/>
  <c r="U78" i="21"/>
  <c r="Y78" i="21" s="1"/>
  <c r="V78" i="21"/>
  <c r="S79" i="21"/>
  <c r="T79" i="21"/>
  <c r="U79" i="21"/>
  <c r="Y79" i="21" s="1"/>
  <c r="V79" i="21"/>
  <c r="S80" i="21"/>
  <c r="T80" i="21"/>
  <c r="U80" i="21"/>
  <c r="Y80" i="21" s="1"/>
  <c r="V80" i="21"/>
  <c r="S81" i="21"/>
  <c r="T81" i="21"/>
  <c r="U81" i="21"/>
  <c r="Y81" i="21" s="1"/>
  <c r="V81" i="21"/>
  <c r="T82" i="21"/>
  <c r="U82" i="21"/>
  <c r="Y82" i="21" s="1"/>
  <c r="V82" i="21"/>
  <c r="S83" i="21"/>
  <c r="T83" i="21"/>
  <c r="U83" i="21"/>
  <c r="Y83" i="21" s="1"/>
  <c r="V83" i="21"/>
  <c r="S84" i="21"/>
  <c r="E84" i="21" s="1"/>
  <c r="T84" i="21"/>
  <c r="U84" i="21"/>
  <c r="V84" i="21"/>
  <c r="S85" i="21"/>
  <c r="T85" i="21"/>
  <c r="U85" i="21"/>
  <c r="Y85" i="21" s="1"/>
  <c r="V85" i="21"/>
  <c r="S86" i="21"/>
  <c r="E86" i="21" s="1"/>
  <c r="T86" i="21"/>
  <c r="U86" i="21"/>
  <c r="Y86" i="21" s="1"/>
  <c r="V86" i="21"/>
  <c r="S87" i="21"/>
  <c r="T87" i="21"/>
  <c r="U87" i="21"/>
  <c r="Y87" i="21" s="1"/>
  <c r="V87" i="21"/>
  <c r="T88" i="21"/>
  <c r="U88" i="21"/>
  <c r="Y88" i="21" s="1"/>
  <c r="V88" i="21"/>
  <c r="T89" i="21"/>
  <c r="U89" i="21"/>
  <c r="V89" i="21"/>
  <c r="T90" i="21"/>
  <c r="U90" i="21"/>
  <c r="Y90" i="21" s="1"/>
  <c r="V90" i="21"/>
  <c r="T91" i="21"/>
  <c r="U91" i="21"/>
  <c r="Y91" i="21" s="1"/>
  <c r="V91" i="21"/>
  <c r="S92" i="21"/>
  <c r="T92" i="21"/>
  <c r="U92" i="21"/>
  <c r="Y92" i="21" s="1"/>
  <c r="V92" i="21"/>
  <c r="S93" i="21"/>
  <c r="T93" i="21"/>
  <c r="U93" i="21"/>
  <c r="Y93" i="21" s="1"/>
  <c r="V93" i="21"/>
  <c r="S94" i="21"/>
  <c r="T94" i="21"/>
  <c r="U94" i="21"/>
  <c r="Y94" i="21" s="1"/>
  <c r="V94" i="21"/>
  <c r="S95" i="21"/>
  <c r="E95" i="21" s="1"/>
  <c r="T95" i="21"/>
  <c r="U95" i="21"/>
  <c r="V95" i="21"/>
  <c r="T96" i="21"/>
  <c r="U96" i="21"/>
  <c r="V96" i="21"/>
  <c r="S97" i="21"/>
  <c r="T97" i="21"/>
  <c r="U97" i="21"/>
  <c r="Y97" i="21" s="1"/>
  <c r="V97" i="21"/>
  <c r="S98" i="21"/>
  <c r="T98" i="21"/>
  <c r="U98" i="21"/>
  <c r="Y98" i="21" s="1"/>
  <c r="V98" i="21"/>
  <c r="S99" i="21"/>
  <c r="T99" i="21"/>
  <c r="U99" i="21"/>
  <c r="V99" i="21"/>
  <c r="S100" i="21"/>
  <c r="T100" i="21"/>
  <c r="U100" i="21"/>
  <c r="Y100" i="21" s="1"/>
  <c r="V100" i="21"/>
  <c r="S101" i="21"/>
  <c r="T101" i="21"/>
  <c r="U101" i="21"/>
  <c r="Y101" i="21" s="1"/>
  <c r="V101" i="21"/>
  <c r="S102" i="21"/>
  <c r="T102" i="21"/>
  <c r="U102" i="21"/>
  <c r="Y102" i="21" s="1"/>
  <c r="V102" i="21"/>
  <c r="S103" i="21"/>
  <c r="E103" i="21" s="1"/>
  <c r="T103" i="21"/>
  <c r="U103" i="21"/>
  <c r="Y103" i="21" s="1"/>
  <c r="V103" i="21"/>
  <c r="T104" i="21"/>
  <c r="U104" i="21"/>
  <c r="Y104" i="21" s="1"/>
  <c r="V104" i="21"/>
  <c r="S105" i="21"/>
  <c r="T105" i="21"/>
  <c r="U105" i="21"/>
  <c r="Y105" i="21" s="1"/>
  <c r="V105" i="21"/>
  <c r="S106" i="21"/>
  <c r="T106" i="21"/>
  <c r="U106" i="21"/>
  <c r="V106" i="21"/>
  <c r="S107" i="21"/>
  <c r="T107" i="21"/>
  <c r="U107" i="21"/>
  <c r="V107" i="21"/>
  <c r="S108" i="21"/>
  <c r="T108" i="21"/>
  <c r="U108" i="21"/>
  <c r="V108" i="21"/>
  <c r="S109" i="21"/>
  <c r="T109" i="21"/>
  <c r="U109" i="21"/>
  <c r="Y109" i="21" s="1"/>
  <c r="V109" i="21"/>
  <c r="S110" i="21"/>
  <c r="T110" i="21"/>
  <c r="U110" i="21"/>
  <c r="Y110" i="21" s="1"/>
  <c r="V110" i="21"/>
  <c r="S113" i="21"/>
  <c r="T113" i="21"/>
  <c r="U113" i="21"/>
  <c r="V113" i="21"/>
  <c r="S114" i="21"/>
  <c r="T114" i="21"/>
  <c r="U114" i="21"/>
  <c r="V114" i="21"/>
  <c r="S115" i="21"/>
  <c r="T115" i="21"/>
  <c r="U115" i="21"/>
  <c r="Y115" i="21" s="1"/>
  <c r="V115" i="21"/>
  <c r="S116" i="21"/>
  <c r="T116" i="21"/>
  <c r="U116" i="21"/>
  <c r="Y116" i="21" s="1"/>
  <c r="V116" i="21"/>
  <c r="S117" i="21"/>
  <c r="T117" i="21"/>
  <c r="U117" i="21"/>
  <c r="V117" i="21"/>
  <c r="S118" i="21"/>
  <c r="T118" i="21"/>
  <c r="U118" i="21"/>
  <c r="Y118" i="21" s="1"/>
  <c r="V118" i="21"/>
  <c r="S120" i="21"/>
  <c r="T120" i="21"/>
  <c r="U120" i="21"/>
  <c r="Y120" i="21" s="1"/>
  <c r="V120" i="21"/>
  <c r="S121" i="21"/>
  <c r="T121" i="21"/>
  <c r="U121" i="21"/>
  <c r="Y121" i="21" s="1"/>
  <c r="V121" i="21"/>
  <c r="T122" i="21"/>
  <c r="U122" i="21"/>
  <c r="V122" i="21"/>
  <c r="S124" i="21"/>
  <c r="T124" i="21"/>
  <c r="U124" i="21"/>
  <c r="Y124" i="21" s="1"/>
  <c r="V124" i="21"/>
  <c r="S125" i="21"/>
  <c r="T125" i="21"/>
  <c r="U125" i="21"/>
  <c r="V125" i="21"/>
  <c r="S126" i="21"/>
  <c r="T126" i="21"/>
  <c r="U126" i="21"/>
  <c r="Y126" i="21" s="1"/>
  <c r="V126" i="21"/>
  <c r="S127" i="21"/>
  <c r="T127" i="21"/>
  <c r="U127" i="21"/>
  <c r="Y127" i="21" s="1"/>
  <c r="V127" i="21"/>
  <c r="T128" i="21"/>
  <c r="U128" i="21"/>
  <c r="Y128" i="21" s="1"/>
  <c r="V128" i="21"/>
  <c r="S129" i="21"/>
  <c r="T129" i="21"/>
  <c r="U129" i="21"/>
  <c r="Y129" i="21" s="1"/>
  <c r="V129" i="21"/>
  <c r="S130" i="21"/>
  <c r="T130" i="21"/>
  <c r="U130" i="21"/>
  <c r="Y130" i="21" s="1"/>
  <c r="V130" i="21"/>
  <c r="S131" i="21"/>
  <c r="T131" i="21"/>
  <c r="U131" i="21"/>
  <c r="Y131" i="21" s="1"/>
  <c r="V131" i="21"/>
  <c r="S132" i="21"/>
  <c r="T132" i="21"/>
  <c r="U132" i="21"/>
  <c r="Y132" i="21" s="1"/>
  <c r="V132" i="21"/>
  <c r="S133" i="21"/>
  <c r="T133" i="21"/>
  <c r="U133" i="21"/>
  <c r="Y133" i="21" s="1"/>
  <c r="V133" i="21"/>
  <c r="S134" i="21"/>
  <c r="T134" i="21"/>
  <c r="U134" i="21"/>
  <c r="Y134" i="21" s="1"/>
  <c r="V134" i="21"/>
  <c r="S135" i="21"/>
  <c r="T135" i="21"/>
  <c r="U135" i="21"/>
  <c r="V135" i="21"/>
  <c r="T136" i="21"/>
  <c r="U136" i="21"/>
  <c r="V136" i="21"/>
  <c r="S138" i="21"/>
  <c r="T138" i="21"/>
  <c r="U138" i="21"/>
  <c r="V138" i="21"/>
  <c r="S139" i="21"/>
  <c r="T139" i="21"/>
  <c r="U139" i="21"/>
  <c r="Y139" i="21" s="1"/>
  <c r="V139" i="21"/>
  <c r="S140" i="21"/>
  <c r="T140" i="21"/>
  <c r="U140" i="21"/>
  <c r="V140" i="21"/>
  <c r="S141" i="21"/>
  <c r="E141" i="21" s="1"/>
  <c r="T141" i="21"/>
  <c r="U141" i="21"/>
  <c r="Y141" i="21" s="1"/>
  <c r="V141" i="21"/>
  <c r="S142" i="21"/>
  <c r="T142" i="21"/>
  <c r="U142" i="21"/>
  <c r="V142" i="21"/>
  <c r="S143" i="21"/>
  <c r="T143" i="21"/>
  <c r="U143" i="21"/>
  <c r="Y143" i="21" s="1"/>
  <c r="V143" i="21"/>
  <c r="S144" i="21"/>
  <c r="T144" i="21"/>
  <c r="U144" i="21"/>
  <c r="V144" i="21"/>
  <c r="S145" i="21"/>
  <c r="T145" i="21"/>
  <c r="U145" i="21"/>
  <c r="V145" i="21"/>
  <c r="T146" i="21"/>
  <c r="U146" i="21"/>
  <c r="V146" i="21"/>
  <c r="S147" i="21"/>
  <c r="T147" i="21"/>
  <c r="U147" i="21"/>
  <c r="V147" i="21"/>
  <c r="S148" i="21"/>
  <c r="T148" i="21"/>
  <c r="U148" i="21"/>
  <c r="Y148" i="21" s="1"/>
  <c r="V148" i="21"/>
  <c r="S149" i="21"/>
  <c r="T149" i="21"/>
  <c r="U149" i="21"/>
  <c r="Y149" i="21" s="1"/>
  <c r="V149" i="21"/>
  <c r="S150" i="21"/>
  <c r="T150" i="21"/>
  <c r="U150" i="21"/>
  <c r="V150" i="21"/>
  <c r="S151" i="21"/>
  <c r="T151" i="21"/>
  <c r="U151" i="21"/>
  <c r="Y151" i="21" s="1"/>
  <c r="V151" i="21"/>
  <c r="S152" i="21"/>
  <c r="T152" i="21"/>
  <c r="U152" i="21"/>
  <c r="Y152" i="21" s="1"/>
  <c r="V152" i="21"/>
  <c r="S153" i="21"/>
  <c r="T153" i="21"/>
  <c r="U153" i="21"/>
  <c r="Y153" i="21" s="1"/>
  <c r="V153" i="21"/>
  <c r="T154" i="21"/>
  <c r="U154" i="21"/>
  <c r="V154" i="21"/>
  <c r="T155" i="21"/>
  <c r="U155" i="21"/>
  <c r="Y155" i="21" s="1"/>
  <c r="V155" i="21"/>
  <c r="S156" i="21"/>
  <c r="T156" i="21"/>
  <c r="U156" i="21"/>
  <c r="Y156" i="21" s="1"/>
  <c r="V156" i="21"/>
  <c r="S157" i="21"/>
  <c r="T157" i="21"/>
  <c r="U157" i="21"/>
  <c r="Y157" i="21" s="1"/>
  <c r="V157" i="21"/>
  <c r="S158" i="21"/>
  <c r="T158" i="21"/>
  <c r="U158" i="21"/>
  <c r="V158" i="21"/>
  <c r="S159" i="21"/>
  <c r="T159" i="21"/>
  <c r="U159" i="21"/>
  <c r="V159" i="21"/>
  <c r="S160" i="21"/>
  <c r="T160" i="21"/>
  <c r="U160" i="21"/>
  <c r="Y160" i="21" s="1"/>
  <c r="V160" i="21"/>
  <c r="S161" i="21"/>
  <c r="T161" i="21"/>
  <c r="U161" i="21"/>
  <c r="V161" i="21"/>
  <c r="T162" i="21"/>
  <c r="U162" i="21"/>
  <c r="V162" i="21"/>
  <c r="S163" i="21"/>
  <c r="T163" i="21"/>
  <c r="U163" i="21"/>
  <c r="Y163" i="21" s="1"/>
  <c r="V163" i="21"/>
  <c r="S164" i="21"/>
  <c r="E164" i="21" s="1"/>
  <c r="T164" i="21"/>
  <c r="U164" i="21"/>
  <c r="Y164" i="21" s="1"/>
  <c r="V164" i="21"/>
  <c r="S165" i="21"/>
  <c r="T165" i="21"/>
  <c r="U165" i="21"/>
  <c r="Y165" i="21" s="1"/>
  <c r="V165" i="21"/>
  <c r="S166" i="21"/>
  <c r="T166" i="21"/>
  <c r="U166" i="21"/>
  <c r="Y166" i="21" s="1"/>
  <c r="V166" i="21"/>
  <c r="S167" i="21"/>
  <c r="T167" i="21"/>
  <c r="U167" i="21"/>
  <c r="V167" i="21"/>
  <c r="S168" i="21"/>
  <c r="T168" i="21"/>
  <c r="U168" i="21"/>
  <c r="Y168" i="21" s="1"/>
  <c r="V168" i="21"/>
  <c r="S169" i="21"/>
  <c r="T169" i="21"/>
  <c r="U169" i="21"/>
  <c r="V169" i="21"/>
  <c r="T171" i="21"/>
  <c r="U171" i="21"/>
  <c r="Y171" i="21" s="1"/>
  <c r="V171" i="21"/>
  <c r="S172" i="21"/>
  <c r="T172" i="21"/>
  <c r="U172" i="21"/>
  <c r="V172" i="21"/>
  <c r="S173" i="21"/>
  <c r="T173" i="21"/>
  <c r="U173" i="21"/>
  <c r="V173" i="21"/>
  <c r="S174" i="21"/>
  <c r="T174" i="21"/>
  <c r="U174" i="21"/>
  <c r="V174" i="21"/>
  <c r="S175" i="21"/>
  <c r="T175" i="21"/>
  <c r="U175" i="21"/>
  <c r="V175" i="21"/>
  <c r="S176" i="21"/>
  <c r="T176" i="21"/>
  <c r="U176" i="21"/>
  <c r="V176" i="21"/>
  <c r="T177" i="21"/>
  <c r="U177" i="21"/>
  <c r="V177" i="21"/>
  <c r="S178" i="21"/>
  <c r="T178" i="21"/>
  <c r="U178" i="21"/>
  <c r="V178" i="21"/>
  <c r="T179" i="21"/>
  <c r="U179" i="21"/>
  <c r="Y179" i="21" s="1"/>
  <c r="V179" i="21"/>
  <c r="S180" i="21"/>
  <c r="T180" i="21"/>
  <c r="U180" i="21"/>
  <c r="Y180" i="21" s="1"/>
  <c r="V180" i="21"/>
  <c r="S181" i="21"/>
  <c r="T181" i="21"/>
  <c r="U181" i="21"/>
  <c r="V181" i="21"/>
  <c r="S182" i="21"/>
  <c r="T182" i="21"/>
  <c r="U182" i="21"/>
  <c r="V182" i="21"/>
  <c r="S183" i="21"/>
  <c r="T183" i="21"/>
  <c r="U183" i="21"/>
  <c r="Y183" i="21" s="1"/>
  <c r="V183" i="21"/>
  <c r="S184" i="21"/>
  <c r="T184" i="21"/>
  <c r="U184" i="21"/>
  <c r="V184" i="21"/>
  <c r="T185" i="21"/>
  <c r="U185" i="21"/>
  <c r="Y185" i="21" s="1"/>
  <c r="V185" i="21"/>
  <c r="S186" i="21"/>
  <c r="T186" i="21"/>
  <c r="U186" i="21"/>
  <c r="Y186" i="21" s="1"/>
  <c r="V186" i="21"/>
  <c r="S187" i="21"/>
  <c r="T187" i="21"/>
  <c r="U187" i="21"/>
  <c r="Y187" i="21" s="1"/>
  <c r="V187" i="21"/>
  <c r="S188" i="21"/>
  <c r="E188" i="21" s="1"/>
  <c r="T188" i="21"/>
  <c r="U188" i="21"/>
  <c r="Y188" i="21" s="1"/>
  <c r="V188" i="21"/>
  <c r="S189" i="21"/>
  <c r="T189" i="21"/>
  <c r="U189" i="21"/>
  <c r="Y189" i="21" s="1"/>
  <c r="V189" i="21"/>
  <c r="S190" i="21"/>
  <c r="T190" i="21"/>
  <c r="U190" i="21"/>
  <c r="Y190" i="21" s="1"/>
  <c r="V190" i="21"/>
  <c r="S191" i="21"/>
  <c r="T191" i="21"/>
  <c r="U191" i="21"/>
  <c r="Y191" i="21" s="1"/>
  <c r="V191" i="21"/>
  <c r="S192" i="21"/>
  <c r="T192" i="21"/>
  <c r="U192" i="21"/>
  <c r="Y192" i="21" s="1"/>
  <c r="V192" i="21"/>
  <c r="S193" i="21"/>
  <c r="T193" i="21"/>
  <c r="U193" i="21"/>
  <c r="Y193" i="21" s="1"/>
  <c r="V193" i="21"/>
  <c r="S194" i="21"/>
  <c r="T194" i="21"/>
  <c r="U194" i="21"/>
  <c r="Y194" i="21" s="1"/>
  <c r="V194" i="21"/>
  <c r="S195" i="21"/>
  <c r="T195" i="21"/>
  <c r="U195" i="21"/>
  <c r="Y195" i="21" s="1"/>
  <c r="V195" i="21"/>
  <c r="S196" i="21"/>
  <c r="E196" i="21" s="1"/>
  <c r="T196" i="21"/>
  <c r="U196" i="21"/>
  <c r="V196" i="21"/>
  <c r="S197" i="21"/>
  <c r="T197" i="21"/>
  <c r="U197" i="21"/>
  <c r="Y197" i="21" s="1"/>
  <c r="V197" i="21"/>
  <c r="S198" i="21"/>
  <c r="E198" i="21" s="1"/>
  <c r="T198" i="21"/>
  <c r="U198" i="21"/>
  <c r="Y198" i="21" s="1"/>
  <c r="V198" i="21"/>
  <c r="S199" i="21"/>
  <c r="T199" i="21"/>
  <c r="U199" i="21"/>
  <c r="Y199" i="21" s="1"/>
  <c r="V199" i="21"/>
  <c r="T200" i="21"/>
  <c r="U200" i="21"/>
  <c r="V200" i="21"/>
  <c r="T201" i="21"/>
  <c r="U201" i="21"/>
  <c r="Y201" i="21" s="1"/>
  <c r="V201" i="21"/>
  <c r="S202" i="21"/>
  <c r="T202" i="21"/>
  <c r="U202" i="21"/>
  <c r="Y202" i="21" s="1"/>
  <c r="V202" i="21"/>
  <c r="S203" i="21"/>
  <c r="T203" i="21"/>
  <c r="U203" i="21"/>
  <c r="V203" i="21"/>
  <c r="S204" i="21"/>
  <c r="T204" i="21"/>
  <c r="U204" i="21"/>
  <c r="V204" i="21"/>
  <c r="S205" i="21"/>
  <c r="T205" i="21"/>
  <c r="U205" i="21"/>
  <c r="V205" i="21"/>
  <c r="S206" i="21"/>
  <c r="T206" i="21"/>
  <c r="U206" i="21"/>
  <c r="V206" i="21"/>
  <c r="S207" i="21"/>
  <c r="T207" i="21"/>
  <c r="U207" i="21"/>
  <c r="Y207" i="21" s="1"/>
  <c r="V207" i="21"/>
  <c r="S208" i="21"/>
  <c r="T208" i="21"/>
  <c r="U208" i="21"/>
  <c r="V208" i="21"/>
  <c r="S209" i="21"/>
  <c r="T209" i="21"/>
  <c r="U209" i="21"/>
  <c r="Y209" i="21" s="1"/>
  <c r="V209" i="21"/>
  <c r="S210" i="21"/>
  <c r="T210" i="21"/>
  <c r="U210" i="21"/>
  <c r="V210" i="21"/>
  <c r="T211" i="21"/>
  <c r="U211" i="21"/>
  <c r="Y211" i="21" s="1"/>
  <c r="V211" i="21"/>
  <c r="S212" i="21"/>
  <c r="T212" i="21"/>
  <c r="U212" i="21"/>
  <c r="V212" i="21"/>
  <c r="S213" i="21"/>
  <c r="T213" i="21"/>
  <c r="U213" i="21"/>
  <c r="V213" i="21"/>
  <c r="S214" i="21"/>
  <c r="T214" i="21"/>
  <c r="U214" i="21"/>
  <c r="Y214" i="21" s="1"/>
  <c r="V214" i="21"/>
  <c r="S215" i="21"/>
  <c r="T215" i="21"/>
  <c r="U215" i="21"/>
  <c r="Y215" i="21" s="1"/>
  <c r="V215" i="21"/>
  <c r="S216" i="21"/>
  <c r="T216" i="21"/>
  <c r="U216" i="21"/>
  <c r="Y216" i="21" s="1"/>
  <c r="V216" i="21"/>
  <c r="S217" i="21"/>
  <c r="T217" i="21"/>
  <c r="U217" i="21"/>
  <c r="V217" i="21"/>
  <c r="S218" i="21"/>
  <c r="T218" i="21"/>
  <c r="U218" i="21"/>
  <c r="Y218" i="21" s="1"/>
  <c r="V218" i="21"/>
  <c r="S219" i="21"/>
  <c r="T219" i="21"/>
  <c r="U219" i="21"/>
  <c r="V219" i="21"/>
  <c r="S220" i="21"/>
  <c r="T220" i="21"/>
  <c r="U220" i="21"/>
  <c r="V220" i="21"/>
  <c r="S221" i="21"/>
  <c r="T221" i="21"/>
  <c r="U221" i="21"/>
  <c r="Y221" i="21" s="1"/>
  <c r="V221" i="21"/>
  <c r="S222" i="21"/>
  <c r="T222" i="21"/>
  <c r="U222" i="21"/>
  <c r="Y222" i="21" s="1"/>
  <c r="V222" i="21"/>
  <c r="S223" i="21"/>
  <c r="T223" i="21"/>
  <c r="U223" i="21"/>
  <c r="Y223" i="21" s="1"/>
  <c r="V223" i="21"/>
  <c r="S224" i="21"/>
  <c r="T224" i="21"/>
  <c r="U224" i="21"/>
  <c r="Y224" i="21" s="1"/>
  <c r="V224" i="21"/>
  <c r="S225" i="21"/>
  <c r="T225" i="21"/>
  <c r="U225" i="21"/>
  <c r="Y225" i="21" s="1"/>
  <c r="V225" i="21"/>
  <c r="S226" i="21"/>
  <c r="T226" i="21"/>
  <c r="U226" i="21"/>
  <c r="Y226" i="21" s="1"/>
  <c r="V226" i="21"/>
  <c r="T227" i="21"/>
  <c r="U227" i="21"/>
  <c r="Y227" i="21" s="1"/>
  <c r="V227" i="21"/>
  <c r="U228" i="21"/>
  <c r="V228" i="21"/>
  <c r="S229" i="21"/>
  <c r="T229" i="21"/>
  <c r="U229" i="21"/>
  <c r="Y229" i="21" s="1"/>
  <c r="V229" i="21"/>
  <c r="S230" i="21"/>
  <c r="E230" i="21" s="1"/>
  <c r="T230" i="21"/>
  <c r="U230" i="21"/>
  <c r="Y230" i="21" s="1"/>
  <c r="V230" i="21"/>
  <c r="S231" i="21"/>
  <c r="T231" i="21"/>
  <c r="U231" i="21"/>
  <c r="V231" i="21"/>
  <c r="S232" i="21"/>
  <c r="T232" i="21"/>
  <c r="U232" i="21"/>
  <c r="Y232" i="21" s="1"/>
  <c r="V232" i="21"/>
  <c r="S233" i="21"/>
  <c r="T233" i="21"/>
  <c r="U233" i="21"/>
  <c r="Y233" i="21" s="1"/>
  <c r="V233" i="21"/>
  <c r="S234" i="21"/>
  <c r="T234" i="21"/>
  <c r="U234" i="21"/>
  <c r="Y234" i="21" s="1"/>
  <c r="V234" i="21"/>
  <c r="S235" i="21"/>
  <c r="T235" i="21"/>
  <c r="U235" i="21"/>
  <c r="Y235" i="21" s="1"/>
  <c r="V235" i="21"/>
  <c r="S236" i="21"/>
  <c r="T236" i="21"/>
  <c r="U236" i="21"/>
  <c r="V236" i="21"/>
  <c r="S237" i="21"/>
  <c r="T237" i="21"/>
  <c r="U237" i="21"/>
  <c r="Y237" i="21" s="1"/>
  <c r="V237" i="21"/>
  <c r="S238" i="21"/>
  <c r="E238" i="21" s="1"/>
  <c r="T238" i="21"/>
  <c r="U238" i="21"/>
  <c r="V238" i="21"/>
  <c r="S239" i="21"/>
  <c r="T239" i="21"/>
  <c r="U239" i="21"/>
  <c r="Y239" i="21" s="1"/>
  <c r="V239" i="21"/>
  <c r="S240" i="21"/>
  <c r="E240" i="21" s="1"/>
  <c r="T240" i="21"/>
  <c r="U240" i="21"/>
  <c r="Y240" i="21" s="1"/>
  <c r="V240" i="21"/>
  <c r="T241" i="21"/>
  <c r="U241" i="21"/>
  <c r="V241" i="21"/>
  <c r="S242" i="21"/>
  <c r="E242" i="21" s="1"/>
  <c r="T242" i="21"/>
  <c r="U242" i="21"/>
  <c r="Y242" i="21" s="1"/>
  <c r="V242" i="21"/>
  <c r="S243" i="21"/>
  <c r="T243" i="21"/>
  <c r="U243" i="21"/>
  <c r="Y243" i="21" s="1"/>
  <c r="V243" i="21"/>
  <c r="S244" i="21"/>
  <c r="T244" i="21"/>
  <c r="U244" i="21"/>
  <c r="Y244" i="21" s="1"/>
  <c r="V244" i="21"/>
  <c r="S245" i="21"/>
  <c r="T245" i="21"/>
  <c r="U245" i="21"/>
  <c r="V245" i="21"/>
  <c r="S246" i="21"/>
  <c r="T246" i="21"/>
  <c r="U246" i="21"/>
  <c r="V246" i="21"/>
  <c r="S247" i="21"/>
  <c r="T247" i="21"/>
  <c r="U247" i="21"/>
  <c r="V247" i="21"/>
  <c r="S248" i="21"/>
  <c r="T248" i="21"/>
  <c r="U248" i="21"/>
  <c r="Y248" i="21" s="1"/>
  <c r="V248" i="21"/>
  <c r="S249" i="21"/>
  <c r="T249" i="21"/>
  <c r="U249" i="21"/>
  <c r="Y249" i="21" s="1"/>
  <c r="V249" i="21"/>
  <c r="S250" i="21"/>
  <c r="T250" i="21"/>
  <c r="U250" i="21"/>
  <c r="Y250" i="21" s="1"/>
  <c r="V250" i="21"/>
  <c r="T251" i="21"/>
  <c r="U251" i="21"/>
  <c r="Y251" i="21" s="1"/>
  <c r="V251" i="21"/>
  <c r="T252" i="21"/>
  <c r="U252" i="21"/>
  <c r="Y252" i="21" s="1"/>
  <c r="V252" i="21"/>
  <c r="S253" i="21"/>
  <c r="E253" i="21" s="1"/>
  <c r="T253" i="21"/>
  <c r="U253" i="21"/>
  <c r="Y253" i="21" s="1"/>
  <c r="V253" i="21"/>
  <c r="S254" i="21"/>
  <c r="T254" i="21"/>
  <c r="U254" i="21"/>
  <c r="Y254" i="21" s="1"/>
  <c r="V254" i="21"/>
  <c r="S255" i="21"/>
  <c r="T255" i="21"/>
  <c r="U255" i="21"/>
  <c r="V255" i="21"/>
  <c r="T256" i="21"/>
  <c r="U256" i="21"/>
  <c r="V256" i="21"/>
  <c r="T257" i="21"/>
  <c r="U257" i="21"/>
  <c r="Y257" i="21" s="1"/>
  <c r="V257" i="21"/>
  <c r="S258" i="21"/>
  <c r="T258" i="21"/>
  <c r="U258" i="21"/>
  <c r="Y258" i="21" s="1"/>
  <c r="V258" i="21"/>
  <c r="S259" i="21"/>
  <c r="T259" i="21"/>
  <c r="U259" i="21"/>
  <c r="V259" i="21"/>
  <c r="T260" i="21"/>
  <c r="U260" i="21"/>
  <c r="Y260" i="21" s="1"/>
  <c r="V260" i="21"/>
  <c r="S261" i="21"/>
  <c r="E261" i="21" s="1"/>
  <c r="T261" i="21"/>
  <c r="U261" i="21"/>
  <c r="V261" i="21"/>
  <c r="S262" i="21"/>
  <c r="T262" i="21"/>
  <c r="U262" i="21"/>
  <c r="V262" i="21"/>
  <c r="S263" i="21"/>
  <c r="T263" i="21"/>
  <c r="U263" i="21"/>
  <c r="Y263" i="21" s="1"/>
  <c r="V263" i="21"/>
  <c r="S264" i="21"/>
  <c r="T264" i="21"/>
  <c r="U264" i="21"/>
  <c r="Y264" i="21" s="1"/>
  <c r="V264" i="21"/>
  <c r="S265" i="21"/>
  <c r="T265" i="21"/>
  <c r="U265" i="21"/>
  <c r="Y265" i="21" s="1"/>
  <c r="V265" i="21"/>
  <c r="S266" i="21"/>
  <c r="T266" i="21"/>
  <c r="U266" i="21"/>
  <c r="Y266" i="21" s="1"/>
  <c r="V266" i="21"/>
  <c r="S123" i="21"/>
  <c r="T123" i="21"/>
  <c r="U123" i="21"/>
  <c r="Y123" i="21" s="1"/>
  <c r="V123" i="21"/>
  <c r="T267" i="21"/>
  <c r="U267" i="21"/>
  <c r="V267" i="21"/>
  <c r="S268" i="21"/>
  <c r="T268" i="21"/>
  <c r="U268" i="21"/>
  <c r="Y268" i="21" s="1"/>
  <c r="V268" i="21"/>
  <c r="S269" i="21"/>
  <c r="T269" i="21"/>
  <c r="U269" i="21"/>
  <c r="Y269" i="21" s="1"/>
  <c r="V269" i="21"/>
  <c r="S270" i="21"/>
  <c r="T270" i="21"/>
  <c r="U270" i="21"/>
  <c r="V270" i="21"/>
  <c r="S271" i="21"/>
  <c r="E271" i="21" s="1"/>
  <c r="T271" i="21"/>
  <c r="U271" i="21"/>
  <c r="V271" i="21"/>
  <c r="S272" i="21"/>
  <c r="T272" i="21"/>
  <c r="U272" i="21"/>
  <c r="V272" i="21"/>
  <c r="S273" i="21"/>
  <c r="T273" i="21"/>
  <c r="U273" i="21"/>
  <c r="V273" i="21"/>
  <c r="T274" i="21"/>
  <c r="U274" i="21"/>
  <c r="V274" i="21"/>
  <c r="T275" i="21"/>
  <c r="U275" i="21"/>
  <c r="V275" i="21"/>
  <c r="S276" i="21"/>
  <c r="T276" i="21"/>
  <c r="U276" i="21"/>
  <c r="V276" i="21"/>
  <c r="S277" i="21"/>
  <c r="T277" i="21"/>
  <c r="U277" i="21"/>
  <c r="Y277" i="21" s="1"/>
  <c r="V277" i="21"/>
  <c r="S278" i="21"/>
  <c r="T278" i="21"/>
  <c r="U278" i="21"/>
  <c r="V278" i="21"/>
  <c r="S279" i="21"/>
  <c r="T279" i="21"/>
  <c r="U279" i="21"/>
  <c r="V279" i="21"/>
  <c r="S280" i="21"/>
  <c r="T280" i="21"/>
  <c r="U280" i="21"/>
  <c r="V280" i="21"/>
  <c r="T281" i="21"/>
  <c r="U281" i="21"/>
  <c r="Y281" i="21" s="1"/>
  <c r="V281" i="21"/>
  <c r="S282" i="21"/>
  <c r="T282" i="21"/>
  <c r="U282" i="21"/>
  <c r="Y282" i="21" s="1"/>
  <c r="V282" i="21"/>
  <c r="S283" i="21"/>
  <c r="T283" i="21"/>
  <c r="U283" i="21"/>
  <c r="Y283" i="21" s="1"/>
  <c r="V283" i="21"/>
  <c r="S284" i="21"/>
  <c r="T284" i="21"/>
  <c r="U284" i="21"/>
  <c r="V284" i="21"/>
  <c r="S286" i="21"/>
  <c r="E286" i="21" s="1"/>
  <c r="T286" i="21"/>
  <c r="U286" i="21"/>
  <c r="Y286" i="21" s="1"/>
  <c r="V286" i="21"/>
  <c r="S287" i="21"/>
  <c r="T287" i="21"/>
  <c r="U287" i="21"/>
  <c r="V287" i="21"/>
  <c r="S288" i="21"/>
  <c r="T288" i="21"/>
  <c r="U288" i="21"/>
  <c r="Y288" i="21" s="1"/>
  <c r="V288" i="21"/>
  <c r="S289" i="21"/>
  <c r="T289" i="21"/>
  <c r="U289" i="21"/>
  <c r="Y289" i="21" s="1"/>
  <c r="V289" i="21"/>
  <c r="S290" i="21"/>
  <c r="E290" i="21" s="1"/>
  <c r="T290" i="21"/>
  <c r="U290" i="21"/>
  <c r="Y290" i="21" s="1"/>
  <c r="V290" i="21"/>
  <c r="S291" i="21"/>
  <c r="T291" i="21"/>
  <c r="U291" i="21"/>
  <c r="Y291" i="21" s="1"/>
  <c r="V291" i="21"/>
  <c r="S292" i="21"/>
  <c r="T292" i="21"/>
  <c r="U292" i="21"/>
  <c r="Y292" i="21" s="1"/>
  <c r="V292" i="21"/>
  <c r="S293" i="21"/>
  <c r="T293" i="21"/>
  <c r="U293" i="21"/>
  <c r="Y293" i="21" s="1"/>
  <c r="V293" i="21"/>
  <c r="S294" i="21"/>
  <c r="E294" i="21" s="1"/>
  <c r="T294" i="21"/>
  <c r="U294" i="21"/>
  <c r="Y294" i="21" s="1"/>
  <c r="V294" i="21"/>
  <c r="S295" i="21"/>
  <c r="T295" i="21"/>
  <c r="U295" i="21"/>
  <c r="V295" i="21"/>
  <c r="S296" i="21"/>
  <c r="T296" i="21"/>
  <c r="U296" i="21"/>
  <c r="Y296" i="21" s="1"/>
  <c r="V296" i="21"/>
  <c r="S297" i="21"/>
  <c r="T297" i="21"/>
  <c r="U297" i="21"/>
  <c r="Y297" i="21" s="1"/>
  <c r="V297" i="21"/>
  <c r="T298" i="21"/>
  <c r="U298" i="21"/>
  <c r="Y298" i="21" s="1"/>
  <c r="V298" i="21"/>
  <c r="S299" i="21"/>
  <c r="T299" i="21"/>
  <c r="U299" i="21"/>
  <c r="Y299" i="21" s="1"/>
  <c r="V299" i="21"/>
  <c r="S300" i="21"/>
  <c r="T300" i="21"/>
  <c r="U300" i="21"/>
  <c r="V300" i="21"/>
  <c r="S301" i="21"/>
  <c r="T301" i="21"/>
  <c r="U301" i="21"/>
  <c r="V301" i="21"/>
  <c r="S302" i="21"/>
  <c r="T302" i="21"/>
  <c r="U302" i="21"/>
  <c r="V302" i="21"/>
  <c r="S303" i="21"/>
  <c r="T303" i="21"/>
  <c r="U303" i="21"/>
  <c r="Y303" i="21" s="1"/>
  <c r="V303" i="21"/>
  <c r="S304" i="21"/>
  <c r="T304" i="21"/>
  <c r="U304" i="21"/>
  <c r="Y304" i="21" s="1"/>
  <c r="V304" i="21"/>
  <c r="S305" i="21"/>
  <c r="T305" i="21"/>
  <c r="U305" i="21"/>
  <c r="V305" i="21"/>
  <c r="S306" i="21"/>
  <c r="T306" i="21"/>
  <c r="U306" i="21"/>
  <c r="Y306" i="21" s="1"/>
  <c r="V306" i="21"/>
  <c r="T307" i="21"/>
  <c r="U307" i="21"/>
  <c r="V307" i="21"/>
  <c r="S308" i="21"/>
  <c r="T308" i="21"/>
  <c r="U308" i="21"/>
  <c r="Y308" i="21" s="1"/>
  <c r="V308" i="21"/>
  <c r="S309" i="21"/>
  <c r="T309" i="21"/>
  <c r="U309" i="21"/>
  <c r="Y309" i="21" s="1"/>
  <c r="V309" i="21"/>
  <c r="S310" i="21"/>
  <c r="T310" i="21"/>
  <c r="U310" i="21"/>
  <c r="Y310" i="21" s="1"/>
  <c r="V310" i="21"/>
  <c r="S311" i="21"/>
  <c r="E311" i="21" s="1"/>
  <c r="T311" i="21"/>
  <c r="U311" i="21"/>
  <c r="Y311" i="21" s="1"/>
  <c r="V311" i="21"/>
  <c r="S312" i="21"/>
  <c r="T312" i="21"/>
  <c r="U312" i="21"/>
  <c r="V312" i="21"/>
  <c r="S313" i="21"/>
  <c r="T313" i="21"/>
  <c r="U313" i="21"/>
  <c r="Y313" i="21" s="1"/>
  <c r="V313" i="21"/>
  <c r="S314" i="21"/>
  <c r="T314" i="21"/>
  <c r="U314" i="21"/>
  <c r="Y314" i="21" s="1"/>
  <c r="V314" i="21"/>
  <c r="T315" i="21"/>
  <c r="U315" i="21"/>
  <c r="Y315" i="21" s="1"/>
  <c r="V315" i="21"/>
  <c r="S316" i="21"/>
  <c r="T316" i="21"/>
  <c r="U316" i="21"/>
  <c r="Y316" i="21" s="1"/>
  <c r="V316" i="21"/>
  <c r="S317" i="21"/>
  <c r="T317" i="21"/>
  <c r="U317" i="21"/>
  <c r="Y317" i="21" s="1"/>
  <c r="V317" i="21"/>
  <c r="S318" i="21"/>
  <c r="T318" i="21"/>
  <c r="U318" i="21"/>
  <c r="Y318" i="21" s="1"/>
  <c r="V318" i="21"/>
  <c r="S319" i="21"/>
  <c r="T319" i="21"/>
  <c r="U319" i="21"/>
  <c r="Y319" i="21" s="1"/>
  <c r="V319" i="21"/>
  <c r="S320" i="21"/>
  <c r="T320" i="21"/>
  <c r="U320" i="21"/>
  <c r="Y320" i="21" s="1"/>
  <c r="V320" i="21"/>
  <c r="T321" i="21"/>
  <c r="U321" i="21"/>
  <c r="V321" i="21"/>
  <c r="S322" i="21"/>
  <c r="T322" i="21"/>
  <c r="U322" i="21"/>
  <c r="Y322" i="21" s="1"/>
  <c r="V322" i="21"/>
  <c r="S324" i="21"/>
  <c r="E324" i="21" s="1"/>
  <c r="T324" i="21"/>
  <c r="U324" i="21"/>
  <c r="Y324" i="21" s="1"/>
  <c r="V324" i="21"/>
  <c r="S325" i="21"/>
  <c r="T325" i="21"/>
  <c r="U325" i="21"/>
  <c r="Y325" i="21" s="1"/>
  <c r="V325" i="21"/>
  <c r="S326" i="21"/>
  <c r="E326" i="21" s="1"/>
  <c r="T326" i="21"/>
  <c r="U326" i="21"/>
  <c r="Y326" i="21" s="1"/>
  <c r="V326" i="21"/>
  <c r="S327" i="21"/>
  <c r="T327" i="21"/>
  <c r="U327" i="21"/>
  <c r="V327" i="21"/>
  <c r="S328" i="21"/>
  <c r="T328" i="21"/>
  <c r="U328" i="21"/>
  <c r="Y328" i="21" s="1"/>
  <c r="V328" i="21"/>
  <c r="T329" i="21"/>
  <c r="U329" i="21"/>
  <c r="Y329" i="21" s="1"/>
  <c r="V329" i="21"/>
  <c r="T330" i="21"/>
  <c r="U330" i="21"/>
  <c r="Y330" i="21" s="1"/>
  <c r="V330" i="21"/>
  <c r="T331" i="21"/>
  <c r="U331" i="21"/>
  <c r="Y331" i="21" s="1"/>
  <c r="V331" i="21"/>
  <c r="S332" i="21"/>
  <c r="T332" i="21"/>
  <c r="U332" i="21"/>
  <c r="Y332" i="21" s="1"/>
  <c r="V332" i="21"/>
  <c r="S333" i="21"/>
  <c r="T333" i="21"/>
  <c r="U333" i="21"/>
  <c r="Y333" i="21" s="1"/>
  <c r="V333" i="21"/>
  <c r="S334" i="21"/>
  <c r="T334" i="21"/>
  <c r="U334" i="21"/>
  <c r="Y334" i="21" s="1"/>
  <c r="V334" i="21"/>
  <c r="S335" i="21"/>
  <c r="T335" i="21"/>
  <c r="U335" i="21"/>
  <c r="Y335" i="21" s="1"/>
  <c r="V335" i="21"/>
  <c r="S336" i="21"/>
  <c r="T336" i="21"/>
  <c r="U336" i="21"/>
  <c r="Y336" i="21" s="1"/>
  <c r="V336" i="21"/>
  <c r="S337" i="21"/>
  <c r="T337" i="21"/>
  <c r="U337" i="21"/>
  <c r="Y337" i="21" s="1"/>
  <c r="V337" i="21"/>
  <c r="S338" i="21"/>
  <c r="T338" i="21"/>
  <c r="U338" i="21"/>
  <c r="Y338" i="21" s="1"/>
  <c r="V338" i="21"/>
  <c r="S339" i="21"/>
  <c r="T339" i="21"/>
  <c r="U339" i="21"/>
  <c r="Y339" i="21" s="1"/>
  <c r="V339" i="21"/>
  <c r="T340" i="21"/>
  <c r="U340" i="21"/>
  <c r="V340" i="21"/>
  <c r="S341" i="21"/>
  <c r="T341" i="21"/>
  <c r="U341" i="21"/>
  <c r="V341" i="21"/>
  <c r="S342" i="21"/>
  <c r="T342" i="21"/>
  <c r="U342" i="21"/>
  <c r="Y342" i="21" s="1"/>
  <c r="V342" i="21"/>
  <c r="S343" i="21"/>
  <c r="T343" i="21"/>
  <c r="U343" i="21"/>
  <c r="V343" i="21"/>
  <c r="S344" i="21"/>
  <c r="T344" i="21"/>
  <c r="U344" i="21"/>
  <c r="Y344" i="21" s="1"/>
  <c r="V344" i="21"/>
  <c r="S345" i="21"/>
  <c r="T345" i="21"/>
  <c r="U345" i="21"/>
  <c r="V345" i="21"/>
  <c r="S346" i="21"/>
  <c r="T346" i="21"/>
  <c r="U346" i="21"/>
  <c r="V346" i="21"/>
  <c r="S347" i="21"/>
  <c r="T347" i="21"/>
  <c r="U347" i="21"/>
  <c r="V347" i="21"/>
  <c r="S348" i="21"/>
  <c r="T348" i="21"/>
  <c r="U348" i="21"/>
  <c r="V348" i="21"/>
  <c r="S349" i="21"/>
  <c r="T349" i="21"/>
  <c r="U349" i="21"/>
  <c r="V349" i="21"/>
  <c r="S350" i="21"/>
  <c r="T350" i="21"/>
  <c r="U350" i="21"/>
  <c r="V350" i="21"/>
  <c r="S351" i="21"/>
  <c r="T351" i="21"/>
  <c r="U351" i="21"/>
  <c r="Y351" i="21" s="1"/>
  <c r="V351" i="21"/>
  <c r="S352" i="21"/>
  <c r="T352" i="21"/>
  <c r="U352" i="21"/>
  <c r="V352" i="21"/>
  <c r="T353" i="21"/>
  <c r="U353" i="21"/>
  <c r="V353" i="21"/>
  <c r="S354" i="21"/>
  <c r="T354" i="21"/>
  <c r="U354" i="21"/>
  <c r="Y354" i="21" s="1"/>
  <c r="V354" i="21"/>
  <c r="S355" i="21"/>
  <c r="T355" i="21"/>
  <c r="U355" i="21"/>
  <c r="Y355" i="21" s="1"/>
  <c r="V355" i="21"/>
  <c r="S356" i="21"/>
  <c r="E356" i="21" s="1"/>
  <c r="T356" i="21"/>
  <c r="U356" i="21"/>
  <c r="V356" i="21"/>
  <c r="S357" i="21"/>
  <c r="T357" i="21"/>
  <c r="U357" i="21"/>
  <c r="V357" i="21"/>
  <c r="S358" i="21"/>
  <c r="E358" i="21" s="1"/>
  <c r="T358" i="21"/>
  <c r="U358" i="21"/>
  <c r="V358" i="21"/>
  <c r="S359" i="21"/>
  <c r="T359" i="21"/>
  <c r="U359" i="21"/>
  <c r="V359" i="21"/>
  <c r="T360" i="21"/>
  <c r="U360" i="21"/>
  <c r="Y360" i="21" s="1"/>
  <c r="V360" i="21"/>
  <c r="S361" i="21"/>
  <c r="T361" i="21"/>
  <c r="U361" i="21"/>
  <c r="Y361" i="21" s="1"/>
  <c r="V361" i="21"/>
  <c r="S362" i="21"/>
  <c r="T362" i="21"/>
  <c r="U362" i="21"/>
  <c r="Y362" i="21" s="1"/>
  <c r="V362" i="21"/>
  <c r="S363" i="21"/>
  <c r="T363" i="21"/>
  <c r="U363" i="21"/>
  <c r="Y363" i="21" s="1"/>
  <c r="V363" i="21"/>
  <c r="S364" i="21"/>
  <c r="T364" i="21"/>
  <c r="U364" i="21"/>
  <c r="Y364" i="21" s="1"/>
  <c r="V364" i="21"/>
  <c r="S365" i="21"/>
  <c r="T365" i="21"/>
  <c r="U365" i="21"/>
  <c r="Y365" i="21" s="1"/>
  <c r="V365" i="21"/>
  <c r="S366" i="21"/>
  <c r="T366" i="21"/>
  <c r="U366" i="21"/>
  <c r="Y366" i="21" s="1"/>
  <c r="V366" i="21"/>
  <c r="S367" i="21"/>
  <c r="T367" i="21"/>
  <c r="U367" i="21"/>
  <c r="Y367" i="21" s="1"/>
  <c r="V367" i="21"/>
  <c r="S368" i="21"/>
  <c r="T368" i="21"/>
  <c r="U368" i="21"/>
  <c r="V368" i="21"/>
  <c r="S369" i="21"/>
  <c r="T369" i="21"/>
  <c r="U369" i="21"/>
  <c r="V369" i="21"/>
  <c r="S370" i="21"/>
  <c r="T370" i="21"/>
  <c r="U370" i="21"/>
  <c r="V370" i="21"/>
  <c r="S371" i="21"/>
  <c r="T371" i="21"/>
  <c r="U371" i="21"/>
  <c r="Y371" i="21" s="1"/>
  <c r="V371" i="21"/>
  <c r="S372" i="21"/>
  <c r="T372" i="21"/>
  <c r="U372" i="21"/>
  <c r="Y372" i="21" s="1"/>
  <c r="V372" i="21"/>
  <c r="S373" i="21"/>
  <c r="T373" i="21"/>
  <c r="U373" i="21"/>
  <c r="Y373" i="21" s="1"/>
  <c r="V373" i="21"/>
  <c r="S374" i="21"/>
  <c r="T374" i="21"/>
  <c r="U374" i="21"/>
  <c r="Y374" i="21" s="1"/>
  <c r="V374" i="21"/>
  <c r="S375" i="21"/>
  <c r="T375" i="21"/>
  <c r="U375" i="21"/>
  <c r="Y375" i="21" s="1"/>
  <c r="V375" i="21"/>
  <c r="S376" i="21"/>
  <c r="T376" i="21"/>
  <c r="U376" i="21"/>
  <c r="Y376" i="21" s="1"/>
  <c r="V376" i="21"/>
  <c r="S377" i="21"/>
  <c r="T377" i="21"/>
  <c r="U377" i="21"/>
  <c r="Y377" i="21" s="1"/>
  <c r="V377" i="21"/>
  <c r="S378" i="21"/>
  <c r="T378" i="21"/>
  <c r="U378" i="21"/>
  <c r="Y378" i="21" s="1"/>
  <c r="V378" i="21"/>
  <c r="T379" i="21"/>
  <c r="U379" i="21"/>
  <c r="V379" i="21"/>
  <c r="S380" i="21"/>
  <c r="T380" i="21"/>
  <c r="U380" i="21"/>
  <c r="V380" i="21"/>
  <c r="S381" i="21"/>
  <c r="T381" i="21"/>
  <c r="U381" i="21"/>
  <c r="Y381" i="21" s="1"/>
  <c r="V381" i="21"/>
  <c r="S382" i="21"/>
  <c r="T382" i="21"/>
  <c r="U382" i="21"/>
  <c r="Y382" i="21" s="1"/>
  <c r="V382" i="21"/>
  <c r="S383" i="21"/>
  <c r="T383" i="21"/>
  <c r="U383" i="21"/>
  <c r="Y383" i="21" s="1"/>
  <c r="V383" i="21"/>
  <c r="S384" i="21"/>
  <c r="T384" i="21"/>
  <c r="U384" i="21"/>
  <c r="V384" i="21"/>
  <c r="T385" i="21"/>
  <c r="U385" i="21"/>
  <c r="Y385" i="21" s="1"/>
  <c r="V385" i="21"/>
  <c r="T386" i="21"/>
  <c r="U386" i="21"/>
  <c r="Y386" i="21" s="1"/>
  <c r="V386" i="21"/>
  <c r="S387" i="21"/>
  <c r="T387" i="21"/>
  <c r="U387" i="21"/>
  <c r="Y387" i="21" s="1"/>
  <c r="V387" i="21"/>
  <c r="S388" i="21"/>
  <c r="T388" i="21"/>
  <c r="U388" i="21"/>
  <c r="V388" i="21"/>
  <c r="S389" i="21"/>
  <c r="T389" i="21"/>
  <c r="U389" i="21"/>
  <c r="V389" i="21"/>
  <c r="S390" i="21"/>
  <c r="T390" i="21"/>
  <c r="U390" i="21"/>
  <c r="Y390" i="21" s="1"/>
  <c r="V390" i="21"/>
  <c r="S391" i="21"/>
  <c r="T391" i="21"/>
  <c r="U391" i="21"/>
  <c r="Y391" i="21" s="1"/>
  <c r="V391" i="21"/>
  <c r="S392" i="21"/>
  <c r="T392" i="21"/>
  <c r="U392" i="21"/>
  <c r="Y392" i="21" s="1"/>
  <c r="V392" i="21"/>
  <c r="S394" i="21"/>
  <c r="T394" i="21"/>
  <c r="U394" i="21"/>
  <c r="Y394" i="21" s="1"/>
  <c r="V394" i="21"/>
  <c r="T395" i="21"/>
  <c r="U395" i="21"/>
  <c r="Y395" i="21" s="1"/>
  <c r="V395" i="21"/>
  <c r="T396" i="21"/>
  <c r="U396" i="21"/>
  <c r="Y396" i="21" s="1"/>
  <c r="V396" i="21"/>
  <c r="S397" i="21"/>
  <c r="T397" i="21"/>
  <c r="U397" i="21"/>
  <c r="V397" i="21"/>
  <c r="S400" i="21"/>
  <c r="T400" i="21"/>
  <c r="U400" i="21"/>
  <c r="Y400" i="21" s="1"/>
  <c r="V400" i="21"/>
  <c r="S401" i="21"/>
  <c r="T401" i="21"/>
  <c r="U401" i="21"/>
  <c r="Y401" i="21" s="1"/>
  <c r="V401" i="21"/>
  <c r="T402" i="21"/>
  <c r="U402" i="21"/>
  <c r="Y402" i="21" s="1"/>
  <c r="V402" i="21"/>
  <c r="T403" i="21"/>
  <c r="U403" i="21"/>
  <c r="V403" i="21"/>
  <c r="T404" i="21"/>
  <c r="U404" i="21"/>
  <c r="V404" i="21"/>
  <c r="S405" i="21"/>
  <c r="E405" i="21" s="1"/>
  <c r="T405" i="21"/>
  <c r="U405" i="21"/>
  <c r="V405" i="21"/>
  <c r="S406" i="21"/>
  <c r="T406" i="21"/>
  <c r="U406" i="21"/>
  <c r="V406" i="21"/>
  <c r="S407" i="21"/>
  <c r="E407" i="21" s="1"/>
  <c r="T407" i="21"/>
  <c r="U407" i="21"/>
  <c r="Y407" i="21" s="1"/>
  <c r="V407" i="21"/>
  <c r="T408" i="21"/>
  <c r="U408" i="21"/>
  <c r="Y408" i="21" s="1"/>
  <c r="V408" i="21"/>
  <c r="T409" i="21"/>
  <c r="U409" i="21"/>
  <c r="Y409" i="21" s="1"/>
  <c r="V409" i="21"/>
  <c r="T410" i="21"/>
  <c r="U410" i="21"/>
  <c r="Y410" i="21" s="1"/>
  <c r="V410" i="21"/>
  <c r="T411" i="21"/>
  <c r="U411" i="21"/>
  <c r="V411" i="21"/>
  <c r="S412" i="21"/>
  <c r="T412" i="21"/>
  <c r="U412" i="21"/>
  <c r="V412" i="21"/>
  <c r="S413" i="21"/>
  <c r="T413" i="21"/>
  <c r="U413" i="21"/>
  <c r="Y413" i="21" s="1"/>
  <c r="V413" i="21"/>
  <c r="S414" i="21"/>
  <c r="E414" i="21" s="1"/>
  <c r="T414" i="21"/>
  <c r="U414" i="21"/>
  <c r="V414" i="21"/>
  <c r="S415" i="21"/>
  <c r="T415" i="21"/>
  <c r="U415" i="21"/>
  <c r="Y415" i="21" s="1"/>
  <c r="V415" i="21"/>
  <c r="S416" i="21"/>
  <c r="T416" i="21"/>
  <c r="U416" i="21"/>
  <c r="Y416" i="21" s="1"/>
  <c r="V416" i="21"/>
  <c r="S417" i="21"/>
  <c r="T417" i="21"/>
  <c r="U417" i="21"/>
  <c r="V417" i="21"/>
  <c r="S418" i="21"/>
  <c r="T418" i="21"/>
  <c r="U418" i="21"/>
  <c r="Y418" i="21" s="1"/>
  <c r="V418" i="21"/>
  <c r="S419" i="21"/>
  <c r="T419" i="21"/>
  <c r="U419" i="21"/>
  <c r="V419" i="21"/>
  <c r="S420" i="21"/>
  <c r="T420" i="21"/>
  <c r="U420" i="21"/>
  <c r="Y420" i="21" s="1"/>
  <c r="V420" i="21"/>
  <c r="S421" i="21"/>
  <c r="T421" i="21"/>
  <c r="U421" i="21"/>
  <c r="V421" i="21"/>
  <c r="S422" i="21"/>
  <c r="T422" i="21"/>
  <c r="U422" i="21"/>
  <c r="Y422" i="21" s="1"/>
  <c r="V422" i="21"/>
  <c r="S423" i="21"/>
  <c r="T423" i="21"/>
  <c r="U423" i="21"/>
  <c r="Y423" i="21" s="1"/>
  <c r="V423" i="21"/>
  <c r="S424" i="21"/>
  <c r="T424" i="21"/>
  <c r="U424" i="21"/>
  <c r="Y424" i="21" s="1"/>
  <c r="V424" i="21"/>
  <c r="T425" i="21"/>
  <c r="U425" i="21"/>
  <c r="V425" i="21"/>
  <c r="T426" i="21"/>
  <c r="U426" i="21"/>
  <c r="Y426" i="21" s="1"/>
  <c r="V426" i="21"/>
  <c r="S427" i="21"/>
  <c r="T427" i="21"/>
  <c r="U427" i="21"/>
  <c r="V427" i="21"/>
  <c r="S428" i="21"/>
  <c r="T428" i="21"/>
  <c r="U428" i="21"/>
  <c r="V428" i="21"/>
  <c r="S429" i="21"/>
  <c r="T429" i="21"/>
  <c r="U429" i="21"/>
  <c r="V429" i="21"/>
  <c r="S430" i="21"/>
  <c r="T430" i="21"/>
  <c r="U430" i="21"/>
  <c r="V430" i="21"/>
  <c r="S431" i="21"/>
  <c r="T431" i="21"/>
  <c r="U431" i="21"/>
  <c r="Y431" i="21" s="1"/>
  <c r="V431" i="21"/>
  <c r="S432" i="21"/>
  <c r="T432" i="21"/>
  <c r="U432" i="21"/>
  <c r="Y432" i="21" s="1"/>
  <c r="V432" i="21"/>
  <c r="S433" i="21"/>
  <c r="T433" i="21"/>
  <c r="U433" i="21"/>
  <c r="Y433" i="21" s="1"/>
  <c r="V433" i="21"/>
  <c r="S434" i="21"/>
  <c r="T434" i="21"/>
  <c r="U434" i="21"/>
  <c r="Y434" i="21" s="1"/>
  <c r="V434" i="21"/>
  <c r="T435" i="21"/>
  <c r="U435" i="21"/>
  <c r="Y435" i="21" s="1"/>
  <c r="V435" i="21"/>
  <c r="S436" i="21"/>
  <c r="T436" i="21"/>
  <c r="U436" i="21"/>
  <c r="Y436" i="21" s="1"/>
  <c r="V436" i="21"/>
  <c r="S437" i="21"/>
  <c r="T437" i="21"/>
  <c r="U437" i="21"/>
  <c r="Y437" i="21" s="1"/>
  <c r="V437" i="21"/>
  <c r="S438" i="21"/>
  <c r="T438" i="21"/>
  <c r="U438" i="21"/>
  <c r="Y438" i="21" s="1"/>
  <c r="V438" i="21"/>
  <c r="S439" i="21"/>
  <c r="T439" i="21"/>
  <c r="U439" i="21"/>
  <c r="Y439" i="21" s="1"/>
  <c r="V439" i="21"/>
  <c r="S440" i="21"/>
  <c r="T440" i="21"/>
  <c r="U440" i="21"/>
  <c r="V440" i="21"/>
  <c r="S441" i="21"/>
  <c r="T441" i="21"/>
  <c r="U441" i="21"/>
  <c r="Y441" i="21" s="1"/>
  <c r="V441" i="21"/>
  <c r="S442" i="21"/>
  <c r="T442" i="21"/>
  <c r="U442" i="21"/>
  <c r="V442" i="21"/>
  <c r="S443" i="21"/>
  <c r="T443" i="21"/>
  <c r="U443" i="21"/>
  <c r="Y443" i="21" s="1"/>
  <c r="V443" i="21"/>
  <c r="S444" i="21"/>
  <c r="T444" i="21"/>
  <c r="U444" i="21"/>
  <c r="Y444" i="21" s="1"/>
  <c r="V444" i="21"/>
  <c r="S445" i="21"/>
  <c r="T445" i="21"/>
  <c r="U445" i="21"/>
  <c r="Y445" i="21" s="1"/>
  <c r="V445" i="21"/>
  <c r="S447" i="21"/>
  <c r="T447" i="21"/>
  <c r="U447" i="21"/>
  <c r="Y447" i="21" s="1"/>
  <c r="V447" i="21"/>
  <c r="S448" i="21"/>
  <c r="T448" i="21"/>
  <c r="U448" i="21"/>
  <c r="Y448" i="21" s="1"/>
  <c r="V448" i="21"/>
  <c r="T449" i="21"/>
  <c r="U449" i="21"/>
  <c r="Y449" i="21" s="1"/>
  <c r="V449" i="21"/>
  <c r="T450" i="21"/>
  <c r="U450" i="21"/>
  <c r="Y450" i="21" s="1"/>
  <c r="V450" i="21"/>
  <c r="S451" i="21"/>
  <c r="T451" i="21"/>
  <c r="U451" i="21"/>
  <c r="Y451" i="21" s="1"/>
  <c r="V451" i="21"/>
  <c r="S452" i="21"/>
  <c r="T452" i="21"/>
  <c r="U452" i="21"/>
  <c r="Y452" i="21" s="1"/>
  <c r="V452" i="21"/>
  <c r="S453" i="21"/>
  <c r="T453" i="21"/>
  <c r="U453" i="21"/>
  <c r="Y453" i="21" s="1"/>
  <c r="V453" i="21"/>
  <c r="S454" i="21"/>
  <c r="T454" i="21"/>
  <c r="U454" i="21"/>
  <c r="Y454" i="21" s="1"/>
  <c r="V454" i="21"/>
  <c r="S455" i="21"/>
  <c r="T455" i="21"/>
  <c r="U455" i="21"/>
  <c r="Y455" i="21" s="1"/>
  <c r="V455" i="21"/>
  <c r="S456" i="21"/>
  <c r="T456" i="21"/>
  <c r="U456" i="21"/>
  <c r="V456" i="21"/>
  <c r="S457" i="21"/>
  <c r="T457" i="21"/>
  <c r="U457" i="21"/>
  <c r="Y457" i="21" s="1"/>
  <c r="V457" i="21"/>
  <c r="S458" i="21"/>
  <c r="T458" i="21"/>
  <c r="U458" i="21"/>
  <c r="Y458" i="21" s="1"/>
  <c r="V458" i="21"/>
  <c r="S459" i="21"/>
  <c r="T459" i="21"/>
  <c r="U459" i="21"/>
  <c r="Y459" i="21" s="1"/>
  <c r="V459" i="21"/>
  <c r="S460" i="21"/>
  <c r="T460" i="21"/>
  <c r="U460" i="21"/>
  <c r="Y460" i="21" s="1"/>
  <c r="V460" i="21"/>
  <c r="S461" i="21"/>
  <c r="T461" i="21"/>
  <c r="U461" i="21"/>
  <c r="V461" i="21"/>
  <c r="S462" i="21"/>
  <c r="T462" i="21"/>
  <c r="U462" i="21"/>
  <c r="V462" i="21"/>
  <c r="S463" i="21"/>
  <c r="T463" i="21"/>
  <c r="U463" i="21"/>
  <c r="Y463" i="21" s="1"/>
  <c r="V463" i="21"/>
  <c r="S464" i="21"/>
  <c r="T464" i="21"/>
  <c r="U464" i="21"/>
  <c r="Y464" i="21" s="1"/>
  <c r="V464" i="21"/>
  <c r="S465" i="21"/>
  <c r="T465" i="21"/>
  <c r="U465" i="21"/>
  <c r="Y465" i="21" s="1"/>
  <c r="V465" i="21"/>
  <c r="S466" i="21"/>
  <c r="T466" i="21"/>
  <c r="U466" i="21"/>
  <c r="Y466" i="21" s="1"/>
  <c r="V466" i="21"/>
  <c r="S467" i="21"/>
  <c r="T467" i="21"/>
  <c r="U467" i="21"/>
  <c r="Y467" i="21" s="1"/>
  <c r="V467" i="21"/>
  <c r="S469" i="21"/>
  <c r="T469" i="21"/>
  <c r="U469" i="21"/>
  <c r="V469" i="21"/>
  <c r="S470" i="21"/>
  <c r="T470" i="21"/>
  <c r="U470" i="21"/>
  <c r="V470" i="21"/>
  <c r="S471" i="21"/>
  <c r="T471" i="21"/>
  <c r="U471" i="21"/>
  <c r="Y471" i="21" s="1"/>
  <c r="V471" i="21"/>
  <c r="S472" i="21"/>
  <c r="T472" i="21"/>
  <c r="U472" i="21"/>
  <c r="Y472" i="21" s="1"/>
  <c r="V472" i="21"/>
  <c r="S473" i="21"/>
  <c r="T473" i="21"/>
  <c r="U473" i="21"/>
  <c r="Y473" i="21" s="1"/>
  <c r="V473" i="21"/>
  <c r="S474" i="21"/>
  <c r="T474" i="21"/>
  <c r="U474" i="21"/>
  <c r="V474" i="21"/>
  <c r="S475" i="21"/>
  <c r="T475" i="21"/>
  <c r="U475" i="21"/>
  <c r="Y475" i="21" s="1"/>
  <c r="V475" i="21"/>
  <c r="S476" i="21"/>
  <c r="T476" i="21"/>
  <c r="U476" i="21"/>
  <c r="V476" i="21"/>
  <c r="S477" i="21"/>
  <c r="T477" i="21"/>
  <c r="U477" i="21"/>
  <c r="Y477" i="21" s="1"/>
  <c r="V477" i="21"/>
  <c r="S478" i="21"/>
  <c r="T478" i="21"/>
  <c r="U478" i="21"/>
  <c r="Y478" i="21" s="1"/>
  <c r="V478" i="21"/>
  <c r="S479" i="21"/>
  <c r="E479" i="21" s="1"/>
  <c r="T479" i="21"/>
  <c r="U479" i="21"/>
  <c r="Y479" i="21" s="1"/>
  <c r="V479" i="21"/>
  <c r="S480" i="21"/>
  <c r="T480" i="21"/>
  <c r="U480" i="21"/>
  <c r="Y480" i="21" s="1"/>
  <c r="V480" i="21"/>
  <c r="S481" i="21"/>
  <c r="T481" i="21"/>
  <c r="U481" i="21"/>
  <c r="V481" i="21"/>
  <c r="S482" i="21"/>
  <c r="T482" i="21"/>
  <c r="U482" i="21"/>
  <c r="V482" i="21"/>
  <c r="S483" i="21"/>
  <c r="T483" i="21"/>
  <c r="U483" i="21"/>
  <c r="Y483" i="21" s="1"/>
  <c r="V483" i="21"/>
  <c r="S484" i="21"/>
  <c r="T484" i="21"/>
  <c r="U484" i="21"/>
  <c r="V484" i="21"/>
  <c r="S485" i="21"/>
  <c r="T485" i="21"/>
  <c r="U485" i="21"/>
  <c r="V485" i="21"/>
  <c r="S486" i="21"/>
  <c r="T486" i="21"/>
  <c r="U486" i="21"/>
  <c r="V486" i="21"/>
  <c r="S487" i="21"/>
  <c r="T487" i="21"/>
  <c r="U487" i="21"/>
  <c r="V487" i="21"/>
  <c r="S488" i="21"/>
  <c r="T488" i="21"/>
  <c r="U488" i="21"/>
  <c r="V488" i="21"/>
  <c r="S489" i="21"/>
  <c r="T489" i="21"/>
  <c r="U489" i="21"/>
  <c r="Y489" i="21" s="1"/>
  <c r="V489" i="21"/>
  <c r="S490" i="21"/>
  <c r="T490" i="21"/>
  <c r="U490" i="21"/>
  <c r="V490" i="21"/>
  <c r="T491" i="21"/>
  <c r="U491" i="21"/>
  <c r="Y491" i="21" s="1"/>
  <c r="V491" i="21"/>
  <c r="S492" i="21"/>
  <c r="T492" i="21"/>
  <c r="U492" i="21"/>
  <c r="Y492" i="21" s="1"/>
  <c r="V492" i="21"/>
  <c r="S493" i="21"/>
  <c r="T493" i="21"/>
  <c r="U493" i="21"/>
  <c r="Y493" i="21" s="1"/>
  <c r="V493" i="21"/>
  <c r="S494" i="21"/>
  <c r="T494" i="21"/>
  <c r="U494" i="21"/>
  <c r="V494" i="21"/>
  <c r="S495" i="21"/>
  <c r="E495" i="21" s="1"/>
  <c r="T495" i="21"/>
  <c r="U495" i="21"/>
  <c r="V495" i="21"/>
  <c r="S496" i="21"/>
  <c r="T496" i="21"/>
  <c r="U496" i="21"/>
  <c r="Y496" i="21" s="1"/>
  <c r="V496" i="21"/>
  <c r="S498" i="21"/>
  <c r="T498" i="21"/>
  <c r="U498" i="21"/>
  <c r="Y498" i="21" s="1"/>
  <c r="V498" i="21"/>
  <c r="T499" i="21"/>
  <c r="U499" i="21"/>
  <c r="Y499" i="21" s="1"/>
  <c r="V499" i="21"/>
  <c r="S500" i="21"/>
  <c r="T500" i="21"/>
  <c r="U500" i="21"/>
  <c r="Y500" i="21" s="1"/>
  <c r="V500" i="21"/>
  <c r="S501" i="21"/>
  <c r="T501" i="21"/>
  <c r="U501" i="21"/>
  <c r="Y501" i="21" s="1"/>
  <c r="V501" i="21"/>
  <c r="S502" i="21"/>
  <c r="T502" i="21"/>
  <c r="U502" i="21"/>
  <c r="Y502" i="21" s="1"/>
  <c r="V502" i="21"/>
  <c r="S503" i="21"/>
  <c r="T503" i="21"/>
  <c r="U503" i="21"/>
  <c r="Y503" i="21" s="1"/>
  <c r="V503" i="21"/>
  <c r="T504" i="21"/>
  <c r="U504" i="21"/>
  <c r="V504" i="21"/>
  <c r="T505" i="21"/>
  <c r="U505" i="21"/>
  <c r="Y505" i="21" s="1"/>
  <c r="V505" i="21"/>
  <c r="T506" i="21"/>
  <c r="U506" i="21"/>
  <c r="Y506" i="21" s="1"/>
  <c r="V506" i="21"/>
  <c r="T507" i="21"/>
  <c r="U507" i="21"/>
  <c r="V507" i="21"/>
  <c r="S508" i="21"/>
  <c r="T508" i="21"/>
  <c r="U508" i="21"/>
  <c r="V508" i="21"/>
  <c r="S509" i="21"/>
  <c r="T509" i="21"/>
  <c r="U509" i="21"/>
  <c r="Y509" i="21" s="1"/>
  <c r="V509" i="21"/>
  <c r="S510" i="21"/>
  <c r="T510" i="21"/>
  <c r="U510" i="21"/>
  <c r="Y510" i="21" s="1"/>
  <c r="V510" i="21"/>
  <c r="S511" i="21"/>
  <c r="T511" i="21"/>
  <c r="U511" i="21"/>
  <c r="Y511" i="21" s="1"/>
  <c r="V511" i="21"/>
  <c r="S512" i="21"/>
  <c r="T512" i="21"/>
  <c r="U512" i="21"/>
  <c r="Y512" i="21" s="1"/>
  <c r="V512" i="21"/>
  <c r="S513" i="21"/>
  <c r="T513" i="21"/>
  <c r="U513" i="21"/>
  <c r="Y513" i="21" s="1"/>
  <c r="V513" i="21"/>
  <c r="S514" i="21"/>
  <c r="T514" i="21"/>
  <c r="U514" i="21"/>
  <c r="Y514" i="21" s="1"/>
  <c r="V514" i="21"/>
  <c r="S515" i="21"/>
  <c r="T515" i="21"/>
  <c r="U515" i="21"/>
  <c r="Y515" i="21" s="1"/>
  <c r="V515" i="21"/>
  <c r="S516" i="21"/>
  <c r="T516" i="21"/>
  <c r="U516" i="21"/>
  <c r="Y516" i="21" s="1"/>
  <c r="V516" i="21"/>
  <c r="S517" i="21"/>
  <c r="T517" i="21"/>
  <c r="U517" i="21"/>
  <c r="Y517" i="21" s="1"/>
  <c r="V517" i="21"/>
  <c r="S518" i="21"/>
  <c r="T518" i="21"/>
  <c r="U518" i="21"/>
  <c r="Y518" i="21" s="1"/>
  <c r="V518" i="21"/>
  <c r="S519" i="21"/>
  <c r="T519" i="21"/>
  <c r="U519" i="21"/>
  <c r="Y519" i="21" s="1"/>
  <c r="V519" i="21"/>
  <c r="S520" i="21"/>
  <c r="T520" i="21"/>
  <c r="U520" i="21"/>
  <c r="Y520" i="21" s="1"/>
  <c r="V520" i="21"/>
  <c r="S521" i="21"/>
  <c r="T521" i="21"/>
  <c r="U521" i="21"/>
  <c r="Y521" i="21" s="1"/>
  <c r="V521" i="21"/>
  <c r="S522" i="21"/>
  <c r="T522" i="21"/>
  <c r="U522" i="21"/>
  <c r="Y522" i="21" s="1"/>
  <c r="V522" i="21"/>
  <c r="S523" i="21"/>
  <c r="T523" i="21"/>
  <c r="U523" i="21"/>
  <c r="Y523" i="21" s="1"/>
  <c r="V523" i="21"/>
  <c r="S524" i="21"/>
  <c r="T524" i="21"/>
  <c r="U524" i="21"/>
  <c r="Y524" i="21" s="1"/>
  <c r="V524" i="21"/>
  <c r="S525" i="21"/>
  <c r="T525" i="21"/>
  <c r="U525" i="21"/>
  <c r="Y525" i="21" s="1"/>
  <c r="V525" i="21"/>
  <c r="S526" i="21"/>
  <c r="T526" i="21"/>
  <c r="U526" i="21"/>
  <c r="Y526" i="21" s="1"/>
  <c r="V526" i="21"/>
  <c r="S527" i="21"/>
  <c r="T527" i="21"/>
  <c r="U527" i="21"/>
  <c r="Y527" i="21" s="1"/>
  <c r="V527" i="21"/>
  <c r="S528" i="21"/>
  <c r="T528" i="21"/>
  <c r="U528" i="21"/>
  <c r="Y528" i="21" s="1"/>
  <c r="V528" i="21"/>
  <c r="S529" i="21"/>
  <c r="T529" i="21"/>
  <c r="U529" i="21"/>
  <c r="Y529" i="21" s="1"/>
  <c r="V529" i="21"/>
  <c r="S530" i="21"/>
  <c r="T530" i="21"/>
  <c r="U530" i="21"/>
  <c r="Y530" i="21" s="1"/>
  <c r="V530" i="21"/>
  <c r="S531" i="21"/>
  <c r="T531" i="21"/>
  <c r="U531" i="21"/>
  <c r="V531" i="21"/>
  <c r="T532" i="21"/>
  <c r="U532" i="21"/>
  <c r="V532" i="21"/>
  <c r="S533" i="21"/>
  <c r="T533" i="21"/>
  <c r="U533" i="21"/>
  <c r="Y533" i="21" s="1"/>
  <c r="V533" i="21"/>
  <c r="S534" i="21"/>
  <c r="T534" i="21"/>
  <c r="U534" i="21"/>
  <c r="Y534" i="21" s="1"/>
  <c r="V534" i="21"/>
  <c r="S535" i="21"/>
  <c r="T535" i="21"/>
  <c r="U535" i="21"/>
  <c r="V535" i="21"/>
  <c r="T536" i="21"/>
  <c r="U536" i="21"/>
  <c r="V536" i="21"/>
  <c r="T537" i="21"/>
  <c r="U537" i="21"/>
  <c r="V537" i="21"/>
  <c r="T538" i="21"/>
  <c r="U538" i="21"/>
  <c r="V538" i="21"/>
  <c r="T539" i="21"/>
  <c r="U539" i="21"/>
  <c r="V539" i="21"/>
  <c r="T540" i="21"/>
  <c r="U540" i="21"/>
  <c r="V540" i="21"/>
  <c r="S541" i="21"/>
  <c r="E541" i="21" s="1"/>
  <c r="T541" i="21"/>
  <c r="U541" i="21"/>
  <c r="V541" i="21"/>
  <c r="S542" i="21"/>
  <c r="T542" i="21"/>
  <c r="U542" i="21"/>
  <c r="V542" i="21"/>
  <c r="S543" i="21"/>
  <c r="T543" i="21"/>
  <c r="U543" i="21"/>
  <c r="Y543" i="21" s="1"/>
  <c r="V543" i="21"/>
  <c r="S544" i="21"/>
  <c r="T544" i="21"/>
  <c r="U544" i="21"/>
  <c r="Y544" i="21" s="1"/>
  <c r="V544" i="21"/>
  <c r="S545" i="21"/>
  <c r="T545" i="21"/>
  <c r="U545" i="21"/>
  <c r="Y545" i="21" s="1"/>
  <c r="V545" i="21"/>
  <c r="S546" i="21"/>
  <c r="T546" i="21"/>
  <c r="U546" i="21"/>
  <c r="V546" i="21"/>
  <c r="S547" i="21"/>
  <c r="T547" i="21"/>
  <c r="U547" i="21"/>
  <c r="V547" i="21"/>
  <c r="T548" i="21"/>
  <c r="U548" i="21"/>
  <c r="V548" i="21"/>
  <c r="S549" i="21"/>
  <c r="T549" i="21"/>
  <c r="U549" i="21"/>
  <c r="Y549" i="21" s="1"/>
  <c r="V549" i="21"/>
  <c r="S550" i="21"/>
  <c r="T550" i="21"/>
  <c r="U550" i="21"/>
  <c r="Y550" i="21" s="1"/>
  <c r="V550" i="21"/>
  <c r="S551" i="21"/>
  <c r="E551" i="21" s="1"/>
  <c r="T551" i="21"/>
  <c r="U551" i="21"/>
  <c r="Y551" i="21" s="1"/>
  <c r="V551" i="21"/>
  <c r="S552" i="21"/>
  <c r="T552" i="21"/>
  <c r="U552" i="21"/>
  <c r="Y552" i="21" s="1"/>
  <c r="V552" i="21"/>
  <c r="S553" i="21"/>
  <c r="T553" i="21"/>
  <c r="U553" i="21"/>
  <c r="Y553" i="21" s="1"/>
  <c r="V553" i="21"/>
  <c r="T554" i="21"/>
  <c r="U554" i="21"/>
  <c r="V554" i="21"/>
  <c r="T555" i="21"/>
  <c r="U555" i="21"/>
  <c r="V555" i="21"/>
  <c r="T556" i="21"/>
  <c r="U556" i="21"/>
  <c r="Y556" i="21" s="1"/>
  <c r="V556" i="21"/>
  <c r="S557" i="21"/>
  <c r="T557" i="21"/>
  <c r="U557" i="21"/>
  <c r="Y557" i="21" s="1"/>
  <c r="V557" i="21"/>
  <c r="S558" i="21"/>
  <c r="E558" i="21" s="1"/>
  <c r="T558" i="21"/>
  <c r="U558" i="21"/>
  <c r="Y558" i="21" s="1"/>
  <c r="V558" i="21"/>
  <c r="S559" i="21"/>
  <c r="T559" i="21"/>
  <c r="U559" i="21"/>
  <c r="V559" i="21"/>
  <c r="T560" i="21"/>
  <c r="U560" i="21"/>
  <c r="Y560" i="21" s="1"/>
  <c r="V560" i="21"/>
  <c r="T561" i="21"/>
  <c r="U561" i="21"/>
  <c r="Y561" i="21" s="1"/>
  <c r="V561" i="21"/>
  <c r="T562" i="21"/>
  <c r="U562" i="21"/>
  <c r="Y562" i="21" s="1"/>
  <c r="V562" i="21"/>
  <c r="T563" i="21"/>
  <c r="U563" i="21"/>
  <c r="Y563" i="21" s="1"/>
  <c r="V563" i="21"/>
  <c r="T564" i="21"/>
  <c r="U564" i="21"/>
  <c r="Y564" i="21" s="1"/>
  <c r="V564" i="21"/>
  <c r="S565" i="21"/>
  <c r="E565" i="21" s="1"/>
  <c r="T565" i="21"/>
  <c r="U565" i="21"/>
  <c r="Y565" i="21" s="1"/>
  <c r="V565" i="21"/>
  <c r="S566" i="21"/>
  <c r="T566" i="21"/>
  <c r="U566" i="21"/>
  <c r="Y566" i="21" s="1"/>
  <c r="V566" i="21"/>
  <c r="S567" i="21"/>
  <c r="E567" i="21" s="1"/>
  <c r="T567" i="21"/>
  <c r="U567" i="21"/>
  <c r="Y567" i="21" s="1"/>
  <c r="V567" i="21"/>
  <c r="T568" i="21"/>
  <c r="U568" i="21"/>
  <c r="Y568" i="21" s="1"/>
  <c r="V568" i="21"/>
  <c r="S569" i="21"/>
  <c r="T569" i="21"/>
  <c r="U569" i="21"/>
  <c r="Y569" i="21" s="1"/>
  <c r="V569" i="21"/>
  <c r="S570" i="21"/>
  <c r="T570" i="21"/>
  <c r="U570" i="21"/>
  <c r="Y570" i="21" s="1"/>
  <c r="V570" i="21"/>
  <c r="S571" i="21"/>
  <c r="T571" i="21"/>
  <c r="U571" i="21"/>
  <c r="Y571" i="21" s="1"/>
  <c r="V571" i="21"/>
  <c r="S572" i="21"/>
  <c r="T572" i="21"/>
  <c r="U572" i="21"/>
  <c r="V572" i="21"/>
  <c r="S573" i="21"/>
  <c r="T573" i="21"/>
  <c r="U573" i="21"/>
  <c r="Y573" i="21" s="1"/>
  <c r="V573" i="21"/>
  <c r="S574" i="21"/>
  <c r="T574" i="21"/>
  <c r="U574" i="21"/>
  <c r="Y574" i="21" s="1"/>
  <c r="V574" i="21"/>
  <c r="S575" i="21"/>
  <c r="T575" i="21"/>
  <c r="U575" i="21"/>
  <c r="Y575" i="21" s="1"/>
  <c r="V575" i="21"/>
  <c r="S576" i="21"/>
  <c r="T576" i="21"/>
  <c r="U576" i="21"/>
  <c r="Y576" i="21" s="1"/>
  <c r="V576" i="21"/>
  <c r="S577" i="21"/>
  <c r="T577" i="21"/>
  <c r="U577" i="21"/>
  <c r="Y577" i="21" s="1"/>
  <c r="V577" i="21"/>
  <c r="S578" i="21"/>
  <c r="T578" i="21"/>
  <c r="U578" i="21"/>
  <c r="Y578" i="21" s="1"/>
  <c r="V578" i="21"/>
  <c r="S579" i="21"/>
  <c r="T579" i="21"/>
  <c r="U579" i="21"/>
  <c r="Y579" i="21" s="1"/>
  <c r="V579" i="21"/>
  <c r="S580" i="21"/>
  <c r="T580" i="21"/>
  <c r="U580" i="21"/>
  <c r="Y580" i="21" s="1"/>
  <c r="V580" i="21"/>
  <c r="S581" i="21"/>
  <c r="T581" i="21"/>
  <c r="U581" i="21"/>
  <c r="Y581" i="21" s="1"/>
  <c r="V581" i="21"/>
  <c r="S582" i="21"/>
  <c r="T582" i="21"/>
  <c r="U582" i="21"/>
  <c r="Y582" i="21" s="1"/>
  <c r="V582" i="21"/>
  <c r="S583" i="21"/>
  <c r="T583" i="21"/>
  <c r="U583" i="21"/>
  <c r="Y583" i="21" s="1"/>
  <c r="V583" i="21"/>
  <c r="S584" i="21"/>
  <c r="T584" i="21"/>
  <c r="U584" i="21"/>
  <c r="Y584" i="21" s="1"/>
  <c r="V584" i="21"/>
  <c r="S585" i="21"/>
  <c r="T585" i="21"/>
  <c r="U585" i="21"/>
  <c r="Y585" i="21" s="1"/>
  <c r="V585" i="21"/>
  <c r="S586" i="21"/>
  <c r="T586" i="21"/>
  <c r="U586" i="21"/>
  <c r="Y586" i="21" s="1"/>
  <c r="V586" i="21"/>
  <c r="S587" i="21"/>
  <c r="T587" i="21"/>
  <c r="U587" i="21"/>
  <c r="Y587" i="21" s="1"/>
  <c r="V587" i="21"/>
  <c r="S588" i="21"/>
  <c r="T588" i="21"/>
  <c r="U588" i="21"/>
  <c r="Y588" i="21" s="1"/>
  <c r="V588" i="21"/>
  <c r="S589" i="21"/>
  <c r="T589" i="21"/>
  <c r="U589" i="21"/>
  <c r="Y589" i="21" s="1"/>
  <c r="V589" i="21"/>
  <c r="S590" i="21"/>
  <c r="T590" i="21"/>
  <c r="U590" i="21"/>
  <c r="V590" i="21"/>
  <c r="S591" i="21"/>
  <c r="T591" i="21"/>
  <c r="U591" i="21"/>
  <c r="V591" i="21"/>
  <c r="T592" i="21"/>
  <c r="U592" i="21"/>
  <c r="V592" i="21"/>
  <c r="T593" i="21"/>
  <c r="U593" i="21"/>
  <c r="V593" i="21"/>
  <c r="T594" i="21"/>
  <c r="U594" i="21"/>
  <c r="V594" i="21"/>
  <c r="S595" i="21"/>
  <c r="T595" i="21"/>
  <c r="U595" i="21"/>
  <c r="Y595" i="21" s="1"/>
  <c r="V595" i="21"/>
  <c r="S596" i="21"/>
  <c r="T596" i="21"/>
  <c r="U596" i="21"/>
  <c r="Y596" i="21" s="1"/>
  <c r="V596" i="21"/>
  <c r="S597" i="21"/>
  <c r="T597" i="21"/>
  <c r="U597" i="21"/>
  <c r="Y597" i="21" s="1"/>
  <c r="V597" i="21"/>
  <c r="S598" i="21"/>
  <c r="T598" i="21"/>
  <c r="U598" i="21"/>
  <c r="Y598" i="21" s="1"/>
  <c r="V598" i="21"/>
  <c r="S599" i="21"/>
  <c r="T599" i="21"/>
  <c r="U599" i="21"/>
  <c r="V599" i="21"/>
  <c r="S600" i="21"/>
  <c r="T600" i="21"/>
  <c r="U600" i="21"/>
  <c r="Y600" i="21" s="1"/>
  <c r="V600" i="21"/>
  <c r="S601" i="21"/>
  <c r="T601" i="21"/>
  <c r="U601" i="21"/>
  <c r="Y601" i="21" s="1"/>
  <c r="V601" i="21"/>
  <c r="S603" i="21"/>
  <c r="T603" i="21"/>
  <c r="U603" i="21"/>
  <c r="Y603" i="21" s="1"/>
  <c r="V603" i="21"/>
  <c r="T604" i="21"/>
  <c r="U604" i="21"/>
  <c r="Y604" i="21" s="1"/>
  <c r="V604" i="21"/>
  <c r="S605" i="21"/>
  <c r="T605" i="21"/>
  <c r="U605" i="21"/>
  <c r="Y605" i="21" s="1"/>
  <c r="V605" i="21"/>
  <c r="S606" i="21"/>
  <c r="T606" i="21"/>
  <c r="U606" i="21"/>
  <c r="V606" i="21"/>
  <c r="S608" i="21"/>
  <c r="T608" i="21"/>
  <c r="U608" i="21"/>
  <c r="Y608" i="21" s="1"/>
  <c r="V608" i="21"/>
  <c r="S610" i="21"/>
  <c r="T610" i="21"/>
  <c r="U610" i="21"/>
  <c r="Y610" i="21" s="1"/>
  <c r="V610" i="21"/>
  <c r="S611" i="21"/>
  <c r="T611" i="21"/>
  <c r="U611" i="21"/>
  <c r="Y611" i="21" s="1"/>
  <c r="V611" i="21"/>
  <c r="S612" i="21"/>
  <c r="T612" i="21"/>
  <c r="U612" i="21"/>
  <c r="Y612" i="21" s="1"/>
  <c r="V612" i="21"/>
  <c r="S613" i="21"/>
  <c r="T613" i="21"/>
  <c r="U613" i="21"/>
  <c r="Y613" i="21" s="1"/>
  <c r="V613" i="21"/>
  <c r="S614" i="21"/>
  <c r="T614" i="21"/>
  <c r="U614" i="21"/>
  <c r="Y614" i="21" s="1"/>
  <c r="V614" i="21"/>
  <c r="S615" i="21"/>
  <c r="T615" i="21"/>
  <c r="U615" i="21"/>
  <c r="Y615" i="21" s="1"/>
  <c r="V615" i="21"/>
  <c r="S616" i="21"/>
  <c r="T616" i="21"/>
  <c r="U616" i="21"/>
  <c r="V616" i="21"/>
  <c r="S617" i="21"/>
  <c r="T617" i="21"/>
  <c r="U617" i="21"/>
  <c r="Y617" i="21" s="1"/>
  <c r="V617" i="21"/>
  <c r="S618" i="21"/>
  <c r="T618" i="21"/>
  <c r="U618" i="21"/>
  <c r="V618" i="21"/>
  <c r="S619" i="21"/>
  <c r="T619" i="21"/>
  <c r="U619" i="21"/>
  <c r="V619" i="21"/>
  <c r="S620" i="21"/>
  <c r="T620" i="21"/>
  <c r="U620" i="21"/>
  <c r="Y620" i="21" s="1"/>
  <c r="V620" i="21"/>
  <c r="S621" i="21"/>
  <c r="T621" i="21"/>
  <c r="U621" i="21"/>
  <c r="Y621" i="21" s="1"/>
  <c r="V621" i="21"/>
  <c r="S622" i="21"/>
  <c r="T622" i="21"/>
  <c r="U622" i="21"/>
  <c r="V622" i="21"/>
  <c r="S623" i="21"/>
  <c r="T623" i="21"/>
  <c r="U623" i="21"/>
  <c r="Y623" i="21" s="1"/>
  <c r="V623" i="21"/>
  <c r="S624" i="21"/>
  <c r="T624" i="21"/>
  <c r="U624" i="21"/>
  <c r="Y624" i="21" s="1"/>
  <c r="V624" i="21"/>
  <c r="S625" i="21"/>
  <c r="T625" i="21"/>
  <c r="U625" i="21"/>
  <c r="Y625" i="21" s="1"/>
  <c r="V625" i="21"/>
  <c r="S626" i="21"/>
  <c r="T626" i="21"/>
  <c r="U626" i="21"/>
  <c r="Y626" i="21" s="1"/>
  <c r="V626" i="21"/>
  <c r="T627" i="21"/>
  <c r="U627" i="21"/>
  <c r="Y627" i="21" s="1"/>
  <c r="V627" i="21"/>
  <c r="S628" i="21"/>
  <c r="T628" i="21"/>
  <c r="U628" i="21"/>
  <c r="V628" i="21"/>
  <c r="S629" i="21"/>
  <c r="T629" i="21"/>
  <c r="U629" i="21"/>
  <c r="Y629" i="21" s="1"/>
  <c r="V629" i="21"/>
  <c r="S630" i="21"/>
  <c r="T630" i="21"/>
  <c r="U630" i="21"/>
  <c r="Y630" i="21" s="1"/>
  <c r="V630" i="21"/>
  <c r="S631" i="21"/>
  <c r="T631" i="21"/>
  <c r="U631" i="21"/>
  <c r="Y631" i="21" s="1"/>
  <c r="V631" i="21"/>
  <c r="S632" i="21"/>
  <c r="T632" i="21"/>
  <c r="U632" i="21"/>
  <c r="Y632" i="21" s="1"/>
  <c r="V632" i="21"/>
  <c r="S633" i="21"/>
  <c r="T633" i="21"/>
  <c r="U633" i="21"/>
  <c r="Y633" i="21" s="1"/>
  <c r="V633" i="21"/>
  <c r="S634" i="21"/>
  <c r="T634" i="21"/>
  <c r="U634" i="21"/>
  <c r="Y634" i="21" s="1"/>
  <c r="V634" i="21"/>
  <c r="S635" i="21"/>
  <c r="T635" i="21"/>
  <c r="U635" i="21"/>
  <c r="Y635" i="21" s="1"/>
  <c r="V635" i="21"/>
  <c r="S636" i="21"/>
  <c r="T636" i="21"/>
  <c r="U636" i="21"/>
  <c r="Y636" i="21" s="1"/>
  <c r="V636" i="21"/>
  <c r="S637" i="21"/>
  <c r="T637" i="21"/>
  <c r="U637" i="21"/>
  <c r="Y637" i="21" s="1"/>
  <c r="V637" i="21"/>
  <c r="S638" i="21"/>
  <c r="T638" i="21"/>
  <c r="U638" i="21"/>
  <c r="Y638" i="21" s="1"/>
  <c r="V638" i="21"/>
  <c r="S639" i="21"/>
  <c r="T639" i="21"/>
  <c r="U639" i="21"/>
  <c r="Y639" i="21" s="1"/>
  <c r="V639" i="21"/>
  <c r="S607" i="21"/>
  <c r="T607" i="21"/>
  <c r="U607" i="21"/>
  <c r="Y607" i="21" s="1"/>
  <c r="V607" i="21"/>
  <c r="S640" i="21"/>
  <c r="T640" i="21"/>
  <c r="U640" i="21"/>
  <c r="Y640" i="21" s="1"/>
  <c r="V640" i="21"/>
  <c r="S641" i="21"/>
  <c r="T641" i="21"/>
  <c r="U641" i="21"/>
  <c r="Y641" i="21" s="1"/>
  <c r="V641" i="21"/>
  <c r="S642" i="21"/>
  <c r="T642" i="21"/>
  <c r="U642" i="21"/>
  <c r="Y642" i="21" s="1"/>
  <c r="V642" i="21"/>
  <c r="S643" i="21"/>
  <c r="T643" i="21"/>
  <c r="U643" i="21"/>
  <c r="Y643" i="21" s="1"/>
  <c r="V643" i="21"/>
  <c r="S644" i="21"/>
  <c r="T644" i="21"/>
  <c r="U644" i="21"/>
  <c r="Y644" i="21" s="1"/>
  <c r="V644" i="21"/>
  <c r="S645" i="21"/>
  <c r="T645" i="21"/>
  <c r="U645" i="21"/>
  <c r="Y645" i="21" s="1"/>
  <c r="V645" i="21"/>
  <c r="S646" i="21"/>
  <c r="T646" i="21"/>
  <c r="U646" i="21"/>
  <c r="V646" i="21"/>
  <c r="S647" i="21"/>
  <c r="T647" i="21"/>
  <c r="U647" i="21"/>
  <c r="V647" i="21"/>
  <c r="S648" i="21"/>
  <c r="T648" i="21"/>
  <c r="U648" i="21"/>
  <c r="V648" i="21"/>
  <c r="S649" i="21"/>
  <c r="T649" i="21"/>
  <c r="U649" i="21"/>
  <c r="Y649" i="21" s="1"/>
  <c r="V649" i="21"/>
  <c r="S650" i="21"/>
  <c r="T650" i="21"/>
  <c r="U650" i="21"/>
  <c r="V650" i="21"/>
  <c r="S651" i="21"/>
  <c r="T651" i="21"/>
  <c r="U651" i="21"/>
  <c r="V651" i="21"/>
  <c r="T652" i="21"/>
  <c r="U652" i="21"/>
  <c r="V652" i="21"/>
  <c r="S653" i="21"/>
  <c r="T653" i="21"/>
  <c r="U653" i="21"/>
  <c r="Y653" i="21" s="1"/>
  <c r="V653" i="21"/>
  <c r="S654" i="21"/>
  <c r="T654" i="21"/>
  <c r="U654" i="21"/>
  <c r="Y654" i="21" s="1"/>
  <c r="V654" i="21"/>
  <c r="S655" i="21"/>
  <c r="T655" i="21"/>
  <c r="U655" i="21"/>
  <c r="Y655" i="21" s="1"/>
  <c r="V655" i="21"/>
  <c r="S656" i="21"/>
  <c r="T656" i="21"/>
  <c r="U656" i="21"/>
  <c r="Y656" i="21" s="1"/>
  <c r="V656" i="21"/>
  <c r="S657" i="21"/>
  <c r="T657" i="21"/>
  <c r="U657" i="21"/>
  <c r="Y657" i="21" s="1"/>
  <c r="V657" i="21"/>
  <c r="S658" i="21"/>
  <c r="T658" i="21"/>
  <c r="U658" i="21"/>
  <c r="Y658" i="21" s="1"/>
  <c r="V658" i="21"/>
  <c r="S659" i="21"/>
  <c r="T659" i="21"/>
  <c r="U659" i="21"/>
  <c r="Y659" i="21" s="1"/>
  <c r="V659" i="21"/>
  <c r="S660" i="21"/>
  <c r="T660" i="21"/>
  <c r="U660" i="21"/>
  <c r="Y660" i="21" s="1"/>
  <c r="V660" i="21"/>
  <c r="S661" i="21"/>
  <c r="T661" i="21"/>
  <c r="U661" i="21"/>
  <c r="Y661" i="21" s="1"/>
  <c r="V661" i="21"/>
  <c r="S662" i="21"/>
  <c r="T662" i="21"/>
  <c r="U662" i="21"/>
  <c r="Y662" i="21" s="1"/>
  <c r="V662" i="21"/>
  <c r="S663" i="21"/>
  <c r="T663" i="21"/>
  <c r="U663" i="21"/>
  <c r="Y663" i="21" s="1"/>
  <c r="V663" i="21"/>
  <c r="S664" i="21"/>
  <c r="T664" i="21"/>
  <c r="U664" i="21"/>
  <c r="V664" i="21"/>
  <c r="S665" i="21"/>
  <c r="T665" i="21"/>
  <c r="U665" i="21"/>
  <c r="V665" i="21"/>
  <c r="S666" i="21"/>
  <c r="T666" i="21"/>
  <c r="U666" i="21"/>
  <c r="Y666" i="21" s="1"/>
  <c r="V666" i="21"/>
  <c r="S667" i="21"/>
  <c r="T667" i="21"/>
  <c r="U667" i="21"/>
  <c r="V667" i="21"/>
  <c r="S668" i="21"/>
  <c r="T668" i="21"/>
  <c r="U668" i="21"/>
  <c r="Y668" i="21" s="1"/>
  <c r="V668" i="21"/>
  <c r="S669" i="21"/>
  <c r="T669" i="21"/>
  <c r="U669" i="21"/>
  <c r="Y669" i="21" s="1"/>
  <c r="V669" i="21"/>
  <c r="S670" i="21"/>
  <c r="T670" i="21"/>
  <c r="U670" i="21"/>
  <c r="Y670" i="21" s="1"/>
  <c r="V670" i="21"/>
  <c r="S671" i="21"/>
  <c r="T671" i="21"/>
  <c r="U671" i="21"/>
  <c r="Y671" i="21" s="1"/>
  <c r="V671" i="21"/>
  <c r="S672" i="21"/>
  <c r="T672" i="21"/>
  <c r="U672" i="21"/>
  <c r="Y672" i="21" s="1"/>
  <c r="V672" i="21"/>
  <c r="S673" i="21"/>
  <c r="T673" i="21"/>
  <c r="U673" i="21"/>
  <c r="Y673" i="21" s="1"/>
  <c r="V673" i="21"/>
  <c r="S674" i="21"/>
  <c r="T674" i="21"/>
  <c r="U674" i="21"/>
  <c r="Y674" i="21" s="1"/>
  <c r="V674" i="21"/>
  <c r="S675" i="21"/>
  <c r="T675" i="21"/>
  <c r="U675" i="21"/>
  <c r="Y675" i="21" s="1"/>
  <c r="V675" i="21"/>
  <c r="S676" i="21"/>
  <c r="T676" i="21"/>
  <c r="U676" i="21"/>
  <c r="Y676" i="21" s="1"/>
  <c r="V676" i="21"/>
  <c r="S677" i="21"/>
  <c r="T677" i="21"/>
  <c r="U677" i="21"/>
  <c r="Y677" i="21" s="1"/>
  <c r="V677" i="21"/>
  <c r="S678" i="21"/>
  <c r="T678" i="21"/>
  <c r="U678" i="21"/>
  <c r="Y678" i="21" s="1"/>
  <c r="V678" i="21"/>
  <c r="S679" i="21"/>
  <c r="T679" i="21"/>
  <c r="U679" i="21"/>
  <c r="V679" i="21"/>
  <c r="S680" i="21"/>
  <c r="T680" i="21"/>
  <c r="U680" i="21"/>
  <c r="Y680" i="21" s="1"/>
  <c r="V680" i="21"/>
  <c r="S681" i="21"/>
  <c r="T681" i="21"/>
  <c r="U681" i="21"/>
  <c r="Y681" i="21" s="1"/>
  <c r="V681" i="21"/>
  <c r="S682" i="21"/>
  <c r="T682" i="21"/>
  <c r="U682" i="21"/>
  <c r="Y682" i="21" s="1"/>
  <c r="V682" i="21"/>
  <c r="S683" i="21"/>
  <c r="T683" i="21"/>
  <c r="U683" i="21"/>
  <c r="Y683" i="21" s="1"/>
  <c r="V683" i="21"/>
  <c r="S684" i="21"/>
  <c r="T684" i="21"/>
  <c r="U684" i="21"/>
  <c r="Y684" i="21" s="1"/>
  <c r="V684" i="21"/>
  <c r="S685" i="21"/>
  <c r="T685" i="21"/>
  <c r="U685" i="21"/>
  <c r="Y685" i="21" s="1"/>
  <c r="V685" i="21"/>
  <c r="S686" i="21"/>
  <c r="T686" i="21"/>
  <c r="U686" i="21"/>
  <c r="Y686" i="21" s="1"/>
  <c r="V686" i="21"/>
  <c r="S687" i="21"/>
  <c r="T687" i="21"/>
  <c r="U687" i="21"/>
  <c r="Y687" i="21" s="1"/>
  <c r="V687" i="21"/>
  <c r="S688" i="21"/>
  <c r="T688" i="21"/>
  <c r="U688" i="21"/>
  <c r="Y688" i="21" s="1"/>
  <c r="V688" i="21"/>
  <c r="S689" i="21"/>
  <c r="T689" i="21"/>
  <c r="U689" i="21"/>
  <c r="Y689" i="21" s="1"/>
  <c r="V689" i="21"/>
  <c r="S690" i="21"/>
  <c r="T690" i="21"/>
  <c r="U690" i="21"/>
  <c r="Y690" i="21" s="1"/>
  <c r="V690" i="21"/>
  <c r="S691" i="21"/>
  <c r="T691" i="21"/>
  <c r="U691" i="21"/>
  <c r="Y691" i="21" s="1"/>
  <c r="V691" i="21"/>
  <c r="S692" i="21"/>
  <c r="T692" i="21"/>
  <c r="U692" i="21"/>
  <c r="V692" i="21"/>
  <c r="S693" i="21"/>
  <c r="T693" i="21"/>
  <c r="U693" i="21"/>
  <c r="V693" i="21"/>
  <c r="S694" i="21"/>
  <c r="T694" i="21"/>
  <c r="U694" i="21"/>
  <c r="Y694" i="21" s="1"/>
  <c r="V694" i="21"/>
  <c r="S695" i="21"/>
  <c r="T695" i="21"/>
  <c r="U695" i="21"/>
  <c r="V695" i="21"/>
  <c r="S696" i="21"/>
  <c r="T696" i="21"/>
  <c r="U696" i="21"/>
  <c r="V696" i="21"/>
  <c r="T697" i="21"/>
  <c r="U697" i="21"/>
  <c r="Y697" i="21" s="1"/>
  <c r="V697" i="21"/>
  <c r="T698" i="21"/>
  <c r="U698" i="21"/>
  <c r="V698" i="21"/>
  <c r="S699" i="21"/>
  <c r="T699" i="21"/>
  <c r="U699" i="21"/>
  <c r="Y699" i="21" s="1"/>
  <c r="V699" i="21"/>
  <c r="S700" i="21"/>
  <c r="T700" i="21"/>
  <c r="U700" i="21"/>
  <c r="Y700" i="21" s="1"/>
  <c r="V700" i="21"/>
  <c r="S701" i="21"/>
  <c r="T701" i="21"/>
  <c r="U701" i="21"/>
  <c r="Y701" i="21" s="1"/>
  <c r="V701" i="21"/>
  <c r="S702" i="21"/>
  <c r="T702" i="21"/>
  <c r="U702" i="21"/>
  <c r="Y702" i="21" s="1"/>
  <c r="V702" i="21"/>
  <c r="S703" i="21"/>
  <c r="T703" i="21"/>
  <c r="U703" i="21"/>
  <c r="Y703" i="21" s="1"/>
  <c r="V703" i="21"/>
  <c r="S704" i="21"/>
  <c r="T704" i="21"/>
  <c r="U704" i="21"/>
  <c r="Y704" i="21" s="1"/>
  <c r="V704" i="21"/>
  <c r="S705" i="21"/>
  <c r="T705" i="21"/>
  <c r="U705" i="21"/>
  <c r="Y705" i="21" s="1"/>
  <c r="V705" i="21"/>
  <c r="S706" i="21"/>
  <c r="T706" i="21"/>
  <c r="U706" i="21"/>
  <c r="Y706" i="21" s="1"/>
  <c r="V706" i="21"/>
  <c r="T707" i="21"/>
  <c r="U707" i="21"/>
  <c r="V707" i="21"/>
  <c r="S708" i="21"/>
  <c r="T708" i="21"/>
  <c r="U708" i="21"/>
  <c r="V708" i="21"/>
  <c r="S709" i="21"/>
  <c r="T709" i="21"/>
  <c r="U709" i="21"/>
  <c r="Y709" i="21" s="1"/>
  <c r="V709" i="21"/>
  <c r="S710" i="21"/>
  <c r="T710" i="21"/>
  <c r="U710" i="21"/>
  <c r="Y710" i="21" s="1"/>
  <c r="V710" i="21"/>
  <c r="S711" i="21"/>
  <c r="T711" i="21"/>
  <c r="U711" i="21"/>
  <c r="V711" i="21"/>
  <c r="S712" i="21"/>
  <c r="T712" i="21"/>
  <c r="U712" i="21"/>
  <c r="Y712" i="21" s="1"/>
  <c r="V712" i="21"/>
  <c r="S713" i="21"/>
  <c r="T713" i="21"/>
  <c r="U713" i="21"/>
  <c r="Y713" i="21" s="1"/>
  <c r="V713" i="21"/>
  <c r="S714" i="21"/>
  <c r="T714" i="21"/>
  <c r="U714" i="21"/>
  <c r="Y714" i="21" s="1"/>
  <c r="V714" i="21"/>
  <c r="S715" i="21"/>
  <c r="T715" i="21"/>
  <c r="U715" i="21"/>
  <c r="Y715" i="21" s="1"/>
  <c r="V715" i="21"/>
  <c r="S716" i="21"/>
  <c r="T716" i="21"/>
  <c r="U716" i="21"/>
  <c r="V716" i="21"/>
  <c r="S717" i="21"/>
  <c r="T717" i="21"/>
  <c r="U717" i="21"/>
  <c r="V717" i="21"/>
  <c r="S718" i="21"/>
  <c r="T718" i="21"/>
  <c r="U718" i="21"/>
  <c r="Y718" i="21" s="1"/>
  <c r="V718" i="21"/>
  <c r="S719" i="21"/>
  <c r="T719" i="21"/>
  <c r="U719" i="21"/>
  <c r="Y719" i="21" s="1"/>
  <c r="V719" i="21"/>
  <c r="S720" i="21"/>
  <c r="T720" i="21"/>
  <c r="U720" i="21"/>
  <c r="Y720" i="21" s="1"/>
  <c r="V720" i="21"/>
  <c r="S722" i="21"/>
  <c r="T722" i="21"/>
  <c r="U722" i="21"/>
  <c r="Y722" i="21" s="1"/>
  <c r="V722" i="21"/>
  <c r="S723" i="21"/>
  <c r="T723" i="21"/>
  <c r="U723" i="21"/>
  <c r="Y723" i="21" s="1"/>
  <c r="V723" i="21"/>
  <c r="S724" i="21"/>
  <c r="T724" i="21"/>
  <c r="U724" i="21"/>
  <c r="Y724" i="21" s="1"/>
  <c r="V724" i="21"/>
  <c r="S725" i="21"/>
  <c r="T725" i="21"/>
  <c r="U725" i="21"/>
  <c r="V725" i="21"/>
  <c r="S726" i="21"/>
  <c r="T726" i="21"/>
  <c r="U726" i="21"/>
  <c r="Y726" i="21" s="1"/>
  <c r="V726" i="21"/>
  <c r="S728" i="21"/>
  <c r="T728" i="21"/>
  <c r="U728" i="21"/>
  <c r="Y728" i="21" s="1"/>
  <c r="V728" i="21"/>
  <c r="S729" i="21"/>
  <c r="T729" i="21"/>
  <c r="U729" i="21"/>
  <c r="Y729" i="21" s="1"/>
  <c r="V729" i="21"/>
  <c r="S730" i="21"/>
  <c r="T730" i="21"/>
  <c r="U730" i="21"/>
  <c r="Y730" i="21" s="1"/>
  <c r="V730" i="21"/>
  <c r="S731" i="21"/>
  <c r="T731" i="21"/>
  <c r="U731" i="21"/>
  <c r="Y731" i="21" s="1"/>
  <c r="V731" i="21"/>
  <c r="S732" i="21"/>
  <c r="T732" i="21"/>
  <c r="U732" i="21"/>
  <c r="Y732" i="21" s="1"/>
  <c r="V732" i="21"/>
  <c r="S733" i="21"/>
  <c r="T733" i="21"/>
  <c r="U733" i="21"/>
  <c r="Y733" i="21" s="1"/>
  <c r="V733" i="21"/>
  <c r="S734" i="21"/>
  <c r="T734" i="21"/>
  <c r="U734" i="21"/>
  <c r="Y734" i="21" s="1"/>
  <c r="V734" i="21"/>
  <c r="S735" i="21"/>
  <c r="T735" i="21"/>
  <c r="U735" i="21"/>
  <c r="Y735" i="21" s="1"/>
  <c r="V735" i="21"/>
  <c r="S736" i="21"/>
  <c r="T736" i="21"/>
  <c r="U736" i="21"/>
  <c r="Y736" i="21" s="1"/>
  <c r="V736" i="21"/>
  <c r="S737" i="21"/>
  <c r="T737" i="21"/>
  <c r="U737" i="21"/>
  <c r="Y737" i="21" s="1"/>
  <c r="V737" i="21"/>
  <c r="S738" i="21"/>
  <c r="T738" i="21"/>
  <c r="U738" i="21"/>
  <c r="V738" i="21"/>
  <c r="S739" i="21"/>
  <c r="T739" i="21"/>
  <c r="U739" i="21"/>
  <c r="V739" i="21"/>
  <c r="S741" i="21"/>
  <c r="T741" i="21"/>
  <c r="U741" i="21"/>
  <c r="Y741" i="21" s="1"/>
  <c r="V741" i="21"/>
  <c r="S745" i="21"/>
  <c r="T745" i="21"/>
  <c r="U745" i="21"/>
  <c r="Y745" i="21" s="1"/>
  <c r="V745" i="21"/>
  <c r="S744" i="21"/>
  <c r="T744" i="21"/>
  <c r="U744" i="21"/>
  <c r="Y744" i="21" s="1"/>
  <c r="V744" i="21"/>
  <c r="T746" i="21"/>
  <c r="U746" i="21"/>
  <c r="Y746" i="21" s="1"/>
  <c r="V746" i="21"/>
  <c r="S747" i="21"/>
  <c r="T747" i="21"/>
  <c r="U747" i="21"/>
  <c r="Y747" i="21" s="1"/>
  <c r="V747" i="21"/>
  <c r="S748" i="21"/>
  <c r="T748" i="21"/>
  <c r="U748" i="21"/>
  <c r="Y748" i="21" s="1"/>
  <c r="V748" i="21"/>
  <c r="S749" i="21"/>
  <c r="T749" i="21"/>
  <c r="U749" i="21"/>
  <c r="Y749" i="21" s="1"/>
  <c r="V749" i="21"/>
  <c r="S750" i="21"/>
  <c r="T750" i="21"/>
  <c r="U750" i="21"/>
  <c r="Y750" i="21" s="1"/>
  <c r="V750" i="21"/>
  <c r="S751" i="21"/>
  <c r="T751" i="21"/>
  <c r="U751" i="21"/>
  <c r="Y751" i="21" s="1"/>
  <c r="V751" i="21"/>
  <c r="S752" i="21"/>
  <c r="T752" i="21"/>
  <c r="U752" i="21"/>
  <c r="Y752" i="21" s="1"/>
  <c r="V752" i="21"/>
  <c r="S753" i="21"/>
  <c r="T753" i="21"/>
  <c r="U753" i="21"/>
  <c r="Y753" i="21" s="1"/>
  <c r="V753" i="21"/>
  <c r="S754" i="21"/>
  <c r="T754" i="21"/>
  <c r="U754" i="21"/>
  <c r="Y754" i="21" s="1"/>
  <c r="V754" i="21"/>
  <c r="S756" i="21"/>
  <c r="T756" i="21"/>
  <c r="U756" i="21"/>
  <c r="Y756" i="21" s="1"/>
  <c r="V756" i="21"/>
  <c r="S757" i="21"/>
  <c r="T757" i="21"/>
  <c r="U757" i="21"/>
  <c r="Y757" i="21" s="1"/>
  <c r="V757" i="21"/>
  <c r="S758" i="21"/>
  <c r="T758" i="21"/>
  <c r="U758" i="21"/>
  <c r="Y758" i="21" s="1"/>
  <c r="V758" i="21"/>
  <c r="S759" i="21"/>
  <c r="T759" i="21"/>
  <c r="U759" i="21"/>
  <c r="Y759" i="21" s="1"/>
  <c r="V759" i="21"/>
  <c r="S760" i="21"/>
  <c r="T760" i="21"/>
  <c r="U760" i="21"/>
  <c r="V760" i="21"/>
  <c r="S761" i="21"/>
  <c r="T761" i="21"/>
  <c r="U761" i="21"/>
  <c r="Y761" i="21" s="1"/>
  <c r="V761" i="21"/>
  <c r="S762" i="21"/>
  <c r="T762" i="21"/>
  <c r="U762" i="21"/>
  <c r="Y762" i="21" s="1"/>
  <c r="V762" i="21"/>
  <c r="S763" i="21"/>
  <c r="T763" i="21"/>
  <c r="U763" i="21"/>
  <c r="Y763" i="21" s="1"/>
  <c r="V763" i="21"/>
  <c r="S764" i="21"/>
  <c r="T764" i="21"/>
  <c r="U764" i="21"/>
  <c r="Y764" i="21" s="1"/>
  <c r="V764" i="21"/>
  <c r="S765" i="21"/>
  <c r="T765" i="21"/>
  <c r="U765" i="21"/>
  <c r="V765" i="21"/>
  <c r="S766" i="21"/>
  <c r="T766" i="21"/>
  <c r="U766" i="21"/>
  <c r="V766" i="21"/>
  <c r="S767" i="21"/>
  <c r="T767" i="21"/>
  <c r="U767" i="21"/>
  <c r="V767" i="21"/>
  <c r="S768" i="21"/>
  <c r="E768" i="21" s="1"/>
  <c r="T768" i="21"/>
  <c r="U768" i="21"/>
  <c r="V768" i="21"/>
  <c r="S769" i="21"/>
  <c r="T769" i="21"/>
  <c r="U769" i="21"/>
  <c r="Y769" i="21" s="1"/>
  <c r="V769" i="21"/>
  <c r="S770" i="21"/>
  <c r="T770" i="21"/>
  <c r="U770" i="21"/>
  <c r="Y770" i="21" s="1"/>
  <c r="V770" i="21"/>
  <c r="T771" i="21"/>
  <c r="U771" i="21"/>
  <c r="Y771" i="21" s="1"/>
  <c r="V771" i="21"/>
  <c r="S772" i="21"/>
  <c r="T772" i="21"/>
  <c r="U772" i="21"/>
  <c r="Y772" i="21" s="1"/>
  <c r="V772" i="21"/>
  <c r="S773" i="21"/>
  <c r="T773" i="21"/>
  <c r="U773" i="21"/>
  <c r="Y773" i="21" s="1"/>
  <c r="V773" i="21"/>
  <c r="S774" i="21"/>
  <c r="T774" i="21"/>
  <c r="U774" i="21"/>
  <c r="Y774" i="21" s="1"/>
  <c r="V774" i="21"/>
  <c r="S775" i="21"/>
  <c r="T775" i="21"/>
  <c r="U775" i="21"/>
  <c r="V775" i="21"/>
  <c r="S776" i="21"/>
  <c r="T776" i="21"/>
  <c r="U776" i="21"/>
  <c r="V776" i="21"/>
  <c r="S777" i="21"/>
  <c r="T777" i="21"/>
  <c r="U777" i="21"/>
  <c r="Y777" i="21" s="1"/>
  <c r="V777" i="21"/>
  <c r="S778" i="21"/>
  <c r="T778" i="21"/>
  <c r="U778" i="21"/>
  <c r="Y778" i="21" s="1"/>
  <c r="V778" i="21"/>
  <c r="S779" i="21"/>
  <c r="T779" i="21"/>
  <c r="U779" i="21"/>
  <c r="V779" i="21"/>
  <c r="S780" i="21"/>
  <c r="T780" i="21"/>
  <c r="U780" i="21"/>
  <c r="Y780" i="21" s="1"/>
  <c r="V780" i="21"/>
  <c r="S781" i="21"/>
  <c r="T781" i="21"/>
  <c r="U781" i="21"/>
  <c r="V781" i="21"/>
  <c r="S782" i="21"/>
  <c r="T782" i="21"/>
  <c r="U782" i="21"/>
  <c r="Y782" i="21" s="1"/>
  <c r="V782" i="21"/>
  <c r="S783" i="21"/>
  <c r="T783" i="21"/>
  <c r="U783" i="21"/>
  <c r="Y783" i="21" s="1"/>
  <c r="V783" i="21"/>
  <c r="S784" i="21"/>
  <c r="T784" i="21"/>
  <c r="U784" i="21"/>
  <c r="Y784" i="21" s="1"/>
  <c r="V784" i="21"/>
  <c r="S785" i="21"/>
  <c r="T785" i="21"/>
  <c r="U785" i="21"/>
  <c r="V785" i="21"/>
  <c r="S786" i="21"/>
  <c r="T786" i="21"/>
  <c r="U786" i="21"/>
  <c r="V786" i="21"/>
  <c r="S787" i="21"/>
  <c r="T787" i="21"/>
  <c r="U787" i="21"/>
  <c r="V787" i="21"/>
  <c r="S788" i="21"/>
  <c r="T788" i="21"/>
  <c r="U788" i="21"/>
  <c r="Y788" i="21" s="1"/>
  <c r="V788" i="21"/>
  <c r="S789" i="21"/>
  <c r="T789" i="21"/>
  <c r="U789" i="21"/>
  <c r="Y789" i="21" s="1"/>
  <c r="V789" i="21"/>
  <c r="S790" i="21"/>
  <c r="T790" i="21"/>
  <c r="U790" i="21"/>
  <c r="Y790" i="21" s="1"/>
  <c r="V790" i="21"/>
  <c r="S791" i="21"/>
  <c r="T791" i="21"/>
  <c r="U791" i="21"/>
  <c r="Y791" i="21" s="1"/>
  <c r="V791" i="21"/>
  <c r="S792" i="21"/>
  <c r="T792" i="21"/>
  <c r="U792" i="21"/>
  <c r="Y792" i="21" s="1"/>
  <c r="V792" i="21"/>
  <c r="S793" i="21"/>
  <c r="T793" i="21"/>
  <c r="U793" i="21"/>
  <c r="Y793" i="21" s="1"/>
  <c r="V793" i="21"/>
  <c r="S794" i="21"/>
  <c r="T794" i="21"/>
  <c r="U794" i="21"/>
  <c r="Y794" i="21" s="1"/>
  <c r="V794" i="21"/>
  <c r="S795" i="21"/>
  <c r="T795" i="21"/>
  <c r="U795" i="21"/>
  <c r="Y795" i="21" s="1"/>
  <c r="V795" i="21"/>
  <c r="T796" i="21"/>
  <c r="U796" i="21"/>
  <c r="Y796" i="21" s="1"/>
  <c r="V796" i="21"/>
  <c r="S797" i="21"/>
  <c r="T797" i="21"/>
  <c r="U797" i="21"/>
  <c r="Y797" i="21" s="1"/>
  <c r="V797" i="21"/>
  <c r="S798" i="21"/>
  <c r="T798" i="21"/>
  <c r="U798" i="21"/>
  <c r="Y798" i="21" s="1"/>
  <c r="V798" i="21"/>
  <c r="S799" i="21"/>
  <c r="T799" i="21"/>
  <c r="U799" i="21"/>
  <c r="Y799" i="21" s="1"/>
  <c r="V799" i="21"/>
  <c r="S800" i="21"/>
  <c r="T800" i="21"/>
  <c r="U800" i="21"/>
  <c r="Y800" i="21" s="1"/>
  <c r="V800" i="21"/>
  <c r="T801" i="21"/>
  <c r="U801" i="21"/>
  <c r="Y801" i="21" s="1"/>
  <c r="V801" i="21"/>
  <c r="S802" i="21"/>
  <c r="T802" i="21"/>
  <c r="U802" i="21"/>
  <c r="V802" i="21"/>
  <c r="T803" i="21"/>
  <c r="U803" i="21"/>
  <c r="V803" i="21"/>
  <c r="S804" i="21"/>
  <c r="T804" i="21"/>
  <c r="U804" i="21"/>
  <c r="Y804" i="21" s="1"/>
  <c r="V804" i="21"/>
  <c r="S805" i="21"/>
  <c r="T805" i="21"/>
  <c r="U805" i="21"/>
  <c r="Y805" i="21" s="1"/>
  <c r="V805" i="21"/>
  <c r="S806" i="21"/>
  <c r="T806" i="21"/>
  <c r="U806" i="21"/>
  <c r="V806" i="21"/>
  <c r="S807" i="21"/>
  <c r="E807" i="21" s="1"/>
  <c r="T807" i="21"/>
  <c r="U807" i="21"/>
  <c r="V807" i="21"/>
  <c r="S808" i="21"/>
  <c r="T808" i="21"/>
  <c r="U808" i="21"/>
  <c r="V808" i="21"/>
  <c r="S809" i="21"/>
  <c r="T809" i="21"/>
  <c r="U809" i="21"/>
  <c r="Y809" i="21" s="1"/>
  <c r="V809" i="21"/>
  <c r="S810" i="21"/>
  <c r="T810" i="21"/>
  <c r="U810" i="21"/>
  <c r="V810" i="21"/>
  <c r="S811" i="21"/>
  <c r="T811" i="21"/>
  <c r="U811" i="21"/>
  <c r="V811" i="21"/>
  <c r="S812" i="21"/>
  <c r="T812" i="21"/>
  <c r="U812" i="21"/>
  <c r="V812" i="21"/>
  <c r="S813" i="21"/>
  <c r="T813" i="21"/>
  <c r="U813" i="21"/>
  <c r="V813" i="21"/>
  <c r="S814" i="21"/>
  <c r="T814" i="21"/>
  <c r="U814" i="21"/>
  <c r="Y814" i="21" s="1"/>
  <c r="V814" i="21"/>
  <c r="S815" i="21"/>
  <c r="T815" i="21"/>
  <c r="U815" i="21"/>
  <c r="Y815" i="21" s="1"/>
  <c r="V815" i="21"/>
  <c r="S45" i="21"/>
  <c r="T45" i="21"/>
  <c r="U45" i="21"/>
  <c r="Y45" i="21" s="1"/>
  <c r="V45" i="21"/>
  <c r="T137" i="21"/>
  <c r="U137" i="21"/>
  <c r="V137" i="21"/>
  <c r="S170" i="21"/>
  <c r="T170" i="21"/>
  <c r="U170" i="21"/>
  <c r="Y170" i="21" s="1"/>
  <c r="V170" i="21"/>
  <c r="S393" i="21"/>
  <c r="T393" i="21"/>
  <c r="U393" i="21"/>
  <c r="Y393" i="21" s="1"/>
  <c r="V393" i="21"/>
  <c r="S399" i="21"/>
  <c r="T399" i="21"/>
  <c r="U399" i="21"/>
  <c r="V399" i="21"/>
  <c r="S468" i="21"/>
  <c r="T468" i="21"/>
  <c r="U468" i="21"/>
  <c r="Y468" i="21" s="1"/>
  <c r="V468" i="21"/>
  <c r="S602" i="21"/>
  <c r="T602" i="21"/>
  <c r="U602" i="21"/>
  <c r="Y602" i="21" s="1"/>
  <c r="V602" i="21"/>
  <c r="S609" i="21"/>
  <c r="T609" i="21"/>
  <c r="U609" i="21"/>
  <c r="Y609" i="21" s="1"/>
  <c r="V609" i="21"/>
  <c r="S721" i="21"/>
  <c r="T721" i="21"/>
  <c r="U721" i="21"/>
  <c r="Y721" i="21" s="1"/>
  <c r="V721" i="21"/>
  <c r="S727" i="21"/>
  <c r="T727" i="21"/>
  <c r="U727" i="21"/>
  <c r="Y727" i="21" s="1"/>
  <c r="V727" i="21"/>
  <c r="T740" i="21"/>
  <c r="U740" i="21"/>
  <c r="V740" i="21"/>
  <c r="S742" i="21"/>
  <c r="T742" i="21"/>
  <c r="U742" i="21"/>
  <c r="V742" i="21"/>
  <c r="S755" i="21"/>
  <c r="T755" i="21"/>
  <c r="U755" i="21"/>
  <c r="Y755" i="21" s="1"/>
  <c r="V755" i="21"/>
  <c r="S816" i="21"/>
  <c r="T816" i="21"/>
  <c r="U816" i="21"/>
  <c r="Y816" i="21" s="1"/>
  <c r="V816" i="21"/>
  <c r="S817" i="21"/>
  <c r="T817" i="21"/>
  <c r="U817" i="21"/>
  <c r="Y817" i="21" s="1"/>
  <c r="V817" i="21"/>
  <c r="S818" i="21"/>
  <c r="T818" i="21"/>
  <c r="U818" i="21"/>
  <c r="Y818" i="21" s="1"/>
  <c r="V818" i="21"/>
  <c r="T54" i="21"/>
  <c r="U54" i="21"/>
  <c r="V54" i="21"/>
  <c r="S55" i="21"/>
  <c r="T55" i="21"/>
  <c r="U55" i="21"/>
  <c r="Y55" i="21" s="1"/>
  <c r="V55" i="21"/>
  <c r="Q67" i="21"/>
  <c r="M68" i="21"/>
  <c r="H68" i="21" s="1"/>
  <c r="Q68" i="21"/>
  <c r="M69" i="21"/>
  <c r="H69" i="21" s="1"/>
  <c r="K69" i="21" s="1"/>
  <c r="N69" i="21"/>
  <c r="O69" i="21"/>
  <c r="Q69" i="21"/>
  <c r="Q70" i="21"/>
  <c r="Q71" i="21"/>
  <c r="Q72" i="21"/>
  <c r="Q73" i="21"/>
  <c r="Q74" i="21"/>
  <c r="Q75" i="21"/>
  <c r="Q76" i="21"/>
  <c r="M77" i="21"/>
  <c r="H77" i="21" s="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M106" i="21"/>
  <c r="H106" i="21" s="1"/>
  <c r="Q106" i="21"/>
  <c r="Q107" i="21"/>
  <c r="O108" i="21"/>
  <c r="Q108" i="21"/>
  <c r="M109" i="21"/>
  <c r="H109" i="21" s="1"/>
  <c r="Q109" i="21"/>
  <c r="Q110" i="21"/>
  <c r="Q113" i="21"/>
  <c r="Q114" i="21"/>
  <c r="Q115" i="21"/>
  <c r="Q116" i="21"/>
  <c r="Q117" i="21"/>
  <c r="Q118" i="21"/>
  <c r="Q120" i="21"/>
  <c r="Q121" i="21"/>
  <c r="Q122" i="21"/>
  <c r="Q124" i="21"/>
  <c r="Q125" i="21"/>
  <c r="Q126" i="21"/>
  <c r="Q127" i="21"/>
  <c r="Q128" i="21"/>
  <c r="Q129" i="21"/>
  <c r="Q130" i="21"/>
  <c r="Q131" i="21"/>
  <c r="Q132" i="21"/>
  <c r="Q133" i="21"/>
  <c r="Q134" i="21"/>
  <c r="Q135" i="21"/>
  <c r="Q136" i="21"/>
  <c r="M138" i="21"/>
  <c r="H138" i="21" s="1"/>
  <c r="Q138" i="21"/>
  <c r="M139" i="21"/>
  <c r="H139" i="21" s="1"/>
  <c r="K139" i="21" s="1"/>
  <c r="Q139" i="21"/>
  <c r="Q140" i="21"/>
  <c r="Q141" i="21"/>
  <c r="Q142" i="21"/>
  <c r="Q143" i="21"/>
  <c r="Q144" i="21"/>
  <c r="Q145" i="21"/>
  <c r="Q146" i="21"/>
  <c r="Q147" i="21"/>
  <c r="Q148" i="21"/>
  <c r="Q149" i="21"/>
  <c r="M150" i="21"/>
  <c r="H150" i="21" s="1"/>
  <c r="Q150" i="21"/>
  <c r="Q151" i="21"/>
  <c r="Q152" i="21"/>
  <c r="Q153" i="21"/>
  <c r="Q154" i="21"/>
  <c r="Q155" i="21"/>
  <c r="Q156" i="21"/>
  <c r="Q157" i="21"/>
  <c r="Q158" i="21"/>
  <c r="Q159" i="21"/>
  <c r="M160" i="21"/>
  <c r="H160" i="21" s="1"/>
  <c r="Q160" i="21"/>
  <c r="Q161" i="21"/>
  <c r="Q162" i="21"/>
  <c r="Q163" i="21"/>
  <c r="Q164" i="21"/>
  <c r="Q165" i="21"/>
  <c r="Q166" i="21"/>
  <c r="Q167" i="21"/>
  <c r="Q168" i="21"/>
  <c r="Q169"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M195" i="21"/>
  <c r="H195" i="21" s="1"/>
  <c r="Q195" i="21"/>
  <c r="M196" i="21"/>
  <c r="H196" i="21" s="1"/>
  <c r="K196" i="21" s="1"/>
  <c r="Q196" i="21"/>
  <c r="M197" i="21"/>
  <c r="H197" i="21" s="1"/>
  <c r="Q197" i="21"/>
  <c r="Q198" i="21"/>
  <c r="Q199" i="21"/>
  <c r="N200" i="21"/>
  <c r="O200" i="21"/>
  <c r="Q200" i="21"/>
  <c r="Q201" i="21"/>
  <c r="Q202" i="21"/>
  <c r="M203" i="21"/>
  <c r="H203" i="21" s="1"/>
  <c r="K203" i="21" s="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M235" i="21"/>
  <c r="H235" i="21" s="1"/>
  <c r="K235" i="21" s="1"/>
  <c r="Q235" i="21"/>
  <c r="Q236" i="21"/>
  <c r="Q237" i="21"/>
  <c r="Q238" i="21"/>
  <c r="Q239" i="21"/>
  <c r="Q240" i="21"/>
  <c r="Q241" i="21"/>
  <c r="Q242" i="21"/>
  <c r="Q243" i="21"/>
  <c r="Q244" i="21"/>
  <c r="Q245" i="21"/>
  <c r="Q246" i="21"/>
  <c r="Q247" i="21"/>
  <c r="M248" i="21"/>
  <c r="H248" i="21" s="1"/>
  <c r="K248" i="21" s="1"/>
  <c r="Q248" i="21"/>
  <c r="M249" i="21"/>
  <c r="H249" i="21" s="1"/>
  <c r="Q249" i="21"/>
  <c r="Q250" i="21"/>
  <c r="Q251" i="21"/>
  <c r="Q252" i="21"/>
  <c r="Q253" i="21"/>
  <c r="Q254" i="21"/>
  <c r="Q255" i="21"/>
  <c r="Q256" i="21"/>
  <c r="Q257" i="21"/>
  <c r="Q258" i="21"/>
  <c r="Q259" i="21"/>
  <c r="Q260" i="21"/>
  <c r="Q261" i="21"/>
  <c r="Q262" i="21"/>
  <c r="Q263" i="21"/>
  <c r="Q264" i="21"/>
  <c r="Q265" i="21"/>
  <c r="Q266" i="21"/>
  <c r="Q123" i="21"/>
  <c r="Q267" i="21"/>
  <c r="Q268" i="21"/>
  <c r="Q269" i="21"/>
  <c r="Q270" i="21"/>
  <c r="Q271" i="21"/>
  <c r="Q272" i="21"/>
  <c r="Q273" i="21"/>
  <c r="Q274" i="21"/>
  <c r="M275" i="21"/>
  <c r="H275" i="21" s="1"/>
  <c r="K275" i="21" s="1"/>
  <c r="Q275" i="21"/>
  <c r="Q276" i="21"/>
  <c r="Q277" i="21"/>
  <c r="Q278" i="21"/>
  <c r="Q279" i="21"/>
  <c r="Q280" i="21"/>
  <c r="Q281" i="21"/>
  <c r="Q282" i="21"/>
  <c r="Q283" i="21"/>
  <c r="Q284" i="21"/>
  <c r="Q286" i="21"/>
  <c r="Q287" i="21"/>
  <c r="Q288" i="21"/>
  <c r="M289" i="21"/>
  <c r="H289" i="21" s="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4" i="21"/>
  <c r="Q325" i="21"/>
  <c r="Q326" i="21"/>
  <c r="M327" i="21"/>
  <c r="H327" i="21" s="1"/>
  <c r="Q327" i="21"/>
  <c r="Q328" i="21"/>
  <c r="Q329" i="21"/>
  <c r="Q330" i="21"/>
  <c r="Q331" i="21"/>
  <c r="M332" i="21"/>
  <c r="H332" i="21" s="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M369" i="21"/>
  <c r="H369" i="21" s="1"/>
  <c r="Q369" i="21"/>
  <c r="M370" i="21"/>
  <c r="H370" i="21" s="1"/>
  <c r="N370" i="21"/>
  <c r="O370"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4" i="21"/>
  <c r="Q395" i="21"/>
  <c r="Q396" i="21"/>
  <c r="Q397" i="21"/>
  <c r="Q400" i="21"/>
  <c r="Q401" i="21"/>
  <c r="Q402" i="21"/>
  <c r="Q403" i="21"/>
  <c r="Q404" i="21"/>
  <c r="Q405" i="21"/>
  <c r="Q406" i="21"/>
  <c r="Q407" i="21"/>
  <c r="Q408" i="21"/>
  <c r="Q409" i="21"/>
  <c r="Q410" i="21"/>
  <c r="Q411" i="21"/>
  <c r="Q412" i="21"/>
  <c r="Q413" i="21"/>
  <c r="Q414" i="21"/>
  <c r="Q415" i="21"/>
  <c r="Q416" i="21"/>
  <c r="Q417" i="21"/>
  <c r="Q418" i="21"/>
  <c r="Q419" i="21"/>
  <c r="Q420" i="21"/>
  <c r="Q421" i="21"/>
  <c r="I422" i="21"/>
  <c r="Q422" i="21"/>
  <c r="Q423" i="21"/>
  <c r="Q424" i="21"/>
  <c r="Q425" i="21"/>
  <c r="M426" i="21"/>
  <c r="H426" i="21" s="1"/>
  <c r="Q426" i="21"/>
  <c r="Q427" i="21"/>
  <c r="Q428" i="21"/>
  <c r="Q429" i="21"/>
  <c r="Q430" i="21"/>
  <c r="Q431" i="21"/>
  <c r="Q432" i="21"/>
  <c r="Q433" i="21"/>
  <c r="Q434" i="21"/>
  <c r="Q435" i="21"/>
  <c r="Q436" i="21"/>
  <c r="Q437" i="21"/>
  <c r="Q438" i="21"/>
  <c r="Q439" i="21"/>
  <c r="Q440" i="21"/>
  <c r="Q441" i="21"/>
  <c r="Q442" i="21"/>
  <c r="Q443" i="21"/>
  <c r="Q444" i="21"/>
  <c r="Q445" i="21"/>
  <c r="Q447" i="21"/>
  <c r="N448" i="21"/>
  <c r="O448" i="21"/>
  <c r="Q448" i="21"/>
  <c r="M449" i="21"/>
  <c r="H449" i="21" s="1"/>
  <c r="J449" i="21" s="1"/>
  <c r="Q449" i="21"/>
  <c r="Q450" i="21"/>
  <c r="Q451" i="21"/>
  <c r="Q452" i="21"/>
  <c r="M453" i="21"/>
  <c r="H453" i="21" s="1"/>
  <c r="J453" i="21" s="1"/>
  <c r="N453" i="21"/>
  <c r="O453" i="21"/>
  <c r="Q453" i="21"/>
  <c r="M454" i="21"/>
  <c r="H454" i="21" s="1"/>
  <c r="K454" i="21" s="1"/>
  <c r="Q454" i="21"/>
  <c r="Q455" i="21"/>
  <c r="Q456" i="21"/>
  <c r="Q457" i="21"/>
  <c r="Q458" i="21"/>
  <c r="Q459" i="21"/>
  <c r="Q460" i="21"/>
  <c r="Q461" i="21"/>
  <c r="Q462" i="21"/>
  <c r="Q463" i="21"/>
  <c r="Q464" i="21"/>
  <c r="Q465" i="21"/>
  <c r="Q466" i="21"/>
  <c r="Q467" i="21"/>
  <c r="M469" i="21"/>
  <c r="H469" i="21" s="1"/>
  <c r="N469" i="21"/>
  <c r="O469" i="21"/>
  <c r="Q469" i="21"/>
  <c r="Q470" i="21"/>
  <c r="Q471" i="21"/>
  <c r="Q472" i="21"/>
  <c r="Q473" i="21"/>
  <c r="Q474" i="21"/>
  <c r="Q475" i="21"/>
  <c r="Q476" i="21"/>
  <c r="Q477" i="21"/>
  <c r="Q478" i="21"/>
  <c r="Q479" i="21"/>
  <c r="Q480" i="21"/>
  <c r="Q481" i="21"/>
  <c r="Q482" i="21"/>
  <c r="Q483" i="21"/>
  <c r="Q484" i="21"/>
  <c r="Q485" i="21"/>
  <c r="Q486" i="21"/>
  <c r="Q487" i="21"/>
  <c r="Q488" i="21"/>
  <c r="M489" i="21"/>
  <c r="H489" i="21" s="1"/>
  <c r="Q489" i="21"/>
  <c r="Q490" i="21"/>
  <c r="Q491" i="21"/>
  <c r="Q492" i="21"/>
  <c r="Q493" i="21"/>
  <c r="Q494" i="21"/>
  <c r="Q495" i="21"/>
  <c r="Q496" i="21"/>
  <c r="Q498" i="21"/>
  <c r="Q499" i="21"/>
  <c r="Q500" i="21"/>
  <c r="M501" i="21"/>
  <c r="H501" i="21" s="1"/>
  <c r="Q501" i="21"/>
  <c r="M502" i="21"/>
  <c r="H502" i="21" s="1"/>
  <c r="Q502" i="21"/>
  <c r="Q503" i="21"/>
  <c r="Q504" i="21"/>
  <c r="Q505" i="21"/>
  <c r="Q506" i="21"/>
  <c r="Q507" i="21"/>
  <c r="Q508" i="21"/>
  <c r="Q509" i="21"/>
  <c r="Q510" i="21"/>
  <c r="Q511" i="21"/>
  <c r="Q512" i="21"/>
  <c r="Q513" i="21"/>
  <c r="Q514" i="21"/>
  <c r="Q515" i="21"/>
  <c r="Q516" i="21"/>
  <c r="Q517" i="21"/>
  <c r="Q518" i="21"/>
  <c r="N519" i="21"/>
  <c r="O519" i="21"/>
  <c r="Q519" i="21"/>
  <c r="M520" i="21"/>
  <c r="H520" i="21" s="1"/>
  <c r="K520" i="21" s="1"/>
  <c r="Q520" i="21"/>
  <c r="M521" i="21"/>
  <c r="H521" i="21" s="1"/>
  <c r="Q521" i="21"/>
  <c r="M522" i="21"/>
  <c r="H522" i="21" s="1"/>
  <c r="Q522" i="21"/>
  <c r="M523" i="21"/>
  <c r="H523" i="21" s="1"/>
  <c r="J523" i="21" s="1"/>
  <c r="Q523" i="21"/>
  <c r="M524" i="21"/>
  <c r="H524" i="21" s="1"/>
  <c r="Q524" i="21"/>
  <c r="Q525" i="21"/>
  <c r="M526" i="21"/>
  <c r="H526" i="21" s="1"/>
  <c r="Q526" i="21"/>
  <c r="M527" i="21"/>
  <c r="H527" i="21" s="1"/>
  <c r="J527" i="21" s="1"/>
  <c r="Q527" i="21"/>
  <c r="Q528" i="21"/>
  <c r="Q529" i="21"/>
  <c r="Q530" i="21"/>
  <c r="Q531" i="21"/>
  <c r="Q532" i="21"/>
  <c r="Q533" i="21"/>
  <c r="Q534" i="21"/>
  <c r="Q535" i="21"/>
  <c r="Q536" i="21"/>
  <c r="Q537" i="21"/>
  <c r="M538" i="21"/>
  <c r="H538" i="21" s="1"/>
  <c r="Q538" i="21"/>
  <c r="M539" i="21"/>
  <c r="H539" i="21" s="1"/>
  <c r="J539" i="21" s="1"/>
  <c r="Q539" i="21"/>
  <c r="Q540" i="21"/>
  <c r="M541" i="21"/>
  <c r="H541" i="21" s="1"/>
  <c r="Q541" i="21"/>
  <c r="M542" i="21"/>
  <c r="H542" i="21" s="1"/>
  <c r="J542" i="21" s="1"/>
  <c r="Q542" i="21"/>
  <c r="M543" i="21"/>
  <c r="H543" i="21" s="1"/>
  <c r="K543" i="21" s="1"/>
  <c r="Q543" i="21"/>
  <c r="M544" i="21"/>
  <c r="H544" i="21" s="1"/>
  <c r="K544" i="21" s="1"/>
  <c r="Q544" i="21"/>
  <c r="M545" i="21"/>
  <c r="H545" i="21" s="1"/>
  <c r="Q545" i="21"/>
  <c r="Q546" i="21"/>
  <c r="Q547" i="21"/>
  <c r="Q548" i="21"/>
  <c r="Q549" i="21"/>
  <c r="Q550" i="21"/>
  <c r="Q551" i="21"/>
  <c r="Q552" i="21"/>
  <c r="Q553" i="21"/>
  <c r="Q554" i="21"/>
  <c r="Q555" i="21"/>
  <c r="Q556" i="21"/>
  <c r="Q557" i="21"/>
  <c r="Q558" i="21"/>
  <c r="Q559" i="21"/>
  <c r="Q560" i="21"/>
  <c r="Q561" i="21"/>
  <c r="Q562" i="21"/>
  <c r="Q563" i="21"/>
  <c r="Q564" i="21"/>
  <c r="Q565" i="21"/>
  <c r="Q566" i="21"/>
  <c r="Q567" i="21"/>
  <c r="Q568" i="21"/>
  <c r="Q569" i="21"/>
  <c r="Q570" i="21"/>
  <c r="Q571" i="21"/>
  <c r="Q572" i="21"/>
  <c r="Q573" i="21"/>
  <c r="Q574" i="21"/>
  <c r="Q575" i="21"/>
  <c r="Q576" i="21"/>
  <c r="Q577" i="21"/>
  <c r="Q578" i="21"/>
  <c r="Q579" i="21"/>
  <c r="Q580" i="21"/>
  <c r="Q581" i="21"/>
  <c r="Q582" i="21"/>
  <c r="Q583" i="21"/>
  <c r="Q584" i="21"/>
  <c r="Q585" i="21"/>
  <c r="Q586" i="21"/>
  <c r="Q587" i="21"/>
  <c r="Q588" i="21"/>
  <c r="Q589" i="21"/>
  <c r="Q590" i="21"/>
  <c r="Q591" i="21"/>
  <c r="Q592" i="21"/>
  <c r="Q593" i="21"/>
  <c r="Q594" i="21"/>
  <c r="Q595" i="21"/>
  <c r="Q596" i="21"/>
  <c r="Q597" i="21"/>
  <c r="Q598" i="21"/>
  <c r="Q599" i="21"/>
  <c r="M600" i="21"/>
  <c r="H600" i="21" s="1"/>
  <c r="J600" i="21" s="1"/>
  <c r="Q600" i="21"/>
  <c r="M601" i="21"/>
  <c r="H601" i="21" s="1"/>
  <c r="Q601" i="21"/>
  <c r="Q603" i="21"/>
  <c r="Q604" i="21"/>
  <c r="Q605" i="21"/>
  <c r="Q606" i="21"/>
  <c r="Q608" i="21"/>
  <c r="Q610" i="21"/>
  <c r="Q611" i="21"/>
  <c r="Q612" i="21"/>
  <c r="Q613" i="21"/>
  <c r="Q614" i="21"/>
  <c r="Q615" i="21"/>
  <c r="Q616" i="21"/>
  <c r="Q617" i="21"/>
  <c r="Q618" i="21"/>
  <c r="Q619" i="21"/>
  <c r="Q620" i="21"/>
  <c r="Q621" i="21"/>
  <c r="Q622" i="21"/>
  <c r="Q623" i="21"/>
  <c r="Q624" i="21"/>
  <c r="Q625" i="21"/>
  <c r="Q626" i="21"/>
  <c r="M627" i="21"/>
  <c r="H627" i="21" s="1"/>
  <c r="J627" i="21" s="1"/>
  <c r="Q627" i="21"/>
  <c r="Q628" i="21"/>
  <c r="M629" i="21"/>
  <c r="H629" i="21" s="1"/>
  <c r="Q629" i="21"/>
  <c r="Q630" i="21"/>
  <c r="M631" i="21"/>
  <c r="H631" i="21" s="1"/>
  <c r="Q631" i="21"/>
  <c r="Q632" i="21"/>
  <c r="M633" i="21"/>
  <c r="H633" i="21" s="1"/>
  <c r="Q633" i="21"/>
  <c r="M634" i="21"/>
  <c r="H634" i="21" s="1"/>
  <c r="Q634" i="21"/>
  <c r="Q635" i="21"/>
  <c r="Q636" i="21"/>
  <c r="Q637" i="21"/>
  <c r="Q638" i="21"/>
  <c r="Q639" i="21"/>
  <c r="Q607" i="21"/>
  <c r="Q640" i="21"/>
  <c r="Q641" i="21"/>
  <c r="Q642" i="21"/>
  <c r="Q643" i="21"/>
  <c r="Q644" i="21"/>
  <c r="Q645" i="21"/>
  <c r="Q646" i="21"/>
  <c r="Q647" i="21"/>
  <c r="Q648" i="21"/>
  <c r="Q649" i="21"/>
  <c r="Q650" i="21"/>
  <c r="Q651" i="21"/>
  <c r="Q652" i="21"/>
  <c r="Q653" i="21"/>
  <c r="Q654" i="21"/>
  <c r="Q655" i="21"/>
  <c r="Q656" i="21"/>
  <c r="Q657" i="21"/>
  <c r="Q658" i="21"/>
  <c r="Q659" i="21"/>
  <c r="Q660" i="21"/>
  <c r="Q661" i="21"/>
  <c r="Q662" i="21"/>
  <c r="M663" i="21"/>
  <c r="H663" i="21" s="1"/>
  <c r="Q663" i="21"/>
  <c r="N664" i="21"/>
  <c r="O664" i="21"/>
  <c r="Q664" i="21"/>
  <c r="M665" i="21"/>
  <c r="H665" i="21" s="1"/>
  <c r="Q665" i="21"/>
  <c r="Q666" i="21"/>
  <c r="M667" i="21"/>
  <c r="H667" i="21" s="1"/>
  <c r="Q667" i="21"/>
  <c r="Q668" i="21"/>
  <c r="M669" i="21"/>
  <c r="H669" i="21" s="1"/>
  <c r="Q669" i="21"/>
  <c r="Q670" i="21"/>
  <c r="M671" i="21"/>
  <c r="H671" i="21" s="1"/>
  <c r="Q671" i="21"/>
  <c r="Q672" i="21"/>
  <c r="M673" i="21"/>
  <c r="H673" i="21" s="1"/>
  <c r="Q673" i="21"/>
  <c r="M674" i="21"/>
  <c r="H674" i="21" s="1"/>
  <c r="J674" i="21" s="1"/>
  <c r="Q674" i="21"/>
  <c r="M675" i="21"/>
  <c r="H675" i="21" s="1"/>
  <c r="Q675" i="21"/>
  <c r="M676" i="21"/>
  <c r="H676" i="21" s="1"/>
  <c r="J676" i="21" s="1"/>
  <c r="Q676" i="21"/>
  <c r="Q677" i="21"/>
  <c r="Q678" i="21"/>
  <c r="Q679" i="21"/>
  <c r="Q680" i="21"/>
  <c r="M681" i="21"/>
  <c r="H681" i="21" s="1"/>
  <c r="K681" i="21" s="1"/>
  <c r="Q681" i="21"/>
  <c r="M682" i="21"/>
  <c r="H682" i="21" s="1"/>
  <c r="Q682" i="21"/>
  <c r="M683" i="21"/>
  <c r="H683" i="21" s="1"/>
  <c r="K683" i="21" s="1"/>
  <c r="Q683" i="21"/>
  <c r="M684" i="21"/>
  <c r="H684" i="21" s="1"/>
  <c r="Q684" i="21"/>
  <c r="M685" i="21"/>
  <c r="H685" i="21" s="1"/>
  <c r="Q685" i="21"/>
  <c r="M686" i="21"/>
  <c r="H686" i="21" s="1"/>
  <c r="K686" i="21" s="1"/>
  <c r="Q686" i="21"/>
  <c r="M687" i="21"/>
  <c r="H687" i="21" s="1"/>
  <c r="Q687" i="21"/>
  <c r="M688" i="21"/>
  <c r="H688" i="21" s="1"/>
  <c r="Q688" i="21"/>
  <c r="Q689" i="21"/>
  <c r="M690" i="21"/>
  <c r="H690" i="21" s="1"/>
  <c r="K690" i="21" s="1"/>
  <c r="Q690" i="21"/>
  <c r="Q691" i="21"/>
  <c r="Q692" i="21"/>
  <c r="Q693" i="21"/>
  <c r="Q694" i="21"/>
  <c r="Q695" i="21"/>
  <c r="Q696" i="21"/>
  <c r="Q697" i="21"/>
  <c r="Q698" i="21"/>
  <c r="Q699" i="21"/>
  <c r="Q700" i="21"/>
  <c r="Q701" i="21"/>
  <c r="Q702" i="21"/>
  <c r="Q703" i="21"/>
  <c r="Q704" i="21"/>
  <c r="Q705" i="21"/>
  <c r="Q706" i="21"/>
  <c r="Q707" i="21"/>
  <c r="Q708" i="21"/>
  <c r="Q709" i="21"/>
  <c r="Q710" i="21"/>
  <c r="Q711" i="21"/>
  <c r="Q712" i="21"/>
  <c r="Q713" i="21"/>
  <c r="Q714" i="21"/>
  <c r="Q715" i="21"/>
  <c r="Q716" i="21"/>
  <c r="Q717" i="21"/>
  <c r="M718" i="21"/>
  <c r="H718" i="21" s="1"/>
  <c r="Q718" i="21"/>
  <c r="M719" i="21"/>
  <c r="H719" i="21" s="1"/>
  <c r="J719" i="21" s="1"/>
  <c r="Q719" i="21"/>
  <c r="Q720" i="21"/>
  <c r="M722" i="21"/>
  <c r="H722" i="21" s="1"/>
  <c r="K722" i="21" s="1"/>
  <c r="Q722" i="21"/>
  <c r="M723" i="21"/>
  <c r="H723" i="21" s="1"/>
  <c r="Q723" i="21"/>
  <c r="Q724" i="21"/>
  <c r="Q725" i="21"/>
  <c r="M726" i="21"/>
  <c r="H726" i="21" s="1"/>
  <c r="Q726" i="21"/>
  <c r="M728" i="21"/>
  <c r="H728" i="21" s="1"/>
  <c r="Q728" i="21"/>
  <c r="Q729" i="21"/>
  <c r="Q730" i="21"/>
  <c r="M731" i="21"/>
  <c r="H731" i="21" s="1"/>
  <c r="K731" i="21" s="1"/>
  <c r="Q731" i="21"/>
  <c r="Q732" i="21"/>
  <c r="Q733" i="21"/>
  <c r="Q734" i="21"/>
  <c r="Q735" i="21"/>
  <c r="Q736" i="21"/>
  <c r="Q737" i="21"/>
  <c r="O738" i="21"/>
  <c r="Q738" i="21"/>
  <c r="Q739" i="21"/>
  <c r="Q741" i="21"/>
  <c r="Q745" i="21"/>
  <c r="L744" i="21"/>
  <c r="N744" i="21"/>
  <c r="O744" i="21"/>
  <c r="Q744" i="21"/>
  <c r="Q746" i="21"/>
  <c r="Q747" i="21"/>
  <c r="Q748" i="21"/>
  <c r="Q749" i="21"/>
  <c r="Q750" i="21"/>
  <c r="M751" i="21"/>
  <c r="H751" i="21" s="1"/>
  <c r="Q751" i="21"/>
  <c r="Q752" i="21"/>
  <c r="Q753" i="21"/>
  <c r="Q754" i="21"/>
  <c r="Q756" i="21"/>
  <c r="M757" i="21"/>
  <c r="H757" i="21" s="1"/>
  <c r="J757" i="21" s="1"/>
  <c r="Q757" i="21"/>
  <c r="Q758" i="21"/>
  <c r="M759" i="21"/>
  <c r="H759" i="21" s="1"/>
  <c r="K759" i="21" s="1"/>
  <c r="Q759" i="21"/>
  <c r="Q760" i="21"/>
  <c r="Q761" i="21"/>
  <c r="Q762" i="21"/>
  <c r="Q763" i="21"/>
  <c r="Q764" i="21"/>
  <c r="Q765" i="21"/>
  <c r="Q766" i="21"/>
  <c r="Q767" i="21"/>
  <c r="Q768" i="21"/>
  <c r="Q769" i="21"/>
  <c r="Q770" i="21"/>
  <c r="Q771" i="21"/>
  <c r="Q772" i="21"/>
  <c r="Q773" i="21"/>
  <c r="Q774" i="21"/>
  <c r="Q775" i="21"/>
  <c r="Q776" i="21"/>
  <c r="Q777" i="21"/>
  <c r="Q778" i="21"/>
  <c r="Q779" i="21"/>
  <c r="Q780" i="21"/>
  <c r="Q781" i="21"/>
  <c r="Q782" i="21"/>
  <c r="M783" i="21"/>
  <c r="H783" i="21" s="1"/>
  <c r="Q783" i="21"/>
  <c r="Q784" i="21"/>
  <c r="Q785" i="21"/>
  <c r="Q786" i="21"/>
  <c r="Q787" i="21"/>
  <c r="Q788" i="21"/>
  <c r="Q789" i="21"/>
  <c r="Q790" i="21"/>
  <c r="Q791" i="21"/>
  <c r="Q792" i="21"/>
  <c r="M793" i="21"/>
  <c r="H793" i="21" s="1"/>
  <c r="J793" i="21" s="1"/>
  <c r="Q793" i="21"/>
  <c r="Q794" i="21"/>
  <c r="Q795" i="21"/>
  <c r="Q796" i="21"/>
  <c r="Q797" i="21"/>
  <c r="Q798" i="21"/>
  <c r="M799" i="21"/>
  <c r="H799" i="21" s="1"/>
  <c r="J799" i="21" s="1"/>
  <c r="Q799" i="21"/>
  <c r="Q800" i="21"/>
  <c r="Q801" i="21"/>
  <c r="M802" i="21"/>
  <c r="H802" i="21" s="1"/>
  <c r="J802" i="21" s="1"/>
  <c r="Q802" i="21"/>
  <c r="Q803" i="21"/>
  <c r="Q804" i="21"/>
  <c r="Q805" i="21"/>
  <c r="Q806" i="21"/>
  <c r="Q807" i="21"/>
  <c r="Q808" i="21"/>
  <c r="Q809" i="21"/>
  <c r="Q810" i="21"/>
  <c r="Q811" i="21"/>
  <c r="Q812" i="21"/>
  <c r="Q813" i="21"/>
  <c r="M814" i="21"/>
  <c r="H814" i="21" s="1"/>
  <c r="J814" i="21" s="1"/>
  <c r="Q814" i="21"/>
  <c r="M815" i="21"/>
  <c r="H815" i="21" s="1"/>
  <c r="Q815" i="21"/>
  <c r="Q45" i="21"/>
  <c r="Q137" i="21"/>
  <c r="Q170" i="21"/>
  <c r="Q393" i="21"/>
  <c r="Q399" i="21"/>
  <c r="Q468" i="21"/>
  <c r="M602" i="21"/>
  <c r="H602" i="21" s="1"/>
  <c r="J602" i="21" s="1"/>
  <c r="Q602" i="21"/>
  <c r="Q609" i="21"/>
  <c r="M721" i="21"/>
  <c r="H721" i="21" s="1"/>
  <c r="J721" i="21" s="1"/>
  <c r="Q721" i="21"/>
  <c r="M727" i="21"/>
  <c r="H727" i="21" s="1"/>
  <c r="Q727" i="21"/>
  <c r="Q740" i="21"/>
  <c r="Q742" i="21"/>
  <c r="Q755" i="21"/>
  <c r="M816" i="21"/>
  <c r="H816" i="21" s="1"/>
  <c r="Q816" i="21"/>
  <c r="Q817" i="21"/>
  <c r="Q818" i="21"/>
  <c r="Q119" i="21"/>
  <c r="Q285" i="21"/>
  <c r="Q323" i="21"/>
  <c r="Q398" i="21"/>
  <c r="Q446" i="21"/>
  <c r="Q497" i="21"/>
  <c r="Q743" i="21"/>
  <c r="Q56" i="21"/>
  <c r="M57" i="21"/>
  <c r="H57" i="21" s="1"/>
  <c r="Q57" i="21"/>
  <c r="M58" i="21"/>
  <c r="H58" i="21" s="1"/>
  <c r="K58" i="21" s="1"/>
  <c r="Q58" i="21"/>
  <c r="M59" i="21"/>
  <c r="H59" i="21" s="1"/>
  <c r="Q59" i="21"/>
  <c r="Q60" i="21"/>
  <c r="Q61" i="21"/>
  <c r="Q62" i="21"/>
  <c r="Q63" i="21"/>
  <c r="Q64" i="21"/>
  <c r="Q65" i="21"/>
  <c r="Q66" i="21"/>
  <c r="Q18" i="21"/>
  <c r="Q19" i="21"/>
  <c r="Q20" i="21"/>
  <c r="Q21" i="21"/>
  <c r="Q22" i="21"/>
  <c r="Q23" i="21"/>
  <c r="Q24" i="21"/>
  <c r="Q25" i="21"/>
  <c r="Q26" i="21"/>
  <c r="Q27" i="21"/>
  <c r="Q28" i="21"/>
  <c r="Q29" i="21"/>
  <c r="Q30" i="21"/>
  <c r="Q31" i="21"/>
  <c r="Q32" i="21"/>
  <c r="Q33" i="21"/>
  <c r="Q34" i="21"/>
  <c r="Q35" i="21"/>
  <c r="Q36" i="21"/>
  <c r="Q37" i="21"/>
  <c r="Q38" i="21"/>
  <c r="Q39" i="21"/>
  <c r="M40" i="21"/>
  <c r="H40" i="21" s="1"/>
  <c r="Q40" i="21"/>
  <c r="M41" i="21"/>
  <c r="H41" i="21" s="1"/>
  <c r="Q41" i="21"/>
  <c r="Q42" i="21"/>
  <c r="Q43" i="21"/>
  <c r="Q44" i="21"/>
  <c r="Q46" i="21"/>
  <c r="Q47" i="21"/>
  <c r="Q48" i="21"/>
  <c r="M49" i="21"/>
  <c r="H49" i="21" s="1"/>
  <c r="Q49" i="21"/>
  <c r="M50" i="21"/>
  <c r="H50" i="21" s="1"/>
  <c r="K50" i="21" s="1"/>
  <c r="Q50" i="21"/>
  <c r="Q51" i="21"/>
  <c r="Q52" i="21"/>
  <c r="Q53" i="21"/>
  <c r="Q54" i="21"/>
  <c r="Q55" i="21"/>
  <c r="Q111" i="21"/>
  <c r="Q112" i="21"/>
  <c r="D399" i="31"/>
  <c r="AD127" i="31"/>
  <c r="AE127" i="31"/>
  <c r="P111" i="21" s="1"/>
  <c r="AD128" i="31"/>
  <c r="AE128" i="31"/>
  <c r="P112" i="21" s="1"/>
  <c r="AD129" i="31"/>
  <c r="AE129" i="31"/>
  <c r="P119" i="21" s="1"/>
  <c r="AD130" i="31"/>
  <c r="AE130" i="31"/>
  <c r="P285" i="21" s="1"/>
  <c r="AD131" i="31"/>
  <c r="AE131" i="31"/>
  <c r="P323" i="21" s="1"/>
  <c r="AD132" i="31"/>
  <c r="AE132" i="31"/>
  <c r="P398" i="21" s="1"/>
  <c r="AD133" i="31"/>
  <c r="AE133" i="31"/>
  <c r="P446" i="21" s="1"/>
  <c r="AD134" i="31"/>
  <c r="AE134" i="31"/>
  <c r="P497" i="21" s="1"/>
  <c r="AD135" i="31"/>
  <c r="AE135" i="31"/>
  <c r="P743" i="21" s="1"/>
  <c r="U127" i="31"/>
  <c r="V127" i="31"/>
  <c r="W127" i="31"/>
  <c r="U128" i="31"/>
  <c r="V128" i="31"/>
  <c r="W128" i="31"/>
  <c r="U129" i="31"/>
  <c r="V129" i="31"/>
  <c r="W129" i="31"/>
  <c r="U130" i="31"/>
  <c r="V130" i="31"/>
  <c r="W130" i="31"/>
  <c r="U131" i="31"/>
  <c r="V131" i="31"/>
  <c r="W131" i="31"/>
  <c r="U132" i="31"/>
  <c r="V132" i="31"/>
  <c r="W132" i="31"/>
  <c r="U133" i="31"/>
  <c r="V133" i="31"/>
  <c r="W133" i="31"/>
  <c r="U134" i="31"/>
  <c r="V134" i="31"/>
  <c r="W134" i="31"/>
  <c r="U135" i="31"/>
  <c r="V135" i="31"/>
  <c r="W135" i="31"/>
  <c r="T127" i="31"/>
  <c r="T128" i="31"/>
  <c r="T129" i="31"/>
  <c r="T130" i="31"/>
  <c r="T131" i="31"/>
  <c r="T132" i="31"/>
  <c r="T133" i="31"/>
  <c r="T134" i="31"/>
  <c r="T135" i="31"/>
  <c r="N127" i="31"/>
  <c r="N128" i="31"/>
  <c r="N129" i="31"/>
  <c r="N130" i="31"/>
  <c r="N131" i="31"/>
  <c r="N132" i="31"/>
  <c r="N133" i="31"/>
  <c r="N134" i="31"/>
  <c r="N135" i="31"/>
  <c r="M127" i="31"/>
  <c r="M128" i="31"/>
  <c r="M129" i="31"/>
  <c r="M130" i="31"/>
  <c r="M131" i="31"/>
  <c r="M132" i="31"/>
  <c r="M133" i="31"/>
  <c r="M134" i="31"/>
  <c r="M135" i="31"/>
  <c r="L127" i="31"/>
  <c r="O127" i="31" s="1"/>
  <c r="O111" i="21" s="1"/>
  <c r="L128" i="31"/>
  <c r="O128" i="31" s="1"/>
  <c r="O112" i="21" s="1"/>
  <c r="L129" i="31"/>
  <c r="O129" i="31" s="1"/>
  <c r="O119" i="21" s="1"/>
  <c r="L130" i="31"/>
  <c r="O130" i="31" s="1"/>
  <c r="O285" i="21" s="1"/>
  <c r="L131" i="31"/>
  <c r="O131" i="31" s="1"/>
  <c r="O323" i="21" s="1"/>
  <c r="L132" i="31"/>
  <c r="O132" i="31" s="1"/>
  <c r="O398" i="21" s="1"/>
  <c r="L133" i="31"/>
  <c r="L134" i="31"/>
  <c r="L135" i="31"/>
  <c r="Q135" i="31" s="1"/>
  <c r="K127" i="31"/>
  <c r="L111" i="21" s="1"/>
  <c r="K128" i="31"/>
  <c r="L112" i="21" s="1"/>
  <c r="K129" i="31"/>
  <c r="L119" i="21" s="1"/>
  <c r="K130" i="31"/>
  <c r="L285" i="21" s="1"/>
  <c r="K131" i="31"/>
  <c r="L323" i="21" s="1"/>
  <c r="K132" i="31"/>
  <c r="L398" i="21" s="1"/>
  <c r="K133" i="31"/>
  <c r="L446" i="21" s="1"/>
  <c r="K134" i="31"/>
  <c r="L497" i="21" s="1"/>
  <c r="K135" i="31"/>
  <c r="L743" i="21" s="1"/>
  <c r="G127" i="31"/>
  <c r="H127" i="31"/>
  <c r="I127" i="31"/>
  <c r="J127" i="31"/>
  <c r="G128" i="31"/>
  <c r="H128" i="31"/>
  <c r="I128" i="31"/>
  <c r="J128" i="31"/>
  <c r="G129" i="31"/>
  <c r="S129" i="31" s="1"/>
  <c r="H129" i="31"/>
  <c r="I129" i="31"/>
  <c r="J129" i="31"/>
  <c r="G130" i="31"/>
  <c r="H130" i="31"/>
  <c r="I130" i="31"/>
  <c r="J130" i="31"/>
  <c r="G131" i="31"/>
  <c r="H131" i="31"/>
  <c r="I131" i="31"/>
  <c r="J131" i="31"/>
  <c r="G132" i="31"/>
  <c r="H132" i="31"/>
  <c r="I132" i="31"/>
  <c r="J132" i="31"/>
  <c r="G133" i="31"/>
  <c r="H133" i="31"/>
  <c r="I133" i="31"/>
  <c r="J133" i="31"/>
  <c r="G134" i="31"/>
  <c r="H134" i="31"/>
  <c r="I134" i="31"/>
  <c r="J134" i="31"/>
  <c r="G135" i="31"/>
  <c r="H135" i="31"/>
  <c r="I135" i="31"/>
  <c r="J135" i="31"/>
  <c r="F127" i="31"/>
  <c r="F128" i="31"/>
  <c r="F129" i="31"/>
  <c r="F130" i="31"/>
  <c r="F131" i="31"/>
  <c r="F132" i="31"/>
  <c r="F133" i="31"/>
  <c r="F134" i="31"/>
  <c r="F135" i="31"/>
  <c r="E127" i="31"/>
  <c r="E128" i="31"/>
  <c r="E129" i="31"/>
  <c r="E130" i="31"/>
  <c r="E131" i="31"/>
  <c r="E132" i="31"/>
  <c r="E133" i="31"/>
  <c r="E134" i="31"/>
  <c r="E135" i="31"/>
  <c r="D127" i="31"/>
  <c r="D128" i="31"/>
  <c r="D129" i="31"/>
  <c r="D130" i="31"/>
  <c r="D131" i="31"/>
  <c r="D132" i="31"/>
  <c r="D133" i="31"/>
  <c r="D134" i="31"/>
  <c r="D135" i="31"/>
  <c r="AE7" i="31"/>
  <c r="P19" i="21" s="1"/>
  <c r="AE8" i="31"/>
  <c r="P20" i="21" s="1"/>
  <c r="AE9" i="31"/>
  <c r="P21" i="21" s="1"/>
  <c r="AE10" i="31"/>
  <c r="P22" i="21" s="1"/>
  <c r="AE11" i="31"/>
  <c r="P23" i="21" s="1"/>
  <c r="AE12" i="31"/>
  <c r="P24" i="21" s="1"/>
  <c r="AE13" i="31"/>
  <c r="P25" i="21" s="1"/>
  <c r="AE14" i="31"/>
  <c r="P26" i="21" s="1"/>
  <c r="AE15" i="31"/>
  <c r="P27" i="21" s="1"/>
  <c r="AE16" i="31"/>
  <c r="P28" i="21" s="1"/>
  <c r="AE17" i="31"/>
  <c r="P29" i="21" s="1"/>
  <c r="AE18" i="31"/>
  <c r="P30" i="21" s="1"/>
  <c r="AE19" i="31"/>
  <c r="P31" i="21" s="1"/>
  <c r="AE20" i="31"/>
  <c r="P32" i="21" s="1"/>
  <c r="AE21" i="31"/>
  <c r="P33" i="21" s="1"/>
  <c r="AE22" i="31"/>
  <c r="P34" i="21" s="1"/>
  <c r="AE23" i="31"/>
  <c r="P35" i="21" s="1"/>
  <c r="AE24" i="31"/>
  <c r="P36" i="21" s="1"/>
  <c r="AE25" i="31"/>
  <c r="P37" i="21" s="1"/>
  <c r="AE26" i="31"/>
  <c r="P38" i="21" s="1"/>
  <c r="AE27" i="31"/>
  <c r="P39" i="21" s="1"/>
  <c r="AE28" i="31"/>
  <c r="P40" i="21" s="1"/>
  <c r="AE29" i="31"/>
  <c r="P41" i="21" s="1"/>
  <c r="AE30" i="31"/>
  <c r="P42" i="21" s="1"/>
  <c r="AE31" i="31"/>
  <c r="P43" i="21" s="1"/>
  <c r="AE32" i="31"/>
  <c r="P44" i="21" s="1"/>
  <c r="AE33" i="31"/>
  <c r="P46" i="21" s="1"/>
  <c r="AE34" i="31"/>
  <c r="P47" i="21" s="1"/>
  <c r="AE35" i="31"/>
  <c r="P48" i="21" s="1"/>
  <c r="AE36" i="31"/>
  <c r="P49" i="21" s="1"/>
  <c r="AE37" i="31"/>
  <c r="P50" i="21" s="1"/>
  <c r="AE38" i="31"/>
  <c r="P51" i="21" s="1"/>
  <c r="AE39" i="31"/>
  <c r="P52" i="21" s="1"/>
  <c r="AE40" i="31"/>
  <c r="P53" i="21" s="1"/>
  <c r="AE41" i="31"/>
  <c r="P54" i="21" s="1"/>
  <c r="AE42" i="31"/>
  <c r="P55" i="21" s="1"/>
  <c r="AE43" i="31"/>
  <c r="P56" i="21" s="1"/>
  <c r="AE44" i="31"/>
  <c r="P57" i="21" s="1"/>
  <c r="AE45" i="31"/>
  <c r="P58" i="21" s="1"/>
  <c r="AE46" i="31"/>
  <c r="P59" i="21" s="1"/>
  <c r="AE47" i="31"/>
  <c r="P60" i="21" s="1"/>
  <c r="AE48" i="31"/>
  <c r="P61" i="21" s="1"/>
  <c r="AE49" i="31"/>
  <c r="P62" i="21" s="1"/>
  <c r="AE50" i="31"/>
  <c r="P63" i="21" s="1"/>
  <c r="AE51" i="31"/>
  <c r="P64" i="21" s="1"/>
  <c r="AE52" i="31"/>
  <c r="P65" i="21" s="1"/>
  <c r="AE53" i="31"/>
  <c r="P66" i="21" s="1"/>
  <c r="AE54" i="31"/>
  <c r="P67" i="21" s="1"/>
  <c r="AE55" i="31"/>
  <c r="P68" i="21" s="1"/>
  <c r="AE56" i="31"/>
  <c r="P69" i="21" s="1"/>
  <c r="AE57" i="31"/>
  <c r="P70" i="21" s="1"/>
  <c r="AE58" i="31"/>
  <c r="P71" i="21" s="1"/>
  <c r="AE59" i="31"/>
  <c r="P72" i="21" s="1"/>
  <c r="AE60" i="31"/>
  <c r="P73" i="21" s="1"/>
  <c r="AE61" i="31"/>
  <c r="P74" i="21" s="1"/>
  <c r="AE62" i="31"/>
  <c r="P75" i="21" s="1"/>
  <c r="AE63" i="31"/>
  <c r="P76" i="21" s="1"/>
  <c r="AE64" i="31"/>
  <c r="P77" i="21" s="1"/>
  <c r="AE65" i="31"/>
  <c r="P78" i="21" s="1"/>
  <c r="AE66" i="31"/>
  <c r="P79" i="21" s="1"/>
  <c r="AE67" i="31"/>
  <c r="P80" i="21" s="1"/>
  <c r="AE68" i="31"/>
  <c r="P81" i="21" s="1"/>
  <c r="AE69" i="31"/>
  <c r="P82" i="21" s="1"/>
  <c r="AE70" i="31"/>
  <c r="P83" i="21" s="1"/>
  <c r="AE71" i="31"/>
  <c r="P84" i="21" s="1"/>
  <c r="AE72" i="31"/>
  <c r="P85" i="21" s="1"/>
  <c r="AE73" i="31"/>
  <c r="P86" i="21" s="1"/>
  <c r="AE74" i="31"/>
  <c r="P87" i="21" s="1"/>
  <c r="AE75" i="31"/>
  <c r="P88" i="21" s="1"/>
  <c r="AE76" i="31"/>
  <c r="P89" i="21" s="1"/>
  <c r="AE77" i="31"/>
  <c r="P90" i="21" s="1"/>
  <c r="AE78" i="31"/>
  <c r="P91" i="21" s="1"/>
  <c r="AE79" i="31"/>
  <c r="P92" i="21" s="1"/>
  <c r="AE80" i="31"/>
  <c r="P93" i="21" s="1"/>
  <c r="AE81" i="31"/>
  <c r="P94" i="21" s="1"/>
  <c r="AE82" i="31"/>
  <c r="P95" i="21" s="1"/>
  <c r="AE83" i="31"/>
  <c r="P96" i="21" s="1"/>
  <c r="AE84" i="31"/>
  <c r="P97" i="21" s="1"/>
  <c r="AE85" i="31"/>
  <c r="P98" i="21" s="1"/>
  <c r="AE86" i="31"/>
  <c r="P99" i="21" s="1"/>
  <c r="AE87" i="31"/>
  <c r="P100" i="21" s="1"/>
  <c r="AE88" i="31"/>
  <c r="P101" i="21" s="1"/>
  <c r="AE89" i="31"/>
  <c r="P102" i="21" s="1"/>
  <c r="AE90" i="31"/>
  <c r="P103" i="21" s="1"/>
  <c r="AE91" i="31"/>
  <c r="P104" i="21" s="1"/>
  <c r="AE92" i="31"/>
  <c r="P105" i="21" s="1"/>
  <c r="AE93" i="31"/>
  <c r="P106" i="21" s="1"/>
  <c r="AE94" i="31"/>
  <c r="P107" i="21" s="1"/>
  <c r="AE95" i="31"/>
  <c r="P108" i="21" s="1"/>
  <c r="AE96" i="31"/>
  <c r="P109" i="21" s="1"/>
  <c r="AE97" i="31"/>
  <c r="P110" i="21" s="1"/>
  <c r="AE98" i="31"/>
  <c r="P113" i="21" s="1"/>
  <c r="AE99" i="31"/>
  <c r="P114" i="21" s="1"/>
  <c r="AE100" i="31"/>
  <c r="P115" i="21" s="1"/>
  <c r="AE101" i="31"/>
  <c r="P116" i="21" s="1"/>
  <c r="AE102" i="31"/>
  <c r="P117" i="21" s="1"/>
  <c r="AE103" i="31"/>
  <c r="P118" i="21" s="1"/>
  <c r="AE104" i="31"/>
  <c r="P120" i="21" s="1"/>
  <c r="AE105" i="31"/>
  <c r="P121" i="21" s="1"/>
  <c r="AE106" i="31"/>
  <c r="P122" i="21" s="1"/>
  <c r="AE107" i="31"/>
  <c r="P124" i="21" s="1"/>
  <c r="AE108" i="31"/>
  <c r="P125" i="21" s="1"/>
  <c r="AE109" i="31"/>
  <c r="P126" i="21" s="1"/>
  <c r="AE110" i="31"/>
  <c r="P127" i="21" s="1"/>
  <c r="AE111" i="31"/>
  <c r="P128" i="21" s="1"/>
  <c r="AE112" i="31"/>
  <c r="P129" i="21" s="1"/>
  <c r="AE113" i="31"/>
  <c r="P130" i="21" s="1"/>
  <c r="AE114" i="31"/>
  <c r="P131" i="21" s="1"/>
  <c r="AE115" i="31"/>
  <c r="P132" i="21" s="1"/>
  <c r="AE116" i="31"/>
  <c r="P133" i="21" s="1"/>
  <c r="AE117" i="31"/>
  <c r="P134" i="21" s="1"/>
  <c r="AE118" i="31"/>
  <c r="AE119" i="31"/>
  <c r="AE120" i="31"/>
  <c r="P138" i="21" s="1"/>
  <c r="AE121" i="31"/>
  <c r="P139" i="21" s="1"/>
  <c r="AE122" i="31"/>
  <c r="P140" i="21" s="1"/>
  <c r="AE123" i="31"/>
  <c r="P141" i="21" s="1"/>
  <c r="AE124" i="31"/>
  <c r="P142" i="21" s="1"/>
  <c r="AE125" i="31"/>
  <c r="P143" i="21" s="1"/>
  <c r="AE126" i="31"/>
  <c r="P144" i="21" s="1"/>
  <c r="AE136" i="31"/>
  <c r="P145" i="21" s="1"/>
  <c r="AE137" i="31"/>
  <c r="P146" i="21" s="1"/>
  <c r="AE138" i="31"/>
  <c r="P147" i="21" s="1"/>
  <c r="AE139" i="31"/>
  <c r="P148" i="21" s="1"/>
  <c r="AE140" i="31"/>
  <c r="P149" i="21" s="1"/>
  <c r="AE141" i="31"/>
  <c r="P150" i="21" s="1"/>
  <c r="AE142" i="31"/>
  <c r="P151" i="21" s="1"/>
  <c r="AE143" i="31"/>
  <c r="P152" i="21" s="1"/>
  <c r="AE144" i="31"/>
  <c r="P153" i="21" s="1"/>
  <c r="AE145" i="31"/>
  <c r="P154" i="21" s="1"/>
  <c r="AE146" i="31"/>
  <c r="P155" i="21" s="1"/>
  <c r="AE147" i="31"/>
  <c r="P156" i="21" s="1"/>
  <c r="AE148" i="31"/>
  <c r="P157" i="21" s="1"/>
  <c r="AE149" i="31"/>
  <c r="P158" i="21" s="1"/>
  <c r="AE150" i="31"/>
  <c r="P159" i="21" s="1"/>
  <c r="AE151" i="31"/>
  <c r="P160" i="21" s="1"/>
  <c r="AE152" i="31"/>
  <c r="P161" i="21" s="1"/>
  <c r="AE153" i="31"/>
  <c r="P162" i="21" s="1"/>
  <c r="AE154" i="31"/>
  <c r="P163" i="21" s="1"/>
  <c r="AE155" i="31"/>
  <c r="P164" i="21" s="1"/>
  <c r="AE156" i="31"/>
  <c r="P165" i="21" s="1"/>
  <c r="AE157" i="31"/>
  <c r="P166" i="21" s="1"/>
  <c r="AE158" i="31"/>
  <c r="P167" i="21" s="1"/>
  <c r="AE159" i="31"/>
  <c r="P168" i="21" s="1"/>
  <c r="AE160" i="31"/>
  <c r="P169" i="21" s="1"/>
  <c r="AE161" i="31"/>
  <c r="P171" i="21" s="1"/>
  <c r="AE162" i="31"/>
  <c r="P172" i="21" s="1"/>
  <c r="AE163" i="31"/>
  <c r="P173" i="21" s="1"/>
  <c r="AE164" i="31"/>
  <c r="P174" i="21" s="1"/>
  <c r="AE165" i="31"/>
  <c r="P175" i="21" s="1"/>
  <c r="AE166" i="31"/>
  <c r="P176" i="21" s="1"/>
  <c r="AE167" i="31"/>
  <c r="P177" i="21" s="1"/>
  <c r="AE168" i="31"/>
  <c r="P178" i="21" s="1"/>
  <c r="AE169" i="31"/>
  <c r="P179" i="21" s="1"/>
  <c r="AE170" i="31"/>
  <c r="P180" i="21" s="1"/>
  <c r="AE171" i="31"/>
  <c r="P181" i="21" s="1"/>
  <c r="AE172" i="31"/>
  <c r="P182" i="21" s="1"/>
  <c r="AE173" i="31"/>
  <c r="P183" i="21" s="1"/>
  <c r="AE174" i="31"/>
  <c r="P184" i="21" s="1"/>
  <c r="AE175" i="31"/>
  <c r="P185" i="21" s="1"/>
  <c r="AE176" i="31"/>
  <c r="P186" i="21" s="1"/>
  <c r="AE177" i="31"/>
  <c r="P187" i="21" s="1"/>
  <c r="AE178" i="31"/>
  <c r="P188" i="21" s="1"/>
  <c r="AE179" i="31"/>
  <c r="P189" i="21" s="1"/>
  <c r="AE180" i="31"/>
  <c r="P190" i="21" s="1"/>
  <c r="AE181" i="31"/>
  <c r="P191" i="21" s="1"/>
  <c r="AE182" i="31"/>
  <c r="P192" i="21" s="1"/>
  <c r="AE183" i="31"/>
  <c r="P193" i="21" s="1"/>
  <c r="AE184" i="31"/>
  <c r="P194" i="21" s="1"/>
  <c r="AE185" i="31"/>
  <c r="P195" i="21" s="1"/>
  <c r="AE186" i="31"/>
  <c r="P196" i="21" s="1"/>
  <c r="AE187" i="31"/>
  <c r="P197" i="21" s="1"/>
  <c r="AE188" i="31"/>
  <c r="P198" i="21" s="1"/>
  <c r="AE189" i="31"/>
  <c r="P199" i="21" s="1"/>
  <c r="AE190" i="31"/>
  <c r="P200" i="21" s="1"/>
  <c r="AE191" i="31"/>
  <c r="P201" i="21" s="1"/>
  <c r="AE192" i="31"/>
  <c r="P202" i="21" s="1"/>
  <c r="AE193" i="31"/>
  <c r="P203" i="21" s="1"/>
  <c r="AE194" i="31"/>
  <c r="P204" i="21" s="1"/>
  <c r="AE195" i="31"/>
  <c r="P205" i="21" s="1"/>
  <c r="AE196" i="31"/>
  <c r="P206" i="21" s="1"/>
  <c r="AE197" i="31"/>
  <c r="P207" i="21" s="1"/>
  <c r="AE198" i="31"/>
  <c r="P208" i="21" s="1"/>
  <c r="AE199" i="31"/>
  <c r="P209" i="21" s="1"/>
  <c r="AE200" i="31"/>
  <c r="P210" i="21" s="1"/>
  <c r="AE201" i="31"/>
  <c r="P211" i="21" s="1"/>
  <c r="AE202" i="31"/>
  <c r="P212" i="21" s="1"/>
  <c r="AE203" i="31"/>
  <c r="P213" i="21" s="1"/>
  <c r="AE204" i="31"/>
  <c r="P214" i="21" s="1"/>
  <c r="AE205" i="31"/>
  <c r="P215" i="21" s="1"/>
  <c r="AE206" i="31"/>
  <c r="P216" i="21" s="1"/>
  <c r="AE207" i="31"/>
  <c r="P217" i="21" s="1"/>
  <c r="AE208" i="31"/>
  <c r="P218" i="21" s="1"/>
  <c r="AE209" i="31"/>
  <c r="P219" i="21" s="1"/>
  <c r="AE210" i="31"/>
  <c r="P220" i="21" s="1"/>
  <c r="AE211" i="31"/>
  <c r="P221" i="21" s="1"/>
  <c r="AE212" i="31"/>
  <c r="P222" i="21" s="1"/>
  <c r="AE213" i="31"/>
  <c r="P223" i="21" s="1"/>
  <c r="AE214" i="31"/>
  <c r="P224" i="21" s="1"/>
  <c r="AE215" i="31"/>
  <c r="P225" i="21" s="1"/>
  <c r="AE216" i="31"/>
  <c r="P226" i="21" s="1"/>
  <c r="AE217" i="31"/>
  <c r="P227" i="21" s="1"/>
  <c r="AE218" i="31"/>
  <c r="P228" i="21" s="1"/>
  <c r="AE219" i="31"/>
  <c r="P229" i="21" s="1"/>
  <c r="AE220" i="31"/>
  <c r="P230" i="21" s="1"/>
  <c r="AE221" i="31"/>
  <c r="P231" i="21" s="1"/>
  <c r="AE222" i="31"/>
  <c r="P232" i="21" s="1"/>
  <c r="AE223" i="31"/>
  <c r="P233" i="21" s="1"/>
  <c r="AE224" i="31"/>
  <c r="P234" i="21" s="1"/>
  <c r="AE225" i="31"/>
  <c r="P235" i="21" s="1"/>
  <c r="AE226" i="31"/>
  <c r="P236" i="21" s="1"/>
  <c r="AE227" i="31"/>
  <c r="P237" i="21" s="1"/>
  <c r="AE228" i="31"/>
  <c r="P238" i="21" s="1"/>
  <c r="AE229" i="31"/>
  <c r="P239" i="21" s="1"/>
  <c r="AE230" i="31"/>
  <c r="P240" i="21" s="1"/>
  <c r="AE231" i="31"/>
  <c r="P241" i="21" s="1"/>
  <c r="AE232" i="31"/>
  <c r="P242" i="21" s="1"/>
  <c r="AE233" i="31"/>
  <c r="P243" i="21" s="1"/>
  <c r="AE234" i="31"/>
  <c r="P244" i="21" s="1"/>
  <c r="AE235" i="31"/>
  <c r="P245" i="21" s="1"/>
  <c r="AE236" i="31"/>
  <c r="P246" i="21" s="1"/>
  <c r="AE237" i="31"/>
  <c r="P247" i="21" s="1"/>
  <c r="AE238" i="31"/>
  <c r="P248" i="21" s="1"/>
  <c r="AE239" i="31"/>
  <c r="P249" i="21" s="1"/>
  <c r="AE240" i="31"/>
  <c r="P250" i="21" s="1"/>
  <c r="AE241" i="31"/>
  <c r="P251" i="21" s="1"/>
  <c r="AE242" i="31"/>
  <c r="P252" i="21" s="1"/>
  <c r="AE243" i="31"/>
  <c r="P253" i="21" s="1"/>
  <c r="AE244" i="31"/>
  <c r="P254" i="21" s="1"/>
  <c r="AE245" i="31"/>
  <c r="P255" i="21" s="1"/>
  <c r="AE246" i="31"/>
  <c r="P256" i="21" s="1"/>
  <c r="AE247" i="31"/>
  <c r="P257" i="21" s="1"/>
  <c r="AE248" i="31"/>
  <c r="P258" i="21" s="1"/>
  <c r="AE249" i="31"/>
  <c r="P259" i="21" s="1"/>
  <c r="AE250" i="31"/>
  <c r="P260" i="21" s="1"/>
  <c r="AE251" i="31"/>
  <c r="P261" i="21" s="1"/>
  <c r="AE252" i="31"/>
  <c r="P262" i="21" s="1"/>
  <c r="AE253" i="31"/>
  <c r="P263" i="21" s="1"/>
  <c r="AE254" i="31"/>
  <c r="P264" i="21" s="1"/>
  <c r="AE255" i="31"/>
  <c r="P265" i="21" s="1"/>
  <c r="AE256" i="31"/>
  <c r="P266" i="21" s="1"/>
  <c r="AE257" i="31"/>
  <c r="P123" i="21" s="1"/>
  <c r="AE258" i="31"/>
  <c r="P267" i="21" s="1"/>
  <c r="AE259" i="31"/>
  <c r="P268" i="21" s="1"/>
  <c r="AE260" i="31"/>
  <c r="P269" i="21" s="1"/>
  <c r="AE261" i="31"/>
  <c r="P270" i="21" s="1"/>
  <c r="AE262" i="31"/>
  <c r="P271" i="21" s="1"/>
  <c r="AE263" i="31"/>
  <c r="P272" i="21" s="1"/>
  <c r="AE264" i="31"/>
  <c r="P273" i="21" s="1"/>
  <c r="AE265" i="31"/>
  <c r="P274" i="21" s="1"/>
  <c r="AE266" i="31"/>
  <c r="P275" i="21" s="1"/>
  <c r="AE267" i="31"/>
  <c r="P276" i="21" s="1"/>
  <c r="AE268" i="31"/>
  <c r="P277" i="21" s="1"/>
  <c r="AE269" i="31"/>
  <c r="P278" i="21" s="1"/>
  <c r="AE270" i="31"/>
  <c r="P279" i="21" s="1"/>
  <c r="AE271" i="31"/>
  <c r="P280" i="21" s="1"/>
  <c r="AE272" i="31"/>
  <c r="P281" i="21" s="1"/>
  <c r="AE273" i="31"/>
  <c r="P282" i="21" s="1"/>
  <c r="AE274" i="31"/>
  <c r="P283" i="21" s="1"/>
  <c r="AE275" i="31"/>
  <c r="P284" i="21" s="1"/>
  <c r="AE276" i="31"/>
  <c r="P286" i="21" s="1"/>
  <c r="AE277" i="31"/>
  <c r="P287" i="21" s="1"/>
  <c r="AE278" i="31"/>
  <c r="P288" i="21" s="1"/>
  <c r="AE279" i="31"/>
  <c r="P289" i="21" s="1"/>
  <c r="AE280" i="31"/>
  <c r="P290" i="21" s="1"/>
  <c r="AE281" i="31"/>
  <c r="P291" i="21" s="1"/>
  <c r="AE282" i="31"/>
  <c r="P292" i="21" s="1"/>
  <c r="AE283" i="31"/>
  <c r="P293" i="21" s="1"/>
  <c r="AE284" i="31"/>
  <c r="P294" i="21" s="1"/>
  <c r="AE285" i="31"/>
  <c r="P295" i="21" s="1"/>
  <c r="AE286" i="31"/>
  <c r="P296" i="21" s="1"/>
  <c r="AE287" i="31"/>
  <c r="P297" i="21" s="1"/>
  <c r="AE288" i="31"/>
  <c r="P298" i="21" s="1"/>
  <c r="AE289" i="31"/>
  <c r="P299" i="21" s="1"/>
  <c r="AE290" i="31"/>
  <c r="P300" i="21" s="1"/>
  <c r="AE291" i="31"/>
  <c r="P301" i="21" s="1"/>
  <c r="AE292" i="31"/>
  <c r="P302" i="21" s="1"/>
  <c r="AE293" i="31"/>
  <c r="P303" i="21" s="1"/>
  <c r="AE294" i="31"/>
  <c r="P304" i="21" s="1"/>
  <c r="AE295" i="31"/>
  <c r="P305" i="21" s="1"/>
  <c r="AE296" i="31"/>
  <c r="P306" i="21" s="1"/>
  <c r="AE297" i="31"/>
  <c r="P307" i="21" s="1"/>
  <c r="AE298" i="31"/>
  <c r="P308" i="21" s="1"/>
  <c r="AE299" i="31"/>
  <c r="P309" i="21" s="1"/>
  <c r="AE300" i="31"/>
  <c r="P310" i="21" s="1"/>
  <c r="AE301" i="31"/>
  <c r="P311" i="21" s="1"/>
  <c r="AE302" i="31"/>
  <c r="P312" i="21" s="1"/>
  <c r="AE303" i="31"/>
  <c r="P313" i="21" s="1"/>
  <c r="AE304" i="31"/>
  <c r="P314" i="21" s="1"/>
  <c r="AE305" i="31"/>
  <c r="P315" i="21" s="1"/>
  <c r="AE306" i="31"/>
  <c r="P316" i="21" s="1"/>
  <c r="AE307" i="31"/>
  <c r="P317" i="21" s="1"/>
  <c r="AE308" i="31"/>
  <c r="P318" i="21" s="1"/>
  <c r="AE309" i="31"/>
  <c r="P319" i="21" s="1"/>
  <c r="AE310" i="31"/>
  <c r="P320" i="21" s="1"/>
  <c r="AE311" i="31"/>
  <c r="P321" i="21" s="1"/>
  <c r="AE312" i="31"/>
  <c r="P322" i="21" s="1"/>
  <c r="AE313" i="31"/>
  <c r="P324" i="21" s="1"/>
  <c r="AE314" i="31"/>
  <c r="P325" i="21" s="1"/>
  <c r="AE315" i="31"/>
  <c r="P326" i="21" s="1"/>
  <c r="AE316" i="31"/>
  <c r="P327" i="21" s="1"/>
  <c r="AE317" i="31"/>
  <c r="P328" i="21" s="1"/>
  <c r="AE318" i="31"/>
  <c r="P329" i="21" s="1"/>
  <c r="AE319" i="31"/>
  <c r="P330" i="21" s="1"/>
  <c r="AE320" i="31"/>
  <c r="P331" i="21" s="1"/>
  <c r="AE321" i="31"/>
  <c r="P332" i="21" s="1"/>
  <c r="AE322" i="31"/>
  <c r="P333" i="21" s="1"/>
  <c r="AE323" i="31"/>
  <c r="P334" i="21" s="1"/>
  <c r="AE324" i="31"/>
  <c r="P335" i="21" s="1"/>
  <c r="AE325" i="31"/>
  <c r="P336" i="21" s="1"/>
  <c r="AE326" i="31"/>
  <c r="P337" i="21" s="1"/>
  <c r="AE327" i="31"/>
  <c r="P338" i="21" s="1"/>
  <c r="AE328" i="31"/>
  <c r="P339" i="21" s="1"/>
  <c r="AE329" i="31"/>
  <c r="P340" i="21" s="1"/>
  <c r="AE330" i="31"/>
  <c r="P341" i="21" s="1"/>
  <c r="AE331" i="31"/>
  <c r="P342" i="21" s="1"/>
  <c r="AE332" i="31"/>
  <c r="P343" i="21" s="1"/>
  <c r="AE333" i="31"/>
  <c r="P344" i="21" s="1"/>
  <c r="AE334" i="31"/>
  <c r="P345" i="21" s="1"/>
  <c r="AE335" i="31"/>
  <c r="P346" i="21" s="1"/>
  <c r="AE336" i="31"/>
  <c r="P347" i="21" s="1"/>
  <c r="AE337" i="31"/>
  <c r="P348" i="21" s="1"/>
  <c r="AE338" i="31"/>
  <c r="P349" i="21" s="1"/>
  <c r="AE339" i="31"/>
  <c r="P350" i="21" s="1"/>
  <c r="AE340" i="31"/>
  <c r="P351" i="21" s="1"/>
  <c r="AE341" i="31"/>
  <c r="P352" i="21" s="1"/>
  <c r="AE342" i="31"/>
  <c r="P353" i="21" s="1"/>
  <c r="AE343" i="31"/>
  <c r="P354" i="21" s="1"/>
  <c r="AE344" i="31"/>
  <c r="P355" i="21" s="1"/>
  <c r="AE345" i="31"/>
  <c r="P356" i="21" s="1"/>
  <c r="AE346" i="31"/>
  <c r="P357" i="21" s="1"/>
  <c r="AE347" i="31"/>
  <c r="P358" i="21" s="1"/>
  <c r="AE348" i="31"/>
  <c r="P359" i="21" s="1"/>
  <c r="AE349" i="31"/>
  <c r="P360" i="21" s="1"/>
  <c r="AE350" i="31"/>
  <c r="P361" i="21" s="1"/>
  <c r="AE351" i="31"/>
  <c r="P362" i="21" s="1"/>
  <c r="AE352" i="31"/>
  <c r="P363" i="21" s="1"/>
  <c r="AE353" i="31"/>
  <c r="P364" i="21" s="1"/>
  <c r="AE354" i="31"/>
  <c r="P365" i="21" s="1"/>
  <c r="AE355" i="31"/>
  <c r="P366" i="21" s="1"/>
  <c r="AE356" i="31"/>
  <c r="P367" i="21" s="1"/>
  <c r="AE357" i="31"/>
  <c r="P368" i="21" s="1"/>
  <c r="AE358" i="31"/>
  <c r="P369" i="21" s="1"/>
  <c r="AE359" i="31"/>
  <c r="P370" i="21" s="1"/>
  <c r="AE360" i="31"/>
  <c r="P371" i="21" s="1"/>
  <c r="AE361" i="31"/>
  <c r="P372" i="21" s="1"/>
  <c r="AE362" i="31"/>
  <c r="P373" i="21" s="1"/>
  <c r="AE363" i="31"/>
  <c r="P374" i="21" s="1"/>
  <c r="AE364" i="31"/>
  <c r="P375" i="21" s="1"/>
  <c r="AE365" i="31"/>
  <c r="P376" i="21" s="1"/>
  <c r="AE366" i="31"/>
  <c r="P377" i="21" s="1"/>
  <c r="AE367" i="31"/>
  <c r="P378" i="21" s="1"/>
  <c r="AE368" i="31"/>
  <c r="P379" i="21" s="1"/>
  <c r="AE369" i="31"/>
  <c r="P380" i="21" s="1"/>
  <c r="AE370" i="31"/>
  <c r="P381" i="21" s="1"/>
  <c r="AE371" i="31"/>
  <c r="P382" i="21" s="1"/>
  <c r="AE372" i="31"/>
  <c r="P383" i="21" s="1"/>
  <c r="AE373" i="31"/>
  <c r="P384" i="21" s="1"/>
  <c r="AE374" i="31"/>
  <c r="P385" i="21" s="1"/>
  <c r="AE375" i="31"/>
  <c r="P386" i="21" s="1"/>
  <c r="AE376" i="31"/>
  <c r="P387" i="21" s="1"/>
  <c r="AE377" i="31"/>
  <c r="P388" i="21" s="1"/>
  <c r="AE378" i="31"/>
  <c r="P389" i="21" s="1"/>
  <c r="AE379" i="31"/>
  <c r="P390" i="21" s="1"/>
  <c r="AE380" i="31"/>
  <c r="P391" i="21" s="1"/>
  <c r="AE381" i="31"/>
  <c r="P392" i="21" s="1"/>
  <c r="AE382" i="31"/>
  <c r="P394" i="21" s="1"/>
  <c r="AE383" i="31"/>
  <c r="P395" i="21" s="1"/>
  <c r="AE384" i="31"/>
  <c r="P396" i="21" s="1"/>
  <c r="AE385" i="31"/>
  <c r="P397" i="21" s="1"/>
  <c r="AE386" i="31"/>
  <c r="P400" i="21" s="1"/>
  <c r="AE387" i="31"/>
  <c r="P401" i="21" s="1"/>
  <c r="AE388" i="31"/>
  <c r="P402" i="21" s="1"/>
  <c r="AE389" i="31"/>
  <c r="P403" i="21" s="1"/>
  <c r="AE390" i="31"/>
  <c r="P404" i="21" s="1"/>
  <c r="AE391" i="31"/>
  <c r="P405" i="21" s="1"/>
  <c r="AE392" i="31"/>
  <c r="P406" i="21" s="1"/>
  <c r="AE393" i="31"/>
  <c r="P407" i="21" s="1"/>
  <c r="AE394" i="31"/>
  <c r="P408" i="21" s="1"/>
  <c r="AE395" i="31"/>
  <c r="P409" i="21" s="1"/>
  <c r="AE396" i="31"/>
  <c r="P410" i="21" s="1"/>
  <c r="AE397" i="31"/>
  <c r="P411" i="21" s="1"/>
  <c r="AE398" i="31"/>
  <c r="P412" i="21" s="1"/>
  <c r="AE399" i="31"/>
  <c r="P413" i="21" s="1"/>
  <c r="AE400" i="31"/>
  <c r="P414" i="21" s="1"/>
  <c r="AE401" i="31"/>
  <c r="P415" i="21" s="1"/>
  <c r="AE402" i="31"/>
  <c r="P416" i="21" s="1"/>
  <c r="AE403" i="31"/>
  <c r="P417" i="21" s="1"/>
  <c r="AE404" i="31"/>
  <c r="P418" i="21" s="1"/>
  <c r="AE405" i="31"/>
  <c r="P419" i="21" s="1"/>
  <c r="AE406" i="31"/>
  <c r="P420" i="21" s="1"/>
  <c r="AE407" i="31"/>
  <c r="P421" i="21" s="1"/>
  <c r="AE408" i="31"/>
  <c r="P422" i="21" s="1"/>
  <c r="AE409" i="31"/>
  <c r="P423" i="21" s="1"/>
  <c r="AE410" i="31"/>
  <c r="P424" i="21" s="1"/>
  <c r="AE411" i="31"/>
  <c r="P425" i="21" s="1"/>
  <c r="AE412" i="31"/>
  <c r="P426" i="21" s="1"/>
  <c r="AE413" i="31"/>
  <c r="P427" i="21" s="1"/>
  <c r="AE414" i="31"/>
  <c r="P428" i="21" s="1"/>
  <c r="AE415" i="31"/>
  <c r="P429" i="21" s="1"/>
  <c r="AE416" i="31"/>
  <c r="P430" i="21" s="1"/>
  <c r="AE417" i="31"/>
  <c r="P431" i="21" s="1"/>
  <c r="AE418" i="31"/>
  <c r="P432" i="21" s="1"/>
  <c r="AE419" i="31"/>
  <c r="P433" i="21" s="1"/>
  <c r="AE420" i="31"/>
  <c r="P434" i="21" s="1"/>
  <c r="AE421" i="31"/>
  <c r="P435" i="21" s="1"/>
  <c r="AE422" i="31"/>
  <c r="P436" i="21" s="1"/>
  <c r="AE423" i="31"/>
  <c r="P437" i="21" s="1"/>
  <c r="AE424" i="31"/>
  <c r="P438" i="21" s="1"/>
  <c r="AE425" i="31"/>
  <c r="P439" i="21" s="1"/>
  <c r="AE426" i="31"/>
  <c r="P440" i="21" s="1"/>
  <c r="AE427" i="31"/>
  <c r="P441" i="21" s="1"/>
  <c r="AE428" i="31"/>
  <c r="P442" i="21" s="1"/>
  <c r="AE429" i="31"/>
  <c r="P443" i="21" s="1"/>
  <c r="AE430" i="31"/>
  <c r="P444" i="21" s="1"/>
  <c r="AE431" i="31"/>
  <c r="P445" i="21" s="1"/>
  <c r="AE432" i="31"/>
  <c r="P447" i="21" s="1"/>
  <c r="AE433" i="31"/>
  <c r="P448" i="21" s="1"/>
  <c r="AE434" i="31"/>
  <c r="P449" i="21" s="1"/>
  <c r="AE435" i="31"/>
  <c r="P450" i="21" s="1"/>
  <c r="AE436" i="31"/>
  <c r="P451" i="21" s="1"/>
  <c r="AE437" i="31"/>
  <c r="P452" i="21" s="1"/>
  <c r="AE438" i="31"/>
  <c r="P453" i="21" s="1"/>
  <c r="AE439" i="31"/>
  <c r="P454" i="21" s="1"/>
  <c r="AE440" i="31"/>
  <c r="P455" i="21" s="1"/>
  <c r="AE441" i="31"/>
  <c r="P456" i="21" s="1"/>
  <c r="AE442" i="31"/>
  <c r="P457" i="21" s="1"/>
  <c r="AE443" i="31"/>
  <c r="P458" i="21" s="1"/>
  <c r="AE444" i="31"/>
  <c r="P459" i="21" s="1"/>
  <c r="AE445" i="31"/>
  <c r="P460" i="21" s="1"/>
  <c r="AE446" i="31"/>
  <c r="AE447" i="31"/>
  <c r="AE448" i="31"/>
  <c r="P463" i="21" s="1"/>
  <c r="AE449" i="31"/>
  <c r="P464" i="21" s="1"/>
  <c r="AE450" i="31"/>
  <c r="P465" i="21" s="1"/>
  <c r="AE451" i="31"/>
  <c r="P466" i="21" s="1"/>
  <c r="AE452" i="31"/>
  <c r="P467" i="21" s="1"/>
  <c r="AE453" i="31"/>
  <c r="P469" i="21" s="1"/>
  <c r="AE454" i="31"/>
  <c r="P470" i="21" s="1"/>
  <c r="AE455" i="31"/>
  <c r="P471" i="21" s="1"/>
  <c r="AE456" i="31"/>
  <c r="P472" i="21" s="1"/>
  <c r="AE457" i="31"/>
  <c r="P473" i="21" s="1"/>
  <c r="AE458" i="31"/>
  <c r="P474" i="21" s="1"/>
  <c r="AE459" i="31"/>
  <c r="P475" i="21" s="1"/>
  <c r="AE460" i="31"/>
  <c r="P476" i="21" s="1"/>
  <c r="AE461" i="31"/>
  <c r="P477" i="21" s="1"/>
  <c r="AE462" i="31"/>
  <c r="P478" i="21" s="1"/>
  <c r="AE463" i="31"/>
  <c r="P479" i="21" s="1"/>
  <c r="AE464" i="31"/>
  <c r="P480" i="21" s="1"/>
  <c r="AE465" i="31"/>
  <c r="P481" i="21" s="1"/>
  <c r="AE466" i="31"/>
  <c r="P482" i="21" s="1"/>
  <c r="AE467" i="31"/>
  <c r="P483" i="21" s="1"/>
  <c r="AE468" i="31"/>
  <c r="P484" i="21" s="1"/>
  <c r="AE469" i="31"/>
  <c r="P485" i="21" s="1"/>
  <c r="AE470" i="31"/>
  <c r="P486" i="21" s="1"/>
  <c r="AE471" i="31"/>
  <c r="P487" i="21" s="1"/>
  <c r="AE472" i="31"/>
  <c r="P488" i="21" s="1"/>
  <c r="AE473" i="31"/>
  <c r="P489" i="21" s="1"/>
  <c r="AE474" i="31"/>
  <c r="P490" i="21" s="1"/>
  <c r="AE475" i="31"/>
  <c r="P491" i="21" s="1"/>
  <c r="AE476" i="31"/>
  <c r="P492" i="21" s="1"/>
  <c r="AE477" i="31"/>
  <c r="P493" i="21" s="1"/>
  <c r="AE478" i="31"/>
  <c r="P494" i="21" s="1"/>
  <c r="AE479" i="31"/>
  <c r="P495" i="21" s="1"/>
  <c r="AE480" i="31"/>
  <c r="P496" i="21" s="1"/>
  <c r="AE481" i="31"/>
  <c r="P498" i="21" s="1"/>
  <c r="AE482" i="31"/>
  <c r="P499" i="21" s="1"/>
  <c r="AE483" i="31"/>
  <c r="P500" i="21" s="1"/>
  <c r="AE484" i="31"/>
  <c r="P501" i="21" s="1"/>
  <c r="AE485" i="31"/>
  <c r="P502" i="21" s="1"/>
  <c r="AE486" i="31"/>
  <c r="P503" i="21" s="1"/>
  <c r="AE487" i="31"/>
  <c r="P504" i="21" s="1"/>
  <c r="AE488" i="31"/>
  <c r="P505" i="21" s="1"/>
  <c r="AE489" i="31"/>
  <c r="P506" i="21" s="1"/>
  <c r="AE490" i="31"/>
  <c r="P507" i="21" s="1"/>
  <c r="AE491" i="31"/>
  <c r="P508" i="21" s="1"/>
  <c r="AE492" i="31"/>
  <c r="P509" i="21" s="1"/>
  <c r="AE493" i="31"/>
  <c r="P510" i="21" s="1"/>
  <c r="AE494" i="31"/>
  <c r="P511" i="21" s="1"/>
  <c r="AE495" i="31"/>
  <c r="P512" i="21" s="1"/>
  <c r="AE496" i="31"/>
  <c r="P513" i="21" s="1"/>
  <c r="AE497" i="31"/>
  <c r="P514" i="21" s="1"/>
  <c r="AE498" i="31"/>
  <c r="P515" i="21" s="1"/>
  <c r="AE499" i="31"/>
  <c r="P516" i="21" s="1"/>
  <c r="AE500" i="31"/>
  <c r="P517" i="21" s="1"/>
  <c r="AE501" i="31"/>
  <c r="P518" i="21" s="1"/>
  <c r="AE502" i="31"/>
  <c r="P519" i="21" s="1"/>
  <c r="AE503" i="31"/>
  <c r="P520" i="21" s="1"/>
  <c r="AE504" i="31"/>
  <c r="P521" i="21" s="1"/>
  <c r="AE505" i="31"/>
  <c r="P522" i="21" s="1"/>
  <c r="AE506" i="31"/>
  <c r="P523" i="21" s="1"/>
  <c r="AE507" i="31"/>
  <c r="P524" i="21" s="1"/>
  <c r="AE508" i="31"/>
  <c r="P525" i="21" s="1"/>
  <c r="AE509" i="31"/>
  <c r="P526" i="21" s="1"/>
  <c r="AE510" i="31"/>
  <c r="P527" i="21" s="1"/>
  <c r="AE511" i="31"/>
  <c r="P528" i="21" s="1"/>
  <c r="AE512" i="31"/>
  <c r="P529" i="21" s="1"/>
  <c r="AE513" i="31"/>
  <c r="P530" i="21" s="1"/>
  <c r="AE514" i="31"/>
  <c r="P531" i="21" s="1"/>
  <c r="AE515" i="31"/>
  <c r="P532" i="21" s="1"/>
  <c r="AE516" i="31"/>
  <c r="P533" i="21" s="1"/>
  <c r="AE517" i="31"/>
  <c r="P534" i="21" s="1"/>
  <c r="AE518" i="31"/>
  <c r="P535" i="21" s="1"/>
  <c r="AE519" i="31"/>
  <c r="P536" i="21" s="1"/>
  <c r="AE520" i="31"/>
  <c r="P537" i="21" s="1"/>
  <c r="AE521" i="31"/>
  <c r="P538" i="21" s="1"/>
  <c r="AE522" i="31"/>
  <c r="P539" i="21" s="1"/>
  <c r="AE523" i="31"/>
  <c r="AE524" i="31"/>
  <c r="P540" i="21" s="1"/>
  <c r="AE525" i="31"/>
  <c r="P541" i="21" s="1"/>
  <c r="AE526" i="31"/>
  <c r="P542" i="21" s="1"/>
  <c r="AE527" i="31"/>
  <c r="P543" i="21" s="1"/>
  <c r="AE528" i="31"/>
  <c r="P544" i="21" s="1"/>
  <c r="AE529" i="31"/>
  <c r="P545" i="21" s="1"/>
  <c r="AE530" i="31"/>
  <c r="P546" i="21" s="1"/>
  <c r="AE531" i="31"/>
  <c r="P547" i="21" s="1"/>
  <c r="AE532" i="31"/>
  <c r="P548" i="21" s="1"/>
  <c r="AE533" i="31"/>
  <c r="P549" i="21" s="1"/>
  <c r="AE534" i="31"/>
  <c r="P550" i="21" s="1"/>
  <c r="AE535" i="31"/>
  <c r="P551" i="21" s="1"/>
  <c r="AE536" i="31"/>
  <c r="P552" i="21" s="1"/>
  <c r="AE537" i="31"/>
  <c r="P553" i="21" s="1"/>
  <c r="AE538" i="31"/>
  <c r="P554" i="21" s="1"/>
  <c r="AE539" i="31"/>
  <c r="P555" i="21" s="1"/>
  <c r="AE540" i="31"/>
  <c r="P556" i="21" s="1"/>
  <c r="AE541" i="31"/>
  <c r="P557" i="21" s="1"/>
  <c r="AE542" i="31"/>
  <c r="P558" i="21" s="1"/>
  <c r="AE543" i="31"/>
  <c r="P559" i="21" s="1"/>
  <c r="AE544" i="31"/>
  <c r="P560" i="21" s="1"/>
  <c r="AE545" i="31"/>
  <c r="P561" i="21" s="1"/>
  <c r="AE546" i="31"/>
  <c r="P562" i="21" s="1"/>
  <c r="AE547" i="31"/>
  <c r="P563" i="21" s="1"/>
  <c r="AE548" i="31"/>
  <c r="P564" i="21" s="1"/>
  <c r="AE549" i="31"/>
  <c r="P565" i="21" s="1"/>
  <c r="AE550" i="31"/>
  <c r="P566" i="21" s="1"/>
  <c r="AE551" i="31"/>
  <c r="P567" i="21" s="1"/>
  <c r="AE552" i="31"/>
  <c r="P568" i="21" s="1"/>
  <c r="AE553" i="31"/>
  <c r="P569" i="21" s="1"/>
  <c r="AE554" i="31"/>
  <c r="P570" i="21" s="1"/>
  <c r="AE555" i="31"/>
  <c r="P571" i="21" s="1"/>
  <c r="AE556" i="31"/>
  <c r="P572" i="21" s="1"/>
  <c r="AE557" i="31"/>
  <c r="P573" i="21" s="1"/>
  <c r="AE558" i="31"/>
  <c r="P574" i="21" s="1"/>
  <c r="AE559" i="31"/>
  <c r="P575" i="21" s="1"/>
  <c r="AE560" i="31"/>
  <c r="P576" i="21" s="1"/>
  <c r="AE561" i="31"/>
  <c r="P577" i="21" s="1"/>
  <c r="AE562" i="31"/>
  <c r="P578" i="21" s="1"/>
  <c r="AE563" i="31"/>
  <c r="P579" i="21" s="1"/>
  <c r="AE564" i="31"/>
  <c r="P580" i="21" s="1"/>
  <c r="AE565" i="31"/>
  <c r="P581" i="21" s="1"/>
  <c r="AE566" i="31"/>
  <c r="P582" i="21" s="1"/>
  <c r="AE567" i="31"/>
  <c r="P583" i="21" s="1"/>
  <c r="AE568" i="31"/>
  <c r="P584" i="21" s="1"/>
  <c r="AE569" i="31"/>
  <c r="P585" i="21" s="1"/>
  <c r="AE570" i="31"/>
  <c r="P586" i="21" s="1"/>
  <c r="AE571" i="31"/>
  <c r="P587" i="21" s="1"/>
  <c r="AE572" i="31"/>
  <c r="P588" i="21" s="1"/>
  <c r="AE573" i="31"/>
  <c r="P589" i="21" s="1"/>
  <c r="AE574" i="31"/>
  <c r="P590" i="21" s="1"/>
  <c r="AE575" i="31"/>
  <c r="P591" i="21" s="1"/>
  <c r="AE576" i="31"/>
  <c r="P592" i="21" s="1"/>
  <c r="AE577" i="31"/>
  <c r="P593" i="21" s="1"/>
  <c r="AE578" i="31"/>
  <c r="P594" i="21" s="1"/>
  <c r="AE579" i="31"/>
  <c r="P595" i="21" s="1"/>
  <c r="AE580" i="31"/>
  <c r="P596" i="21" s="1"/>
  <c r="AE581" i="31"/>
  <c r="P597" i="21" s="1"/>
  <c r="AE582" i="31"/>
  <c r="P598" i="21" s="1"/>
  <c r="AE583" i="31"/>
  <c r="P599" i="21" s="1"/>
  <c r="AE584" i="31"/>
  <c r="P600" i="21" s="1"/>
  <c r="AE585" i="31"/>
  <c r="P601" i="21" s="1"/>
  <c r="AE586" i="31"/>
  <c r="P603" i="21" s="1"/>
  <c r="AE587" i="31"/>
  <c r="P604" i="21" s="1"/>
  <c r="AE588" i="31"/>
  <c r="P605" i="21" s="1"/>
  <c r="AE589" i="31"/>
  <c r="P606" i="21" s="1"/>
  <c r="AE590" i="31"/>
  <c r="P608" i="21" s="1"/>
  <c r="AE591" i="31"/>
  <c r="P610" i="21" s="1"/>
  <c r="AE592" i="31"/>
  <c r="P611" i="21" s="1"/>
  <c r="AE593" i="31"/>
  <c r="P612" i="21" s="1"/>
  <c r="AE594" i="31"/>
  <c r="P613" i="21" s="1"/>
  <c r="AE595" i="31"/>
  <c r="P614" i="21" s="1"/>
  <c r="AE596" i="31"/>
  <c r="P615" i="21" s="1"/>
  <c r="AE597" i="31"/>
  <c r="P616" i="21" s="1"/>
  <c r="AE598" i="31"/>
  <c r="P617" i="21" s="1"/>
  <c r="AE599" i="31"/>
  <c r="P618" i="21" s="1"/>
  <c r="AE600" i="31"/>
  <c r="P619" i="21" s="1"/>
  <c r="AE601" i="31"/>
  <c r="P620" i="21" s="1"/>
  <c r="AE602" i="31"/>
  <c r="P621" i="21" s="1"/>
  <c r="AE603" i="31"/>
  <c r="P622" i="21" s="1"/>
  <c r="AE604" i="31"/>
  <c r="P623" i="21" s="1"/>
  <c r="AE605" i="31"/>
  <c r="P624" i="21" s="1"/>
  <c r="AE606" i="31"/>
  <c r="P625" i="21" s="1"/>
  <c r="AE607" i="31"/>
  <c r="P626" i="21" s="1"/>
  <c r="AE608" i="31"/>
  <c r="P627" i="21" s="1"/>
  <c r="AE609" i="31"/>
  <c r="P628" i="21" s="1"/>
  <c r="AE610" i="31"/>
  <c r="P629" i="21" s="1"/>
  <c r="AE611" i="31"/>
  <c r="P630" i="21" s="1"/>
  <c r="AE612" i="31"/>
  <c r="P631" i="21" s="1"/>
  <c r="AE613" i="31"/>
  <c r="P632" i="21" s="1"/>
  <c r="AE614" i="31"/>
  <c r="P633" i="21" s="1"/>
  <c r="AE615" i="31"/>
  <c r="P634" i="21" s="1"/>
  <c r="AE616" i="31"/>
  <c r="P635" i="21" s="1"/>
  <c r="AE617" i="31"/>
  <c r="P636" i="21" s="1"/>
  <c r="AE618" i="31"/>
  <c r="P637" i="21" s="1"/>
  <c r="AE619" i="31"/>
  <c r="P638" i="21" s="1"/>
  <c r="AE620" i="31"/>
  <c r="P639" i="21" s="1"/>
  <c r="AE621" i="31"/>
  <c r="P607" i="21" s="1"/>
  <c r="AE622" i="31"/>
  <c r="P744" i="21" s="1"/>
  <c r="AE623" i="31"/>
  <c r="P640" i="21" s="1"/>
  <c r="AE624" i="31"/>
  <c r="P641" i="21" s="1"/>
  <c r="AE625" i="31"/>
  <c r="P642" i="21" s="1"/>
  <c r="AE626" i="31"/>
  <c r="P643" i="21" s="1"/>
  <c r="AE627" i="31"/>
  <c r="P644" i="21" s="1"/>
  <c r="AE628" i="31"/>
  <c r="P645" i="21" s="1"/>
  <c r="AE629" i="31"/>
  <c r="P646" i="21" s="1"/>
  <c r="AE630" i="31"/>
  <c r="P647" i="21" s="1"/>
  <c r="AE631" i="31"/>
  <c r="P648" i="21" s="1"/>
  <c r="AE632" i="31"/>
  <c r="P649" i="21" s="1"/>
  <c r="AE633" i="31"/>
  <c r="P650" i="21" s="1"/>
  <c r="AE634" i="31"/>
  <c r="P651" i="21" s="1"/>
  <c r="AE635" i="31"/>
  <c r="P652" i="21" s="1"/>
  <c r="AE636" i="31"/>
  <c r="P653" i="21" s="1"/>
  <c r="AE637" i="31"/>
  <c r="P654" i="21" s="1"/>
  <c r="AE638" i="31"/>
  <c r="P655" i="21" s="1"/>
  <c r="AE639" i="31"/>
  <c r="P656" i="21" s="1"/>
  <c r="AE640" i="31"/>
  <c r="P657" i="21" s="1"/>
  <c r="AE641" i="31"/>
  <c r="P658" i="21" s="1"/>
  <c r="AE642" i="31"/>
  <c r="AE643" i="31"/>
  <c r="P659" i="21" s="1"/>
  <c r="AE644" i="31"/>
  <c r="P660" i="21" s="1"/>
  <c r="AE645" i="31"/>
  <c r="P661" i="21" s="1"/>
  <c r="AE646" i="31"/>
  <c r="P662" i="21" s="1"/>
  <c r="AE647" i="31"/>
  <c r="P663" i="21" s="1"/>
  <c r="AE648" i="31"/>
  <c r="P664" i="21" s="1"/>
  <c r="AE649" i="31"/>
  <c r="P665" i="21" s="1"/>
  <c r="AE650" i="31"/>
  <c r="P666" i="21" s="1"/>
  <c r="AE651" i="31"/>
  <c r="P667" i="21" s="1"/>
  <c r="AE652" i="31"/>
  <c r="P668" i="21" s="1"/>
  <c r="AE653" i="31"/>
  <c r="P669" i="21" s="1"/>
  <c r="AE654" i="31"/>
  <c r="P670" i="21" s="1"/>
  <c r="AE655" i="31"/>
  <c r="P671" i="21" s="1"/>
  <c r="AE656" i="31"/>
  <c r="P672" i="21" s="1"/>
  <c r="AE657" i="31"/>
  <c r="P673" i="21" s="1"/>
  <c r="AE658" i="31"/>
  <c r="P674" i="21" s="1"/>
  <c r="AE659" i="31"/>
  <c r="P675" i="21" s="1"/>
  <c r="AE660" i="31"/>
  <c r="P676" i="21" s="1"/>
  <c r="AE661" i="31"/>
  <c r="P677" i="21" s="1"/>
  <c r="AE662" i="31"/>
  <c r="P678" i="21" s="1"/>
  <c r="AE663" i="31"/>
  <c r="P679" i="21" s="1"/>
  <c r="AE664" i="31"/>
  <c r="P680" i="21" s="1"/>
  <c r="AE665" i="31"/>
  <c r="P681" i="21" s="1"/>
  <c r="AE666" i="31"/>
  <c r="P682" i="21" s="1"/>
  <c r="AE667" i="31"/>
  <c r="P683" i="21" s="1"/>
  <c r="AE668" i="31"/>
  <c r="P684" i="21" s="1"/>
  <c r="AE669" i="31"/>
  <c r="P685" i="21" s="1"/>
  <c r="AE670" i="31"/>
  <c r="P686" i="21" s="1"/>
  <c r="AE671" i="31"/>
  <c r="P687" i="21" s="1"/>
  <c r="AE672" i="31"/>
  <c r="P688" i="21" s="1"/>
  <c r="AE673" i="31"/>
  <c r="P689" i="21" s="1"/>
  <c r="AE674" i="31"/>
  <c r="P690" i="21" s="1"/>
  <c r="AE675" i="31"/>
  <c r="P691" i="21" s="1"/>
  <c r="AE676" i="31"/>
  <c r="P692" i="21" s="1"/>
  <c r="AE677" i="31"/>
  <c r="P693" i="21" s="1"/>
  <c r="AE678" i="31"/>
  <c r="P694" i="21" s="1"/>
  <c r="AE679" i="31"/>
  <c r="P695" i="21" s="1"/>
  <c r="AE680" i="31"/>
  <c r="P696" i="21" s="1"/>
  <c r="AE681" i="31"/>
  <c r="P697" i="21" s="1"/>
  <c r="AE682" i="31"/>
  <c r="P698" i="21" s="1"/>
  <c r="AE683" i="31"/>
  <c r="P699" i="21" s="1"/>
  <c r="AE684" i="31"/>
  <c r="P700" i="21" s="1"/>
  <c r="AE685" i="31"/>
  <c r="P701" i="21" s="1"/>
  <c r="AE686" i="31"/>
  <c r="P702" i="21" s="1"/>
  <c r="AE687" i="31"/>
  <c r="P703" i="21" s="1"/>
  <c r="AE688" i="31"/>
  <c r="P704" i="21" s="1"/>
  <c r="AE689" i="31"/>
  <c r="P705" i="21" s="1"/>
  <c r="AE690" i="31"/>
  <c r="P706" i="21" s="1"/>
  <c r="AE691" i="31"/>
  <c r="P707" i="21" s="1"/>
  <c r="AE692" i="31"/>
  <c r="P708" i="21" s="1"/>
  <c r="AE693" i="31"/>
  <c r="P709" i="21" s="1"/>
  <c r="AE694" i="31"/>
  <c r="P710" i="21" s="1"/>
  <c r="AE695" i="31"/>
  <c r="P711" i="21" s="1"/>
  <c r="AE696" i="31"/>
  <c r="P712" i="21" s="1"/>
  <c r="AE697" i="31"/>
  <c r="P713" i="21" s="1"/>
  <c r="AE698" i="31"/>
  <c r="P714" i="21" s="1"/>
  <c r="AE699" i="31"/>
  <c r="P715" i="21" s="1"/>
  <c r="AE700" i="31"/>
  <c r="P716" i="21" s="1"/>
  <c r="AE701" i="31"/>
  <c r="P717" i="21" s="1"/>
  <c r="AE702" i="31"/>
  <c r="P718" i="21" s="1"/>
  <c r="AE703" i="31"/>
  <c r="P719" i="21" s="1"/>
  <c r="AE704" i="31"/>
  <c r="P720" i="21" s="1"/>
  <c r="AE705" i="31"/>
  <c r="P722" i="21" s="1"/>
  <c r="AE706" i="31"/>
  <c r="P723" i="21" s="1"/>
  <c r="AE707" i="31"/>
  <c r="P724" i="21" s="1"/>
  <c r="AE708" i="31"/>
  <c r="P725" i="21" s="1"/>
  <c r="AE709" i="31"/>
  <c r="P726" i="21" s="1"/>
  <c r="AE710" i="31"/>
  <c r="P728" i="21" s="1"/>
  <c r="AE711" i="31"/>
  <c r="P729" i="21" s="1"/>
  <c r="AE712" i="31"/>
  <c r="P730" i="21" s="1"/>
  <c r="AE713" i="31"/>
  <c r="P731" i="21" s="1"/>
  <c r="AE714" i="31"/>
  <c r="P732" i="21" s="1"/>
  <c r="AE715" i="31"/>
  <c r="P733" i="21" s="1"/>
  <c r="AE716" i="31"/>
  <c r="P734" i="21" s="1"/>
  <c r="AE717" i="31"/>
  <c r="P735" i="21" s="1"/>
  <c r="AE718" i="31"/>
  <c r="P736" i="21" s="1"/>
  <c r="AE719" i="31"/>
  <c r="P737" i="21" s="1"/>
  <c r="AE720" i="31"/>
  <c r="P738" i="21" s="1"/>
  <c r="AE721" i="31"/>
  <c r="P739" i="21" s="1"/>
  <c r="AE722" i="31"/>
  <c r="P741" i="21" s="1"/>
  <c r="AE723" i="31"/>
  <c r="P745" i="21" s="1"/>
  <c r="AE724" i="31"/>
  <c r="P746" i="21" s="1"/>
  <c r="AE725" i="31"/>
  <c r="P747" i="21" s="1"/>
  <c r="AE726" i="31"/>
  <c r="P748" i="21" s="1"/>
  <c r="AE727" i="31"/>
  <c r="P749" i="21" s="1"/>
  <c r="AE728" i="31"/>
  <c r="P750" i="21" s="1"/>
  <c r="AE729" i="31"/>
  <c r="P751" i="21" s="1"/>
  <c r="AE730" i="31"/>
  <c r="P752" i="21" s="1"/>
  <c r="AE731" i="31"/>
  <c r="P753" i="21" s="1"/>
  <c r="AE732" i="31"/>
  <c r="P754" i="21" s="1"/>
  <c r="AE733" i="31"/>
  <c r="P756" i="21" s="1"/>
  <c r="AE734" i="31"/>
  <c r="P757" i="21" s="1"/>
  <c r="AE735" i="31"/>
  <c r="P758" i="21" s="1"/>
  <c r="AE736" i="31"/>
  <c r="P759" i="21" s="1"/>
  <c r="AE737" i="31"/>
  <c r="P760" i="21" s="1"/>
  <c r="AE738" i="31"/>
  <c r="P761" i="21" s="1"/>
  <c r="AE739" i="31"/>
  <c r="P762" i="21" s="1"/>
  <c r="AE740" i="31"/>
  <c r="P763" i="21" s="1"/>
  <c r="AE741" i="31"/>
  <c r="P764" i="21" s="1"/>
  <c r="AE742" i="31"/>
  <c r="P765" i="21" s="1"/>
  <c r="AE743" i="31"/>
  <c r="P766" i="21" s="1"/>
  <c r="AE744" i="31"/>
  <c r="P767" i="21" s="1"/>
  <c r="AE745" i="31"/>
  <c r="P768" i="21" s="1"/>
  <c r="AE746" i="31"/>
  <c r="P769" i="21" s="1"/>
  <c r="AE747" i="31"/>
  <c r="P770" i="21" s="1"/>
  <c r="AE748" i="31"/>
  <c r="P771" i="21" s="1"/>
  <c r="AE749" i="31"/>
  <c r="P772" i="21" s="1"/>
  <c r="AE750" i="31"/>
  <c r="P773" i="21" s="1"/>
  <c r="AE751" i="31"/>
  <c r="P774" i="21" s="1"/>
  <c r="AE752" i="31"/>
  <c r="P775" i="21" s="1"/>
  <c r="AE753" i="31"/>
  <c r="P776" i="21" s="1"/>
  <c r="AE754" i="31"/>
  <c r="P777" i="21" s="1"/>
  <c r="AE755" i="31"/>
  <c r="P778" i="21" s="1"/>
  <c r="AE756" i="31"/>
  <c r="P779" i="21" s="1"/>
  <c r="AE757" i="31"/>
  <c r="P780" i="21" s="1"/>
  <c r="AE758" i="31"/>
  <c r="P781" i="21" s="1"/>
  <c r="AE759" i="31"/>
  <c r="P782" i="21" s="1"/>
  <c r="AE760" i="31"/>
  <c r="P783" i="21" s="1"/>
  <c r="AE761" i="31"/>
  <c r="P784" i="21" s="1"/>
  <c r="AE762" i="31"/>
  <c r="P785" i="21" s="1"/>
  <c r="AE763" i="31"/>
  <c r="P786" i="21" s="1"/>
  <c r="AE764" i="31"/>
  <c r="P787" i="21" s="1"/>
  <c r="AE765" i="31"/>
  <c r="P788" i="21" s="1"/>
  <c r="AE766" i="31"/>
  <c r="P789" i="21" s="1"/>
  <c r="AE767" i="31"/>
  <c r="P790" i="21" s="1"/>
  <c r="AE768" i="31"/>
  <c r="P791" i="21" s="1"/>
  <c r="AE769" i="31"/>
  <c r="P792" i="21" s="1"/>
  <c r="AE770" i="31"/>
  <c r="P793" i="21" s="1"/>
  <c r="AE771" i="31"/>
  <c r="P794" i="21" s="1"/>
  <c r="AE772" i="31"/>
  <c r="P795" i="21" s="1"/>
  <c r="AE773" i="31"/>
  <c r="P796" i="21" s="1"/>
  <c r="AE774" i="31"/>
  <c r="P797" i="21" s="1"/>
  <c r="AE775" i="31"/>
  <c r="P798" i="21" s="1"/>
  <c r="AE776" i="31"/>
  <c r="P799" i="21" s="1"/>
  <c r="AE777" i="31"/>
  <c r="P800" i="21" s="1"/>
  <c r="AE778" i="31"/>
  <c r="AE779" i="31"/>
  <c r="P801" i="21" s="1"/>
  <c r="AE780" i="31"/>
  <c r="P802" i="21" s="1"/>
  <c r="AE781" i="31"/>
  <c r="P803" i="21" s="1"/>
  <c r="AE782" i="31"/>
  <c r="P804" i="21" s="1"/>
  <c r="AE783" i="31"/>
  <c r="P805" i="21" s="1"/>
  <c r="AE784" i="31"/>
  <c r="P806" i="21" s="1"/>
  <c r="AE785" i="31"/>
  <c r="P807" i="21" s="1"/>
  <c r="AE786" i="31"/>
  <c r="P808" i="21" s="1"/>
  <c r="AE787" i="31"/>
  <c r="AE788" i="31"/>
  <c r="AE789" i="31"/>
  <c r="AE790" i="31"/>
  <c r="AE791" i="31"/>
  <c r="AE792" i="31"/>
  <c r="AE793" i="31"/>
  <c r="AE794" i="31"/>
  <c r="AE795" i="31"/>
  <c r="AE796" i="31"/>
  <c r="AE797" i="31"/>
  <c r="AE798" i="31"/>
  <c r="AE799" i="31"/>
  <c r="AE800" i="31"/>
  <c r="AE801" i="31"/>
  <c r="AE802" i="31"/>
  <c r="AE803" i="31"/>
  <c r="AE804" i="31"/>
  <c r="AE805" i="31"/>
  <c r="AE806" i="31"/>
  <c r="AE807" i="31"/>
  <c r="AE808" i="31"/>
  <c r="AE809" i="31"/>
  <c r="AE6" i="31"/>
  <c r="P18" i="21" s="1"/>
  <c r="AD7" i="31"/>
  <c r="AD8" i="31"/>
  <c r="AD9" i="31"/>
  <c r="AD10" i="31"/>
  <c r="AD11" i="31"/>
  <c r="AD12" i="31"/>
  <c r="AD13" i="31"/>
  <c r="AD14" i="31"/>
  <c r="AD15" i="31"/>
  <c r="AD16" i="31"/>
  <c r="AD17" i="31"/>
  <c r="AD18" i="31"/>
  <c r="AD19" i="31"/>
  <c r="AD20" i="31"/>
  <c r="AD21" i="31"/>
  <c r="AD22" i="31"/>
  <c r="AD23" i="31"/>
  <c r="AD24" i="31"/>
  <c r="AD25" i="31"/>
  <c r="AD26" i="31"/>
  <c r="AD27" i="31"/>
  <c r="AD28" i="31"/>
  <c r="AD29" i="31"/>
  <c r="AD30" i="31"/>
  <c r="AD31" i="31"/>
  <c r="AD32" i="31"/>
  <c r="AD33" i="31"/>
  <c r="AD34" i="31"/>
  <c r="AD35" i="31"/>
  <c r="AD36" i="31"/>
  <c r="AD37" i="31"/>
  <c r="AD38" i="31"/>
  <c r="AD39" i="31"/>
  <c r="AD40" i="31"/>
  <c r="AD41" i="31"/>
  <c r="AD42" i="31"/>
  <c r="AD43" i="31"/>
  <c r="AD44" i="31"/>
  <c r="AD45" i="31"/>
  <c r="AD46" i="31"/>
  <c r="AD47" i="31"/>
  <c r="AD48" i="31"/>
  <c r="AD49" i="31"/>
  <c r="AD50" i="31"/>
  <c r="AD51" i="31"/>
  <c r="AD52" i="31"/>
  <c r="AD53" i="31"/>
  <c r="AD54" i="31"/>
  <c r="AD55" i="31"/>
  <c r="AD56" i="31"/>
  <c r="AD57" i="31"/>
  <c r="AD58" i="31"/>
  <c r="AD59" i="31"/>
  <c r="AD60" i="31"/>
  <c r="AD61" i="31"/>
  <c r="AD62" i="31"/>
  <c r="AD63" i="31"/>
  <c r="AD64" i="31"/>
  <c r="AD65" i="31"/>
  <c r="AD66" i="31"/>
  <c r="AD67" i="31"/>
  <c r="AD68" i="31"/>
  <c r="AD69" i="31"/>
  <c r="AD70" i="31"/>
  <c r="AD71" i="31"/>
  <c r="AD72" i="31"/>
  <c r="AD73" i="31"/>
  <c r="AD74" i="31"/>
  <c r="AD75" i="31"/>
  <c r="AD76" i="31"/>
  <c r="AD77" i="31"/>
  <c r="AD78" i="31"/>
  <c r="AD79" i="31"/>
  <c r="AD80" i="31"/>
  <c r="AD81" i="31"/>
  <c r="AD82" i="31"/>
  <c r="AD83" i="31"/>
  <c r="AD84" i="31"/>
  <c r="AD85" i="31"/>
  <c r="AD86" i="31"/>
  <c r="AD87" i="31"/>
  <c r="AD88" i="31"/>
  <c r="AD89" i="31"/>
  <c r="AD90" i="31"/>
  <c r="AD91" i="31"/>
  <c r="AD92" i="31"/>
  <c r="AD93" i="31"/>
  <c r="AD94" i="31"/>
  <c r="AD96" i="31"/>
  <c r="AD97" i="31"/>
  <c r="AD98" i="31"/>
  <c r="AD99" i="31"/>
  <c r="AD100" i="31"/>
  <c r="AD101" i="31"/>
  <c r="AD102" i="31"/>
  <c r="AD103" i="31"/>
  <c r="AD104" i="31"/>
  <c r="AD105" i="31"/>
  <c r="AD106" i="31"/>
  <c r="AD107" i="31"/>
  <c r="AD108" i="31"/>
  <c r="AD109" i="31"/>
  <c r="AD110" i="31"/>
  <c r="AD111" i="31"/>
  <c r="AD112" i="31"/>
  <c r="AD113" i="31"/>
  <c r="AD114" i="31"/>
  <c r="AD115" i="31"/>
  <c r="AD116" i="31"/>
  <c r="AD117" i="31"/>
  <c r="AD118" i="31"/>
  <c r="AD119" i="31"/>
  <c r="AD120" i="31"/>
  <c r="AD121" i="31"/>
  <c r="AD122" i="31"/>
  <c r="AD123" i="31"/>
  <c r="AD124" i="31"/>
  <c r="AD125" i="31"/>
  <c r="AD126" i="31"/>
  <c r="AD136" i="31"/>
  <c r="AD137" i="31"/>
  <c r="AD138" i="31"/>
  <c r="AD139" i="31"/>
  <c r="AD140" i="31"/>
  <c r="AD141" i="31"/>
  <c r="AD142" i="31"/>
  <c r="AD143" i="31"/>
  <c r="AD144" i="31"/>
  <c r="AD145" i="31"/>
  <c r="AD146" i="31"/>
  <c r="AD147" i="31"/>
  <c r="AD148" i="31"/>
  <c r="AD149" i="31"/>
  <c r="AD150" i="31"/>
  <c r="AD151" i="31"/>
  <c r="AD152" i="31"/>
  <c r="AD153" i="31"/>
  <c r="AD154" i="31"/>
  <c r="AD155" i="31"/>
  <c r="AD156" i="31"/>
  <c r="AD157" i="31"/>
  <c r="AD158" i="31"/>
  <c r="AD159" i="31"/>
  <c r="AD160" i="31"/>
  <c r="AD161" i="31"/>
  <c r="AD162" i="31"/>
  <c r="AD163" i="31"/>
  <c r="AD164" i="31"/>
  <c r="AD165" i="31"/>
  <c r="AD166" i="31"/>
  <c r="AD167" i="31"/>
  <c r="AD168" i="31"/>
  <c r="AD169" i="31"/>
  <c r="AD170" i="31"/>
  <c r="AD171" i="31"/>
  <c r="AD172" i="31"/>
  <c r="AD173" i="31"/>
  <c r="AD174" i="31"/>
  <c r="AD175" i="31"/>
  <c r="AD176" i="31"/>
  <c r="AD177" i="31"/>
  <c r="AD178" i="31"/>
  <c r="AD179" i="31"/>
  <c r="AD180" i="31"/>
  <c r="AD181" i="31"/>
  <c r="AD182" i="31"/>
  <c r="AD183" i="31"/>
  <c r="AD184" i="31"/>
  <c r="AD185" i="31"/>
  <c r="AD186" i="31"/>
  <c r="AD187" i="31"/>
  <c r="AD188" i="31"/>
  <c r="AD189" i="31"/>
  <c r="AD190" i="31"/>
  <c r="AD191" i="31"/>
  <c r="AD192" i="31"/>
  <c r="AD193" i="31"/>
  <c r="AD194" i="31"/>
  <c r="AD195" i="31"/>
  <c r="AD196" i="31"/>
  <c r="AD197" i="31"/>
  <c r="AD198" i="31"/>
  <c r="AD199" i="31"/>
  <c r="AD200" i="31"/>
  <c r="AD201" i="31"/>
  <c r="AD202" i="31"/>
  <c r="AD203" i="31"/>
  <c r="AD204" i="31"/>
  <c r="AD205" i="31"/>
  <c r="AD206" i="31"/>
  <c r="AD207" i="31"/>
  <c r="AD208" i="31"/>
  <c r="AD209" i="31"/>
  <c r="AD210" i="31"/>
  <c r="AD211" i="31"/>
  <c r="AD212" i="31"/>
  <c r="AD213" i="31"/>
  <c r="AD214" i="31"/>
  <c r="AD215" i="31"/>
  <c r="AD216" i="31"/>
  <c r="AD217" i="31"/>
  <c r="AD218" i="31"/>
  <c r="AD219" i="31"/>
  <c r="AD220" i="31"/>
  <c r="AD221" i="31"/>
  <c r="AD222" i="31"/>
  <c r="AD223" i="31"/>
  <c r="AD224" i="31"/>
  <c r="AD225" i="31"/>
  <c r="AD226" i="31"/>
  <c r="AD227" i="31"/>
  <c r="AD228" i="31"/>
  <c r="AD229" i="31"/>
  <c r="AD230" i="31"/>
  <c r="AD231" i="31"/>
  <c r="AD232" i="31"/>
  <c r="AD233" i="31"/>
  <c r="AD234" i="31"/>
  <c r="AD235" i="31"/>
  <c r="AD236" i="31"/>
  <c r="AD237" i="31"/>
  <c r="AD238" i="31"/>
  <c r="AD239" i="31"/>
  <c r="AD240" i="31"/>
  <c r="AD241" i="31"/>
  <c r="AD242" i="31"/>
  <c r="AD243" i="31"/>
  <c r="AD244" i="31"/>
  <c r="AD245" i="31"/>
  <c r="AD246" i="31"/>
  <c r="AD247" i="31"/>
  <c r="AD248" i="31"/>
  <c r="AD249" i="31"/>
  <c r="AD250" i="31"/>
  <c r="AD251" i="31"/>
  <c r="AD252" i="31"/>
  <c r="AD253" i="31"/>
  <c r="AD254" i="31"/>
  <c r="AD255" i="31"/>
  <c r="AD256" i="31"/>
  <c r="AD257" i="31"/>
  <c r="AD258" i="31"/>
  <c r="AD259" i="31"/>
  <c r="AD260" i="31"/>
  <c r="AD261" i="31"/>
  <c r="AD262" i="31"/>
  <c r="AD263" i="31"/>
  <c r="AD264" i="31"/>
  <c r="AD265" i="31"/>
  <c r="AD266" i="31"/>
  <c r="AD267" i="31"/>
  <c r="AD268" i="31"/>
  <c r="AD269" i="31"/>
  <c r="AD270" i="31"/>
  <c r="AD271" i="31"/>
  <c r="AD272" i="31"/>
  <c r="AD273" i="31"/>
  <c r="AD274" i="31"/>
  <c r="AD275" i="31"/>
  <c r="AD276" i="31"/>
  <c r="AD277" i="31"/>
  <c r="AD278" i="31"/>
  <c r="AD279" i="31"/>
  <c r="AD280" i="31"/>
  <c r="AD281" i="31"/>
  <c r="AD282" i="31"/>
  <c r="AD283" i="31"/>
  <c r="AD284" i="31"/>
  <c r="AD285" i="31"/>
  <c r="AD286" i="31"/>
  <c r="AD287" i="31"/>
  <c r="AD288" i="31"/>
  <c r="AD289" i="31"/>
  <c r="AD290" i="31"/>
  <c r="AD291" i="31"/>
  <c r="AD292" i="31"/>
  <c r="AD293" i="31"/>
  <c r="AD294" i="31"/>
  <c r="AD295" i="31"/>
  <c r="AD296" i="31"/>
  <c r="AD297" i="31"/>
  <c r="AD298" i="31"/>
  <c r="AD299" i="31"/>
  <c r="AD300" i="31"/>
  <c r="AD301" i="31"/>
  <c r="AD302" i="31"/>
  <c r="AD303" i="31"/>
  <c r="AD304" i="31"/>
  <c r="AD305" i="31"/>
  <c r="AD306" i="31"/>
  <c r="AD307" i="31"/>
  <c r="AD308" i="31"/>
  <c r="AD309" i="31"/>
  <c r="AD310" i="31"/>
  <c r="AD311" i="31"/>
  <c r="AD312" i="31"/>
  <c r="AD313" i="31"/>
  <c r="AD314" i="31"/>
  <c r="AD315" i="31"/>
  <c r="AD316" i="31"/>
  <c r="AD317" i="31"/>
  <c r="AD318" i="31"/>
  <c r="AD319" i="31"/>
  <c r="AD320" i="31"/>
  <c r="AD321" i="31"/>
  <c r="AD322" i="31"/>
  <c r="AD323" i="31"/>
  <c r="AD324" i="31"/>
  <c r="AD325" i="31"/>
  <c r="AD326" i="31"/>
  <c r="AD327" i="31"/>
  <c r="AD328" i="31"/>
  <c r="AD329" i="31"/>
  <c r="AD330" i="31"/>
  <c r="AD331" i="31"/>
  <c r="AD332" i="31"/>
  <c r="AD333" i="31"/>
  <c r="AD334" i="31"/>
  <c r="AD335" i="31"/>
  <c r="AD336" i="31"/>
  <c r="AD337" i="31"/>
  <c r="AD338" i="31"/>
  <c r="AD339" i="31"/>
  <c r="AD340" i="31"/>
  <c r="AD341" i="31"/>
  <c r="AD342" i="31"/>
  <c r="AD343" i="31"/>
  <c r="AD344" i="31"/>
  <c r="AD345" i="31"/>
  <c r="AD346" i="31"/>
  <c r="AD347" i="31"/>
  <c r="AD348" i="31"/>
  <c r="AD349" i="31"/>
  <c r="AD350" i="31"/>
  <c r="AD351" i="31"/>
  <c r="AD352" i="31"/>
  <c r="AD353" i="31"/>
  <c r="AD354" i="31"/>
  <c r="AD355" i="31"/>
  <c r="AD356" i="31"/>
  <c r="AD357" i="31"/>
  <c r="AD358" i="31"/>
  <c r="AD359" i="31"/>
  <c r="AD360" i="31"/>
  <c r="AD361" i="31"/>
  <c r="AD362" i="31"/>
  <c r="AD363" i="31"/>
  <c r="AD364" i="31"/>
  <c r="AD365" i="31"/>
  <c r="AD366" i="31"/>
  <c r="AD367" i="31"/>
  <c r="AD368" i="31"/>
  <c r="AD369" i="31"/>
  <c r="AD370" i="31"/>
  <c r="AD371" i="31"/>
  <c r="AD372" i="31"/>
  <c r="AD373" i="31"/>
  <c r="AD374" i="31"/>
  <c r="AD375" i="31"/>
  <c r="AD376" i="31"/>
  <c r="AD377" i="31"/>
  <c r="AD378" i="31"/>
  <c r="AD379" i="31"/>
  <c r="AD380" i="31"/>
  <c r="AD381" i="31"/>
  <c r="AD382" i="31"/>
  <c r="AD383" i="31"/>
  <c r="AD384" i="31"/>
  <c r="AD385" i="31"/>
  <c r="AD386" i="31"/>
  <c r="AD387" i="31"/>
  <c r="AD388" i="31"/>
  <c r="AD389" i="31"/>
  <c r="AD390" i="31"/>
  <c r="AD391" i="31"/>
  <c r="AD392" i="31"/>
  <c r="AD393" i="31"/>
  <c r="AD394" i="31"/>
  <c r="AD395" i="31"/>
  <c r="AD396" i="31"/>
  <c r="AD397" i="31"/>
  <c r="AD398" i="31"/>
  <c r="AD399" i="31"/>
  <c r="AD400" i="31"/>
  <c r="AD401" i="31"/>
  <c r="AD402" i="31"/>
  <c r="AD403" i="31"/>
  <c r="AD404" i="31"/>
  <c r="AD405" i="31"/>
  <c r="AD406" i="31"/>
  <c r="AD407" i="31"/>
  <c r="AD408" i="31"/>
  <c r="AD409" i="31"/>
  <c r="AD410" i="31"/>
  <c r="AD411" i="31"/>
  <c r="AD412" i="31"/>
  <c r="AD413" i="31"/>
  <c r="AD414" i="31"/>
  <c r="AD415" i="31"/>
  <c r="AD416" i="31"/>
  <c r="AD417" i="31"/>
  <c r="AD418" i="31"/>
  <c r="AD419" i="31"/>
  <c r="AD420" i="31"/>
  <c r="AD421" i="31"/>
  <c r="AD422" i="31"/>
  <c r="AD423" i="31"/>
  <c r="AD424" i="31"/>
  <c r="AD425" i="31"/>
  <c r="AD426" i="31"/>
  <c r="AD427" i="31"/>
  <c r="AD428" i="31"/>
  <c r="AD429" i="31"/>
  <c r="AD430" i="31"/>
  <c r="AD431" i="31"/>
  <c r="AD432" i="31"/>
  <c r="AD433" i="31"/>
  <c r="AD434" i="31"/>
  <c r="AD435" i="31"/>
  <c r="AD436" i="31"/>
  <c r="AD437" i="31"/>
  <c r="AD438" i="31"/>
  <c r="AD439" i="31"/>
  <c r="AD440" i="31"/>
  <c r="AD441" i="31"/>
  <c r="AD442" i="31"/>
  <c r="AD443" i="31"/>
  <c r="AD444" i="31"/>
  <c r="AD445" i="31"/>
  <c r="AD446" i="31"/>
  <c r="AD447" i="31"/>
  <c r="AD448" i="31"/>
  <c r="AD449" i="31"/>
  <c r="AD450" i="31"/>
  <c r="AD451" i="31"/>
  <c r="AD452" i="31"/>
  <c r="AD453" i="31"/>
  <c r="AD454" i="31"/>
  <c r="AD455" i="31"/>
  <c r="AD456" i="31"/>
  <c r="AD457" i="31"/>
  <c r="AD458" i="31"/>
  <c r="AD459" i="31"/>
  <c r="AD460" i="31"/>
  <c r="AD461" i="31"/>
  <c r="AD462" i="31"/>
  <c r="AD463" i="31"/>
  <c r="AD464" i="31"/>
  <c r="AD465" i="31"/>
  <c r="AD466" i="31"/>
  <c r="AD467" i="31"/>
  <c r="AD468" i="31"/>
  <c r="AD469" i="31"/>
  <c r="AD470" i="31"/>
  <c r="AD471" i="31"/>
  <c r="AD472" i="31"/>
  <c r="AD473" i="31"/>
  <c r="AD474" i="31"/>
  <c r="AD475" i="31"/>
  <c r="AD476" i="31"/>
  <c r="AD477" i="31"/>
  <c r="AD478" i="31"/>
  <c r="AD479" i="31"/>
  <c r="AD480" i="31"/>
  <c r="AD481" i="31"/>
  <c r="AD482" i="31"/>
  <c r="AD483" i="31"/>
  <c r="AD484" i="31"/>
  <c r="AD485" i="31"/>
  <c r="AD486" i="31"/>
  <c r="AD487" i="31"/>
  <c r="AD488" i="31"/>
  <c r="AD489" i="31"/>
  <c r="AD490" i="31"/>
  <c r="AD491" i="31"/>
  <c r="AD492" i="31"/>
  <c r="AD493" i="31"/>
  <c r="AD494" i="31"/>
  <c r="AD495" i="31"/>
  <c r="AD496" i="31"/>
  <c r="AD497" i="31"/>
  <c r="AD498" i="31"/>
  <c r="AD499" i="31"/>
  <c r="AD500" i="31"/>
  <c r="AD501" i="31"/>
  <c r="AD502" i="31"/>
  <c r="AD503" i="31"/>
  <c r="AD504" i="31"/>
  <c r="AD505" i="31"/>
  <c r="AD506" i="31"/>
  <c r="AD507" i="31"/>
  <c r="AD508" i="31"/>
  <c r="AD509" i="31"/>
  <c r="AD510" i="31"/>
  <c r="AD511" i="31"/>
  <c r="AD512" i="31"/>
  <c r="AD513" i="31"/>
  <c r="AD514" i="31"/>
  <c r="AD515" i="31"/>
  <c r="AD516" i="31"/>
  <c r="AD517" i="31"/>
  <c r="AD518" i="31"/>
  <c r="AD519" i="31"/>
  <c r="AD520" i="31"/>
  <c r="AD521" i="31"/>
  <c r="AD522" i="31"/>
  <c r="AD523" i="31"/>
  <c r="AD524" i="31"/>
  <c r="AD525" i="31"/>
  <c r="AD526" i="31"/>
  <c r="AD527" i="31"/>
  <c r="AD528" i="31"/>
  <c r="AD529" i="31"/>
  <c r="AD530" i="31"/>
  <c r="AD531" i="31"/>
  <c r="AD532" i="31"/>
  <c r="AD533" i="31"/>
  <c r="AD534" i="31"/>
  <c r="AD535" i="31"/>
  <c r="AD536" i="31"/>
  <c r="AD537" i="31"/>
  <c r="AD538" i="31"/>
  <c r="AD539" i="31"/>
  <c r="AD540" i="31"/>
  <c r="AD541" i="31"/>
  <c r="AD542" i="31"/>
  <c r="AD543" i="31"/>
  <c r="AD544" i="31"/>
  <c r="AD545" i="31"/>
  <c r="AD546" i="31"/>
  <c r="AD547" i="31"/>
  <c r="AD548" i="31"/>
  <c r="AD549" i="31"/>
  <c r="AD550" i="31"/>
  <c r="AD551" i="31"/>
  <c r="AD552" i="31"/>
  <c r="AD553" i="31"/>
  <c r="AD554" i="31"/>
  <c r="AD555" i="31"/>
  <c r="AD556" i="31"/>
  <c r="AD557" i="31"/>
  <c r="AD558" i="31"/>
  <c r="AD559" i="31"/>
  <c r="AD560" i="31"/>
  <c r="AD561" i="31"/>
  <c r="AD562" i="31"/>
  <c r="AD563" i="31"/>
  <c r="AD564" i="31"/>
  <c r="AD565" i="31"/>
  <c r="AD566" i="31"/>
  <c r="AD567" i="31"/>
  <c r="AD568" i="31"/>
  <c r="AD569" i="31"/>
  <c r="AD570" i="31"/>
  <c r="AD571" i="31"/>
  <c r="AD572" i="31"/>
  <c r="AD573" i="31"/>
  <c r="AD574" i="31"/>
  <c r="AD575" i="31"/>
  <c r="AD576" i="31"/>
  <c r="AD577" i="31"/>
  <c r="AD578" i="31"/>
  <c r="AD579" i="31"/>
  <c r="AD580" i="31"/>
  <c r="AD581" i="31"/>
  <c r="AD582" i="31"/>
  <c r="AD583" i="31"/>
  <c r="AD584" i="31"/>
  <c r="AD585" i="31"/>
  <c r="AD586" i="31"/>
  <c r="AD587" i="31"/>
  <c r="AD588" i="31"/>
  <c r="AD589" i="31"/>
  <c r="AD590" i="31"/>
  <c r="AD591" i="31"/>
  <c r="AD592" i="31"/>
  <c r="AD593" i="31"/>
  <c r="AD594" i="31"/>
  <c r="AD595" i="31"/>
  <c r="AD596" i="31"/>
  <c r="AD597" i="31"/>
  <c r="AD598" i="31"/>
  <c r="AD599" i="31"/>
  <c r="AD600" i="31"/>
  <c r="AD601" i="31"/>
  <c r="AD602" i="31"/>
  <c r="AD603" i="31"/>
  <c r="AD604" i="31"/>
  <c r="AD605" i="31"/>
  <c r="AD606" i="31"/>
  <c r="AD607" i="31"/>
  <c r="AD608" i="31"/>
  <c r="AD609" i="31"/>
  <c r="AD610" i="31"/>
  <c r="AD611" i="31"/>
  <c r="AD612" i="31"/>
  <c r="AD613" i="31"/>
  <c r="AD614" i="31"/>
  <c r="AD615" i="31"/>
  <c r="AD616" i="31"/>
  <c r="AD617" i="31"/>
  <c r="AD618" i="31"/>
  <c r="AD619" i="31"/>
  <c r="AD620" i="31"/>
  <c r="AD621" i="31"/>
  <c r="AD622" i="31"/>
  <c r="AD623" i="31"/>
  <c r="AD624" i="31"/>
  <c r="AD625" i="31"/>
  <c r="AD626" i="31"/>
  <c r="AD627" i="31"/>
  <c r="AD628" i="31"/>
  <c r="AD629" i="31"/>
  <c r="AD630" i="31"/>
  <c r="AD631" i="31"/>
  <c r="AD632" i="31"/>
  <c r="AD633" i="31"/>
  <c r="AD634" i="31"/>
  <c r="AD635" i="31"/>
  <c r="AD636" i="31"/>
  <c r="AD637" i="31"/>
  <c r="AD638" i="31"/>
  <c r="AD639" i="31"/>
  <c r="AD640" i="31"/>
  <c r="AD641" i="31"/>
  <c r="AD642" i="31"/>
  <c r="AD643" i="31"/>
  <c r="AD644" i="31"/>
  <c r="AD645" i="31"/>
  <c r="AD646" i="31"/>
  <c r="AD647" i="31"/>
  <c r="AD648" i="31"/>
  <c r="AD649" i="31"/>
  <c r="AD650" i="31"/>
  <c r="AD651" i="31"/>
  <c r="AD652" i="31"/>
  <c r="AD653" i="31"/>
  <c r="AD654" i="31"/>
  <c r="AD655" i="31"/>
  <c r="AD656" i="31"/>
  <c r="AD657" i="31"/>
  <c r="AD658" i="31"/>
  <c r="AD659" i="31"/>
  <c r="AD660" i="31"/>
  <c r="AD661" i="31"/>
  <c r="AD662" i="31"/>
  <c r="AD663" i="31"/>
  <c r="AD664" i="31"/>
  <c r="AD665" i="31"/>
  <c r="AD666" i="31"/>
  <c r="AD667" i="31"/>
  <c r="AD668" i="31"/>
  <c r="AD669" i="31"/>
  <c r="AD670" i="31"/>
  <c r="AD671" i="31"/>
  <c r="AD672" i="31"/>
  <c r="AD673" i="31"/>
  <c r="AD674" i="31"/>
  <c r="AD675" i="31"/>
  <c r="AD676" i="31"/>
  <c r="AD677" i="31"/>
  <c r="AD678" i="31"/>
  <c r="AD679" i="31"/>
  <c r="AD680" i="31"/>
  <c r="AD681" i="31"/>
  <c r="AD682" i="31"/>
  <c r="AD683" i="31"/>
  <c r="AD684" i="31"/>
  <c r="AD685" i="31"/>
  <c r="AD686" i="31"/>
  <c r="AD687" i="31"/>
  <c r="AD688" i="31"/>
  <c r="AD689" i="31"/>
  <c r="AD690" i="31"/>
  <c r="AD691" i="31"/>
  <c r="AD692" i="31"/>
  <c r="AD693" i="31"/>
  <c r="AD694" i="31"/>
  <c r="AD695" i="31"/>
  <c r="AD696" i="31"/>
  <c r="AD697" i="31"/>
  <c r="AD698" i="31"/>
  <c r="AD699" i="31"/>
  <c r="AD700" i="31"/>
  <c r="AD701" i="31"/>
  <c r="AD702" i="31"/>
  <c r="AD703" i="31"/>
  <c r="AD704" i="31"/>
  <c r="AD705" i="31"/>
  <c r="AD706" i="31"/>
  <c r="AD707" i="31"/>
  <c r="AD708" i="31"/>
  <c r="AD709" i="31"/>
  <c r="AD710" i="31"/>
  <c r="AD711" i="31"/>
  <c r="AD712" i="31"/>
  <c r="AD713" i="31"/>
  <c r="AD714" i="31"/>
  <c r="AD715" i="31"/>
  <c r="AD716" i="31"/>
  <c r="AD717" i="31"/>
  <c r="AD718" i="31"/>
  <c r="AD719" i="31"/>
  <c r="AD720" i="31"/>
  <c r="AD721" i="31"/>
  <c r="AD722" i="31"/>
  <c r="AD723" i="31"/>
  <c r="AD724" i="31"/>
  <c r="AD725" i="31"/>
  <c r="AD726" i="31"/>
  <c r="AD727" i="31"/>
  <c r="AD728" i="31"/>
  <c r="AD729" i="31"/>
  <c r="AD730" i="31"/>
  <c r="AD731" i="31"/>
  <c r="AD732" i="31"/>
  <c r="AD733" i="31"/>
  <c r="AD734" i="31"/>
  <c r="AD735" i="31"/>
  <c r="AD736" i="31"/>
  <c r="AD737" i="31"/>
  <c r="AD738" i="31"/>
  <c r="AD739" i="31"/>
  <c r="AD740" i="31"/>
  <c r="AD741" i="31"/>
  <c r="AD742" i="31"/>
  <c r="AD743" i="31"/>
  <c r="AD744" i="31"/>
  <c r="AD745" i="31"/>
  <c r="AD746" i="31"/>
  <c r="AD747" i="31"/>
  <c r="AD748" i="31"/>
  <c r="AD749" i="31"/>
  <c r="AD750" i="31"/>
  <c r="AD751" i="31"/>
  <c r="AD752" i="31"/>
  <c r="AD753" i="31"/>
  <c r="AD754" i="31"/>
  <c r="AD755" i="31"/>
  <c r="AD756" i="31"/>
  <c r="AD757" i="31"/>
  <c r="AD758" i="31"/>
  <c r="AD759" i="31"/>
  <c r="AD760" i="31"/>
  <c r="AD761" i="31"/>
  <c r="AD762" i="31"/>
  <c r="AD763" i="31"/>
  <c r="AD764" i="31"/>
  <c r="AD765" i="31"/>
  <c r="AD766" i="31"/>
  <c r="AD767" i="31"/>
  <c r="AD768" i="31"/>
  <c r="AD769" i="31"/>
  <c r="AD770" i="31"/>
  <c r="AD771" i="31"/>
  <c r="AD772" i="31"/>
  <c r="AD773" i="31"/>
  <c r="AD774" i="31"/>
  <c r="AD775" i="31"/>
  <c r="AD776" i="31"/>
  <c r="AD777" i="31"/>
  <c r="AD778" i="31"/>
  <c r="AD779" i="31"/>
  <c r="AD780" i="31"/>
  <c r="AD781" i="31"/>
  <c r="AD782" i="31"/>
  <c r="AD783" i="31"/>
  <c r="AD784" i="31"/>
  <c r="AD785" i="31"/>
  <c r="AD786" i="31"/>
  <c r="AD787" i="31"/>
  <c r="AD788" i="31"/>
  <c r="AD789" i="31"/>
  <c r="AD790" i="31"/>
  <c r="AD791" i="31"/>
  <c r="AD792" i="31"/>
  <c r="AD793" i="31"/>
  <c r="AD794" i="31"/>
  <c r="AD795" i="31"/>
  <c r="AD796" i="31"/>
  <c r="AD797" i="31"/>
  <c r="AD798" i="31"/>
  <c r="AD799" i="31"/>
  <c r="AD800" i="31"/>
  <c r="AD801" i="31"/>
  <c r="AD802" i="31"/>
  <c r="AD803" i="31"/>
  <c r="AD804" i="31"/>
  <c r="AD805" i="31"/>
  <c r="AD806" i="31"/>
  <c r="AD807" i="31"/>
  <c r="AD808" i="31"/>
  <c r="AD809" i="31"/>
  <c r="AD6" i="31"/>
  <c r="T7" i="31"/>
  <c r="U7" i="31"/>
  <c r="V7" i="31"/>
  <c r="W7" i="31"/>
  <c r="T8" i="31"/>
  <c r="U8" i="31"/>
  <c r="V8" i="31"/>
  <c r="W8" i="31"/>
  <c r="T9" i="31"/>
  <c r="U9" i="31"/>
  <c r="V9" i="31"/>
  <c r="W9" i="31"/>
  <c r="T10" i="31"/>
  <c r="U10" i="31"/>
  <c r="V10" i="31"/>
  <c r="W10" i="31"/>
  <c r="T11" i="31"/>
  <c r="U11" i="31"/>
  <c r="V11" i="31"/>
  <c r="W11" i="31"/>
  <c r="T12" i="31"/>
  <c r="U12" i="31"/>
  <c r="V12" i="31"/>
  <c r="W12" i="31"/>
  <c r="T13" i="31"/>
  <c r="U13" i="31"/>
  <c r="V13" i="31"/>
  <c r="W13" i="31"/>
  <c r="T14" i="31"/>
  <c r="U14" i="31"/>
  <c r="V14" i="31"/>
  <c r="W14" i="31"/>
  <c r="T15" i="31"/>
  <c r="U15" i="31"/>
  <c r="V15" i="31"/>
  <c r="W15" i="31"/>
  <c r="T16" i="31"/>
  <c r="U16" i="31"/>
  <c r="V16" i="31"/>
  <c r="W16" i="31"/>
  <c r="T17" i="31"/>
  <c r="U17" i="31"/>
  <c r="V17" i="31"/>
  <c r="W17" i="31"/>
  <c r="T18" i="31"/>
  <c r="U18" i="31"/>
  <c r="V18" i="31"/>
  <c r="W18" i="31"/>
  <c r="T19" i="31"/>
  <c r="U19" i="31"/>
  <c r="V19" i="31"/>
  <c r="W19" i="31"/>
  <c r="T20" i="31"/>
  <c r="U20" i="31"/>
  <c r="V20" i="31"/>
  <c r="W20" i="31"/>
  <c r="T21" i="31"/>
  <c r="U21" i="31"/>
  <c r="V21" i="31"/>
  <c r="W21" i="31"/>
  <c r="T22" i="31"/>
  <c r="U22" i="31"/>
  <c r="V22" i="31"/>
  <c r="W22" i="31"/>
  <c r="T23" i="31"/>
  <c r="U23" i="31"/>
  <c r="V23" i="31"/>
  <c r="W23" i="31"/>
  <c r="T24" i="31"/>
  <c r="U24" i="31"/>
  <c r="V24" i="31"/>
  <c r="W24" i="31"/>
  <c r="T25" i="31"/>
  <c r="U25" i="31"/>
  <c r="V25" i="31"/>
  <c r="W25" i="31"/>
  <c r="T26" i="31"/>
  <c r="U26" i="31"/>
  <c r="V26" i="31"/>
  <c r="W26" i="31"/>
  <c r="T27" i="31"/>
  <c r="U27" i="31"/>
  <c r="V27" i="31"/>
  <c r="W27" i="31"/>
  <c r="T28" i="31"/>
  <c r="U28" i="31"/>
  <c r="V28" i="31"/>
  <c r="W28" i="31"/>
  <c r="T29" i="31"/>
  <c r="U29" i="31"/>
  <c r="V29" i="31"/>
  <c r="W29" i="31"/>
  <c r="T30" i="31"/>
  <c r="U30" i="31"/>
  <c r="V30" i="31"/>
  <c r="W30" i="31"/>
  <c r="T31" i="31"/>
  <c r="U31" i="31"/>
  <c r="V31" i="31"/>
  <c r="W31" i="31"/>
  <c r="T32" i="31"/>
  <c r="U32" i="31"/>
  <c r="V32" i="31"/>
  <c r="W32" i="31"/>
  <c r="T33" i="31"/>
  <c r="U33" i="31"/>
  <c r="V33" i="31"/>
  <c r="W33" i="31"/>
  <c r="T34" i="31"/>
  <c r="U34" i="31"/>
  <c r="V34" i="31"/>
  <c r="W34" i="31"/>
  <c r="T35" i="31"/>
  <c r="U35" i="31"/>
  <c r="V35" i="31"/>
  <c r="W35" i="31"/>
  <c r="T36" i="31"/>
  <c r="U36" i="31"/>
  <c r="V36" i="31"/>
  <c r="W36" i="31"/>
  <c r="T37" i="31"/>
  <c r="U37" i="31"/>
  <c r="V37" i="31"/>
  <c r="W37" i="31"/>
  <c r="T38" i="31"/>
  <c r="U38" i="31"/>
  <c r="V38" i="31"/>
  <c r="W38" i="31"/>
  <c r="T39" i="31"/>
  <c r="U39" i="31"/>
  <c r="V39" i="31"/>
  <c r="W39" i="31"/>
  <c r="T40" i="31"/>
  <c r="U40" i="31"/>
  <c r="V40" i="31"/>
  <c r="W40" i="31"/>
  <c r="T41" i="31"/>
  <c r="U41" i="31"/>
  <c r="V41" i="31"/>
  <c r="W41" i="31"/>
  <c r="T42" i="31"/>
  <c r="U42" i="31"/>
  <c r="V42" i="31"/>
  <c r="W42" i="31"/>
  <c r="T43" i="31"/>
  <c r="U43" i="31"/>
  <c r="V43" i="31"/>
  <c r="W43" i="31"/>
  <c r="T44" i="31"/>
  <c r="U44" i="31"/>
  <c r="V44" i="31"/>
  <c r="W44" i="31"/>
  <c r="T45" i="31"/>
  <c r="U45" i="31"/>
  <c r="V45" i="31"/>
  <c r="W45" i="31"/>
  <c r="T46" i="31"/>
  <c r="U46" i="31"/>
  <c r="V46" i="31"/>
  <c r="W46" i="31"/>
  <c r="T47" i="31"/>
  <c r="U47" i="31"/>
  <c r="V47" i="31"/>
  <c r="W47" i="31"/>
  <c r="T48" i="31"/>
  <c r="U48" i="31"/>
  <c r="V48" i="31"/>
  <c r="W48" i="31"/>
  <c r="T49" i="31"/>
  <c r="U49" i="31"/>
  <c r="V49" i="31"/>
  <c r="W49" i="31"/>
  <c r="T50" i="31"/>
  <c r="U50" i="31"/>
  <c r="V50" i="31"/>
  <c r="W50" i="31"/>
  <c r="T51" i="31"/>
  <c r="U51" i="31"/>
  <c r="V51" i="31"/>
  <c r="W51" i="31"/>
  <c r="T52" i="31"/>
  <c r="U52" i="31"/>
  <c r="V52" i="31"/>
  <c r="W52" i="31"/>
  <c r="T53" i="31"/>
  <c r="U53" i="31"/>
  <c r="V53" i="31"/>
  <c r="W53" i="31"/>
  <c r="T54" i="31"/>
  <c r="U54" i="31"/>
  <c r="V54" i="31"/>
  <c r="W54" i="31"/>
  <c r="T55" i="31"/>
  <c r="U55" i="31"/>
  <c r="V55" i="31"/>
  <c r="W55" i="31"/>
  <c r="T56" i="31"/>
  <c r="U56" i="31"/>
  <c r="V56" i="31"/>
  <c r="W56" i="31"/>
  <c r="T57" i="31"/>
  <c r="U57" i="31"/>
  <c r="V57" i="31"/>
  <c r="W57" i="31"/>
  <c r="T58" i="31"/>
  <c r="U58" i="31"/>
  <c r="V58" i="31"/>
  <c r="W58" i="31"/>
  <c r="T59" i="31"/>
  <c r="U59" i="31"/>
  <c r="V59" i="31"/>
  <c r="W59" i="31"/>
  <c r="T60" i="31"/>
  <c r="U60" i="31"/>
  <c r="V60" i="31"/>
  <c r="W60" i="31"/>
  <c r="T61" i="31"/>
  <c r="U61" i="31"/>
  <c r="V61" i="31"/>
  <c r="W61" i="31"/>
  <c r="T62" i="31"/>
  <c r="U62" i="31"/>
  <c r="V62" i="31"/>
  <c r="W62" i="31"/>
  <c r="T63" i="31"/>
  <c r="U63" i="31"/>
  <c r="V63" i="31"/>
  <c r="W63" i="31"/>
  <c r="T64" i="31"/>
  <c r="U64" i="31"/>
  <c r="V64" i="31"/>
  <c r="W64" i="31"/>
  <c r="T65" i="31"/>
  <c r="U65" i="31"/>
  <c r="V65" i="31"/>
  <c r="W65" i="31"/>
  <c r="T66" i="31"/>
  <c r="U66" i="31"/>
  <c r="V66" i="31"/>
  <c r="W66" i="31"/>
  <c r="T67" i="31"/>
  <c r="U67" i="31"/>
  <c r="V67" i="31"/>
  <c r="W67" i="31"/>
  <c r="T68" i="31"/>
  <c r="U68" i="31"/>
  <c r="V68" i="31"/>
  <c r="W68" i="31"/>
  <c r="T69" i="31"/>
  <c r="U69" i="31"/>
  <c r="V69" i="31"/>
  <c r="W69" i="31"/>
  <c r="T70" i="31"/>
  <c r="U70" i="31"/>
  <c r="V70" i="31"/>
  <c r="W70" i="31"/>
  <c r="T71" i="31"/>
  <c r="U71" i="31"/>
  <c r="V71" i="31"/>
  <c r="W71" i="31"/>
  <c r="T72" i="31"/>
  <c r="U72" i="31"/>
  <c r="V72" i="31"/>
  <c r="W72" i="31"/>
  <c r="T73" i="31"/>
  <c r="U73" i="31"/>
  <c r="V73" i="31"/>
  <c r="W73" i="31"/>
  <c r="T74" i="31"/>
  <c r="U74" i="31"/>
  <c r="V74" i="31"/>
  <c r="W74" i="31"/>
  <c r="T75" i="31"/>
  <c r="U75" i="31"/>
  <c r="V75" i="31"/>
  <c r="W75" i="31"/>
  <c r="T76" i="31"/>
  <c r="U76" i="31"/>
  <c r="V76" i="31"/>
  <c r="W76" i="31"/>
  <c r="T77" i="31"/>
  <c r="U77" i="31"/>
  <c r="V77" i="31"/>
  <c r="W77" i="31"/>
  <c r="T78" i="31"/>
  <c r="U78" i="31"/>
  <c r="V78" i="31"/>
  <c r="W78" i="31"/>
  <c r="T79" i="31"/>
  <c r="U79" i="31"/>
  <c r="V79" i="31"/>
  <c r="W79" i="31"/>
  <c r="T80" i="31"/>
  <c r="U80" i="31"/>
  <c r="V80" i="31"/>
  <c r="W80" i="31"/>
  <c r="T81" i="31"/>
  <c r="U81" i="31"/>
  <c r="V81" i="31"/>
  <c r="W81" i="31"/>
  <c r="T82" i="31"/>
  <c r="U82" i="31"/>
  <c r="V82" i="31"/>
  <c r="W82" i="31"/>
  <c r="T83" i="31"/>
  <c r="U83" i="31"/>
  <c r="V83" i="31"/>
  <c r="W83" i="31"/>
  <c r="T84" i="31"/>
  <c r="U84" i="31"/>
  <c r="V84" i="31"/>
  <c r="W84" i="31"/>
  <c r="T85" i="31"/>
  <c r="U85" i="31"/>
  <c r="V85" i="31"/>
  <c r="W85" i="31"/>
  <c r="T86" i="31"/>
  <c r="U86" i="31"/>
  <c r="V86" i="31"/>
  <c r="W86" i="31"/>
  <c r="T87" i="31"/>
  <c r="U87" i="31"/>
  <c r="V87" i="31"/>
  <c r="W87" i="31"/>
  <c r="T88" i="31"/>
  <c r="U88" i="31"/>
  <c r="V88" i="31"/>
  <c r="W88" i="31"/>
  <c r="T89" i="31"/>
  <c r="U89" i="31"/>
  <c r="V89" i="31"/>
  <c r="W89" i="31"/>
  <c r="T90" i="31"/>
  <c r="U90" i="31"/>
  <c r="V90" i="31"/>
  <c r="W90" i="31"/>
  <c r="T91" i="31"/>
  <c r="U91" i="31"/>
  <c r="V91" i="31"/>
  <c r="W91" i="31"/>
  <c r="T92" i="31"/>
  <c r="U92" i="31"/>
  <c r="V92" i="31"/>
  <c r="W92" i="31"/>
  <c r="T93" i="31"/>
  <c r="U93" i="31"/>
  <c r="V93" i="31"/>
  <c r="W93" i="31"/>
  <c r="T94" i="31"/>
  <c r="U94" i="31"/>
  <c r="V94" i="31"/>
  <c r="W94" i="31"/>
  <c r="T95" i="31"/>
  <c r="U95" i="31"/>
  <c r="V95" i="31"/>
  <c r="W95" i="31"/>
  <c r="T96" i="31"/>
  <c r="U96" i="31"/>
  <c r="V96" i="31"/>
  <c r="W96" i="31"/>
  <c r="T97" i="31"/>
  <c r="U97" i="31"/>
  <c r="V97" i="31"/>
  <c r="W97" i="31"/>
  <c r="T98" i="31"/>
  <c r="U98" i="31"/>
  <c r="V98" i="31"/>
  <c r="W98" i="31"/>
  <c r="T99" i="31"/>
  <c r="U99" i="31"/>
  <c r="V99" i="31"/>
  <c r="W99" i="31"/>
  <c r="T100" i="31"/>
  <c r="U100" i="31"/>
  <c r="V100" i="31"/>
  <c r="W100" i="31"/>
  <c r="T101" i="31"/>
  <c r="U101" i="31"/>
  <c r="V101" i="31"/>
  <c r="W101" i="31"/>
  <c r="T102" i="31"/>
  <c r="U102" i="31"/>
  <c r="V102" i="31"/>
  <c r="W102" i="31"/>
  <c r="T103" i="31"/>
  <c r="U103" i="31"/>
  <c r="V103" i="31"/>
  <c r="W103" i="31"/>
  <c r="T104" i="31"/>
  <c r="U104" i="31"/>
  <c r="V104" i="31"/>
  <c r="W104" i="31"/>
  <c r="T105" i="31"/>
  <c r="U105" i="31"/>
  <c r="V105" i="31"/>
  <c r="W105" i="31"/>
  <c r="T106" i="31"/>
  <c r="U106" i="31"/>
  <c r="V106" i="31"/>
  <c r="W106" i="31"/>
  <c r="T107" i="31"/>
  <c r="U107" i="31"/>
  <c r="V107" i="31"/>
  <c r="W107" i="31"/>
  <c r="T108" i="31"/>
  <c r="U108" i="31"/>
  <c r="V108" i="31"/>
  <c r="W108" i="31"/>
  <c r="T109" i="31"/>
  <c r="U109" i="31"/>
  <c r="V109" i="31"/>
  <c r="W109" i="31"/>
  <c r="T110" i="31"/>
  <c r="U110" i="31"/>
  <c r="V110" i="31"/>
  <c r="W110" i="31"/>
  <c r="T111" i="31"/>
  <c r="U111" i="31"/>
  <c r="V111" i="31"/>
  <c r="W111" i="31"/>
  <c r="T112" i="31"/>
  <c r="U112" i="31"/>
  <c r="V112" i="31"/>
  <c r="W112" i="31"/>
  <c r="T113" i="31"/>
  <c r="U113" i="31"/>
  <c r="V113" i="31"/>
  <c r="W113" i="31"/>
  <c r="T114" i="31"/>
  <c r="U114" i="31"/>
  <c r="V114" i="31"/>
  <c r="W114" i="31"/>
  <c r="T115" i="31"/>
  <c r="U115" i="31"/>
  <c r="V115" i="31"/>
  <c r="W115" i="31"/>
  <c r="T116" i="31"/>
  <c r="U116" i="31"/>
  <c r="V116" i="31"/>
  <c r="W116" i="31"/>
  <c r="T117" i="31"/>
  <c r="U117" i="31"/>
  <c r="V117" i="31"/>
  <c r="W117" i="31"/>
  <c r="T118" i="31"/>
  <c r="U118" i="31"/>
  <c r="V118" i="31"/>
  <c r="W118" i="31"/>
  <c r="T119" i="31"/>
  <c r="U119" i="31"/>
  <c r="V119" i="31"/>
  <c r="W119" i="31"/>
  <c r="T120" i="31"/>
  <c r="U120" i="31"/>
  <c r="V120" i="31"/>
  <c r="W120" i="31"/>
  <c r="T121" i="31"/>
  <c r="U121" i="31"/>
  <c r="V121" i="31"/>
  <c r="W121" i="31"/>
  <c r="T122" i="31"/>
  <c r="U122" i="31"/>
  <c r="V122" i="31"/>
  <c r="W122" i="31"/>
  <c r="T123" i="31"/>
  <c r="U123" i="31"/>
  <c r="V123" i="31"/>
  <c r="W123" i="31"/>
  <c r="T124" i="31"/>
  <c r="U124" i="31"/>
  <c r="V124" i="31"/>
  <c r="W124" i="31"/>
  <c r="T125" i="31"/>
  <c r="U125" i="31"/>
  <c r="V125" i="31"/>
  <c r="W125" i="31"/>
  <c r="T126" i="31"/>
  <c r="U126" i="31"/>
  <c r="V126" i="31"/>
  <c r="W126" i="31"/>
  <c r="T136" i="31"/>
  <c r="U136" i="31"/>
  <c r="V136" i="31"/>
  <c r="W136" i="31"/>
  <c r="T137" i="31"/>
  <c r="U137" i="31"/>
  <c r="V137" i="31"/>
  <c r="W137" i="31"/>
  <c r="T138" i="31"/>
  <c r="U138" i="31"/>
  <c r="V138" i="31"/>
  <c r="W138" i="31"/>
  <c r="T139" i="31"/>
  <c r="U139" i="31"/>
  <c r="V139" i="31"/>
  <c r="W139" i="31"/>
  <c r="T140" i="31"/>
  <c r="U140" i="31"/>
  <c r="V140" i="31"/>
  <c r="W140" i="31"/>
  <c r="T141" i="31"/>
  <c r="U141" i="31"/>
  <c r="V141" i="31"/>
  <c r="W141" i="31"/>
  <c r="T142" i="31"/>
  <c r="U142" i="31"/>
  <c r="V142" i="31"/>
  <c r="W142" i="31"/>
  <c r="T143" i="31"/>
  <c r="U143" i="31"/>
  <c r="V143" i="31"/>
  <c r="W143" i="31"/>
  <c r="T144" i="31"/>
  <c r="U144" i="31"/>
  <c r="V144" i="31"/>
  <c r="W144" i="31"/>
  <c r="T145" i="31"/>
  <c r="U145" i="31"/>
  <c r="V145" i="31"/>
  <c r="W145" i="31"/>
  <c r="T146" i="31"/>
  <c r="U146" i="31"/>
  <c r="V146" i="31"/>
  <c r="W146" i="31"/>
  <c r="T147" i="31"/>
  <c r="U147" i="31"/>
  <c r="V147" i="31"/>
  <c r="W147" i="31"/>
  <c r="T148" i="31"/>
  <c r="U148" i="31"/>
  <c r="V148" i="31"/>
  <c r="W148" i="31"/>
  <c r="T149" i="31"/>
  <c r="U149" i="31"/>
  <c r="V149" i="31"/>
  <c r="W149" i="31"/>
  <c r="T150" i="31"/>
  <c r="U150" i="31"/>
  <c r="V150" i="31"/>
  <c r="W150" i="31"/>
  <c r="T151" i="31"/>
  <c r="U151" i="31"/>
  <c r="V151" i="31"/>
  <c r="W151" i="31"/>
  <c r="T152" i="31"/>
  <c r="U152" i="31"/>
  <c r="V152" i="31"/>
  <c r="W152" i="31"/>
  <c r="T153" i="31"/>
  <c r="U153" i="31"/>
  <c r="V153" i="31"/>
  <c r="W153" i="31"/>
  <c r="T154" i="31"/>
  <c r="U154" i="31"/>
  <c r="V154" i="31"/>
  <c r="W154" i="31"/>
  <c r="T155" i="31"/>
  <c r="U155" i="31"/>
  <c r="V155" i="31"/>
  <c r="W155" i="31"/>
  <c r="T156" i="31"/>
  <c r="U156" i="31"/>
  <c r="V156" i="31"/>
  <c r="W156" i="31"/>
  <c r="T157" i="31"/>
  <c r="U157" i="31"/>
  <c r="V157" i="31"/>
  <c r="W157" i="31"/>
  <c r="T158" i="31"/>
  <c r="U158" i="31"/>
  <c r="V158" i="31"/>
  <c r="W158" i="31"/>
  <c r="T159" i="31"/>
  <c r="U159" i="31"/>
  <c r="V159" i="31"/>
  <c r="W159" i="31"/>
  <c r="T160" i="31"/>
  <c r="U160" i="31"/>
  <c r="V160" i="31"/>
  <c r="W160" i="31"/>
  <c r="T161" i="31"/>
  <c r="U161" i="31"/>
  <c r="V161" i="31"/>
  <c r="W161" i="31"/>
  <c r="T162" i="31"/>
  <c r="U162" i="31"/>
  <c r="V162" i="31"/>
  <c r="W162" i="31"/>
  <c r="T163" i="31"/>
  <c r="U163" i="31"/>
  <c r="V163" i="31"/>
  <c r="W163" i="31"/>
  <c r="T164" i="31"/>
  <c r="U164" i="31"/>
  <c r="V164" i="31"/>
  <c r="W164" i="31"/>
  <c r="T165" i="31"/>
  <c r="U165" i="31"/>
  <c r="V165" i="31"/>
  <c r="W165" i="31"/>
  <c r="T166" i="31"/>
  <c r="U166" i="31"/>
  <c r="V166" i="31"/>
  <c r="W166" i="31"/>
  <c r="T167" i="31"/>
  <c r="U167" i="31"/>
  <c r="V167" i="31"/>
  <c r="W167" i="31"/>
  <c r="T168" i="31"/>
  <c r="U168" i="31"/>
  <c r="V168" i="31"/>
  <c r="W168" i="31"/>
  <c r="T169" i="31"/>
  <c r="U169" i="31"/>
  <c r="V169" i="31"/>
  <c r="W169" i="31"/>
  <c r="T170" i="31"/>
  <c r="U170" i="31"/>
  <c r="V170" i="31"/>
  <c r="W170" i="31"/>
  <c r="T171" i="31"/>
  <c r="U171" i="31"/>
  <c r="V171" i="31"/>
  <c r="W171" i="31"/>
  <c r="T172" i="31"/>
  <c r="U172" i="31"/>
  <c r="V172" i="31"/>
  <c r="W172" i="31"/>
  <c r="T173" i="31"/>
  <c r="U173" i="31"/>
  <c r="V173" i="31"/>
  <c r="W173" i="31"/>
  <c r="T174" i="31"/>
  <c r="U174" i="31"/>
  <c r="V174" i="31"/>
  <c r="W174" i="31"/>
  <c r="T175" i="31"/>
  <c r="U175" i="31"/>
  <c r="V175" i="31"/>
  <c r="W175" i="31"/>
  <c r="T176" i="31"/>
  <c r="U176" i="31"/>
  <c r="V176" i="31"/>
  <c r="W176" i="31"/>
  <c r="T177" i="31"/>
  <c r="U177" i="31"/>
  <c r="V177" i="31"/>
  <c r="W177" i="31"/>
  <c r="T178" i="31"/>
  <c r="U178" i="31"/>
  <c r="V178" i="31"/>
  <c r="W178" i="31"/>
  <c r="T179" i="31"/>
  <c r="U179" i="31"/>
  <c r="V179" i="31"/>
  <c r="W179" i="31"/>
  <c r="T180" i="31"/>
  <c r="U180" i="31"/>
  <c r="V180" i="31"/>
  <c r="W180" i="31"/>
  <c r="T181" i="31"/>
  <c r="U181" i="31"/>
  <c r="V181" i="31"/>
  <c r="W181" i="31"/>
  <c r="T182" i="31"/>
  <c r="U182" i="31"/>
  <c r="V182" i="31"/>
  <c r="W182" i="31"/>
  <c r="T183" i="31"/>
  <c r="U183" i="31"/>
  <c r="V183" i="31"/>
  <c r="W183" i="31"/>
  <c r="T184" i="31"/>
  <c r="U184" i="31"/>
  <c r="V184" i="31"/>
  <c r="W184" i="31"/>
  <c r="T185" i="31"/>
  <c r="U185" i="31"/>
  <c r="V185" i="31"/>
  <c r="W185" i="31"/>
  <c r="T186" i="31"/>
  <c r="U186" i="31"/>
  <c r="V186" i="31"/>
  <c r="W186" i="31"/>
  <c r="T187" i="31"/>
  <c r="U187" i="31"/>
  <c r="V187" i="31"/>
  <c r="W187" i="31"/>
  <c r="T188" i="31"/>
  <c r="U188" i="31"/>
  <c r="V188" i="31"/>
  <c r="W188" i="31"/>
  <c r="T189" i="31"/>
  <c r="U189" i="31"/>
  <c r="V189" i="31"/>
  <c r="W189" i="31"/>
  <c r="T190" i="31"/>
  <c r="U190" i="31"/>
  <c r="V190" i="31"/>
  <c r="W190" i="31"/>
  <c r="T191" i="31"/>
  <c r="U191" i="31"/>
  <c r="V191" i="31"/>
  <c r="W191" i="31"/>
  <c r="T192" i="31"/>
  <c r="U192" i="31"/>
  <c r="V192" i="31"/>
  <c r="W192" i="31"/>
  <c r="T193" i="31"/>
  <c r="U193" i="31"/>
  <c r="V193" i="31"/>
  <c r="W193" i="31"/>
  <c r="T194" i="31"/>
  <c r="U194" i="31"/>
  <c r="V194" i="31"/>
  <c r="W194" i="31"/>
  <c r="T195" i="31"/>
  <c r="U195" i="31"/>
  <c r="V195" i="31"/>
  <c r="W195" i="31"/>
  <c r="T196" i="31"/>
  <c r="U196" i="31"/>
  <c r="V196" i="31"/>
  <c r="W196" i="31"/>
  <c r="T197" i="31"/>
  <c r="U197" i="31"/>
  <c r="V197" i="31"/>
  <c r="W197" i="31"/>
  <c r="T198" i="31"/>
  <c r="U198" i="31"/>
  <c r="V198" i="31"/>
  <c r="W198" i="31"/>
  <c r="T199" i="31"/>
  <c r="U199" i="31"/>
  <c r="V199" i="31"/>
  <c r="W199" i="31"/>
  <c r="T200" i="31"/>
  <c r="U200" i="31"/>
  <c r="V200" i="31"/>
  <c r="W200" i="31"/>
  <c r="T201" i="31"/>
  <c r="U201" i="31"/>
  <c r="V201" i="31"/>
  <c r="W201" i="31"/>
  <c r="T202" i="31"/>
  <c r="U202" i="31"/>
  <c r="V202" i="31"/>
  <c r="W202" i="31"/>
  <c r="T203" i="31"/>
  <c r="U203" i="31"/>
  <c r="V203" i="31"/>
  <c r="W203" i="31"/>
  <c r="T204" i="31"/>
  <c r="U204" i="31"/>
  <c r="V204" i="31"/>
  <c r="W204" i="31"/>
  <c r="T205" i="31"/>
  <c r="U205" i="31"/>
  <c r="V205" i="31"/>
  <c r="W205" i="31"/>
  <c r="T206" i="31"/>
  <c r="U206" i="31"/>
  <c r="V206" i="31"/>
  <c r="W206" i="31"/>
  <c r="T207" i="31"/>
  <c r="U207" i="31"/>
  <c r="V207" i="31"/>
  <c r="W207" i="31"/>
  <c r="T208" i="31"/>
  <c r="U208" i="31"/>
  <c r="V208" i="31"/>
  <c r="W208" i="31"/>
  <c r="T209" i="31"/>
  <c r="U209" i="31"/>
  <c r="V209" i="31"/>
  <c r="W209" i="31"/>
  <c r="T210" i="31"/>
  <c r="U210" i="31"/>
  <c r="V210" i="31"/>
  <c r="W210" i="31"/>
  <c r="T211" i="31"/>
  <c r="U211" i="31"/>
  <c r="V211" i="31"/>
  <c r="W211" i="31"/>
  <c r="T212" i="31"/>
  <c r="U212" i="31"/>
  <c r="V212" i="31"/>
  <c r="W212" i="31"/>
  <c r="T213" i="31"/>
  <c r="U213" i="31"/>
  <c r="V213" i="31"/>
  <c r="W213" i="31"/>
  <c r="T214" i="31"/>
  <c r="U214" i="31"/>
  <c r="V214" i="31"/>
  <c r="W214" i="31"/>
  <c r="T215" i="31"/>
  <c r="U215" i="31"/>
  <c r="V215" i="31"/>
  <c r="W215" i="31"/>
  <c r="T216" i="31"/>
  <c r="U216" i="31"/>
  <c r="V216" i="31"/>
  <c r="W216" i="31"/>
  <c r="T217" i="31"/>
  <c r="U217" i="31"/>
  <c r="V217" i="31"/>
  <c r="W217" i="31"/>
  <c r="T218" i="31"/>
  <c r="U218" i="31"/>
  <c r="V218" i="31"/>
  <c r="W218" i="31"/>
  <c r="T219" i="31"/>
  <c r="U219" i="31"/>
  <c r="V219" i="31"/>
  <c r="W219" i="31"/>
  <c r="T220" i="31"/>
  <c r="U220" i="31"/>
  <c r="V220" i="31"/>
  <c r="W220" i="31"/>
  <c r="T221" i="31"/>
  <c r="U221" i="31"/>
  <c r="V221" i="31"/>
  <c r="W221" i="31"/>
  <c r="T222" i="31"/>
  <c r="U222" i="31"/>
  <c r="V222" i="31"/>
  <c r="W222" i="31"/>
  <c r="T223" i="31"/>
  <c r="U223" i="31"/>
  <c r="V223" i="31"/>
  <c r="W223" i="31"/>
  <c r="T224" i="31"/>
  <c r="U224" i="31"/>
  <c r="V224" i="31"/>
  <c r="W224" i="31"/>
  <c r="T225" i="31"/>
  <c r="U225" i="31"/>
  <c r="V225" i="31"/>
  <c r="W225" i="31"/>
  <c r="T226" i="31"/>
  <c r="U226" i="31"/>
  <c r="V226" i="31"/>
  <c r="W226" i="31"/>
  <c r="T227" i="31"/>
  <c r="U227" i="31"/>
  <c r="V227" i="31"/>
  <c r="W227" i="31"/>
  <c r="T228" i="31"/>
  <c r="U228" i="31"/>
  <c r="V228" i="31"/>
  <c r="W228" i="31"/>
  <c r="T229" i="31"/>
  <c r="U229" i="31"/>
  <c r="V229" i="31"/>
  <c r="W229" i="31"/>
  <c r="T230" i="31"/>
  <c r="U230" i="31"/>
  <c r="V230" i="31"/>
  <c r="W230" i="31"/>
  <c r="T231" i="31"/>
  <c r="U231" i="31"/>
  <c r="V231" i="31"/>
  <c r="W231" i="31"/>
  <c r="T232" i="31"/>
  <c r="U232" i="31"/>
  <c r="V232" i="31"/>
  <c r="W232" i="31"/>
  <c r="T233" i="31"/>
  <c r="U233" i="31"/>
  <c r="V233" i="31"/>
  <c r="W233" i="31"/>
  <c r="T234" i="31"/>
  <c r="U234" i="31"/>
  <c r="V234" i="31"/>
  <c r="W234" i="31"/>
  <c r="T235" i="31"/>
  <c r="U235" i="31"/>
  <c r="V235" i="31"/>
  <c r="W235" i="31"/>
  <c r="T236" i="31"/>
  <c r="U236" i="31"/>
  <c r="V236" i="31"/>
  <c r="W236" i="31"/>
  <c r="T237" i="31"/>
  <c r="U237" i="31"/>
  <c r="V237" i="31"/>
  <c r="W237" i="31"/>
  <c r="T238" i="31"/>
  <c r="U238" i="31"/>
  <c r="V238" i="31"/>
  <c r="W238" i="31"/>
  <c r="T239" i="31"/>
  <c r="U239" i="31"/>
  <c r="V239" i="31"/>
  <c r="W239" i="31"/>
  <c r="T240" i="31"/>
  <c r="U240" i="31"/>
  <c r="V240" i="31"/>
  <c r="W240" i="31"/>
  <c r="T241" i="31"/>
  <c r="U241" i="31"/>
  <c r="V241" i="31"/>
  <c r="W241" i="31"/>
  <c r="T242" i="31"/>
  <c r="U242" i="31"/>
  <c r="V242" i="31"/>
  <c r="W242" i="31"/>
  <c r="T243" i="31"/>
  <c r="U243" i="31"/>
  <c r="V243" i="31"/>
  <c r="W243" i="31"/>
  <c r="T244" i="31"/>
  <c r="U244" i="31"/>
  <c r="V244" i="31"/>
  <c r="W244" i="31"/>
  <c r="T245" i="31"/>
  <c r="U245" i="31"/>
  <c r="V245" i="31"/>
  <c r="W245" i="31"/>
  <c r="T246" i="31"/>
  <c r="U246" i="31"/>
  <c r="V246" i="31"/>
  <c r="W246" i="31"/>
  <c r="T247" i="31"/>
  <c r="U247" i="31"/>
  <c r="V247" i="31"/>
  <c r="W247" i="31"/>
  <c r="T248" i="31"/>
  <c r="U248" i="31"/>
  <c r="V248" i="31"/>
  <c r="W248" i="31"/>
  <c r="T249" i="31"/>
  <c r="U249" i="31"/>
  <c r="V249" i="31"/>
  <c r="W249" i="31"/>
  <c r="T250" i="31"/>
  <c r="U250" i="31"/>
  <c r="V250" i="31"/>
  <c r="W250" i="31"/>
  <c r="T251" i="31"/>
  <c r="U251" i="31"/>
  <c r="V251" i="31"/>
  <c r="W251" i="31"/>
  <c r="T252" i="31"/>
  <c r="U252" i="31"/>
  <c r="V252" i="31"/>
  <c r="W252" i="31"/>
  <c r="T253" i="31"/>
  <c r="U253" i="31"/>
  <c r="V253" i="31"/>
  <c r="W253" i="31"/>
  <c r="T254" i="31"/>
  <c r="U254" i="31"/>
  <c r="V254" i="31"/>
  <c r="W254" i="31"/>
  <c r="T255" i="31"/>
  <c r="U255" i="31"/>
  <c r="V255" i="31"/>
  <c r="W255" i="31"/>
  <c r="T256" i="31"/>
  <c r="U256" i="31"/>
  <c r="V256" i="31"/>
  <c r="W256" i="31"/>
  <c r="T257" i="31"/>
  <c r="U257" i="31"/>
  <c r="V257" i="31"/>
  <c r="W257" i="31"/>
  <c r="T258" i="31"/>
  <c r="U258" i="31"/>
  <c r="V258" i="31"/>
  <c r="W258" i="31"/>
  <c r="T259" i="31"/>
  <c r="U259" i="31"/>
  <c r="V259" i="31"/>
  <c r="W259" i="31"/>
  <c r="T260" i="31"/>
  <c r="U260" i="31"/>
  <c r="V260" i="31"/>
  <c r="W260" i="31"/>
  <c r="T261" i="31"/>
  <c r="U261" i="31"/>
  <c r="V261" i="31"/>
  <c r="W261" i="31"/>
  <c r="T262" i="31"/>
  <c r="U262" i="31"/>
  <c r="V262" i="31"/>
  <c r="W262" i="31"/>
  <c r="T263" i="31"/>
  <c r="U263" i="31"/>
  <c r="V263" i="31"/>
  <c r="W263" i="31"/>
  <c r="T264" i="31"/>
  <c r="U264" i="31"/>
  <c r="V264" i="31"/>
  <c r="W264" i="31"/>
  <c r="T265" i="31"/>
  <c r="U265" i="31"/>
  <c r="V265" i="31"/>
  <c r="W265" i="31"/>
  <c r="T266" i="31"/>
  <c r="U266" i="31"/>
  <c r="V266" i="31"/>
  <c r="W266" i="31"/>
  <c r="T267" i="31"/>
  <c r="U267" i="31"/>
  <c r="V267" i="31"/>
  <c r="W267" i="31"/>
  <c r="T268" i="31"/>
  <c r="U268" i="31"/>
  <c r="V268" i="31"/>
  <c r="W268" i="31"/>
  <c r="T269" i="31"/>
  <c r="U269" i="31"/>
  <c r="V269" i="31"/>
  <c r="W269" i="31"/>
  <c r="T270" i="31"/>
  <c r="U270" i="31"/>
  <c r="V270" i="31"/>
  <c r="W270" i="31"/>
  <c r="T271" i="31"/>
  <c r="U271" i="31"/>
  <c r="V271" i="31"/>
  <c r="W271" i="31"/>
  <c r="T272" i="31"/>
  <c r="U272" i="31"/>
  <c r="V272" i="31"/>
  <c r="W272" i="31"/>
  <c r="T273" i="31"/>
  <c r="U273" i="31"/>
  <c r="V273" i="31"/>
  <c r="W273" i="31"/>
  <c r="T274" i="31"/>
  <c r="U274" i="31"/>
  <c r="V274" i="31"/>
  <c r="W274" i="31"/>
  <c r="T275" i="31"/>
  <c r="U275" i="31"/>
  <c r="V275" i="31"/>
  <c r="W275" i="31"/>
  <c r="T276" i="31"/>
  <c r="U276" i="31"/>
  <c r="V276" i="31"/>
  <c r="W276" i="31"/>
  <c r="T277" i="31"/>
  <c r="U277" i="31"/>
  <c r="V277" i="31"/>
  <c r="W277" i="31"/>
  <c r="T278" i="31"/>
  <c r="U278" i="31"/>
  <c r="V278" i="31"/>
  <c r="W278" i="31"/>
  <c r="T279" i="31"/>
  <c r="U279" i="31"/>
  <c r="V279" i="31"/>
  <c r="W279" i="31"/>
  <c r="T280" i="31"/>
  <c r="U280" i="31"/>
  <c r="V280" i="31"/>
  <c r="W280" i="31"/>
  <c r="T281" i="31"/>
  <c r="U281" i="31"/>
  <c r="V281" i="31"/>
  <c r="W281" i="31"/>
  <c r="T282" i="31"/>
  <c r="U282" i="31"/>
  <c r="V282" i="31"/>
  <c r="W282" i="31"/>
  <c r="T283" i="31"/>
  <c r="U283" i="31"/>
  <c r="V283" i="31"/>
  <c r="W283" i="31"/>
  <c r="T284" i="31"/>
  <c r="U284" i="31"/>
  <c r="V284" i="31"/>
  <c r="W284" i="31"/>
  <c r="T285" i="31"/>
  <c r="U285" i="31"/>
  <c r="V285" i="31"/>
  <c r="W285" i="31"/>
  <c r="T286" i="31"/>
  <c r="U286" i="31"/>
  <c r="V286" i="31"/>
  <c r="W286" i="31"/>
  <c r="T287" i="31"/>
  <c r="U287" i="31"/>
  <c r="V287" i="31"/>
  <c r="W287" i="31"/>
  <c r="T288" i="31"/>
  <c r="U288" i="31"/>
  <c r="V288" i="31"/>
  <c r="W288" i="31"/>
  <c r="T289" i="31"/>
  <c r="U289" i="31"/>
  <c r="V289" i="31"/>
  <c r="W289" i="31"/>
  <c r="T290" i="31"/>
  <c r="U290" i="31"/>
  <c r="V290" i="31"/>
  <c r="W290" i="31"/>
  <c r="T291" i="31"/>
  <c r="U291" i="31"/>
  <c r="V291" i="31"/>
  <c r="W291" i="31"/>
  <c r="T292" i="31"/>
  <c r="U292" i="31"/>
  <c r="V292" i="31"/>
  <c r="W292" i="31"/>
  <c r="T293" i="31"/>
  <c r="U293" i="31"/>
  <c r="V293" i="31"/>
  <c r="W293" i="31"/>
  <c r="T294" i="31"/>
  <c r="U294" i="31"/>
  <c r="V294" i="31"/>
  <c r="W294" i="31"/>
  <c r="T295" i="31"/>
  <c r="U295" i="31"/>
  <c r="V295" i="31"/>
  <c r="W295" i="31"/>
  <c r="T296" i="31"/>
  <c r="U296" i="31"/>
  <c r="V296" i="31"/>
  <c r="W296" i="31"/>
  <c r="T297" i="31"/>
  <c r="U297" i="31"/>
  <c r="V297" i="31"/>
  <c r="W297" i="31"/>
  <c r="T298" i="31"/>
  <c r="U298" i="31"/>
  <c r="V298" i="31"/>
  <c r="W298" i="31"/>
  <c r="T299" i="31"/>
  <c r="U299" i="31"/>
  <c r="V299" i="31"/>
  <c r="W299" i="31"/>
  <c r="T300" i="31"/>
  <c r="U300" i="31"/>
  <c r="V300" i="31"/>
  <c r="W300" i="31"/>
  <c r="T301" i="31"/>
  <c r="U301" i="31"/>
  <c r="V301" i="31"/>
  <c r="W301" i="31"/>
  <c r="T302" i="31"/>
  <c r="U302" i="31"/>
  <c r="V302" i="31"/>
  <c r="W302" i="31"/>
  <c r="T303" i="31"/>
  <c r="U303" i="31"/>
  <c r="V303" i="31"/>
  <c r="W303" i="31"/>
  <c r="T304" i="31"/>
  <c r="U304" i="31"/>
  <c r="V304" i="31"/>
  <c r="W304" i="31"/>
  <c r="T305" i="31"/>
  <c r="U305" i="31"/>
  <c r="V305" i="31"/>
  <c r="W305" i="31"/>
  <c r="T306" i="31"/>
  <c r="U306" i="31"/>
  <c r="V306" i="31"/>
  <c r="W306" i="31"/>
  <c r="T307" i="31"/>
  <c r="U307" i="31"/>
  <c r="V307" i="31"/>
  <c r="W307" i="31"/>
  <c r="T308" i="31"/>
  <c r="U308" i="31"/>
  <c r="V308" i="31"/>
  <c r="W308" i="31"/>
  <c r="T309" i="31"/>
  <c r="U309" i="31"/>
  <c r="V309" i="31"/>
  <c r="W309" i="31"/>
  <c r="T310" i="31"/>
  <c r="U310" i="31"/>
  <c r="V310" i="31"/>
  <c r="W310" i="31"/>
  <c r="T311" i="31"/>
  <c r="U311" i="31"/>
  <c r="V311" i="31"/>
  <c r="W311" i="31"/>
  <c r="T312" i="31"/>
  <c r="U312" i="31"/>
  <c r="V312" i="31"/>
  <c r="W312" i="31"/>
  <c r="T313" i="31"/>
  <c r="U313" i="31"/>
  <c r="V313" i="31"/>
  <c r="W313" i="31"/>
  <c r="T314" i="31"/>
  <c r="U314" i="31"/>
  <c r="V314" i="31"/>
  <c r="W314" i="31"/>
  <c r="T315" i="31"/>
  <c r="U315" i="31"/>
  <c r="V315" i="31"/>
  <c r="W315" i="31"/>
  <c r="T316" i="31"/>
  <c r="U316" i="31"/>
  <c r="V316" i="31"/>
  <c r="W316" i="31"/>
  <c r="T317" i="31"/>
  <c r="U317" i="31"/>
  <c r="V317" i="31"/>
  <c r="W317" i="31"/>
  <c r="T318" i="31"/>
  <c r="U318" i="31"/>
  <c r="V318" i="31"/>
  <c r="W318" i="31"/>
  <c r="T319" i="31"/>
  <c r="U319" i="31"/>
  <c r="V319" i="31"/>
  <c r="W319" i="31"/>
  <c r="T320" i="31"/>
  <c r="U320" i="31"/>
  <c r="V320" i="31"/>
  <c r="W320" i="31"/>
  <c r="T321" i="31"/>
  <c r="U321" i="31"/>
  <c r="V321" i="31"/>
  <c r="W321" i="31"/>
  <c r="T322" i="31"/>
  <c r="U322" i="31"/>
  <c r="V322" i="31"/>
  <c r="W322" i="31"/>
  <c r="T323" i="31"/>
  <c r="U323" i="31"/>
  <c r="V323" i="31"/>
  <c r="W323" i="31"/>
  <c r="T324" i="31"/>
  <c r="U324" i="31"/>
  <c r="V324" i="31"/>
  <c r="W324" i="31"/>
  <c r="T325" i="31"/>
  <c r="U325" i="31"/>
  <c r="V325" i="31"/>
  <c r="W325" i="31"/>
  <c r="T326" i="31"/>
  <c r="U326" i="31"/>
  <c r="V326" i="31"/>
  <c r="W326" i="31"/>
  <c r="T327" i="31"/>
  <c r="U327" i="31"/>
  <c r="V327" i="31"/>
  <c r="W327" i="31"/>
  <c r="T328" i="31"/>
  <c r="U328" i="31"/>
  <c r="V328" i="31"/>
  <c r="W328" i="31"/>
  <c r="T329" i="31"/>
  <c r="U329" i="31"/>
  <c r="V329" i="31"/>
  <c r="W329" i="31"/>
  <c r="T330" i="31"/>
  <c r="U330" i="31"/>
  <c r="V330" i="31"/>
  <c r="W330" i="31"/>
  <c r="T331" i="31"/>
  <c r="U331" i="31"/>
  <c r="V331" i="31"/>
  <c r="W331" i="31"/>
  <c r="T332" i="31"/>
  <c r="U332" i="31"/>
  <c r="V332" i="31"/>
  <c r="W332" i="31"/>
  <c r="T333" i="31"/>
  <c r="U333" i="31"/>
  <c r="V333" i="31"/>
  <c r="W333" i="31"/>
  <c r="T334" i="31"/>
  <c r="U334" i="31"/>
  <c r="V334" i="31"/>
  <c r="W334" i="31"/>
  <c r="T335" i="31"/>
  <c r="U335" i="31"/>
  <c r="V335" i="31"/>
  <c r="W335" i="31"/>
  <c r="T336" i="31"/>
  <c r="U336" i="31"/>
  <c r="V336" i="31"/>
  <c r="W336" i="31"/>
  <c r="T337" i="31"/>
  <c r="U337" i="31"/>
  <c r="V337" i="31"/>
  <c r="W337" i="31"/>
  <c r="T338" i="31"/>
  <c r="U338" i="31"/>
  <c r="V338" i="31"/>
  <c r="W338" i="31"/>
  <c r="T339" i="31"/>
  <c r="U339" i="31"/>
  <c r="V339" i="31"/>
  <c r="W339" i="31"/>
  <c r="T340" i="31"/>
  <c r="U340" i="31"/>
  <c r="V340" i="31"/>
  <c r="W340" i="31"/>
  <c r="T341" i="31"/>
  <c r="U341" i="31"/>
  <c r="V341" i="31"/>
  <c r="W341" i="31"/>
  <c r="T342" i="31"/>
  <c r="U342" i="31"/>
  <c r="V342" i="31"/>
  <c r="W342" i="31"/>
  <c r="T343" i="31"/>
  <c r="U343" i="31"/>
  <c r="V343" i="31"/>
  <c r="W343" i="31"/>
  <c r="T344" i="31"/>
  <c r="U344" i="31"/>
  <c r="V344" i="31"/>
  <c r="W344" i="31"/>
  <c r="T345" i="31"/>
  <c r="U345" i="31"/>
  <c r="V345" i="31"/>
  <c r="W345" i="31"/>
  <c r="T346" i="31"/>
  <c r="U346" i="31"/>
  <c r="V346" i="31"/>
  <c r="W346" i="31"/>
  <c r="T347" i="31"/>
  <c r="U347" i="31"/>
  <c r="V347" i="31"/>
  <c r="W347" i="31"/>
  <c r="T348" i="31"/>
  <c r="U348" i="31"/>
  <c r="V348" i="31"/>
  <c r="W348" i="31"/>
  <c r="T349" i="31"/>
  <c r="U349" i="31"/>
  <c r="V349" i="31"/>
  <c r="W349" i="31"/>
  <c r="T350" i="31"/>
  <c r="U350" i="31"/>
  <c r="V350" i="31"/>
  <c r="W350" i="31"/>
  <c r="T351" i="31"/>
  <c r="U351" i="31"/>
  <c r="V351" i="31"/>
  <c r="W351" i="31"/>
  <c r="T352" i="31"/>
  <c r="U352" i="31"/>
  <c r="V352" i="31"/>
  <c r="W352" i="31"/>
  <c r="T353" i="31"/>
  <c r="U353" i="31"/>
  <c r="V353" i="31"/>
  <c r="W353" i="31"/>
  <c r="T354" i="31"/>
  <c r="U354" i="31"/>
  <c r="V354" i="31"/>
  <c r="W354" i="31"/>
  <c r="T355" i="31"/>
  <c r="U355" i="31"/>
  <c r="V355" i="31"/>
  <c r="W355" i="31"/>
  <c r="T356" i="31"/>
  <c r="U356" i="31"/>
  <c r="V356" i="31"/>
  <c r="W356" i="31"/>
  <c r="T357" i="31"/>
  <c r="U357" i="31"/>
  <c r="V357" i="31"/>
  <c r="W357" i="31"/>
  <c r="T358" i="31"/>
  <c r="U358" i="31"/>
  <c r="V358" i="31"/>
  <c r="W358" i="31"/>
  <c r="T359" i="31"/>
  <c r="U359" i="31"/>
  <c r="V359" i="31"/>
  <c r="W359" i="31"/>
  <c r="T360" i="31"/>
  <c r="U360" i="31"/>
  <c r="V360" i="31"/>
  <c r="W360" i="31"/>
  <c r="T361" i="31"/>
  <c r="U361" i="31"/>
  <c r="V361" i="31"/>
  <c r="W361" i="31"/>
  <c r="T362" i="31"/>
  <c r="U362" i="31"/>
  <c r="V362" i="31"/>
  <c r="W362" i="31"/>
  <c r="T363" i="31"/>
  <c r="U363" i="31"/>
  <c r="V363" i="31"/>
  <c r="W363" i="31"/>
  <c r="T364" i="31"/>
  <c r="U364" i="31"/>
  <c r="V364" i="31"/>
  <c r="W364" i="31"/>
  <c r="T365" i="31"/>
  <c r="U365" i="31"/>
  <c r="V365" i="31"/>
  <c r="W365" i="31"/>
  <c r="T366" i="31"/>
  <c r="U366" i="31"/>
  <c r="V366" i="31"/>
  <c r="W366" i="31"/>
  <c r="T367" i="31"/>
  <c r="U367" i="31"/>
  <c r="V367" i="31"/>
  <c r="W367" i="31"/>
  <c r="T368" i="31"/>
  <c r="U368" i="31"/>
  <c r="V368" i="31"/>
  <c r="W368" i="31"/>
  <c r="T369" i="31"/>
  <c r="U369" i="31"/>
  <c r="V369" i="31"/>
  <c r="W369" i="31"/>
  <c r="T370" i="31"/>
  <c r="U370" i="31"/>
  <c r="V370" i="31"/>
  <c r="W370" i="31"/>
  <c r="T371" i="31"/>
  <c r="U371" i="31"/>
  <c r="V371" i="31"/>
  <c r="W371" i="31"/>
  <c r="T372" i="31"/>
  <c r="U372" i="31"/>
  <c r="V372" i="31"/>
  <c r="W372" i="31"/>
  <c r="T373" i="31"/>
  <c r="U373" i="31"/>
  <c r="V373" i="31"/>
  <c r="W373" i="31"/>
  <c r="T374" i="31"/>
  <c r="U374" i="31"/>
  <c r="V374" i="31"/>
  <c r="W374" i="31"/>
  <c r="T375" i="31"/>
  <c r="U375" i="31"/>
  <c r="V375" i="31"/>
  <c r="W375" i="31"/>
  <c r="T376" i="31"/>
  <c r="U376" i="31"/>
  <c r="V376" i="31"/>
  <c r="W376" i="31"/>
  <c r="T377" i="31"/>
  <c r="U377" i="31"/>
  <c r="V377" i="31"/>
  <c r="W377" i="31"/>
  <c r="T378" i="31"/>
  <c r="U378" i="31"/>
  <c r="V378" i="31"/>
  <c r="W378" i="31"/>
  <c r="T379" i="31"/>
  <c r="U379" i="31"/>
  <c r="V379" i="31"/>
  <c r="W379" i="31"/>
  <c r="T380" i="31"/>
  <c r="U380" i="31"/>
  <c r="V380" i="31"/>
  <c r="W380" i="31"/>
  <c r="T381" i="31"/>
  <c r="U381" i="31"/>
  <c r="V381" i="31"/>
  <c r="W381" i="31"/>
  <c r="T382" i="31"/>
  <c r="U382" i="31"/>
  <c r="V382" i="31"/>
  <c r="W382" i="31"/>
  <c r="T383" i="31"/>
  <c r="U383" i="31"/>
  <c r="V383" i="31"/>
  <c r="W383" i="31"/>
  <c r="T384" i="31"/>
  <c r="U384" i="31"/>
  <c r="V384" i="31"/>
  <c r="W384" i="31"/>
  <c r="T385" i="31"/>
  <c r="U385" i="31"/>
  <c r="V385" i="31"/>
  <c r="W385" i="31"/>
  <c r="T386" i="31"/>
  <c r="U386" i="31"/>
  <c r="V386" i="31"/>
  <c r="W386" i="31"/>
  <c r="T387" i="31"/>
  <c r="U387" i="31"/>
  <c r="V387" i="31"/>
  <c r="W387" i="31"/>
  <c r="T388" i="31"/>
  <c r="U388" i="31"/>
  <c r="V388" i="31"/>
  <c r="W388" i="31"/>
  <c r="T389" i="31"/>
  <c r="U389" i="31"/>
  <c r="V389" i="31"/>
  <c r="W389" i="31"/>
  <c r="T390" i="31"/>
  <c r="U390" i="31"/>
  <c r="V390" i="31"/>
  <c r="W390" i="31"/>
  <c r="T391" i="31"/>
  <c r="U391" i="31"/>
  <c r="V391" i="31"/>
  <c r="W391" i="31"/>
  <c r="T392" i="31"/>
  <c r="U392" i="31"/>
  <c r="V392" i="31"/>
  <c r="W392" i="31"/>
  <c r="T393" i="31"/>
  <c r="U393" i="31"/>
  <c r="V393" i="31"/>
  <c r="W393" i="31"/>
  <c r="T394" i="31"/>
  <c r="U394" i="31"/>
  <c r="V394" i="31"/>
  <c r="W394" i="31"/>
  <c r="T395" i="31"/>
  <c r="U395" i="31"/>
  <c r="V395" i="31"/>
  <c r="W395" i="31"/>
  <c r="T396" i="31"/>
  <c r="U396" i="31"/>
  <c r="V396" i="31"/>
  <c r="W396" i="31"/>
  <c r="T397" i="31"/>
  <c r="U397" i="31"/>
  <c r="V397" i="31"/>
  <c r="W397" i="31"/>
  <c r="T398" i="31"/>
  <c r="U398" i="31"/>
  <c r="V398" i="31"/>
  <c r="W398" i="31"/>
  <c r="T399" i="31"/>
  <c r="U399" i="31"/>
  <c r="V399" i="31"/>
  <c r="W399" i="31"/>
  <c r="T400" i="31"/>
  <c r="U400" i="31"/>
  <c r="V400" i="31"/>
  <c r="W400" i="31"/>
  <c r="T401" i="31"/>
  <c r="U401" i="31"/>
  <c r="V401" i="31"/>
  <c r="W401" i="31"/>
  <c r="T402" i="31"/>
  <c r="U402" i="31"/>
  <c r="V402" i="31"/>
  <c r="W402" i="31"/>
  <c r="T403" i="31"/>
  <c r="U403" i="31"/>
  <c r="V403" i="31"/>
  <c r="W403" i="31"/>
  <c r="T404" i="31"/>
  <c r="U404" i="31"/>
  <c r="V404" i="31"/>
  <c r="W404" i="31"/>
  <c r="T405" i="31"/>
  <c r="U405" i="31"/>
  <c r="V405" i="31"/>
  <c r="W405" i="31"/>
  <c r="T406" i="31"/>
  <c r="U406" i="31"/>
  <c r="V406" i="31"/>
  <c r="W406" i="31"/>
  <c r="T407" i="31"/>
  <c r="U407" i="31"/>
  <c r="V407" i="31"/>
  <c r="W407" i="31"/>
  <c r="T408" i="31"/>
  <c r="U408" i="31"/>
  <c r="V408" i="31"/>
  <c r="W408" i="31"/>
  <c r="T409" i="31"/>
  <c r="U409" i="31"/>
  <c r="V409" i="31"/>
  <c r="W409" i="31"/>
  <c r="T410" i="31"/>
  <c r="U410" i="31"/>
  <c r="V410" i="31"/>
  <c r="W410" i="31"/>
  <c r="T411" i="31"/>
  <c r="U411" i="31"/>
  <c r="V411" i="31"/>
  <c r="W411" i="31"/>
  <c r="T412" i="31"/>
  <c r="U412" i="31"/>
  <c r="V412" i="31"/>
  <c r="W412" i="31"/>
  <c r="T413" i="31"/>
  <c r="U413" i="31"/>
  <c r="V413" i="31"/>
  <c r="W413" i="31"/>
  <c r="T414" i="31"/>
  <c r="U414" i="31"/>
  <c r="V414" i="31"/>
  <c r="W414" i="31"/>
  <c r="T415" i="31"/>
  <c r="U415" i="31"/>
  <c r="V415" i="31"/>
  <c r="W415" i="31"/>
  <c r="T416" i="31"/>
  <c r="U416" i="31"/>
  <c r="V416" i="31"/>
  <c r="W416" i="31"/>
  <c r="T417" i="31"/>
  <c r="U417" i="31"/>
  <c r="V417" i="31"/>
  <c r="W417" i="31"/>
  <c r="T418" i="31"/>
  <c r="U418" i="31"/>
  <c r="V418" i="31"/>
  <c r="W418" i="31"/>
  <c r="T419" i="31"/>
  <c r="U419" i="31"/>
  <c r="V419" i="31"/>
  <c r="W419" i="31"/>
  <c r="T420" i="31"/>
  <c r="U420" i="31"/>
  <c r="V420" i="31"/>
  <c r="W420" i="31"/>
  <c r="T421" i="31"/>
  <c r="U421" i="31"/>
  <c r="V421" i="31"/>
  <c r="W421" i="31"/>
  <c r="T422" i="31"/>
  <c r="U422" i="31"/>
  <c r="V422" i="31"/>
  <c r="W422" i="31"/>
  <c r="T423" i="31"/>
  <c r="U423" i="31"/>
  <c r="V423" i="31"/>
  <c r="W423" i="31"/>
  <c r="T424" i="31"/>
  <c r="U424" i="31"/>
  <c r="V424" i="31"/>
  <c r="W424" i="31"/>
  <c r="T425" i="31"/>
  <c r="U425" i="31"/>
  <c r="V425" i="31"/>
  <c r="W425" i="31"/>
  <c r="T426" i="31"/>
  <c r="U426" i="31"/>
  <c r="V426" i="31"/>
  <c r="W426" i="31"/>
  <c r="T427" i="31"/>
  <c r="U427" i="31"/>
  <c r="V427" i="31"/>
  <c r="W427" i="31"/>
  <c r="T428" i="31"/>
  <c r="U428" i="31"/>
  <c r="V428" i="31"/>
  <c r="W428" i="31"/>
  <c r="T429" i="31"/>
  <c r="U429" i="31"/>
  <c r="V429" i="31"/>
  <c r="W429" i="31"/>
  <c r="T430" i="31"/>
  <c r="U430" i="31"/>
  <c r="V430" i="31"/>
  <c r="W430" i="31"/>
  <c r="T431" i="31"/>
  <c r="U431" i="31"/>
  <c r="V431" i="31"/>
  <c r="W431" i="31"/>
  <c r="T432" i="31"/>
  <c r="U432" i="31"/>
  <c r="V432" i="31"/>
  <c r="W432" i="31"/>
  <c r="T433" i="31"/>
  <c r="U433" i="31"/>
  <c r="V433" i="31"/>
  <c r="W433" i="31"/>
  <c r="T434" i="31"/>
  <c r="U434" i="31"/>
  <c r="V434" i="31"/>
  <c r="W434" i="31"/>
  <c r="T435" i="31"/>
  <c r="U435" i="31"/>
  <c r="V435" i="31"/>
  <c r="W435" i="31"/>
  <c r="T436" i="31"/>
  <c r="U436" i="31"/>
  <c r="V436" i="31"/>
  <c r="W436" i="31"/>
  <c r="T437" i="31"/>
  <c r="U437" i="31"/>
  <c r="V437" i="31"/>
  <c r="W437" i="31"/>
  <c r="T438" i="31"/>
  <c r="U438" i="31"/>
  <c r="V438" i="31"/>
  <c r="W438" i="31"/>
  <c r="T439" i="31"/>
  <c r="U439" i="31"/>
  <c r="V439" i="31"/>
  <c r="W439" i="31"/>
  <c r="T440" i="31"/>
  <c r="U440" i="31"/>
  <c r="V440" i="31"/>
  <c r="W440" i="31"/>
  <c r="T441" i="31"/>
  <c r="U441" i="31"/>
  <c r="V441" i="31"/>
  <c r="W441" i="31"/>
  <c r="T442" i="31"/>
  <c r="U442" i="31"/>
  <c r="V442" i="31"/>
  <c r="W442" i="31"/>
  <c r="T443" i="31"/>
  <c r="U443" i="31"/>
  <c r="V443" i="31"/>
  <c r="W443" i="31"/>
  <c r="T444" i="31"/>
  <c r="U444" i="31"/>
  <c r="V444" i="31"/>
  <c r="W444" i="31"/>
  <c r="T445" i="31"/>
  <c r="U445" i="31"/>
  <c r="V445" i="31"/>
  <c r="W445" i="31"/>
  <c r="T446" i="31"/>
  <c r="U446" i="31"/>
  <c r="V446" i="31"/>
  <c r="W446" i="31"/>
  <c r="T447" i="31"/>
  <c r="U447" i="31"/>
  <c r="V447" i="31"/>
  <c r="W447" i="31"/>
  <c r="T448" i="31"/>
  <c r="U448" i="31"/>
  <c r="V448" i="31"/>
  <c r="W448" i="31"/>
  <c r="T449" i="31"/>
  <c r="U449" i="31"/>
  <c r="V449" i="31"/>
  <c r="W449" i="31"/>
  <c r="T450" i="31"/>
  <c r="U450" i="31"/>
  <c r="V450" i="31"/>
  <c r="W450" i="31"/>
  <c r="T451" i="31"/>
  <c r="U451" i="31"/>
  <c r="V451" i="31"/>
  <c r="W451" i="31"/>
  <c r="T452" i="31"/>
  <c r="U452" i="31"/>
  <c r="V452" i="31"/>
  <c r="W452" i="31"/>
  <c r="T453" i="31"/>
  <c r="U453" i="31"/>
  <c r="V453" i="31"/>
  <c r="W453" i="31"/>
  <c r="T454" i="31"/>
  <c r="U454" i="31"/>
  <c r="V454" i="31"/>
  <c r="W454" i="31"/>
  <c r="T455" i="31"/>
  <c r="U455" i="31"/>
  <c r="V455" i="31"/>
  <c r="W455" i="31"/>
  <c r="T456" i="31"/>
  <c r="U456" i="31"/>
  <c r="V456" i="31"/>
  <c r="W456" i="31"/>
  <c r="T457" i="31"/>
  <c r="U457" i="31"/>
  <c r="V457" i="31"/>
  <c r="W457" i="31"/>
  <c r="T458" i="31"/>
  <c r="U458" i="31"/>
  <c r="V458" i="31"/>
  <c r="W458" i="31"/>
  <c r="T459" i="31"/>
  <c r="U459" i="31"/>
  <c r="V459" i="31"/>
  <c r="W459" i="31"/>
  <c r="T460" i="31"/>
  <c r="U460" i="31"/>
  <c r="V460" i="31"/>
  <c r="W460" i="31"/>
  <c r="T461" i="31"/>
  <c r="U461" i="31"/>
  <c r="V461" i="31"/>
  <c r="W461" i="31"/>
  <c r="T462" i="31"/>
  <c r="U462" i="31"/>
  <c r="V462" i="31"/>
  <c r="W462" i="31"/>
  <c r="T463" i="31"/>
  <c r="U463" i="31"/>
  <c r="V463" i="31"/>
  <c r="W463" i="31"/>
  <c r="T464" i="31"/>
  <c r="U464" i="31"/>
  <c r="V464" i="31"/>
  <c r="W464" i="31"/>
  <c r="T465" i="31"/>
  <c r="U465" i="31"/>
  <c r="V465" i="31"/>
  <c r="W465" i="31"/>
  <c r="T466" i="31"/>
  <c r="U466" i="31"/>
  <c r="V466" i="31"/>
  <c r="W466" i="31"/>
  <c r="T467" i="31"/>
  <c r="U467" i="31"/>
  <c r="V467" i="31"/>
  <c r="W467" i="31"/>
  <c r="T468" i="31"/>
  <c r="U468" i="31"/>
  <c r="V468" i="31"/>
  <c r="W468" i="31"/>
  <c r="T469" i="31"/>
  <c r="U469" i="31"/>
  <c r="V469" i="31"/>
  <c r="W469" i="31"/>
  <c r="T470" i="31"/>
  <c r="U470" i="31"/>
  <c r="V470" i="31"/>
  <c r="W470" i="31"/>
  <c r="T471" i="31"/>
  <c r="U471" i="31"/>
  <c r="V471" i="31"/>
  <c r="W471" i="31"/>
  <c r="T472" i="31"/>
  <c r="U472" i="31"/>
  <c r="V472" i="31"/>
  <c r="W472" i="31"/>
  <c r="T473" i="31"/>
  <c r="U473" i="31"/>
  <c r="V473" i="31"/>
  <c r="W473" i="31"/>
  <c r="T474" i="31"/>
  <c r="U474" i="31"/>
  <c r="V474" i="31"/>
  <c r="W474" i="31"/>
  <c r="T475" i="31"/>
  <c r="U475" i="31"/>
  <c r="V475" i="31"/>
  <c r="W475" i="31"/>
  <c r="T476" i="31"/>
  <c r="U476" i="31"/>
  <c r="V476" i="31"/>
  <c r="W476" i="31"/>
  <c r="T477" i="31"/>
  <c r="U477" i="31"/>
  <c r="V477" i="31"/>
  <c r="W477" i="31"/>
  <c r="T478" i="31"/>
  <c r="U478" i="31"/>
  <c r="V478" i="31"/>
  <c r="W478" i="31"/>
  <c r="T479" i="31"/>
  <c r="U479" i="31"/>
  <c r="V479" i="31"/>
  <c r="W479" i="31"/>
  <c r="T480" i="31"/>
  <c r="U480" i="31"/>
  <c r="V480" i="31"/>
  <c r="W480" i="31"/>
  <c r="T481" i="31"/>
  <c r="U481" i="31"/>
  <c r="V481" i="31"/>
  <c r="W481" i="31"/>
  <c r="T482" i="31"/>
  <c r="U482" i="31"/>
  <c r="V482" i="31"/>
  <c r="W482" i="31"/>
  <c r="T483" i="31"/>
  <c r="U483" i="31"/>
  <c r="V483" i="31"/>
  <c r="W483" i="31"/>
  <c r="T484" i="31"/>
  <c r="U484" i="31"/>
  <c r="V484" i="31"/>
  <c r="W484" i="31"/>
  <c r="T485" i="31"/>
  <c r="U485" i="31"/>
  <c r="V485" i="31"/>
  <c r="W485" i="31"/>
  <c r="T486" i="31"/>
  <c r="U486" i="31"/>
  <c r="V486" i="31"/>
  <c r="W486" i="31"/>
  <c r="T487" i="31"/>
  <c r="U487" i="31"/>
  <c r="V487" i="31"/>
  <c r="W487" i="31"/>
  <c r="T488" i="31"/>
  <c r="U488" i="31"/>
  <c r="V488" i="31"/>
  <c r="W488" i="31"/>
  <c r="T489" i="31"/>
  <c r="U489" i="31"/>
  <c r="V489" i="31"/>
  <c r="W489" i="31"/>
  <c r="T490" i="31"/>
  <c r="U490" i="31"/>
  <c r="V490" i="31"/>
  <c r="W490" i="31"/>
  <c r="T491" i="31"/>
  <c r="U491" i="31"/>
  <c r="V491" i="31"/>
  <c r="W491" i="31"/>
  <c r="T492" i="31"/>
  <c r="U492" i="31"/>
  <c r="V492" i="31"/>
  <c r="W492" i="31"/>
  <c r="T493" i="31"/>
  <c r="U493" i="31"/>
  <c r="V493" i="31"/>
  <c r="W493" i="31"/>
  <c r="T494" i="31"/>
  <c r="U494" i="31"/>
  <c r="V494" i="31"/>
  <c r="W494" i="31"/>
  <c r="T495" i="31"/>
  <c r="U495" i="31"/>
  <c r="V495" i="31"/>
  <c r="W495" i="31"/>
  <c r="T496" i="31"/>
  <c r="U496" i="31"/>
  <c r="V496" i="31"/>
  <c r="W496" i="31"/>
  <c r="T497" i="31"/>
  <c r="U497" i="31"/>
  <c r="V497" i="31"/>
  <c r="W497" i="31"/>
  <c r="T498" i="31"/>
  <c r="U498" i="31"/>
  <c r="V498" i="31"/>
  <c r="W498" i="31"/>
  <c r="T499" i="31"/>
  <c r="U499" i="31"/>
  <c r="V499" i="31"/>
  <c r="W499" i="31"/>
  <c r="T500" i="31"/>
  <c r="U500" i="31"/>
  <c r="V500" i="31"/>
  <c r="W500" i="31"/>
  <c r="T501" i="31"/>
  <c r="U501" i="31"/>
  <c r="V501" i="31"/>
  <c r="W501" i="31"/>
  <c r="T502" i="31"/>
  <c r="U502" i="31"/>
  <c r="V502" i="31"/>
  <c r="W502" i="31"/>
  <c r="T503" i="31"/>
  <c r="U503" i="31"/>
  <c r="V503" i="31"/>
  <c r="W503" i="31"/>
  <c r="T504" i="31"/>
  <c r="U504" i="31"/>
  <c r="V504" i="31"/>
  <c r="W504" i="31"/>
  <c r="T505" i="31"/>
  <c r="U505" i="31"/>
  <c r="V505" i="31"/>
  <c r="W505" i="31"/>
  <c r="T506" i="31"/>
  <c r="U506" i="31"/>
  <c r="V506" i="31"/>
  <c r="W506" i="31"/>
  <c r="T507" i="31"/>
  <c r="U507" i="31"/>
  <c r="V507" i="31"/>
  <c r="W507" i="31"/>
  <c r="T508" i="31"/>
  <c r="U508" i="31"/>
  <c r="V508" i="31"/>
  <c r="W508" i="31"/>
  <c r="T509" i="31"/>
  <c r="U509" i="31"/>
  <c r="V509" i="31"/>
  <c r="W509" i="31"/>
  <c r="T510" i="31"/>
  <c r="U510" i="31"/>
  <c r="V510" i="31"/>
  <c r="W510" i="31"/>
  <c r="T511" i="31"/>
  <c r="U511" i="31"/>
  <c r="V511" i="31"/>
  <c r="W511" i="31"/>
  <c r="T512" i="31"/>
  <c r="U512" i="31"/>
  <c r="V512" i="31"/>
  <c r="W512" i="31"/>
  <c r="T513" i="31"/>
  <c r="U513" i="31"/>
  <c r="V513" i="31"/>
  <c r="W513" i="31"/>
  <c r="U514" i="31"/>
  <c r="W514" i="31"/>
  <c r="T515" i="31"/>
  <c r="U515" i="31"/>
  <c r="V515" i="31"/>
  <c r="W515" i="31"/>
  <c r="T516" i="31"/>
  <c r="U516" i="31"/>
  <c r="V516" i="31"/>
  <c r="W516" i="31"/>
  <c r="T517" i="31"/>
  <c r="U517" i="31"/>
  <c r="V517" i="31"/>
  <c r="W517" i="31"/>
  <c r="T518" i="31"/>
  <c r="U518" i="31"/>
  <c r="V518" i="31"/>
  <c r="W518" i="31"/>
  <c r="T519" i="31"/>
  <c r="U519" i="31"/>
  <c r="V519" i="31"/>
  <c r="W519" i="31"/>
  <c r="T520" i="31"/>
  <c r="U520" i="31"/>
  <c r="V520" i="31"/>
  <c r="W520" i="31"/>
  <c r="T521" i="31"/>
  <c r="U521" i="31"/>
  <c r="V521" i="31"/>
  <c r="W521" i="31"/>
  <c r="T522" i="31"/>
  <c r="U522" i="31"/>
  <c r="V522" i="31"/>
  <c r="W522" i="31"/>
  <c r="T523" i="31"/>
  <c r="U523" i="31"/>
  <c r="V523" i="31"/>
  <c r="W523" i="31"/>
  <c r="T524" i="31"/>
  <c r="U524" i="31"/>
  <c r="V524" i="31"/>
  <c r="W524" i="31"/>
  <c r="T525" i="31"/>
  <c r="U525" i="31"/>
  <c r="V525" i="31"/>
  <c r="W525" i="31"/>
  <c r="T526" i="31"/>
  <c r="U526" i="31"/>
  <c r="V526" i="31"/>
  <c r="W526" i="31"/>
  <c r="T527" i="31"/>
  <c r="U527" i="31"/>
  <c r="V527" i="31"/>
  <c r="W527" i="31"/>
  <c r="T528" i="31"/>
  <c r="U528" i="31"/>
  <c r="V528" i="31"/>
  <c r="W528" i="31"/>
  <c r="T529" i="31"/>
  <c r="U529" i="31"/>
  <c r="V529" i="31"/>
  <c r="W529" i="31"/>
  <c r="T530" i="31"/>
  <c r="U530" i="31"/>
  <c r="V530" i="31"/>
  <c r="W530" i="31"/>
  <c r="T531" i="31"/>
  <c r="U531" i="31"/>
  <c r="V531" i="31"/>
  <c r="W531" i="31"/>
  <c r="T532" i="31"/>
  <c r="U532" i="31"/>
  <c r="V532" i="31"/>
  <c r="W532" i="31"/>
  <c r="T533" i="31"/>
  <c r="U533" i="31"/>
  <c r="V533" i="31"/>
  <c r="W533" i="31"/>
  <c r="T534" i="31"/>
  <c r="U534" i="31"/>
  <c r="V534" i="31"/>
  <c r="W534" i="31"/>
  <c r="T535" i="31"/>
  <c r="U535" i="31"/>
  <c r="V535" i="31"/>
  <c r="W535" i="31"/>
  <c r="T536" i="31"/>
  <c r="U536" i="31"/>
  <c r="V536" i="31"/>
  <c r="W536" i="31"/>
  <c r="T537" i="31"/>
  <c r="U537" i="31"/>
  <c r="V537" i="31"/>
  <c r="W537" i="31"/>
  <c r="T538" i="31"/>
  <c r="U538" i="31"/>
  <c r="V538" i="31"/>
  <c r="W538" i="31"/>
  <c r="T539" i="31"/>
  <c r="U539" i="31"/>
  <c r="V539" i="31"/>
  <c r="W539" i="31"/>
  <c r="T540" i="31"/>
  <c r="U540" i="31"/>
  <c r="V540" i="31"/>
  <c r="W540" i="31"/>
  <c r="T541" i="31"/>
  <c r="U541" i="31"/>
  <c r="V541" i="31"/>
  <c r="W541" i="31"/>
  <c r="T542" i="31"/>
  <c r="U542" i="31"/>
  <c r="V542" i="31"/>
  <c r="W542" i="31"/>
  <c r="T543" i="31"/>
  <c r="U543" i="31"/>
  <c r="V543" i="31"/>
  <c r="W543" i="31"/>
  <c r="T544" i="31"/>
  <c r="U544" i="31"/>
  <c r="V544" i="31"/>
  <c r="W544" i="31"/>
  <c r="T545" i="31"/>
  <c r="U545" i="31"/>
  <c r="V545" i="31"/>
  <c r="W545" i="31"/>
  <c r="T546" i="31"/>
  <c r="U546" i="31"/>
  <c r="V546" i="31"/>
  <c r="W546" i="31"/>
  <c r="T547" i="31"/>
  <c r="U547" i="31"/>
  <c r="V547" i="31"/>
  <c r="W547" i="31"/>
  <c r="T548" i="31"/>
  <c r="U548" i="31"/>
  <c r="V548" i="31"/>
  <c r="W548" i="31"/>
  <c r="T549" i="31"/>
  <c r="U549" i="31"/>
  <c r="V549" i="31"/>
  <c r="W549" i="31"/>
  <c r="T550" i="31"/>
  <c r="U550" i="31"/>
  <c r="V550" i="31"/>
  <c r="W550" i="31"/>
  <c r="T551" i="31"/>
  <c r="U551" i="31"/>
  <c r="V551" i="31"/>
  <c r="W551" i="31"/>
  <c r="T552" i="31"/>
  <c r="U552" i="31"/>
  <c r="V552" i="31"/>
  <c r="W552" i="31"/>
  <c r="T553" i="31"/>
  <c r="U553" i="31"/>
  <c r="V553" i="31"/>
  <c r="W553" i="31"/>
  <c r="T554" i="31"/>
  <c r="U554" i="31"/>
  <c r="V554" i="31"/>
  <c r="W554" i="31"/>
  <c r="T555" i="31"/>
  <c r="U555" i="31"/>
  <c r="V555" i="31"/>
  <c r="W555" i="31"/>
  <c r="T556" i="31"/>
  <c r="U556" i="31"/>
  <c r="V556" i="31"/>
  <c r="W556" i="31"/>
  <c r="T557" i="31"/>
  <c r="U557" i="31"/>
  <c r="V557" i="31"/>
  <c r="W557" i="31"/>
  <c r="T558" i="31"/>
  <c r="U558" i="31"/>
  <c r="V558" i="31"/>
  <c r="W558" i="31"/>
  <c r="T559" i="31"/>
  <c r="U559" i="31"/>
  <c r="V559" i="31"/>
  <c r="W559" i="31"/>
  <c r="T560" i="31"/>
  <c r="U560" i="31"/>
  <c r="V560" i="31"/>
  <c r="W560" i="31"/>
  <c r="T561" i="31"/>
  <c r="U561" i="31"/>
  <c r="V561" i="31"/>
  <c r="W561" i="31"/>
  <c r="T562" i="31"/>
  <c r="U562" i="31"/>
  <c r="V562" i="31"/>
  <c r="W562" i="31"/>
  <c r="T563" i="31"/>
  <c r="U563" i="31"/>
  <c r="V563" i="31"/>
  <c r="W563" i="31"/>
  <c r="T564" i="31"/>
  <c r="U564" i="31"/>
  <c r="V564" i="31"/>
  <c r="W564" i="31"/>
  <c r="T565" i="31"/>
  <c r="U565" i="31"/>
  <c r="V565" i="31"/>
  <c r="W565" i="31"/>
  <c r="T566" i="31"/>
  <c r="U566" i="31"/>
  <c r="V566" i="31"/>
  <c r="W566" i="31"/>
  <c r="T567" i="31"/>
  <c r="U567" i="31"/>
  <c r="V567" i="31"/>
  <c r="W567" i="31"/>
  <c r="T568" i="31"/>
  <c r="U568" i="31"/>
  <c r="V568" i="31"/>
  <c r="W568" i="31"/>
  <c r="T569" i="31"/>
  <c r="U569" i="31"/>
  <c r="V569" i="31"/>
  <c r="W569" i="31"/>
  <c r="T570" i="31"/>
  <c r="U570" i="31"/>
  <c r="V570" i="31"/>
  <c r="W570" i="31"/>
  <c r="T571" i="31"/>
  <c r="U571" i="31"/>
  <c r="V571" i="31"/>
  <c r="W571" i="31"/>
  <c r="T572" i="31"/>
  <c r="U572" i="31"/>
  <c r="V572" i="31"/>
  <c r="W572" i="31"/>
  <c r="T573" i="31"/>
  <c r="U573" i="31"/>
  <c r="V573" i="31"/>
  <c r="W573" i="31"/>
  <c r="T574" i="31"/>
  <c r="U574" i="31"/>
  <c r="V574" i="31"/>
  <c r="W574" i="31"/>
  <c r="T575" i="31"/>
  <c r="U575" i="31"/>
  <c r="V575" i="31"/>
  <c r="W575" i="31"/>
  <c r="T576" i="31"/>
  <c r="U576" i="31"/>
  <c r="V576" i="31"/>
  <c r="W576" i="31"/>
  <c r="T577" i="31"/>
  <c r="U577" i="31"/>
  <c r="V577" i="31"/>
  <c r="W577" i="31"/>
  <c r="T578" i="31"/>
  <c r="U578" i="31"/>
  <c r="V578" i="31"/>
  <c r="W578" i="31"/>
  <c r="T579" i="31"/>
  <c r="U579" i="31"/>
  <c r="V579" i="31"/>
  <c r="W579" i="31"/>
  <c r="T580" i="31"/>
  <c r="U580" i="31"/>
  <c r="V580" i="31"/>
  <c r="W580" i="31"/>
  <c r="T581" i="31"/>
  <c r="U581" i="31"/>
  <c r="V581" i="31"/>
  <c r="W581" i="31"/>
  <c r="T582" i="31"/>
  <c r="U582" i="31"/>
  <c r="V582" i="31"/>
  <c r="W582" i="31"/>
  <c r="T583" i="31"/>
  <c r="U583" i="31"/>
  <c r="V583" i="31"/>
  <c r="W583" i="31"/>
  <c r="T584" i="31"/>
  <c r="U584" i="31"/>
  <c r="V584" i="31"/>
  <c r="W584" i="31"/>
  <c r="T585" i="31"/>
  <c r="U585" i="31"/>
  <c r="V585" i="31"/>
  <c r="W585" i="31"/>
  <c r="T586" i="31"/>
  <c r="U586" i="31"/>
  <c r="V586" i="31"/>
  <c r="W586" i="31"/>
  <c r="T587" i="31"/>
  <c r="U587" i="31"/>
  <c r="V587" i="31"/>
  <c r="W587" i="31"/>
  <c r="T588" i="31"/>
  <c r="U588" i="31"/>
  <c r="V588" i="31"/>
  <c r="W588" i="31"/>
  <c r="T589" i="31"/>
  <c r="U589" i="31"/>
  <c r="V589" i="31"/>
  <c r="W589" i="31"/>
  <c r="T590" i="31"/>
  <c r="U590" i="31"/>
  <c r="V590" i="31"/>
  <c r="W590" i="31"/>
  <c r="T591" i="31"/>
  <c r="U591" i="31"/>
  <c r="V591" i="31"/>
  <c r="W591" i="31"/>
  <c r="T592" i="31"/>
  <c r="U592" i="31"/>
  <c r="V592" i="31"/>
  <c r="W592" i="31"/>
  <c r="T593" i="31"/>
  <c r="U593" i="31"/>
  <c r="V593" i="31"/>
  <c r="W593" i="31"/>
  <c r="T594" i="31"/>
  <c r="U594" i="31"/>
  <c r="V594" i="31"/>
  <c r="W594" i="31"/>
  <c r="T595" i="31"/>
  <c r="U595" i="31"/>
  <c r="V595" i="31"/>
  <c r="W595" i="31"/>
  <c r="T596" i="31"/>
  <c r="U596" i="31"/>
  <c r="V596" i="31"/>
  <c r="W596" i="31"/>
  <c r="T597" i="31"/>
  <c r="U597" i="31"/>
  <c r="V597" i="31"/>
  <c r="W597" i="31"/>
  <c r="T598" i="31"/>
  <c r="U598" i="31"/>
  <c r="V598" i="31"/>
  <c r="W598" i="31"/>
  <c r="T599" i="31"/>
  <c r="U599" i="31"/>
  <c r="V599" i="31"/>
  <c r="W599" i="31"/>
  <c r="T600" i="31"/>
  <c r="U600" i="31"/>
  <c r="V600" i="31"/>
  <c r="W600" i="31"/>
  <c r="T601" i="31"/>
  <c r="U601" i="31"/>
  <c r="V601" i="31"/>
  <c r="W601" i="31"/>
  <c r="T602" i="31"/>
  <c r="U602" i="31"/>
  <c r="V602" i="31"/>
  <c r="W602" i="31"/>
  <c r="T603" i="31"/>
  <c r="U603" i="31"/>
  <c r="V603" i="31"/>
  <c r="W603" i="31"/>
  <c r="T604" i="31"/>
  <c r="U604" i="31"/>
  <c r="V604" i="31"/>
  <c r="W604" i="31"/>
  <c r="T605" i="31"/>
  <c r="U605" i="31"/>
  <c r="V605" i="31"/>
  <c r="W605" i="31"/>
  <c r="T606" i="31"/>
  <c r="U606" i="31"/>
  <c r="V606" i="31"/>
  <c r="W606" i="31"/>
  <c r="T607" i="31"/>
  <c r="U607" i="31"/>
  <c r="V607" i="31"/>
  <c r="W607" i="31"/>
  <c r="T608" i="31"/>
  <c r="U608" i="31"/>
  <c r="V608" i="31"/>
  <c r="W608" i="31"/>
  <c r="T609" i="31"/>
  <c r="U609" i="31"/>
  <c r="V609" i="31"/>
  <c r="W609" i="31"/>
  <c r="T610" i="31"/>
  <c r="U610" i="31"/>
  <c r="V610" i="31"/>
  <c r="W610" i="31"/>
  <c r="T611" i="31"/>
  <c r="U611" i="31"/>
  <c r="V611" i="31"/>
  <c r="W611" i="31"/>
  <c r="T612" i="31"/>
  <c r="U612" i="31"/>
  <c r="V612" i="31"/>
  <c r="W612" i="31"/>
  <c r="T613" i="31"/>
  <c r="U613" i="31"/>
  <c r="V613" i="31"/>
  <c r="W613" i="31"/>
  <c r="T614" i="31"/>
  <c r="U614" i="31"/>
  <c r="V614" i="31"/>
  <c r="W614" i="31"/>
  <c r="T615" i="31"/>
  <c r="U615" i="31"/>
  <c r="V615" i="31"/>
  <c r="W615" i="31"/>
  <c r="T616" i="31"/>
  <c r="U616" i="31"/>
  <c r="V616" i="31"/>
  <c r="W616" i="31"/>
  <c r="T617" i="31"/>
  <c r="U617" i="31"/>
  <c r="V617" i="31"/>
  <c r="W617" i="31"/>
  <c r="T618" i="31"/>
  <c r="U618" i="31"/>
  <c r="V618" i="31"/>
  <c r="W618" i="31"/>
  <c r="T619" i="31"/>
  <c r="U619" i="31"/>
  <c r="V619" i="31"/>
  <c r="W619" i="31"/>
  <c r="T620" i="31"/>
  <c r="U620" i="31"/>
  <c r="V620" i="31"/>
  <c r="W620" i="31"/>
  <c r="T621" i="31"/>
  <c r="U621" i="31"/>
  <c r="V621" i="31"/>
  <c r="W621" i="31"/>
  <c r="T622" i="31"/>
  <c r="U622" i="31"/>
  <c r="V622" i="31"/>
  <c r="W622" i="31"/>
  <c r="T623" i="31"/>
  <c r="U623" i="31"/>
  <c r="V623" i="31"/>
  <c r="W623" i="31"/>
  <c r="T624" i="31"/>
  <c r="U624" i="31"/>
  <c r="V624" i="31"/>
  <c r="W624" i="31"/>
  <c r="T625" i="31"/>
  <c r="U625" i="31"/>
  <c r="V625" i="31"/>
  <c r="W625" i="31"/>
  <c r="T626" i="31"/>
  <c r="U626" i="31"/>
  <c r="V626" i="31"/>
  <c r="W626" i="31"/>
  <c r="T627" i="31"/>
  <c r="U627" i="31"/>
  <c r="V627" i="31"/>
  <c r="W627" i="31"/>
  <c r="T628" i="31"/>
  <c r="U628" i="31"/>
  <c r="V628" i="31"/>
  <c r="W628" i="31"/>
  <c r="T629" i="31"/>
  <c r="U629" i="31"/>
  <c r="V629" i="31"/>
  <c r="W629" i="31"/>
  <c r="T630" i="31"/>
  <c r="U630" i="31"/>
  <c r="V630" i="31"/>
  <c r="W630" i="31"/>
  <c r="T631" i="31"/>
  <c r="U631" i="31"/>
  <c r="V631" i="31"/>
  <c r="W631" i="31"/>
  <c r="T632" i="31"/>
  <c r="U632" i="31"/>
  <c r="V632" i="31"/>
  <c r="W632" i="31"/>
  <c r="T633" i="31"/>
  <c r="U633" i="31"/>
  <c r="V633" i="31"/>
  <c r="W633" i="31"/>
  <c r="T634" i="31"/>
  <c r="U634" i="31"/>
  <c r="V634" i="31"/>
  <c r="W634" i="31"/>
  <c r="T635" i="31"/>
  <c r="U635" i="31"/>
  <c r="V635" i="31"/>
  <c r="W635" i="31"/>
  <c r="T636" i="31"/>
  <c r="U636" i="31"/>
  <c r="V636" i="31"/>
  <c r="W636" i="31"/>
  <c r="T637" i="31"/>
  <c r="U637" i="31"/>
  <c r="V637" i="31"/>
  <c r="W637" i="31"/>
  <c r="T638" i="31"/>
  <c r="U638" i="31"/>
  <c r="V638" i="31"/>
  <c r="W638" i="31"/>
  <c r="T639" i="31"/>
  <c r="U639" i="31"/>
  <c r="V639" i="31"/>
  <c r="W639" i="31"/>
  <c r="T640" i="31"/>
  <c r="U640" i="31"/>
  <c r="V640" i="31"/>
  <c r="W640" i="31"/>
  <c r="T641" i="31"/>
  <c r="U641" i="31"/>
  <c r="V641" i="31"/>
  <c r="W641" i="31"/>
  <c r="T642" i="31"/>
  <c r="U642" i="31"/>
  <c r="V642" i="31"/>
  <c r="W642" i="31"/>
  <c r="T643" i="31"/>
  <c r="U643" i="31"/>
  <c r="V643" i="31"/>
  <c r="W643" i="31"/>
  <c r="T644" i="31"/>
  <c r="U644" i="31"/>
  <c r="V644" i="31"/>
  <c r="W644" i="31"/>
  <c r="T645" i="31"/>
  <c r="U645" i="31"/>
  <c r="V645" i="31"/>
  <c r="W645" i="31"/>
  <c r="T646" i="31"/>
  <c r="U646" i="31"/>
  <c r="V646" i="31"/>
  <c r="W646" i="31"/>
  <c r="T647" i="31"/>
  <c r="U647" i="31"/>
  <c r="V647" i="31"/>
  <c r="W647" i="31"/>
  <c r="T648" i="31"/>
  <c r="U648" i="31"/>
  <c r="V648" i="31"/>
  <c r="W648" i="31"/>
  <c r="T649" i="31"/>
  <c r="U649" i="31"/>
  <c r="V649" i="31"/>
  <c r="W649" i="31"/>
  <c r="T650" i="31"/>
  <c r="U650" i="31"/>
  <c r="V650" i="31"/>
  <c r="W650" i="31"/>
  <c r="T651" i="31"/>
  <c r="U651" i="31"/>
  <c r="V651" i="31"/>
  <c r="W651" i="31"/>
  <c r="T652" i="31"/>
  <c r="U652" i="31"/>
  <c r="V652" i="31"/>
  <c r="W652" i="31"/>
  <c r="T653" i="31"/>
  <c r="U653" i="31"/>
  <c r="V653" i="31"/>
  <c r="W653" i="31"/>
  <c r="T654" i="31"/>
  <c r="U654" i="31"/>
  <c r="V654" i="31"/>
  <c r="W654" i="31"/>
  <c r="T655" i="31"/>
  <c r="U655" i="31"/>
  <c r="V655" i="31"/>
  <c r="W655" i="31"/>
  <c r="T656" i="31"/>
  <c r="U656" i="31"/>
  <c r="V656" i="31"/>
  <c r="W656" i="31"/>
  <c r="T657" i="31"/>
  <c r="U657" i="31"/>
  <c r="V657" i="31"/>
  <c r="W657" i="31"/>
  <c r="T658" i="31"/>
  <c r="U658" i="31"/>
  <c r="V658" i="31"/>
  <c r="W658" i="31"/>
  <c r="T659" i="31"/>
  <c r="U659" i="31"/>
  <c r="V659" i="31"/>
  <c r="W659" i="31"/>
  <c r="T660" i="31"/>
  <c r="U660" i="31"/>
  <c r="V660" i="31"/>
  <c r="W660" i="31"/>
  <c r="T661" i="31"/>
  <c r="U661" i="31"/>
  <c r="V661" i="31"/>
  <c r="W661" i="31"/>
  <c r="T662" i="31"/>
  <c r="U662" i="31"/>
  <c r="V662" i="31"/>
  <c r="W662" i="31"/>
  <c r="T663" i="31"/>
  <c r="U663" i="31"/>
  <c r="V663" i="31"/>
  <c r="W663" i="31"/>
  <c r="T664" i="31"/>
  <c r="U664" i="31"/>
  <c r="V664" i="31"/>
  <c r="W664" i="31"/>
  <c r="T665" i="31"/>
  <c r="U665" i="31"/>
  <c r="V665" i="31"/>
  <c r="W665" i="31"/>
  <c r="T666" i="31"/>
  <c r="U666" i="31"/>
  <c r="V666" i="31"/>
  <c r="W666" i="31"/>
  <c r="T667" i="31"/>
  <c r="U667" i="31"/>
  <c r="V667" i="31"/>
  <c r="W667" i="31"/>
  <c r="T668" i="31"/>
  <c r="U668" i="31"/>
  <c r="V668" i="31"/>
  <c r="W668" i="31"/>
  <c r="T669" i="31"/>
  <c r="U669" i="31"/>
  <c r="V669" i="31"/>
  <c r="W669" i="31"/>
  <c r="T670" i="31"/>
  <c r="U670" i="31"/>
  <c r="V670" i="31"/>
  <c r="W670" i="31"/>
  <c r="T671" i="31"/>
  <c r="U671" i="31"/>
  <c r="V671" i="31"/>
  <c r="W671" i="31"/>
  <c r="T672" i="31"/>
  <c r="U672" i="31"/>
  <c r="V672" i="31"/>
  <c r="W672" i="31"/>
  <c r="T673" i="31"/>
  <c r="U673" i="31"/>
  <c r="V673" i="31"/>
  <c r="W673" i="31"/>
  <c r="T674" i="31"/>
  <c r="U674" i="31"/>
  <c r="V674" i="31"/>
  <c r="W674" i="31"/>
  <c r="T675" i="31"/>
  <c r="U675" i="31"/>
  <c r="V675" i="31"/>
  <c r="W675" i="31"/>
  <c r="T676" i="31"/>
  <c r="U676" i="31"/>
  <c r="V676" i="31"/>
  <c r="W676" i="31"/>
  <c r="T677" i="31"/>
  <c r="U677" i="31"/>
  <c r="V677" i="31"/>
  <c r="W677" i="31"/>
  <c r="T678" i="31"/>
  <c r="U678" i="31"/>
  <c r="V678" i="31"/>
  <c r="W678" i="31"/>
  <c r="T679" i="31"/>
  <c r="U679" i="31"/>
  <c r="V679" i="31"/>
  <c r="W679" i="31"/>
  <c r="T680" i="31"/>
  <c r="U680" i="31"/>
  <c r="V680" i="31"/>
  <c r="W680" i="31"/>
  <c r="T681" i="31"/>
  <c r="U681" i="31"/>
  <c r="V681" i="31"/>
  <c r="W681" i="31"/>
  <c r="T682" i="31"/>
  <c r="U682" i="31"/>
  <c r="V682" i="31"/>
  <c r="W682" i="31"/>
  <c r="T683" i="31"/>
  <c r="U683" i="31"/>
  <c r="V683" i="31"/>
  <c r="W683" i="31"/>
  <c r="T684" i="31"/>
  <c r="U684" i="31"/>
  <c r="V684" i="31"/>
  <c r="W684" i="31"/>
  <c r="T685" i="31"/>
  <c r="U685" i="31"/>
  <c r="V685" i="31"/>
  <c r="W685" i="31"/>
  <c r="T686" i="31"/>
  <c r="U686" i="31"/>
  <c r="V686" i="31"/>
  <c r="W686" i="31"/>
  <c r="T687" i="31"/>
  <c r="U687" i="31"/>
  <c r="V687" i="31"/>
  <c r="W687" i="31"/>
  <c r="T688" i="31"/>
  <c r="U688" i="31"/>
  <c r="V688" i="31"/>
  <c r="W688" i="31"/>
  <c r="T689" i="31"/>
  <c r="U689" i="31"/>
  <c r="V689" i="31"/>
  <c r="W689" i="31"/>
  <c r="T690" i="31"/>
  <c r="U690" i="31"/>
  <c r="V690" i="31"/>
  <c r="W690" i="31"/>
  <c r="T691" i="31"/>
  <c r="U691" i="31"/>
  <c r="V691" i="31"/>
  <c r="W691" i="31"/>
  <c r="T692" i="31"/>
  <c r="U692" i="31"/>
  <c r="V692" i="31"/>
  <c r="W692" i="31"/>
  <c r="T693" i="31"/>
  <c r="U693" i="31"/>
  <c r="V693" i="31"/>
  <c r="W693" i="31"/>
  <c r="T694" i="31"/>
  <c r="U694" i="31"/>
  <c r="V694" i="31"/>
  <c r="W694" i="31"/>
  <c r="T695" i="31"/>
  <c r="U695" i="31"/>
  <c r="V695" i="31"/>
  <c r="W695" i="31"/>
  <c r="T696" i="31"/>
  <c r="U696" i="31"/>
  <c r="V696" i="31"/>
  <c r="W696" i="31"/>
  <c r="T697" i="31"/>
  <c r="U697" i="31"/>
  <c r="V697" i="31"/>
  <c r="W697" i="31"/>
  <c r="T698" i="31"/>
  <c r="U698" i="31"/>
  <c r="V698" i="31"/>
  <c r="W698" i="31"/>
  <c r="T699" i="31"/>
  <c r="U699" i="31"/>
  <c r="V699" i="31"/>
  <c r="W699" i="31"/>
  <c r="T700" i="31"/>
  <c r="U700" i="31"/>
  <c r="V700" i="31"/>
  <c r="W700" i="31"/>
  <c r="T701" i="31"/>
  <c r="U701" i="31"/>
  <c r="V701" i="31"/>
  <c r="W701" i="31"/>
  <c r="T702" i="31"/>
  <c r="U702" i="31"/>
  <c r="V702" i="31"/>
  <c r="W702" i="31"/>
  <c r="T703" i="31"/>
  <c r="U703" i="31"/>
  <c r="V703" i="31"/>
  <c r="W703" i="31"/>
  <c r="T704" i="31"/>
  <c r="U704" i="31"/>
  <c r="V704" i="31"/>
  <c r="W704" i="31"/>
  <c r="T705" i="31"/>
  <c r="U705" i="31"/>
  <c r="V705" i="31"/>
  <c r="W705" i="31"/>
  <c r="T706" i="31"/>
  <c r="U706" i="31"/>
  <c r="V706" i="31"/>
  <c r="W706" i="31"/>
  <c r="T707" i="31"/>
  <c r="U707" i="31"/>
  <c r="V707" i="31"/>
  <c r="W707" i="31"/>
  <c r="T708" i="31"/>
  <c r="U708" i="31"/>
  <c r="V708" i="31"/>
  <c r="W708" i="31"/>
  <c r="T709" i="31"/>
  <c r="U709" i="31"/>
  <c r="V709" i="31"/>
  <c r="W709" i="31"/>
  <c r="T710" i="31"/>
  <c r="U710" i="31"/>
  <c r="V710" i="31"/>
  <c r="W710" i="31"/>
  <c r="T711" i="31"/>
  <c r="U711" i="31"/>
  <c r="V711" i="31"/>
  <c r="W711" i="31"/>
  <c r="T712" i="31"/>
  <c r="U712" i="31"/>
  <c r="V712" i="31"/>
  <c r="W712" i="31"/>
  <c r="T713" i="31"/>
  <c r="U713" i="31"/>
  <c r="V713" i="31"/>
  <c r="W713" i="31"/>
  <c r="T714" i="31"/>
  <c r="U714" i="31"/>
  <c r="V714" i="31"/>
  <c r="W714" i="31"/>
  <c r="T715" i="31"/>
  <c r="U715" i="31"/>
  <c r="V715" i="31"/>
  <c r="W715" i="31"/>
  <c r="T716" i="31"/>
  <c r="U716" i="31"/>
  <c r="V716" i="31"/>
  <c r="W716" i="31"/>
  <c r="T717" i="31"/>
  <c r="U717" i="31"/>
  <c r="V717" i="31"/>
  <c r="W717" i="31"/>
  <c r="T718" i="31"/>
  <c r="U718" i="31"/>
  <c r="V718" i="31"/>
  <c r="W718" i="31"/>
  <c r="T719" i="31"/>
  <c r="U719" i="31"/>
  <c r="V719" i="31"/>
  <c r="W719" i="31"/>
  <c r="T720" i="31"/>
  <c r="U720" i="31"/>
  <c r="V720" i="31"/>
  <c r="W720" i="31"/>
  <c r="T721" i="31"/>
  <c r="U721" i="31"/>
  <c r="V721" i="31"/>
  <c r="W721" i="31"/>
  <c r="T722" i="31"/>
  <c r="U722" i="31"/>
  <c r="V722" i="31"/>
  <c r="W722" i="31"/>
  <c r="T723" i="31"/>
  <c r="U723" i="31"/>
  <c r="V723" i="31"/>
  <c r="W723" i="31"/>
  <c r="T724" i="31"/>
  <c r="U724" i="31"/>
  <c r="V724" i="31"/>
  <c r="W724" i="31"/>
  <c r="T725" i="31"/>
  <c r="U725" i="31"/>
  <c r="V725" i="31"/>
  <c r="W725" i="31"/>
  <c r="T726" i="31"/>
  <c r="U726" i="31"/>
  <c r="V726" i="31"/>
  <c r="W726" i="31"/>
  <c r="T727" i="31"/>
  <c r="U727" i="31"/>
  <c r="V727" i="31"/>
  <c r="W727" i="31"/>
  <c r="T728" i="31"/>
  <c r="U728" i="31"/>
  <c r="V728" i="31"/>
  <c r="W728" i="31"/>
  <c r="T729" i="31"/>
  <c r="U729" i="31"/>
  <c r="V729" i="31"/>
  <c r="W729" i="31"/>
  <c r="T730" i="31"/>
  <c r="U730" i="31"/>
  <c r="V730" i="31"/>
  <c r="W730" i="31"/>
  <c r="T731" i="31"/>
  <c r="U731" i="31"/>
  <c r="V731" i="31"/>
  <c r="W731" i="31"/>
  <c r="T732" i="31"/>
  <c r="U732" i="31"/>
  <c r="V732" i="31"/>
  <c r="W732" i="31"/>
  <c r="T733" i="31"/>
  <c r="U733" i="31"/>
  <c r="V733" i="31"/>
  <c r="W733" i="31"/>
  <c r="T734" i="31"/>
  <c r="U734" i="31"/>
  <c r="V734" i="31"/>
  <c r="W734" i="31"/>
  <c r="T735" i="31"/>
  <c r="U735" i="31"/>
  <c r="V735" i="31"/>
  <c r="W735" i="31"/>
  <c r="T736" i="31"/>
  <c r="U736" i="31"/>
  <c r="V736" i="31"/>
  <c r="W736" i="31"/>
  <c r="T737" i="31"/>
  <c r="U737" i="31"/>
  <c r="V737" i="31"/>
  <c r="W737" i="31"/>
  <c r="T738" i="31"/>
  <c r="U738" i="31"/>
  <c r="V738" i="31"/>
  <c r="W738" i="31"/>
  <c r="T739" i="31"/>
  <c r="U739" i="31"/>
  <c r="V739" i="31"/>
  <c r="W739" i="31"/>
  <c r="T740" i="31"/>
  <c r="U740" i="31"/>
  <c r="V740" i="31"/>
  <c r="W740" i="31"/>
  <c r="T741" i="31"/>
  <c r="U741" i="31"/>
  <c r="V741" i="31"/>
  <c r="W741" i="31"/>
  <c r="T742" i="31"/>
  <c r="U742" i="31"/>
  <c r="V742" i="31"/>
  <c r="W742" i="31"/>
  <c r="T743" i="31"/>
  <c r="U743" i="31"/>
  <c r="V743" i="31"/>
  <c r="W743" i="31"/>
  <c r="T744" i="31"/>
  <c r="U744" i="31"/>
  <c r="V744" i="31"/>
  <c r="W744" i="31"/>
  <c r="T745" i="31"/>
  <c r="U745" i="31"/>
  <c r="V745" i="31"/>
  <c r="W745" i="31"/>
  <c r="T746" i="31"/>
  <c r="U746" i="31"/>
  <c r="V746" i="31"/>
  <c r="W746" i="31"/>
  <c r="T747" i="31"/>
  <c r="U747" i="31"/>
  <c r="V747" i="31"/>
  <c r="W747" i="31"/>
  <c r="T748" i="31"/>
  <c r="U748" i="31"/>
  <c r="V748" i="31"/>
  <c r="W748" i="31"/>
  <c r="T749" i="31"/>
  <c r="U749" i="31"/>
  <c r="V749" i="31"/>
  <c r="W749" i="31"/>
  <c r="T750" i="31"/>
  <c r="U750" i="31"/>
  <c r="V750" i="31"/>
  <c r="W750" i="31"/>
  <c r="T751" i="31"/>
  <c r="U751" i="31"/>
  <c r="V751" i="31"/>
  <c r="W751" i="31"/>
  <c r="T752" i="31"/>
  <c r="U752" i="31"/>
  <c r="V752" i="31"/>
  <c r="W752" i="31"/>
  <c r="T753" i="31"/>
  <c r="U753" i="31"/>
  <c r="V753" i="31"/>
  <c r="W753" i="31"/>
  <c r="T754" i="31"/>
  <c r="U754" i="31"/>
  <c r="V754" i="31"/>
  <c r="W754" i="31"/>
  <c r="T755" i="31"/>
  <c r="U755" i="31"/>
  <c r="V755" i="31"/>
  <c r="W755" i="31"/>
  <c r="T756" i="31"/>
  <c r="U756" i="31"/>
  <c r="V756" i="31"/>
  <c r="W756" i="31"/>
  <c r="T757" i="31"/>
  <c r="U757" i="31"/>
  <c r="V757" i="31"/>
  <c r="W757" i="31"/>
  <c r="T758" i="31"/>
  <c r="U758" i="31"/>
  <c r="V758" i="31"/>
  <c r="W758" i="31"/>
  <c r="T759" i="31"/>
  <c r="U759" i="31"/>
  <c r="V759" i="31"/>
  <c r="W759" i="31"/>
  <c r="T760" i="31"/>
  <c r="U760" i="31"/>
  <c r="V760" i="31"/>
  <c r="W760" i="31"/>
  <c r="T761" i="31"/>
  <c r="U761" i="31"/>
  <c r="V761" i="31"/>
  <c r="W761" i="31"/>
  <c r="T762" i="31"/>
  <c r="U762" i="31"/>
  <c r="V762" i="31"/>
  <c r="W762" i="31"/>
  <c r="T763" i="31"/>
  <c r="U763" i="31"/>
  <c r="V763" i="31"/>
  <c r="W763" i="31"/>
  <c r="T764" i="31"/>
  <c r="U764" i="31"/>
  <c r="V764" i="31"/>
  <c r="W764" i="31"/>
  <c r="T765" i="31"/>
  <c r="U765" i="31"/>
  <c r="V765" i="31"/>
  <c r="W765" i="31"/>
  <c r="T766" i="31"/>
  <c r="U766" i="31"/>
  <c r="V766" i="31"/>
  <c r="W766" i="31"/>
  <c r="T767" i="31"/>
  <c r="U767" i="31"/>
  <c r="V767" i="31"/>
  <c r="W767" i="31"/>
  <c r="T768" i="31"/>
  <c r="U768" i="31"/>
  <c r="V768" i="31"/>
  <c r="W768" i="31"/>
  <c r="T769" i="31"/>
  <c r="U769" i="31"/>
  <c r="V769" i="31"/>
  <c r="W769" i="31"/>
  <c r="T770" i="31"/>
  <c r="U770" i="31"/>
  <c r="V770" i="31"/>
  <c r="W770" i="31"/>
  <c r="T771" i="31"/>
  <c r="U771" i="31"/>
  <c r="V771" i="31"/>
  <c r="W771" i="31"/>
  <c r="T772" i="31"/>
  <c r="U772" i="31"/>
  <c r="V772" i="31"/>
  <c r="W772" i="31"/>
  <c r="T773" i="31"/>
  <c r="U773" i="31"/>
  <c r="V773" i="31"/>
  <c r="W773" i="31"/>
  <c r="T774" i="31"/>
  <c r="U774" i="31"/>
  <c r="V774" i="31"/>
  <c r="W774" i="31"/>
  <c r="T775" i="31"/>
  <c r="U775" i="31"/>
  <c r="V775" i="31"/>
  <c r="W775" i="31"/>
  <c r="T776" i="31"/>
  <c r="U776" i="31"/>
  <c r="V776" i="31"/>
  <c r="W776" i="31"/>
  <c r="T777" i="31"/>
  <c r="U777" i="31"/>
  <c r="V777" i="31"/>
  <c r="W777" i="31"/>
  <c r="T778" i="31"/>
  <c r="U778" i="31"/>
  <c r="V778" i="31"/>
  <c r="W778" i="31"/>
  <c r="T779" i="31"/>
  <c r="U779" i="31"/>
  <c r="V779" i="31"/>
  <c r="W779" i="31"/>
  <c r="T780" i="31"/>
  <c r="U780" i="31"/>
  <c r="V780" i="31"/>
  <c r="W780" i="31"/>
  <c r="T781" i="31"/>
  <c r="U781" i="31"/>
  <c r="V781" i="31"/>
  <c r="W781" i="31"/>
  <c r="T782" i="31"/>
  <c r="U782" i="31"/>
  <c r="V782" i="31"/>
  <c r="W782" i="31"/>
  <c r="T783" i="31"/>
  <c r="U783" i="31"/>
  <c r="V783" i="31"/>
  <c r="W783" i="31"/>
  <c r="T784" i="31"/>
  <c r="U784" i="31"/>
  <c r="V784" i="31"/>
  <c r="W784" i="31"/>
  <c r="T785" i="31"/>
  <c r="U785" i="31"/>
  <c r="V785" i="31"/>
  <c r="W785" i="31"/>
  <c r="T786" i="31"/>
  <c r="U786" i="31"/>
  <c r="V786" i="31"/>
  <c r="W786" i="31"/>
  <c r="T787" i="31"/>
  <c r="U787" i="31"/>
  <c r="V787" i="31"/>
  <c r="W787" i="31"/>
  <c r="T788" i="31"/>
  <c r="U788" i="31"/>
  <c r="V788" i="31"/>
  <c r="W788" i="31"/>
  <c r="T789" i="31"/>
  <c r="U789" i="31"/>
  <c r="V789" i="31"/>
  <c r="W789" i="31"/>
  <c r="T790" i="31"/>
  <c r="U790" i="31"/>
  <c r="V790" i="31"/>
  <c r="W790" i="31"/>
  <c r="T791" i="31"/>
  <c r="U791" i="31"/>
  <c r="V791" i="31"/>
  <c r="W791" i="31"/>
  <c r="W6" i="31"/>
  <c r="V6" i="31"/>
  <c r="U6" i="31"/>
  <c r="T792" i="31"/>
  <c r="T793" i="31"/>
  <c r="T794" i="31"/>
  <c r="T795" i="31"/>
  <c r="T796" i="31"/>
  <c r="T797" i="31"/>
  <c r="T798" i="31"/>
  <c r="T799" i="31"/>
  <c r="T800" i="31"/>
  <c r="T801" i="31"/>
  <c r="T802" i="31"/>
  <c r="T803" i="31"/>
  <c r="T804" i="31"/>
  <c r="T805" i="31"/>
  <c r="T806" i="31"/>
  <c r="T807" i="31"/>
  <c r="T808" i="31"/>
  <c r="T809" i="31"/>
  <c r="T6"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M7" i="31"/>
  <c r="M8" i="31"/>
  <c r="M9" i="31"/>
  <c r="M10" i="31"/>
  <c r="M11" i="31"/>
  <c r="M12"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M554" i="31"/>
  <c r="M555" i="31"/>
  <c r="M556" i="31"/>
  <c r="M557" i="31"/>
  <c r="M558" i="31"/>
  <c r="M559" i="31"/>
  <c r="M560" i="31"/>
  <c r="M561" i="31"/>
  <c r="M562" i="31"/>
  <c r="M563" i="31"/>
  <c r="M564" i="31"/>
  <c r="M565" i="31"/>
  <c r="M566" i="31"/>
  <c r="M567" i="31"/>
  <c r="M568" i="31"/>
  <c r="M569" i="31"/>
  <c r="M570" i="31"/>
  <c r="M571" i="31"/>
  <c r="M572" i="31"/>
  <c r="M573" i="31"/>
  <c r="M574" i="31"/>
  <c r="M575" i="31"/>
  <c r="M576" i="31"/>
  <c r="M577" i="31"/>
  <c r="M578" i="31"/>
  <c r="M579" i="31"/>
  <c r="M580" i="31"/>
  <c r="M581" i="31"/>
  <c r="M582" i="31"/>
  <c r="M583" i="31"/>
  <c r="M584" i="31"/>
  <c r="M585" i="31"/>
  <c r="M586" i="31"/>
  <c r="M587" i="31"/>
  <c r="M588" i="31"/>
  <c r="M589" i="31"/>
  <c r="M590" i="31"/>
  <c r="M591" i="31"/>
  <c r="M592" i="31"/>
  <c r="M593" i="31"/>
  <c r="M594" i="31"/>
  <c r="M595" i="31"/>
  <c r="M596" i="31"/>
  <c r="M597" i="31"/>
  <c r="M598" i="31"/>
  <c r="M599" i="31"/>
  <c r="M600" i="31"/>
  <c r="M601" i="31"/>
  <c r="M602" i="31"/>
  <c r="M603" i="31"/>
  <c r="M604" i="31"/>
  <c r="M605" i="31"/>
  <c r="M606" i="31"/>
  <c r="M607" i="31"/>
  <c r="M608" i="31"/>
  <c r="M609" i="31"/>
  <c r="M610" i="31"/>
  <c r="M611" i="31"/>
  <c r="M612" i="31"/>
  <c r="M613" i="31"/>
  <c r="M614" i="31"/>
  <c r="M615" i="31"/>
  <c r="M616" i="31"/>
  <c r="M617" i="31"/>
  <c r="M618" i="31"/>
  <c r="M619" i="31"/>
  <c r="M620" i="31"/>
  <c r="M621" i="31"/>
  <c r="M622" i="31"/>
  <c r="M623" i="31"/>
  <c r="M624" i="31"/>
  <c r="M625" i="31"/>
  <c r="M626" i="31"/>
  <c r="M627" i="31"/>
  <c r="M628" i="31"/>
  <c r="M629" i="31"/>
  <c r="M630" i="31"/>
  <c r="M631" i="31"/>
  <c r="M632" i="31"/>
  <c r="M633" i="31"/>
  <c r="M634" i="31"/>
  <c r="M635" i="31"/>
  <c r="M636" i="31"/>
  <c r="M637" i="31"/>
  <c r="M638" i="31"/>
  <c r="M639" i="31"/>
  <c r="M640" i="31"/>
  <c r="M641" i="31"/>
  <c r="M642" i="31"/>
  <c r="M643" i="31"/>
  <c r="M644" i="31"/>
  <c r="M645" i="31"/>
  <c r="M646" i="31"/>
  <c r="M647" i="31"/>
  <c r="M648" i="31"/>
  <c r="M649" i="31"/>
  <c r="M650" i="31"/>
  <c r="M651" i="31"/>
  <c r="M652" i="31"/>
  <c r="M653" i="31"/>
  <c r="M654" i="31"/>
  <c r="M655" i="31"/>
  <c r="M656" i="31"/>
  <c r="M657" i="31"/>
  <c r="M658" i="31"/>
  <c r="M659" i="31"/>
  <c r="M660" i="31"/>
  <c r="M661" i="31"/>
  <c r="M662" i="31"/>
  <c r="M663" i="31"/>
  <c r="M664" i="31"/>
  <c r="M665" i="31"/>
  <c r="M666" i="31"/>
  <c r="M667" i="31"/>
  <c r="M668" i="31"/>
  <c r="M669" i="31"/>
  <c r="M670" i="31"/>
  <c r="M671" i="31"/>
  <c r="M672" i="31"/>
  <c r="M673" i="31"/>
  <c r="M674" i="31"/>
  <c r="M675" i="31"/>
  <c r="M676" i="31"/>
  <c r="M677" i="31"/>
  <c r="M678" i="31"/>
  <c r="M679" i="31"/>
  <c r="M680" i="31"/>
  <c r="M681" i="31"/>
  <c r="M682" i="31"/>
  <c r="M683" i="31"/>
  <c r="M684" i="31"/>
  <c r="M685" i="31"/>
  <c r="M686" i="31"/>
  <c r="M687" i="31"/>
  <c r="M688" i="31"/>
  <c r="M689" i="31"/>
  <c r="M690" i="31"/>
  <c r="M691" i="31"/>
  <c r="M692" i="31"/>
  <c r="M693" i="31"/>
  <c r="M694" i="31"/>
  <c r="M695" i="31"/>
  <c r="M696" i="31"/>
  <c r="M697" i="31"/>
  <c r="M698" i="31"/>
  <c r="M699" i="31"/>
  <c r="M700" i="31"/>
  <c r="M701" i="31"/>
  <c r="M702" i="31"/>
  <c r="M703" i="31"/>
  <c r="M704" i="31"/>
  <c r="M705" i="31"/>
  <c r="M706" i="31"/>
  <c r="M707" i="31"/>
  <c r="M708" i="31"/>
  <c r="M709" i="31"/>
  <c r="M710" i="31"/>
  <c r="M711" i="31"/>
  <c r="M712" i="31"/>
  <c r="M713" i="31"/>
  <c r="M714" i="31"/>
  <c r="M715" i="31"/>
  <c r="M716" i="31"/>
  <c r="M717" i="31"/>
  <c r="M718" i="31"/>
  <c r="M719" i="31"/>
  <c r="M720" i="31"/>
  <c r="M721" i="31"/>
  <c r="M722" i="31"/>
  <c r="M723" i="31"/>
  <c r="M724" i="31"/>
  <c r="M725" i="31"/>
  <c r="M726" i="31"/>
  <c r="M727" i="31"/>
  <c r="M728" i="31"/>
  <c r="M729" i="31"/>
  <c r="M730" i="31"/>
  <c r="M731" i="31"/>
  <c r="M732" i="31"/>
  <c r="M733" i="31"/>
  <c r="M734" i="31"/>
  <c r="M735" i="31"/>
  <c r="M736" i="31"/>
  <c r="M737" i="31"/>
  <c r="M738" i="31"/>
  <c r="M739" i="31"/>
  <c r="M740" i="31"/>
  <c r="M741" i="31"/>
  <c r="M742" i="31"/>
  <c r="M743" i="31"/>
  <c r="M744" i="31"/>
  <c r="M745" i="31"/>
  <c r="M746" i="31"/>
  <c r="M747" i="31"/>
  <c r="M748" i="31"/>
  <c r="M749" i="31"/>
  <c r="M750" i="31"/>
  <c r="M751" i="31"/>
  <c r="M752" i="31"/>
  <c r="M753" i="31"/>
  <c r="M754" i="31"/>
  <c r="M755" i="31"/>
  <c r="M756" i="31"/>
  <c r="M757" i="31"/>
  <c r="M758" i="31"/>
  <c r="M759" i="31"/>
  <c r="M760" i="31"/>
  <c r="M761" i="31"/>
  <c r="M762" i="31"/>
  <c r="M763" i="31"/>
  <c r="M764" i="31"/>
  <c r="M765" i="31"/>
  <c r="M766" i="31"/>
  <c r="M767" i="31"/>
  <c r="M768" i="31"/>
  <c r="M769" i="31"/>
  <c r="M770" i="31"/>
  <c r="M771" i="31"/>
  <c r="M772" i="31"/>
  <c r="M773" i="31"/>
  <c r="M774" i="31"/>
  <c r="M775" i="31"/>
  <c r="M776" i="31"/>
  <c r="M777" i="31"/>
  <c r="M778" i="31"/>
  <c r="M779" i="31"/>
  <c r="M780" i="31"/>
  <c r="M781" i="31"/>
  <c r="M782" i="31"/>
  <c r="M783" i="31"/>
  <c r="M784" i="31"/>
  <c r="M785" i="31"/>
  <c r="M786" i="31"/>
  <c r="M787" i="31"/>
  <c r="M788" i="31"/>
  <c r="M789" i="31"/>
  <c r="M790" i="31"/>
  <c r="M791" i="31"/>
  <c r="M792" i="31"/>
  <c r="M793" i="31"/>
  <c r="M794" i="31"/>
  <c r="M795" i="31"/>
  <c r="M796" i="31"/>
  <c r="M797" i="31"/>
  <c r="M798" i="31"/>
  <c r="M799" i="31"/>
  <c r="M800" i="31"/>
  <c r="M801" i="31"/>
  <c r="M802" i="31"/>
  <c r="M803" i="31"/>
  <c r="M804" i="31"/>
  <c r="M805" i="31"/>
  <c r="M806" i="31"/>
  <c r="M807" i="31"/>
  <c r="M808" i="31"/>
  <c r="M809" i="31"/>
  <c r="M6" i="31"/>
  <c r="L6" i="31"/>
  <c r="L8" i="31"/>
  <c r="L9" i="31"/>
  <c r="Q9" i="31" s="1"/>
  <c r="L10" i="31"/>
  <c r="L11" i="31"/>
  <c r="Q11" i="31" s="1"/>
  <c r="L12" i="31"/>
  <c r="L13" i="31"/>
  <c r="L14" i="31"/>
  <c r="Q14" i="31" s="1"/>
  <c r="L15" i="31"/>
  <c r="L16" i="31"/>
  <c r="Q16" i="31" s="1"/>
  <c r="L17" i="31"/>
  <c r="L18" i="31"/>
  <c r="L19" i="31"/>
  <c r="Q19" i="31" s="1"/>
  <c r="L20" i="31"/>
  <c r="Q20" i="31" s="1"/>
  <c r="L21" i="31"/>
  <c r="Q21" i="31" s="1"/>
  <c r="L22" i="31"/>
  <c r="Q22" i="31" s="1"/>
  <c r="L23" i="31"/>
  <c r="Q23" i="31" s="1"/>
  <c r="L24" i="31"/>
  <c r="L25" i="31"/>
  <c r="L26" i="31"/>
  <c r="L27" i="31"/>
  <c r="Q27" i="31" s="1"/>
  <c r="Q28" i="31"/>
  <c r="Q29" i="31"/>
  <c r="L30" i="31"/>
  <c r="Q30" i="31" s="1"/>
  <c r="L31" i="31"/>
  <c r="Q31" i="31" s="1"/>
  <c r="L32" i="31"/>
  <c r="Q32" i="31" s="1"/>
  <c r="L33" i="31"/>
  <c r="Q33" i="31" s="1"/>
  <c r="L34" i="31"/>
  <c r="Q34" i="31" s="1"/>
  <c r="L35" i="31"/>
  <c r="Q36" i="31"/>
  <c r="Q37" i="31"/>
  <c r="L38" i="31"/>
  <c r="Q38" i="31" s="1"/>
  <c r="L39" i="31"/>
  <c r="L40" i="31"/>
  <c r="Q40" i="31" s="1"/>
  <c r="L41" i="31"/>
  <c r="L42" i="31"/>
  <c r="Q42" i="31" s="1"/>
  <c r="L43" i="31"/>
  <c r="Q43" i="31" s="1"/>
  <c r="Q44" i="31"/>
  <c r="Q45" i="31"/>
  <c r="Q46" i="31"/>
  <c r="L47" i="31"/>
  <c r="Q47" i="31" s="1"/>
  <c r="L48" i="31"/>
  <c r="Q48" i="31" s="1"/>
  <c r="L49" i="31"/>
  <c r="Q49" i="31" s="1"/>
  <c r="L50" i="31"/>
  <c r="Q50" i="31" s="1"/>
  <c r="L51" i="31"/>
  <c r="Q51" i="31" s="1"/>
  <c r="L52" i="31"/>
  <c r="Q52" i="31" s="1"/>
  <c r="L53" i="31"/>
  <c r="Q53" i="31" s="1"/>
  <c r="L54" i="31"/>
  <c r="Q54" i="31" s="1"/>
  <c r="Q55" i="31"/>
  <c r="L57" i="31"/>
  <c r="Q57" i="31" s="1"/>
  <c r="L58" i="31"/>
  <c r="Q58" i="31" s="1"/>
  <c r="L59" i="31"/>
  <c r="Q59" i="31" s="1"/>
  <c r="L60" i="31"/>
  <c r="Q60" i="31" s="1"/>
  <c r="L61" i="31"/>
  <c r="Q61" i="31" s="1"/>
  <c r="L62" i="31"/>
  <c r="Q62" i="31" s="1"/>
  <c r="L63" i="31"/>
  <c r="Q63" i="31" s="1"/>
  <c r="Q64" i="31"/>
  <c r="L65" i="31"/>
  <c r="Q65" i="31" s="1"/>
  <c r="L66" i="31"/>
  <c r="Q66" i="31" s="1"/>
  <c r="L67" i="31"/>
  <c r="Q67" i="31" s="1"/>
  <c r="L68" i="31"/>
  <c r="Q68" i="31" s="1"/>
  <c r="L69" i="31"/>
  <c r="L70" i="31"/>
  <c r="L71" i="31"/>
  <c r="L72" i="31"/>
  <c r="Q72" i="31" s="1"/>
  <c r="L73" i="31"/>
  <c r="L74" i="31"/>
  <c r="Q74" i="31" s="1"/>
  <c r="L75" i="31"/>
  <c r="Q75" i="31" s="1"/>
  <c r="L76" i="31"/>
  <c r="Q76" i="31" s="1"/>
  <c r="L77" i="31"/>
  <c r="Q77" i="31" s="1"/>
  <c r="L78" i="31"/>
  <c r="Q78" i="31" s="1"/>
  <c r="L79" i="31"/>
  <c r="Q79" i="31" s="1"/>
  <c r="L80" i="31"/>
  <c r="Q80" i="31" s="1"/>
  <c r="L81" i="31"/>
  <c r="Q81" i="31" s="1"/>
  <c r="L82" i="31"/>
  <c r="L83" i="31"/>
  <c r="Q83" i="31" s="1"/>
  <c r="L84" i="31"/>
  <c r="Q84" i="31" s="1"/>
  <c r="L85" i="31"/>
  <c r="Q85" i="31" s="1"/>
  <c r="L86" i="31"/>
  <c r="L87" i="31"/>
  <c r="L88" i="31"/>
  <c r="Q88" i="31" s="1"/>
  <c r="L89" i="31"/>
  <c r="L90" i="31"/>
  <c r="Q90" i="31" s="1"/>
  <c r="L91" i="31"/>
  <c r="Q91" i="31" s="1"/>
  <c r="L92" i="31"/>
  <c r="Q92" i="31" s="1"/>
  <c r="Q93" i="31"/>
  <c r="L94" i="31"/>
  <c r="L97" i="31"/>
  <c r="L98" i="31"/>
  <c r="L99" i="31"/>
  <c r="L100" i="31"/>
  <c r="L101" i="31"/>
  <c r="L102" i="31"/>
  <c r="L103" i="31"/>
  <c r="Q103" i="31" s="1"/>
  <c r="L104" i="31"/>
  <c r="Q104" i="31" s="1"/>
  <c r="L105" i="31"/>
  <c r="Q105" i="31" s="1"/>
  <c r="L106" i="31"/>
  <c r="L107" i="31"/>
  <c r="L108" i="31"/>
  <c r="L109" i="31"/>
  <c r="Q109" i="31" s="1"/>
  <c r="L110" i="31"/>
  <c r="Q110" i="31" s="1"/>
  <c r="L111" i="31"/>
  <c r="Q111" i="31" s="1"/>
  <c r="L112" i="31"/>
  <c r="Q112" i="31" s="1"/>
  <c r="L113" i="31"/>
  <c r="L114" i="31"/>
  <c r="L115" i="31"/>
  <c r="L116" i="31"/>
  <c r="Q116" i="31" s="1"/>
  <c r="L117" i="31"/>
  <c r="Q117" i="31" s="1"/>
  <c r="L118" i="31"/>
  <c r="Q118" i="31" s="1"/>
  <c r="L119" i="31"/>
  <c r="Q119" i="31" s="1"/>
  <c r="Q120" i="31"/>
  <c r="Q121" i="31"/>
  <c r="L122" i="31"/>
  <c r="Q122" i="31" s="1"/>
  <c r="L123" i="31"/>
  <c r="Q123" i="31" s="1"/>
  <c r="L124" i="31"/>
  <c r="Q124" i="31" s="1"/>
  <c r="L125" i="31"/>
  <c r="Q125" i="31" s="1"/>
  <c r="L126" i="31"/>
  <c r="Q126" i="31" s="1"/>
  <c r="L136" i="31"/>
  <c r="L137" i="31"/>
  <c r="L138" i="31"/>
  <c r="L139" i="31"/>
  <c r="Q139" i="31" s="1"/>
  <c r="L140" i="31"/>
  <c r="Q140" i="31" s="1"/>
  <c r="Q141" i="31"/>
  <c r="L142" i="31"/>
  <c r="L143" i="31"/>
  <c r="Q143" i="31" s="1"/>
  <c r="L144" i="31"/>
  <c r="Q144" i="31" s="1"/>
  <c r="L145" i="31"/>
  <c r="L146" i="31"/>
  <c r="Q146" i="31" s="1"/>
  <c r="L147" i="31"/>
  <c r="Q147" i="31" s="1"/>
  <c r="L148" i="31"/>
  <c r="Q148" i="31" s="1"/>
  <c r="L149" i="31"/>
  <c r="L150" i="31"/>
  <c r="Q151" i="31"/>
  <c r="L152" i="31"/>
  <c r="L153" i="31"/>
  <c r="L154" i="31"/>
  <c r="Q154" i="31" s="1"/>
  <c r="L155" i="31"/>
  <c r="Q155" i="31" s="1"/>
  <c r="L156" i="31"/>
  <c r="Q156" i="31" s="1"/>
  <c r="L157" i="31"/>
  <c r="Q157" i="31" s="1"/>
  <c r="L158" i="31"/>
  <c r="Q158" i="31" s="1"/>
  <c r="L159" i="31"/>
  <c r="Q159" i="31" s="1"/>
  <c r="L160" i="31"/>
  <c r="L161" i="31"/>
  <c r="Q161" i="31" s="1"/>
  <c r="L162" i="31"/>
  <c r="Q162" i="31" s="1"/>
  <c r="L163" i="31"/>
  <c r="Q163" i="31" s="1"/>
  <c r="L164" i="31"/>
  <c r="L165" i="31"/>
  <c r="L166" i="31"/>
  <c r="L167" i="31"/>
  <c r="L168" i="31"/>
  <c r="L169" i="31"/>
  <c r="Q169" i="31" s="1"/>
  <c r="L170" i="31"/>
  <c r="L171" i="31"/>
  <c r="Q171" i="31" s="1"/>
  <c r="L172" i="31"/>
  <c r="Q172" i="31" s="1"/>
  <c r="L173" i="31"/>
  <c r="L174" i="31"/>
  <c r="Q174" i="31" s="1"/>
  <c r="L175" i="31"/>
  <c r="Q175" i="31" s="1"/>
  <c r="L176" i="31"/>
  <c r="L177" i="31"/>
  <c r="L178" i="31"/>
  <c r="Q178" i="31" s="1"/>
  <c r="L179" i="31"/>
  <c r="Q179" i="31" s="1"/>
  <c r="L180" i="31"/>
  <c r="Q180" i="31" s="1"/>
  <c r="L181" i="31"/>
  <c r="Q181" i="31" s="1"/>
  <c r="L182" i="31"/>
  <c r="Q182" i="31" s="1"/>
  <c r="L183" i="31"/>
  <c r="Q183" i="31" s="1"/>
  <c r="L184" i="31"/>
  <c r="Q184" i="31" s="1"/>
  <c r="Q185" i="31"/>
  <c r="Q186" i="31"/>
  <c r="Q187" i="31"/>
  <c r="L188" i="31"/>
  <c r="Q188" i="31" s="1"/>
  <c r="L189" i="31"/>
  <c r="Q189" i="31" s="1"/>
  <c r="L190" i="31"/>
  <c r="L191" i="31"/>
  <c r="Q191" i="31" s="1"/>
  <c r="L192" i="31"/>
  <c r="Q192" i="31" s="1"/>
  <c r="Q193" i="31"/>
  <c r="L194" i="31"/>
  <c r="Q194" i="31" s="1"/>
  <c r="L195" i="31"/>
  <c r="Q195" i="31" s="1"/>
  <c r="L196" i="31"/>
  <c r="Q196" i="31" s="1"/>
  <c r="L197" i="31"/>
  <c r="Q197" i="31" s="1"/>
  <c r="L198" i="31"/>
  <c r="Q198" i="31" s="1"/>
  <c r="L199" i="31"/>
  <c r="L200" i="31"/>
  <c r="L201" i="31"/>
  <c r="Q201" i="31" s="1"/>
  <c r="L202" i="31"/>
  <c r="Q202" i="31" s="1"/>
  <c r="L203" i="31"/>
  <c r="Q203" i="31" s="1"/>
  <c r="L204" i="31"/>
  <c r="L205" i="31"/>
  <c r="L206" i="31"/>
  <c r="L207" i="31"/>
  <c r="L208" i="31"/>
  <c r="Q208" i="31" s="1"/>
  <c r="L209" i="31"/>
  <c r="L210" i="31"/>
  <c r="L211" i="31"/>
  <c r="L212" i="31"/>
  <c r="Q212" i="31" s="1"/>
  <c r="L213" i="31"/>
  <c r="L214" i="31"/>
  <c r="Q214" i="31" s="1"/>
  <c r="L215" i="31"/>
  <c r="Q215" i="31" s="1"/>
  <c r="L216" i="31"/>
  <c r="L217" i="31"/>
  <c r="Q217" i="31" s="1"/>
  <c r="L218" i="31"/>
  <c r="L219" i="31"/>
  <c r="L220" i="31"/>
  <c r="L221" i="31"/>
  <c r="L222" i="31"/>
  <c r="L223" i="31"/>
  <c r="L224" i="31"/>
  <c r="Q225" i="31"/>
  <c r="L226" i="31"/>
  <c r="L227" i="31"/>
  <c r="Q227" i="31" s="1"/>
  <c r="L228" i="31"/>
  <c r="Q228" i="31" s="1"/>
  <c r="L229" i="31"/>
  <c r="L230" i="31"/>
  <c r="L231" i="31"/>
  <c r="L232" i="31"/>
  <c r="L233" i="31"/>
  <c r="L234" i="31"/>
  <c r="L235" i="31"/>
  <c r="L236" i="31"/>
  <c r="L237" i="31"/>
  <c r="Q237" i="31" s="1"/>
  <c r="Q238" i="31"/>
  <c r="Q239" i="31"/>
  <c r="L240" i="31"/>
  <c r="Q240" i="31" s="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Q263" i="31" s="1"/>
  <c r="L264" i="31"/>
  <c r="L265" i="31"/>
  <c r="Q266" i="31"/>
  <c r="L267" i="31"/>
  <c r="L268" i="31"/>
  <c r="Q268" i="31" s="1"/>
  <c r="L269" i="31"/>
  <c r="L270" i="31"/>
  <c r="L271" i="31"/>
  <c r="L272" i="31"/>
  <c r="Q272" i="31" s="1"/>
  <c r="L273" i="31"/>
  <c r="Q273" i="31" s="1"/>
  <c r="L274" i="31"/>
  <c r="Q274" i="31" s="1"/>
  <c r="L275" i="31"/>
  <c r="L276" i="31"/>
  <c r="Q276" i="31" s="1"/>
  <c r="L277" i="31"/>
  <c r="Q277" i="31" s="1"/>
  <c r="L278" i="31"/>
  <c r="Q278" i="31" s="1"/>
  <c r="Q279" i="31"/>
  <c r="L280" i="31"/>
  <c r="Q280" i="31" s="1"/>
  <c r="L281" i="31"/>
  <c r="L282" i="31"/>
  <c r="L283" i="31"/>
  <c r="L284" i="31"/>
  <c r="Q284" i="31" s="1"/>
  <c r="L285" i="31"/>
  <c r="Q285" i="31" s="1"/>
  <c r="L286" i="31"/>
  <c r="L287" i="31"/>
  <c r="L288" i="31"/>
  <c r="Q288" i="31" s="1"/>
  <c r="L289" i="31"/>
  <c r="L290" i="31"/>
  <c r="L291" i="31"/>
  <c r="L292" i="31"/>
  <c r="L293" i="31"/>
  <c r="L294" i="31"/>
  <c r="L295" i="31"/>
  <c r="L296" i="31"/>
  <c r="Q296" i="31" s="1"/>
  <c r="L297" i="31"/>
  <c r="Q297" i="31" s="1"/>
  <c r="L298" i="31"/>
  <c r="L299" i="31"/>
  <c r="L300" i="31"/>
  <c r="L301" i="31"/>
  <c r="L302" i="31"/>
  <c r="Q302" i="31" s="1"/>
  <c r="L303" i="31"/>
  <c r="Q303" i="31" s="1"/>
  <c r="L304" i="31"/>
  <c r="Q304" i="31" s="1"/>
  <c r="L305" i="31"/>
  <c r="L306" i="31"/>
  <c r="L307" i="31"/>
  <c r="Q307" i="31" s="1"/>
  <c r="L308" i="31"/>
  <c r="Q308" i="31" s="1"/>
  <c r="L309" i="31"/>
  <c r="Q309" i="31" s="1"/>
  <c r="L310" i="31"/>
  <c r="L311" i="31"/>
  <c r="L312" i="31"/>
  <c r="Q312" i="31" s="1"/>
  <c r="L313" i="31"/>
  <c r="L314" i="31"/>
  <c r="L315" i="31"/>
  <c r="Q316" i="31"/>
  <c r="L317" i="31"/>
  <c r="Q317" i="31" s="1"/>
  <c r="L318" i="31"/>
  <c r="Q318" i="31" s="1"/>
  <c r="L319" i="31"/>
  <c r="Q319" i="31" s="1"/>
  <c r="L320" i="31"/>
  <c r="Q320" i="31" s="1"/>
  <c r="Q321" i="31"/>
  <c r="L322" i="31"/>
  <c r="L323" i="31"/>
  <c r="Q323" i="31" s="1"/>
  <c r="L324" i="31"/>
  <c r="Q324" i="31" s="1"/>
  <c r="L325" i="31"/>
  <c r="Q325" i="31" s="1"/>
  <c r="L326" i="31"/>
  <c r="L327" i="31"/>
  <c r="Q327" i="31" s="1"/>
  <c r="L328" i="31"/>
  <c r="Q328" i="31" s="1"/>
  <c r="L329" i="31"/>
  <c r="L330" i="31"/>
  <c r="L331" i="31"/>
  <c r="Q331" i="31" s="1"/>
  <c r="L332" i="31"/>
  <c r="Q332" i="31" s="1"/>
  <c r="L333" i="31"/>
  <c r="L334" i="31"/>
  <c r="L335" i="31"/>
  <c r="L336" i="31"/>
  <c r="L337" i="31"/>
  <c r="L338" i="31"/>
  <c r="L339" i="31"/>
  <c r="L340" i="31"/>
  <c r="Q340" i="31" s="1"/>
  <c r="L341" i="31"/>
  <c r="L342" i="31"/>
  <c r="L343" i="31"/>
  <c r="L344" i="31"/>
  <c r="L345" i="31"/>
  <c r="L346" i="31"/>
  <c r="L347" i="31"/>
  <c r="L348" i="31"/>
  <c r="L349" i="31"/>
  <c r="Q349" i="31" s="1"/>
  <c r="L350" i="31"/>
  <c r="Q350" i="31" s="1"/>
  <c r="L351" i="31"/>
  <c r="L352" i="31"/>
  <c r="Q352" i="31" s="1"/>
  <c r="L353" i="31"/>
  <c r="Q353" i="31" s="1"/>
  <c r="L354" i="31"/>
  <c r="Q354" i="31" s="1"/>
  <c r="L355" i="31"/>
  <c r="Q355" i="31" s="1"/>
  <c r="L356" i="31"/>
  <c r="Q356" i="31" s="1"/>
  <c r="L357" i="31"/>
  <c r="Q358" i="31"/>
  <c r="L360" i="31"/>
  <c r="Q360" i="31" s="1"/>
  <c r="L361" i="31"/>
  <c r="L362" i="31"/>
  <c r="Q362" i="31" s="1"/>
  <c r="L363" i="31"/>
  <c r="Q363" i="31" s="1"/>
  <c r="L364" i="31"/>
  <c r="L365" i="31"/>
  <c r="Q365" i="31" s="1"/>
  <c r="L366" i="31"/>
  <c r="Q366" i="31" s="1"/>
  <c r="L367" i="31"/>
  <c r="L368" i="31"/>
  <c r="L369" i="31"/>
  <c r="L370" i="31"/>
  <c r="Q370" i="31" s="1"/>
  <c r="L371" i="31"/>
  <c r="L372" i="31"/>
  <c r="Q372" i="31" s="1"/>
  <c r="L373" i="31"/>
  <c r="L374" i="31"/>
  <c r="Q374" i="31" s="1"/>
  <c r="L375" i="31"/>
  <c r="Q375" i="31" s="1"/>
  <c r="L376" i="31"/>
  <c r="Q376" i="31" s="1"/>
  <c r="L377" i="31"/>
  <c r="Q377" i="31" s="1"/>
  <c r="L378" i="31"/>
  <c r="L379" i="31"/>
  <c r="Q379" i="31" s="1"/>
  <c r="L380" i="31"/>
  <c r="Q380" i="31" s="1"/>
  <c r="L381" i="31"/>
  <c r="Q381" i="31" s="1"/>
  <c r="L382" i="31"/>
  <c r="Q382" i="31" s="1"/>
  <c r="L383" i="31"/>
  <c r="L384" i="31"/>
  <c r="L385" i="31"/>
  <c r="L386" i="31"/>
  <c r="Q386" i="31" s="1"/>
  <c r="L387" i="31"/>
  <c r="Q387" i="31" s="1"/>
  <c r="L388" i="31"/>
  <c r="L389" i="31"/>
  <c r="L390" i="31"/>
  <c r="L391" i="31"/>
  <c r="L392" i="31"/>
  <c r="L393" i="31"/>
  <c r="L394" i="31"/>
  <c r="Q394" i="31" s="1"/>
  <c r="L395" i="31"/>
  <c r="Q395" i="31" s="1"/>
  <c r="L396" i="31"/>
  <c r="Q396" i="31" s="1"/>
  <c r="L397" i="31"/>
  <c r="Q397" i="31" s="1"/>
  <c r="L398" i="31"/>
  <c r="L399" i="31"/>
  <c r="Q399" i="31" s="1"/>
  <c r="L400" i="31"/>
  <c r="L401" i="31"/>
  <c r="Q401" i="31" s="1"/>
  <c r="L402" i="31"/>
  <c r="Q402" i="31" s="1"/>
  <c r="L403" i="31"/>
  <c r="L404" i="31"/>
  <c r="Q404" i="31" s="1"/>
  <c r="L405" i="31"/>
  <c r="L406" i="31"/>
  <c r="Q406" i="31" s="1"/>
  <c r="L407" i="31"/>
  <c r="L408" i="31"/>
  <c r="Q408" i="31" s="1"/>
  <c r="L409" i="31"/>
  <c r="Q409" i="31" s="1"/>
  <c r="L410" i="31"/>
  <c r="Q410" i="31" s="1"/>
  <c r="L411" i="31"/>
  <c r="Q412" i="31"/>
  <c r="L413" i="31"/>
  <c r="L414" i="31"/>
  <c r="L415" i="31"/>
  <c r="L416" i="31"/>
  <c r="L417" i="31"/>
  <c r="Q417" i="31" s="1"/>
  <c r="L418" i="31"/>
  <c r="Q418" i="31" s="1"/>
  <c r="L419" i="31"/>
  <c r="Q419" i="31" s="1"/>
  <c r="L420" i="31"/>
  <c r="Q420" i="31" s="1"/>
  <c r="L421" i="31"/>
  <c r="Q421" i="31" s="1"/>
  <c r="L422" i="31"/>
  <c r="L423" i="31"/>
  <c r="Q423" i="31" s="1"/>
  <c r="L424" i="31"/>
  <c r="Q424" i="31" s="1"/>
  <c r="L425" i="31"/>
  <c r="L426" i="31"/>
  <c r="Q426" i="31" s="1"/>
  <c r="L427" i="31"/>
  <c r="Q427" i="31" s="1"/>
  <c r="L428" i="31"/>
  <c r="L429" i="31"/>
  <c r="Q429" i="31" s="1"/>
  <c r="L430" i="31"/>
  <c r="Q430" i="31" s="1"/>
  <c r="L431" i="31"/>
  <c r="Q431" i="31" s="1"/>
  <c r="L432" i="31"/>
  <c r="L433" i="31"/>
  <c r="Q434" i="31"/>
  <c r="L435" i="31"/>
  <c r="Q435" i="31" s="1"/>
  <c r="L436" i="31"/>
  <c r="L437" i="31"/>
  <c r="Q437" i="31" s="1"/>
  <c r="Q439" i="31"/>
  <c r="L440" i="31"/>
  <c r="Q440" i="31" s="1"/>
  <c r="L441" i="31"/>
  <c r="Q441" i="31" s="1"/>
  <c r="L442" i="31"/>
  <c r="Q442" i="31" s="1"/>
  <c r="L443" i="31"/>
  <c r="Q443" i="31" s="1"/>
  <c r="L444" i="31"/>
  <c r="Q444" i="31" s="1"/>
  <c r="L445" i="31"/>
  <c r="Q445" i="31" s="1"/>
  <c r="L446" i="31"/>
  <c r="L447" i="31"/>
  <c r="L448" i="31"/>
  <c r="Q448" i="31" s="1"/>
  <c r="L449" i="31"/>
  <c r="Q449" i="31" s="1"/>
  <c r="L450" i="31"/>
  <c r="Q450" i="31" s="1"/>
  <c r="L451" i="31"/>
  <c r="Q451" i="31" s="1"/>
  <c r="L452" i="31"/>
  <c r="Q452" i="31" s="1"/>
  <c r="L454" i="31"/>
  <c r="L455" i="31"/>
  <c r="Q455" i="31" s="1"/>
  <c r="L456" i="31"/>
  <c r="Q456" i="31" s="1"/>
  <c r="L457" i="31"/>
  <c r="Q457" i="31" s="1"/>
  <c r="L458" i="31"/>
  <c r="L459" i="31"/>
  <c r="Q459" i="31" s="1"/>
  <c r="L460" i="31"/>
  <c r="L461" i="31"/>
  <c r="Q461" i="31" s="1"/>
  <c r="L462" i="31"/>
  <c r="Q462" i="31" s="1"/>
  <c r="L463" i="31"/>
  <c r="Q463" i="31" s="1"/>
  <c r="L464" i="31"/>
  <c r="Q464" i="31" s="1"/>
  <c r="L465" i="31"/>
  <c r="L466" i="31"/>
  <c r="L467" i="31"/>
  <c r="L468" i="31"/>
  <c r="L469" i="31"/>
  <c r="L470" i="31"/>
  <c r="L471" i="31"/>
  <c r="L472" i="31"/>
  <c r="Q472" i="31" s="1"/>
  <c r="Q473" i="31"/>
  <c r="L474" i="31"/>
  <c r="L475" i="31"/>
  <c r="Q475" i="31" s="1"/>
  <c r="L476" i="31"/>
  <c r="Q476" i="31" s="1"/>
  <c r="L477" i="31"/>
  <c r="Q477" i="31" s="1"/>
  <c r="L478" i="31"/>
  <c r="L479" i="31"/>
  <c r="L480" i="31"/>
  <c r="Q480" i="31" s="1"/>
  <c r="L481" i="31"/>
  <c r="Q481" i="31" s="1"/>
  <c r="L482" i="31"/>
  <c r="Q482" i="31" s="1"/>
  <c r="L483" i="31"/>
  <c r="Q483" i="31" s="1"/>
  <c r="Q484" i="31"/>
  <c r="Q485" i="31"/>
  <c r="L486" i="31"/>
  <c r="Q486" i="31" s="1"/>
  <c r="L487" i="31"/>
  <c r="L488" i="31"/>
  <c r="Q488" i="31" s="1"/>
  <c r="L489" i="31"/>
  <c r="Q489" i="31" s="1"/>
  <c r="L490" i="31"/>
  <c r="Q490" i="31" s="1"/>
  <c r="L491" i="31"/>
  <c r="Q491" i="31" s="1"/>
  <c r="L492" i="31"/>
  <c r="L493" i="31"/>
  <c r="L494" i="31"/>
  <c r="Q494" i="31" s="1"/>
  <c r="L495" i="31"/>
  <c r="L496" i="31"/>
  <c r="Q496" i="31" s="1"/>
  <c r="L497" i="31"/>
  <c r="Q497" i="31" s="1"/>
  <c r="L498" i="31"/>
  <c r="Q498" i="31" s="1"/>
  <c r="L499" i="31"/>
  <c r="Q499" i="31" s="1"/>
  <c r="L500" i="31"/>
  <c r="L501" i="31"/>
  <c r="Q501" i="31" s="1"/>
  <c r="L502" i="31"/>
  <c r="Q503" i="31"/>
  <c r="Q504" i="31"/>
  <c r="Q505" i="31"/>
  <c r="Q506" i="31"/>
  <c r="Q507" i="31"/>
  <c r="L508" i="31"/>
  <c r="Q508" i="31" s="1"/>
  <c r="Q509" i="31"/>
  <c r="Q510" i="31"/>
  <c r="L511" i="31"/>
  <c r="Q511" i="31" s="1"/>
  <c r="L512" i="31"/>
  <c r="Q512" i="31" s="1"/>
  <c r="L513" i="31"/>
  <c r="Q513" i="31" s="1"/>
  <c r="L514" i="31"/>
  <c r="Q514" i="31" s="1"/>
  <c r="L515" i="31"/>
  <c r="L516" i="31"/>
  <c r="Q516" i="31" s="1"/>
  <c r="L517" i="31"/>
  <c r="Q517" i="31" s="1"/>
  <c r="L518" i="31"/>
  <c r="Q518" i="31" s="1"/>
  <c r="L519" i="31"/>
  <c r="Q519" i="31" s="1"/>
  <c r="L520" i="31"/>
  <c r="Q521" i="31"/>
  <c r="Q522" i="31"/>
  <c r="Q523" i="31"/>
  <c r="L524" i="31"/>
  <c r="Q524" i="31" s="1"/>
  <c r="Q525" i="31"/>
  <c r="Q526" i="31"/>
  <c r="Q527" i="31"/>
  <c r="Q528" i="31"/>
  <c r="Q529" i="31"/>
  <c r="L530" i="31"/>
  <c r="Q530" i="31" s="1"/>
  <c r="L531" i="31"/>
  <c r="Q531" i="31" s="1"/>
  <c r="L532" i="31"/>
  <c r="L533" i="31"/>
  <c r="Q533" i="31" s="1"/>
  <c r="L534" i="31"/>
  <c r="Q534" i="31" s="1"/>
  <c r="L535" i="31"/>
  <c r="Q535" i="31" s="1"/>
  <c r="L536" i="31"/>
  <c r="Q536" i="31" s="1"/>
  <c r="L537" i="31"/>
  <c r="Q537" i="31" s="1"/>
  <c r="L538" i="31"/>
  <c r="L539" i="31"/>
  <c r="L540" i="31"/>
  <c r="Q540" i="31" s="1"/>
  <c r="L541" i="31"/>
  <c r="Q541" i="31" s="1"/>
  <c r="L542" i="31"/>
  <c r="Q542" i="31" s="1"/>
  <c r="L543" i="31"/>
  <c r="L544" i="31"/>
  <c r="L545" i="31"/>
  <c r="Q545" i="31" s="1"/>
  <c r="L546" i="31"/>
  <c r="Q546" i="31" s="1"/>
  <c r="L547" i="31"/>
  <c r="L548" i="31"/>
  <c r="Q548" i="31" s="1"/>
  <c r="L549" i="31"/>
  <c r="Q549" i="31" s="1"/>
  <c r="L550" i="31"/>
  <c r="Q550" i="31" s="1"/>
  <c r="L551" i="31"/>
  <c r="Q551" i="31" s="1"/>
  <c r="L552" i="31"/>
  <c r="Q552" i="31" s="1"/>
  <c r="L553" i="31"/>
  <c r="Q553" i="31" s="1"/>
  <c r="L554" i="31"/>
  <c r="L555" i="31"/>
  <c r="Q555" i="31" s="1"/>
  <c r="L556" i="31"/>
  <c r="L557" i="31"/>
  <c r="Q557" i="31" s="1"/>
  <c r="L558" i="31"/>
  <c r="Q558" i="31" s="1"/>
  <c r="L559" i="31"/>
  <c r="Q559" i="31" s="1"/>
  <c r="L560" i="31"/>
  <c r="Q560" i="31" s="1"/>
  <c r="L561" i="31"/>
  <c r="Q561" i="31" s="1"/>
  <c r="L562" i="31"/>
  <c r="Q562" i="31" s="1"/>
  <c r="L563" i="31"/>
  <c r="Q563" i="31" s="1"/>
  <c r="L564" i="31"/>
  <c r="Q564" i="31" s="1"/>
  <c r="L565" i="31"/>
  <c r="Q565" i="31" s="1"/>
  <c r="L566" i="31"/>
  <c r="Q566" i="31" s="1"/>
  <c r="L567" i="31"/>
  <c r="Q567" i="31" s="1"/>
  <c r="L568" i="31"/>
  <c r="Q568" i="31" s="1"/>
  <c r="L569" i="31"/>
  <c r="Q569" i="31" s="1"/>
  <c r="L570" i="31"/>
  <c r="Q570" i="31" s="1"/>
  <c r="L571" i="31"/>
  <c r="Q571" i="31" s="1"/>
  <c r="L572" i="31"/>
  <c r="Q572" i="31" s="1"/>
  <c r="L573" i="31"/>
  <c r="Q573" i="31" s="1"/>
  <c r="L574" i="31"/>
  <c r="L575" i="31"/>
  <c r="L576" i="31"/>
  <c r="L577" i="31"/>
  <c r="L578" i="31"/>
  <c r="L579" i="31"/>
  <c r="Q579" i="31" s="1"/>
  <c r="L580" i="31"/>
  <c r="Q580" i="31" s="1"/>
  <c r="L581" i="31"/>
  <c r="Q581" i="31" s="1"/>
  <c r="L582" i="31"/>
  <c r="Q582" i="31" s="1"/>
  <c r="L583" i="31"/>
  <c r="Q584" i="31"/>
  <c r="Q585" i="31"/>
  <c r="L586" i="31"/>
  <c r="Q586" i="31" s="1"/>
  <c r="L587" i="31"/>
  <c r="Q587" i="31" s="1"/>
  <c r="L588" i="31"/>
  <c r="Q588" i="31" s="1"/>
  <c r="L589" i="31"/>
  <c r="Q589" i="31" s="1"/>
  <c r="L590" i="31"/>
  <c r="Q590" i="31" s="1"/>
  <c r="L591" i="31"/>
  <c r="Q591" i="31" s="1"/>
  <c r="L592" i="31"/>
  <c r="Q592" i="31" s="1"/>
  <c r="L593" i="31"/>
  <c r="Q593" i="31" s="1"/>
  <c r="L594" i="31"/>
  <c r="Q594" i="31" s="1"/>
  <c r="L595" i="31"/>
  <c r="Q595" i="31" s="1"/>
  <c r="L596" i="31"/>
  <c r="Q596" i="31" s="1"/>
  <c r="L597" i="31"/>
  <c r="L598" i="31"/>
  <c r="Q598" i="31" s="1"/>
  <c r="L599" i="31"/>
  <c r="L600" i="31"/>
  <c r="Q600" i="31" s="1"/>
  <c r="L601" i="31"/>
  <c r="L602" i="31"/>
  <c r="Q602" i="31" s="1"/>
  <c r="L603" i="31"/>
  <c r="Q603" i="31" s="1"/>
  <c r="L604" i="31"/>
  <c r="Q604" i="31" s="1"/>
  <c r="L605" i="31"/>
  <c r="Q605" i="31" s="1"/>
  <c r="L606" i="31"/>
  <c r="L607" i="31"/>
  <c r="Q607" i="31" s="1"/>
  <c r="Q608" i="31"/>
  <c r="L609" i="31"/>
  <c r="Q609" i="31" s="1"/>
  <c r="Q610" i="31"/>
  <c r="L611" i="31"/>
  <c r="Q611" i="31" s="1"/>
  <c r="Q612" i="31"/>
  <c r="L613" i="31"/>
  <c r="Q613" i="31" s="1"/>
  <c r="Q614" i="31"/>
  <c r="Q615" i="31"/>
  <c r="L616" i="31"/>
  <c r="Q616" i="31" s="1"/>
  <c r="L617" i="31"/>
  <c r="Q617" i="31" s="1"/>
  <c r="L618" i="31"/>
  <c r="Q618" i="31" s="1"/>
  <c r="L619" i="31"/>
  <c r="Q619" i="31" s="1"/>
  <c r="L620" i="31"/>
  <c r="Q620" i="31" s="1"/>
  <c r="L621" i="31"/>
  <c r="Q621" i="31" s="1"/>
  <c r="L622" i="31"/>
  <c r="L623" i="31"/>
  <c r="Q623" i="31" s="1"/>
  <c r="L624" i="31"/>
  <c r="Q624" i="31" s="1"/>
  <c r="L625" i="31"/>
  <c r="Q625" i="31" s="1"/>
  <c r="L626" i="31"/>
  <c r="Q626" i="31" s="1"/>
  <c r="L627" i="31"/>
  <c r="Q627" i="31" s="1"/>
  <c r="L628" i="31"/>
  <c r="Q628" i="31" s="1"/>
  <c r="L629" i="31"/>
  <c r="L630" i="31"/>
  <c r="L631" i="31"/>
  <c r="L632" i="31"/>
  <c r="Q632" i="31" s="1"/>
  <c r="L633" i="31"/>
  <c r="Q633" i="31" s="1"/>
  <c r="L634" i="31"/>
  <c r="L635" i="31"/>
  <c r="L636" i="31"/>
  <c r="Q636" i="31" s="1"/>
  <c r="L637" i="31"/>
  <c r="L638" i="31"/>
  <c r="L639" i="31"/>
  <c r="Q639" i="31" s="1"/>
  <c r="L640" i="31"/>
  <c r="Q640" i="31" s="1"/>
  <c r="L641" i="31"/>
  <c r="Q642" i="31"/>
  <c r="L643" i="31"/>
  <c r="Q643" i="31" s="1"/>
  <c r="L644" i="31"/>
  <c r="Q644" i="31" s="1"/>
  <c r="L645" i="31"/>
  <c r="Q645" i="31" s="1"/>
  <c r="L646" i="31"/>
  <c r="Q647" i="31"/>
  <c r="L648" i="31"/>
  <c r="Q649" i="31"/>
  <c r="L650" i="31"/>
  <c r="Q650" i="31" s="1"/>
  <c r="Q651" i="31"/>
  <c r="L652" i="31"/>
  <c r="Q653" i="31"/>
  <c r="L654" i="31"/>
  <c r="Q654" i="31" s="1"/>
  <c r="Q655" i="31"/>
  <c r="L656" i="31"/>
  <c r="Q656" i="31" s="1"/>
  <c r="Q657" i="31"/>
  <c r="Q658" i="31"/>
  <c r="Q659" i="31"/>
  <c r="Q660" i="31"/>
  <c r="L661" i="31"/>
  <c r="Q661" i="31" s="1"/>
  <c r="L662" i="31"/>
  <c r="Q662" i="31" s="1"/>
  <c r="L663" i="31"/>
  <c r="L664" i="31"/>
  <c r="Q664" i="31" s="1"/>
  <c r="Q665" i="31"/>
  <c r="Q666" i="31"/>
  <c r="Q667" i="31"/>
  <c r="Q668" i="31"/>
  <c r="Q669" i="31"/>
  <c r="Q670" i="31"/>
  <c r="Q671" i="31"/>
  <c r="Q672" i="31"/>
  <c r="L673" i="31"/>
  <c r="Q673" i="31" s="1"/>
  <c r="L675" i="31"/>
  <c r="Q675" i="31" s="1"/>
  <c r="L676" i="31"/>
  <c r="L677" i="31"/>
  <c r="Q677" i="31" s="1"/>
  <c r="L678" i="31"/>
  <c r="Q678" i="31" s="1"/>
  <c r="L679" i="31"/>
  <c r="Q679" i="31" s="1"/>
  <c r="L680" i="31"/>
  <c r="L681" i="31"/>
  <c r="L682" i="31"/>
  <c r="L683" i="31"/>
  <c r="Q683" i="31" s="1"/>
  <c r="L684" i="31"/>
  <c r="Q684" i="31" s="1"/>
  <c r="L685" i="31"/>
  <c r="Q685" i="31" s="1"/>
  <c r="L686" i="31"/>
  <c r="Q686" i="31" s="1"/>
  <c r="L687" i="31"/>
  <c r="Q687" i="31" s="1"/>
  <c r="L688" i="31"/>
  <c r="Q688" i="31" s="1"/>
  <c r="L689" i="31"/>
  <c r="Q689" i="31" s="1"/>
  <c r="L690" i="31"/>
  <c r="L691" i="31"/>
  <c r="L692" i="31"/>
  <c r="L693" i="31"/>
  <c r="L694" i="31"/>
  <c r="L695" i="31"/>
  <c r="L696" i="31"/>
  <c r="L697" i="31"/>
  <c r="L698" i="31"/>
  <c r="L699" i="31"/>
  <c r="Q699" i="31" s="1"/>
  <c r="L700" i="31"/>
  <c r="L701" i="31"/>
  <c r="Q702" i="31"/>
  <c r="Q703" i="31"/>
  <c r="L704" i="31"/>
  <c r="Q704" i="31" s="1"/>
  <c r="Q705" i="31"/>
  <c r="L707" i="31"/>
  <c r="Q707" i="31" s="1"/>
  <c r="L708" i="31"/>
  <c r="Q708" i="31" s="1"/>
  <c r="Q710" i="31"/>
  <c r="L711" i="31"/>
  <c r="Q711" i="31" s="1"/>
  <c r="L712" i="31"/>
  <c r="Q713" i="31"/>
  <c r="L714" i="31"/>
  <c r="Q714" i="31" s="1"/>
  <c r="L715" i="31"/>
  <c r="L716" i="31"/>
  <c r="Q716" i="31" s="1"/>
  <c r="L717" i="31"/>
  <c r="Q717" i="31" s="1"/>
  <c r="L718" i="31"/>
  <c r="L719" i="31"/>
  <c r="Q719" i="31" s="1"/>
  <c r="L720" i="31"/>
  <c r="L721" i="31"/>
  <c r="L722" i="31"/>
  <c r="L723" i="31"/>
  <c r="L724" i="31"/>
  <c r="Q724" i="31" s="1"/>
  <c r="L725" i="31"/>
  <c r="Q725" i="31" s="1"/>
  <c r="L726" i="31"/>
  <c r="L727" i="31"/>
  <c r="Q727" i="31" s="1"/>
  <c r="L728" i="31"/>
  <c r="Q729" i="31"/>
  <c r="L730" i="31"/>
  <c r="Q730" i="31" s="1"/>
  <c r="L731" i="31"/>
  <c r="Q731" i="31" s="1"/>
  <c r="L732" i="31"/>
  <c r="L733" i="31"/>
  <c r="Q734" i="31"/>
  <c r="L735" i="31"/>
  <c r="Q736" i="31"/>
  <c r="L737" i="31"/>
  <c r="L738" i="31"/>
  <c r="L739" i="31"/>
  <c r="Q739" i="31" s="1"/>
  <c r="L740" i="31"/>
  <c r="L741" i="31"/>
  <c r="L742" i="31"/>
  <c r="L743" i="31"/>
  <c r="L744" i="31"/>
  <c r="L745" i="31"/>
  <c r="L746" i="31"/>
  <c r="L747" i="31"/>
  <c r="L748" i="31"/>
  <c r="L749" i="31"/>
  <c r="Q749" i="31" s="1"/>
  <c r="L750" i="31"/>
  <c r="Q750" i="31" s="1"/>
  <c r="L751" i="31"/>
  <c r="Q751" i="31" s="1"/>
  <c r="L752" i="31"/>
  <c r="L753" i="31"/>
  <c r="L754" i="31"/>
  <c r="L755" i="31"/>
  <c r="Q755" i="31" s="1"/>
  <c r="L756" i="31"/>
  <c r="L757" i="31"/>
  <c r="L758" i="31"/>
  <c r="L759" i="31"/>
  <c r="Q760" i="31"/>
  <c r="L761" i="31"/>
  <c r="L762" i="31"/>
  <c r="L763" i="31"/>
  <c r="L764" i="31"/>
  <c r="L765" i="31"/>
  <c r="Q765" i="31" s="1"/>
  <c r="L766" i="31"/>
  <c r="L767" i="31"/>
  <c r="L768" i="31"/>
  <c r="Q768" i="31" s="1"/>
  <c r="L769" i="31"/>
  <c r="Q770" i="31"/>
  <c r="L771" i="31"/>
  <c r="L772" i="31"/>
  <c r="L773" i="31"/>
  <c r="Q773" i="31" s="1"/>
  <c r="L774" i="31"/>
  <c r="L775" i="31"/>
  <c r="Q776" i="31"/>
  <c r="L777" i="31"/>
  <c r="Q777" i="31" s="1"/>
  <c r="L778" i="31"/>
  <c r="Q778" i="31" s="1"/>
  <c r="L779" i="31"/>
  <c r="Q780" i="31"/>
  <c r="L781" i="31"/>
  <c r="Q781" i="31" s="1"/>
  <c r="L782" i="31"/>
  <c r="L783" i="31"/>
  <c r="L784" i="31"/>
  <c r="L785" i="31"/>
  <c r="L786" i="31"/>
  <c r="L787" i="31"/>
  <c r="Q787" i="31" s="1"/>
  <c r="L788" i="31"/>
  <c r="L789" i="31"/>
  <c r="L790" i="31"/>
  <c r="L791" i="31"/>
  <c r="Q791" i="31" s="1"/>
  <c r="L792" i="31"/>
  <c r="Q792" i="31" s="1"/>
  <c r="L793" i="31"/>
  <c r="Q793" i="31" s="1"/>
  <c r="L794" i="31"/>
  <c r="Q794" i="31" s="1"/>
  <c r="L795" i="31"/>
  <c r="Q795" i="31" s="1"/>
  <c r="L796" i="31"/>
  <c r="Q796" i="31" s="1"/>
  <c r="Q797" i="31"/>
  <c r="L798" i="31"/>
  <c r="Q798" i="31" s="1"/>
  <c r="Q799" i="31"/>
  <c r="Q800" i="31"/>
  <c r="L801" i="31"/>
  <c r="Q801" i="31" s="1"/>
  <c r="L802" i="31"/>
  <c r="Q802" i="31" s="1"/>
  <c r="L803" i="31"/>
  <c r="Q803" i="31" s="1"/>
  <c r="L804" i="31"/>
  <c r="Q806" i="31"/>
  <c r="Q807" i="31"/>
  <c r="L808" i="31"/>
  <c r="Q808" i="31" s="1"/>
  <c r="L809" i="31"/>
  <c r="Q809" i="31" s="1"/>
  <c r="L7" i="31"/>
  <c r="Q7" i="31" s="1"/>
  <c r="I6" i="31"/>
  <c r="K7" i="31"/>
  <c r="L19" i="21" s="1"/>
  <c r="K8" i="31"/>
  <c r="L20" i="21" s="1"/>
  <c r="K9" i="31"/>
  <c r="L21" i="21" s="1"/>
  <c r="K10" i="31"/>
  <c r="L22" i="21" s="1"/>
  <c r="K11" i="31"/>
  <c r="L23" i="21" s="1"/>
  <c r="K12" i="31"/>
  <c r="L24" i="21" s="1"/>
  <c r="K13" i="31"/>
  <c r="L25" i="21" s="1"/>
  <c r="K14" i="31"/>
  <c r="L26" i="21" s="1"/>
  <c r="K15" i="31"/>
  <c r="L27" i="21" s="1"/>
  <c r="K16" i="31"/>
  <c r="L28" i="21" s="1"/>
  <c r="K17" i="31"/>
  <c r="L29" i="21" s="1"/>
  <c r="K18" i="31"/>
  <c r="L30" i="21" s="1"/>
  <c r="K19" i="31"/>
  <c r="L31" i="21" s="1"/>
  <c r="K20" i="31"/>
  <c r="K21" i="31"/>
  <c r="K22" i="31"/>
  <c r="K23" i="31"/>
  <c r="K24" i="31"/>
  <c r="L36" i="21" s="1"/>
  <c r="K25" i="31"/>
  <c r="L37" i="21" s="1"/>
  <c r="K26" i="31"/>
  <c r="L38" i="21" s="1"/>
  <c r="K27" i="31"/>
  <c r="L39" i="21" s="1"/>
  <c r="K28" i="31"/>
  <c r="L40" i="21" s="1"/>
  <c r="K29" i="31"/>
  <c r="L41" i="21" s="1"/>
  <c r="K30" i="31"/>
  <c r="L42" i="21" s="1"/>
  <c r="K31" i="31"/>
  <c r="L43" i="21" s="1"/>
  <c r="K32" i="31"/>
  <c r="L44" i="21" s="1"/>
  <c r="K33" i="31"/>
  <c r="L46" i="21" s="1"/>
  <c r="K34" i="31"/>
  <c r="L47" i="21" s="1"/>
  <c r="K35" i="31"/>
  <c r="L48" i="21" s="1"/>
  <c r="K36" i="31"/>
  <c r="L49" i="21" s="1"/>
  <c r="K37" i="31"/>
  <c r="L50" i="21" s="1"/>
  <c r="K38" i="31"/>
  <c r="L51" i="21" s="1"/>
  <c r="K39" i="31"/>
  <c r="L52" i="21" s="1"/>
  <c r="K40" i="31"/>
  <c r="L53" i="21" s="1"/>
  <c r="K41" i="31"/>
  <c r="L54" i="21" s="1"/>
  <c r="K42" i="31"/>
  <c r="L55" i="21" s="1"/>
  <c r="K43" i="31"/>
  <c r="K44" i="31"/>
  <c r="L57" i="21" s="1"/>
  <c r="K45" i="31"/>
  <c r="L58" i="21" s="1"/>
  <c r="K46" i="31"/>
  <c r="L59" i="21" s="1"/>
  <c r="K47" i="31"/>
  <c r="L60" i="21" s="1"/>
  <c r="K48" i="31"/>
  <c r="L61" i="21" s="1"/>
  <c r="K49" i="31"/>
  <c r="L62" i="21" s="1"/>
  <c r="K50" i="31"/>
  <c r="L63" i="21" s="1"/>
  <c r="K51" i="31"/>
  <c r="L64" i="21" s="1"/>
  <c r="K52" i="31"/>
  <c r="L65" i="21" s="1"/>
  <c r="K53" i="31"/>
  <c r="L66" i="21" s="1"/>
  <c r="K54" i="31"/>
  <c r="L67" i="21" s="1"/>
  <c r="K55" i="31"/>
  <c r="K56" i="31"/>
  <c r="L69" i="21" s="1"/>
  <c r="K57" i="31"/>
  <c r="L70" i="21" s="1"/>
  <c r="K58" i="31"/>
  <c r="K59" i="31"/>
  <c r="L72" i="21" s="1"/>
  <c r="K60" i="31"/>
  <c r="L73" i="21" s="1"/>
  <c r="K61" i="31"/>
  <c r="L74" i="21" s="1"/>
  <c r="K62" i="31"/>
  <c r="L75" i="21" s="1"/>
  <c r="K63" i="31"/>
  <c r="L76" i="21" s="1"/>
  <c r="K64" i="31"/>
  <c r="K65" i="31"/>
  <c r="L78" i="21" s="1"/>
  <c r="K66" i="31"/>
  <c r="L79" i="21" s="1"/>
  <c r="K67" i="31"/>
  <c r="L80" i="21" s="1"/>
  <c r="K68" i="31"/>
  <c r="L81" i="21" s="1"/>
  <c r="K69" i="31"/>
  <c r="L82" i="21" s="1"/>
  <c r="K70" i="31"/>
  <c r="L83" i="21" s="1"/>
  <c r="K71" i="31"/>
  <c r="K72" i="31"/>
  <c r="L85" i="21" s="1"/>
  <c r="K73" i="31"/>
  <c r="L86" i="21" s="1"/>
  <c r="K74" i="31"/>
  <c r="L87" i="21" s="1"/>
  <c r="K75" i="31"/>
  <c r="L88" i="21" s="1"/>
  <c r="K76" i="31"/>
  <c r="K77" i="31"/>
  <c r="L90" i="21" s="1"/>
  <c r="K78" i="31"/>
  <c r="L91" i="21" s="1"/>
  <c r="K79" i="31"/>
  <c r="L92" i="21" s="1"/>
  <c r="K80" i="31"/>
  <c r="L93" i="21" s="1"/>
  <c r="K81" i="31"/>
  <c r="L94" i="21" s="1"/>
  <c r="K82" i="31"/>
  <c r="L95" i="21" s="1"/>
  <c r="K83" i="31"/>
  <c r="K84" i="31"/>
  <c r="L97" i="21" s="1"/>
  <c r="K85" i="31"/>
  <c r="L98" i="21" s="1"/>
  <c r="K86" i="31"/>
  <c r="L99" i="21" s="1"/>
  <c r="K87" i="31"/>
  <c r="L100" i="21" s="1"/>
  <c r="K88" i="31"/>
  <c r="L101" i="21" s="1"/>
  <c r="K89" i="31"/>
  <c r="L102" i="21" s="1"/>
  <c r="K90" i="31"/>
  <c r="K91" i="31"/>
  <c r="L104" i="21" s="1"/>
  <c r="K92" i="31"/>
  <c r="L105" i="21" s="1"/>
  <c r="K93" i="31"/>
  <c r="L106" i="21" s="1"/>
  <c r="K94" i="31"/>
  <c r="L107" i="21" s="1"/>
  <c r="K95" i="31"/>
  <c r="L108" i="21" s="1"/>
  <c r="K96" i="31"/>
  <c r="K97" i="31"/>
  <c r="L110" i="21" s="1"/>
  <c r="K98" i="31"/>
  <c r="L113" i="21" s="1"/>
  <c r="K99" i="31"/>
  <c r="L114" i="21" s="1"/>
  <c r="K100" i="31"/>
  <c r="K101" i="31"/>
  <c r="K102" i="31"/>
  <c r="L117" i="21" s="1"/>
  <c r="K103" i="31"/>
  <c r="L118" i="21" s="1"/>
  <c r="K104" i="31"/>
  <c r="L120" i="21" s="1"/>
  <c r="K105" i="31"/>
  <c r="L121" i="21" s="1"/>
  <c r="K106" i="31"/>
  <c r="L122" i="21" s="1"/>
  <c r="K107" i="31"/>
  <c r="L124" i="21" s="1"/>
  <c r="K108" i="31"/>
  <c r="L125" i="21" s="1"/>
  <c r="K109" i="31"/>
  <c r="L126" i="21" s="1"/>
  <c r="K110" i="31"/>
  <c r="L127" i="21" s="1"/>
  <c r="K111" i="31"/>
  <c r="L128" i="21" s="1"/>
  <c r="K112" i="31"/>
  <c r="L129" i="21" s="1"/>
  <c r="K113" i="31"/>
  <c r="L130" i="21" s="1"/>
  <c r="K114" i="31"/>
  <c r="L131" i="21" s="1"/>
  <c r="K115" i="31"/>
  <c r="L132" i="21" s="1"/>
  <c r="K116" i="31"/>
  <c r="L133" i="21" s="1"/>
  <c r="K117" i="31"/>
  <c r="L134" i="21" s="1"/>
  <c r="K118" i="31"/>
  <c r="K119" i="31"/>
  <c r="K120" i="31"/>
  <c r="L138" i="21" s="1"/>
  <c r="K121" i="31"/>
  <c r="L139" i="21" s="1"/>
  <c r="K122" i="31"/>
  <c r="L140" i="21" s="1"/>
  <c r="K123" i="31"/>
  <c r="L141" i="21" s="1"/>
  <c r="K124" i="31"/>
  <c r="L142" i="21" s="1"/>
  <c r="K125" i="31"/>
  <c r="L143" i="21" s="1"/>
  <c r="K126" i="31"/>
  <c r="K136" i="31"/>
  <c r="L145" i="21" s="1"/>
  <c r="K137" i="31"/>
  <c r="K138" i="31"/>
  <c r="L147" i="21" s="1"/>
  <c r="K139" i="31"/>
  <c r="L148" i="21" s="1"/>
  <c r="K140" i="31"/>
  <c r="L149" i="21" s="1"/>
  <c r="K141" i="31"/>
  <c r="L150" i="21" s="1"/>
  <c r="K142" i="31"/>
  <c r="L151" i="21" s="1"/>
  <c r="K143" i="31"/>
  <c r="L152" i="21" s="1"/>
  <c r="K144" i="31"/>
  <c r="L153" i="21" s="1"/>
  <c r="K145" i="31"/>
  <c r="K146" i="31"/>
  <c r="L155" i="21" s="1"/>
  <c r="K147" i="31"/>
  <c r="L156" i="21" s="1"/>
  <c r="K148" i="31"/>
  <c r="L157" i="21" s="1"/>
  <c r="K149" i="31"/>
  <c r="L158" i="21" s="1"/>
  <c r="K150" i="31"/>
  <c r="L159" i="21" s="1"/>
  <c r="K151" i="31"/>
  <c r="K152" i="31"/>
  <c r="L161" i="21" s="1"/>
  <c r="K153" i="31"/>
  <c r="L162" i="21" s="1"/>
  <c r="K154" i="31"/>
  <c r="L163" i="21" s="1"/>
  <c r="K155" i="31"/>
  <c r="L164" i="21" s="1"/>
  <c r="K156" i="31"/>
  <c r="L165" i="21" s="1"/>
  <c r="K157" i="31"/>
  <c r="K158" i="31"/>
  <c r="L167" i="21" s="1"/>
  <c r="K159" i="31"/>
  <c r="L168" i="21" s="1"/>
  <c r="K160" i="31"/>
  <c r="K161" i="31"/>
  <c r="L171" i="21" s="1"/>
  <c r="K162" i="31"/>
  <c r="L172" i="21" s="1"/>
  <c r="K163" i="31"/>
  <c r="L173" i="21" s="1"/>
  <c r="K164" i="31"/>
  <c r="L174" i="21" s="1"/>
  <c r="K165" i="31"/>
  <c r="L175" i="21" s="1"/>
  <c r="K166" i="31"/>
  <c r="L176" i="21" s="1"/>
  <c r="K167" i="31"/>
  <c r="K168" i="31"/>
  <c r="L178" i="21" s="1"/>
  <c r="K169" i="31"/>
  <c r="L179" i="21" s="1"/>
  <c r="K170" i="31"/>
  <c r="L180" i="21" s="1"/>
  <c r="K171" i="31"/>
  <c r="L181" i="21" s="1"/>
  <c r="K172" i="31"/>
  <c r="L182" i="21" s="1"/>
  <c r="K173" i="31"/>
  <c r="L183" i="21" s="1"/>
  <c r="K174" i="31"/>
  <c r="L184" i="21" s="1"/>
  <c r="K175" i="31"/>
  <c r="L185" i="21" s="1"/>
  <c r="K176" i="31"/>
  <c r="L186" i="21" s="1"/>
  <c r="K177" i="31"/>
  <c r="L187" i="21" s="1"/>
  <c r="K178" i="31"/>
  <c r="L188" i="21" s="1"/>
  <c r="K179" i="31"/>
  <c r="L189" i="21" s="1"/>
  <c r="K180" i="31"/>
  <c r="L190" i="21" s="1"/>
  <c r="K181" i="31"/>
  <c r="L191" i="21" s="1"/>
  <c r="K182" i="31"/>
  <c r="L192" i="21" s="1"/>
  <c r="K183" i="31"/>
  <c r="L193" i="21" s="1"/>
  <c r="K184" i="31"/>
  <c r="L194" i="21" s="1"/>
  <c r="K185" i="31"/>
  <c r="L195" i="21" s="1"/>
  <c r="K186" i="31"/>
  <c r="L196" i="21" s="1"/>
  <c r="K187" i="31"/>
  <c r="K188" i="31"/>
  <c r="L198" i="21" s="1"/>
  <c r="K189" i="31"/>
  <c r="L199" i="21" s="1"/>
  <c r="K190" i="31"/>
  <c r="L200" i="21" s="1"/>
  <c r="K191" i="31"/>
  <c r="L201" i="21" s="1"/>
  <c r="K192" i="31"/>
  <c r="K193" i="31"/>
  <c r="L203" i="21" s="1"/>
  <c r="K194" i="31"/>
  <c r="L204" i="21" s="1"/>
  <c r="K195" i="31"/>
  <c r="L205" i="21" s="1"/>
  <c r="K196" i="31"/>
  <c r="L206" i="21" s="1"/>
  <c r="K197" i="31"/>
  <c r="L207" i="21" s="1"/>
  <c r="K198" i="31"/>
  <c r="L208" i="21" s="1"/>
  <c r="K199" i="31"/>
  <c r="L209" i="21" s="1"/>
  <c r="K200" i="31"/>
  <c r="L210" i="21" s="1"/>
  <c r="K201" i="31"/>
  <c r="L211" i="21" s="1"/>
  <c r="K202" i="31"/>
  <c r="L212" i="21" s="1"/>
  <c r="K203" i="31"/>
  <c r="K204" i="31"/>
  <c r="L214" i="21" s="1"/>
  <c r="K205" i="31"/>
  <c r="L215" i="21" s="1"/>
  <c r="K206" i="31"/>
  <c r="L216" i="21" s="1"/>
  <c r="K207" i="31"/>
  <c r="L217" i="21" s="1"/>
  <c r="K208" i="31"/>
  <c r="L218" i="21" s="1"/>
  <c r="K209" i="31"/>
  <c r="L219" i="21" s="1"/>
  <c r="K210" i="31"/>
  <c r="L220" i="21" s="1"/>
  <c r="K211" i="31"/>
  <c r="L221" i="21" s="1"/>
  <c r="K212" i="31"/>
  <c r="L222" i="21" s="1"/>
  <c r="K213" i="31"/>
  <c r="L223" i="21" s="1"/>
  <c r="K214" i="31"/>
  <c r="L224" i="21" s="1"/>
  <c r="K215" i="31"/>
  <c r="L225" i="21" s="1"/>
  <c r="K216" i="31"/>
  <c r="K217" i="31"/>
  <c r="L227" i="21" s="1"/>
  <c r="K218" i="31"/>
  <c r="K219" i="31"/>
  <c r="L229" i="21" s="1"/>
  <c r="K220" i="31"/>
  <c r="L230" i="21" s="1"/>
  <c r="K221" i="31"/>
  <c r="L231" i="21" s="1"/>
  <c r="K222" i="31"/>
  <c r="L232" i="21" s="1"/>
  <c r="K223" i="31"/>
  <c r="K224" i="31"/>
  <c r="L234" i="21" s="1"/>
  <c r="K225" i="31"/>
  <c r="L235" i="21" s="1"/>
  <c r="K226" i="31"/>
  <c r="L236" i="21" s="1"/>
  <c r="K227" i="31"/>
  <c r="L237" i="21" s="1"/>
  <c r="K228" i="31"/>
  <c r="L238" i="21" s="1"/>
  <c r="K229" i="31"/>
  <c r="L239" i="21" s="1"/>
  <c r="K230" i="31"/>
  <c r="L240" i="21" s="1"/>
  <c r="K231" i="31"/>
  <c r="K232" i="31"/>
  <c r="L242" i="21" s="1"/>
  <c r="K233" i="31"/>
  <c r="L243" i="21" s="1"/>
  <c r="K234" i="31"/>
  <c r="K235" i="31"/>
  <c r="K236" i="31"/>
  <c r="L246" i="21" s="1"/>
  <c r="K237" i="31"/>
  <c r="L247" i="21" s="1"/>
  <c r="K238" i="31"/>
  <c r="L248" i="21" s="1"/>
  <c r="K239" i="31"/>
  <c r="L249" i="21" s="1"/>
  <c r="K240" i="31"/>
  <c r="L250" i="21" s="1"/>
  <c r="K241" i="31"/>
  <c r="L251" i="21" s="1"/>
  <c r="K242" i="31"/>
  <c r="L252" i="21" s="1"/>
  <c r="K243" i="31"/>
  <c r="L253" i="21" s="1"/>
  <c r="K244" i="31"/>
  <c r="K245" i="31"/>
  <c r="K246" i="31"/>
  <c r="K247" i="31"/>
  <c r="L257" i="21" s="1"/>
  <c r="K248" i="31"/>
  <c r="L258" i="21" s="1"/>
  <c r="K249" i="31"/>
  <c r="L259" i="21" s="1"/>
  <c r="K250" i="31"/>
  <c r="L260" i="21" s="1"/>
  <c r="K251" i="31"/>
  <c r="K252" i="31"/>
  <c r="K253" i="31"/>
  <c r="K254" i="31"/>
  <c r="K255" i="31"/>
  <c r="L265" i="21" s="1"/>
  <c r="K256" i="31"/>
  <c r="K257" i="31"/>
  <c r="L123" i="21" s="1"/>
  <c r="K258" i="31"/>
  <c r="K259" i="31"/>
  <c r="L268" i="21" s="1"/>
  <c r="K260" i="31"/>
  <c r="L269" i="21" s="1"/>
  <c r="K261" i="31"/>
  <c r="L270" i="21" s="1"/>
  <c r="K262" i="31"/>
  <c r="L271" i="21" s="1"/>
  <c r="K263" i="31"/>
  <c r="L272" i="21" s="1"/>
  <c r="K264" i="31"/>
  <c r="L273" i="21" s="1"/>
  <c r="K265" i="31"/>
  <c r="L274" i="21" s="1"/>
  <c r="K266" i="31"/>
  <c r="L275" i="21" s="1"/>
  <c r="K267" i="31"/>
  <c r="L276" i="21" s="1"/>
  <c r="K268" i="31"/>
  <c r="L277" i="21" s="1"/>
  <c r="K269" i="31"/>
  <c r="L278" i="21" s="1"/>
  <c r="K270" i="31"/>
  <c r="L279" i="21" s="1"/>
  <c r="K271" i="31"/>
  <c r="L280" i="21" s="1"/>
  <c r="K272" i="31"/>
  <c r="L281" i="21" s="1"/>
  <c r="K273" i="31"/>
  <c r="L282" i="21" s="1"/>
  <c r="K274" i="31"/>
  <c r="L283" i="21" s="1"/>
  <c r="K275" i="31"/>
  <c r="L284" i="21" s="1"/>
  <c r="K276" i="31"/>
  <c r="L286" i="21" s="1"/>
  <c r="K277" i="31"/>
  <c r="L287" i="21" s="1"/>
  <c r="K278" i="31"/>
  <c r="L288" i="21" s="1"/>
  <c r="K279" i="31"/>
  <c r="L289" i="21" s="1"/>
  <c r="K280" i="31"/>
  <c r="L290" i="21" s="1"/>
  <c r="K281" i="31"/>
  <c r="L291" i="21" s="1"/>
  <c r="K282" i="31"/>
  <c r="L292" i="21" s="1"/>
  <c r="K283" i="31"/>
  <c r="L293" i="21" s="1"/>
  <c r="K284" i="31"/>
  <c r="L294" i="21" s="1"/>
  <c r="K285" i="31"/>
  <c r="L295" i="21" s="1"/>
  <c r="K286" i="31"/>
  <c r="L296" i="21" s="1"/>
  <c r="K287" i="31"/>
  <c r="L297" i="21" s="1"/>
  <c r="K288" i="31"/>
  <c r="L298" i="21" s="1"/>
  <c r="K289" i="31"/>
  <c r="L299" i="21" s="1"/>
  <c r="K290" i="31"/>
  <c r="L300" i="21" s="1"/>
  <c r="K291" i="31"/>
  <c r="L301" i="21" s="1"/>
  <c r="K292" i="31"/>
  <c r="L302" i="21" s="1"/>
  <c r="K293" i="31"/>
  <c r="L303" i="21" s="1"/>
  <c r="K294" i="31"/>
  <c r="L304" i="21" s="1"/>
  <c r="K295" i="31"/>
  <c r="L305" i="21" s="1"/>
  <c r="K296" i="31"/>
  <c r="L306" i="21" s="1"/>
  <c r="K297" i="31"/>
  <c r="L307" i="21" s="1"/>
  <c r="K298" i="31"/>
  <c r="L308" i="21" s="1"/>
  <c r="K299" i="31"/>
  <c r="L309" i="21" s="1"/>
  <c r="K300" i="31"/>
  <c r="L310" i="21" s="1"/>
  <c r="K301" i="31"/>
  <c r="L311" i="21" s="1"/>
  <c r="K302" i="31"/>
  <c r="L312" i="21" s="1"/>
  <c r="K303" i="31"/>
  <c r="L313" i="21" s="1"/>
  <c r="K304" i="31"/>
  <c r="L314" i="21" s="1"/>
  <c r="K305" i="31"/>
  <c r="L315" i="21" s="1"/>
  <c r="K306" i="31"/>
  <c r="L316" i="21" s="1"/>
  <c r="K307" i="31"/>
  <c r="L317" i="21" s="1"/>
  <c r="K308" i="31"/>
  <c r="L318" i="21" s="1"/>
  <c r="K309" i="31"/>
  <c r="L319" i="21" s="1"/>
  <c r="K310" i="31"/>
  <c r="K311" i="31"/>
  <c r="L321" i="21" s="1"/>
  <c r="K312" i="31"/>
  <c r="L322" i="21" s="1"/>
  <c r="K313" i="31"/>
  <c r="L324" i="21" s="1"/>
  <c r="K314" i="31"/>
  <c r="L325" i="21" s="1"/>
  <c r="K315" i="31"/>
  <c r="L326" i="21" s="1"/>
  <c r="K316" i="31"/>
  <c r="L327" i="21" s="1"/>
  <c r="K317" i="31"/>
  <c r="K318" i="31"/>
  <c r="L329" i="21" s="1"/>
  <c r="K319" i="31"/>
  <c r="L330" i="21" s="1"/>
  <c r="K320" i="31"/>
  <c r="L331" i="21" s="1"/>
  <c r="K321" i="31"/>
  <c r="L332" i="21" s="1"/>
  <c r="K322" i="31"/>
  <c r="L333" i="21" s="1"/>
  <c r="K323" i="31"/>
  <c r="L334" i="21" s="1"/>
  <c r="K324" i="31"/>
  <c r="L335" i="21" s="1"/>
  <c r="K325" i="31"/>
  <c r="L336" i="21" s="1"/>
  <c r="K326" i="31"/>
  <c r="L337" i="21" s="1"/>
  <c r="K327" i="31"/>
  <c r="K328" i="31"/>
  <c r="K329" i="31"/>
  <c r="L340" i="21" s="1"/>
  <c r="K330" i="31"/>
  <c r="L341" i="21" s="1"/>
  <c r="K331" i="31"/>
  <c r="L342" i="21" s="1"/>
  <c r="K332" i="31"/>
  <c r="L343" i="21" s="1"/>
  <c r="K333" i="31"/>
  <c r="L344" i="21" s="1"/>
  <c r="K334" i="31"/>
  <c r="L345" i="21" s="1"/>
  <c r="K335" i="31"/>
  <c r="L346" i="21" s="1"/>
  <c r="K336" i="31"/>
  <c r="L347" i="21" s="1"/>
  <c r="K337" i="31"/>
  <c r="L348" i="21" s="1"/>
  <c r="K338" i="31"/>
  <c r="L349" i="21" s="1"/>
  <c r="K339" i="31"/>
  <c r="L350" i="21" s="1"/>
  <c r="K340" i="31"/>
  <c r="L351" i="21" s="1"/>
  <c r="K341" i="31"/>
  <c r="L352" i="21" s="1"/>
  <c r="K342" i="31"/>
  <c r="K343" i="31"/>
  <c r="L354" i="21" s="1"/>
  <c r="K344" i="31"/>
  <c r="L355" i="21" s="1"/>
  <c r="K345" i="31"/>
  <c r="L356" i="21" s="1"/>
  <c r="K346" i="31"/>
  <c r="L357" i="21" s="1"/>
  <c r="K347" i="31"/>
  <c r="L358" i="21" s="1"/>
  <c r="K348" i="31"/>
  <c r="L359" i="21" s="1"/>
  <c r="K349" i="31"/>
  <c r="L360" i="21" s="1"/>
  <c r="K350" i="31"/>
  <c r="L361" i="21" s="1"/>
  <c r="K351" i="31"/>
  <c r="L362" i="21" s="1"/>
  <c r="K352" i="31"/>
  <c r="L363" i="21" s="1"/>
  <c r="K353" i="31"/>
  <c r="L364" i="21" s="1"/>
  <c r="K354" i="31"/>
  <c r="L365" i="21" s="1"/>
  <c r="K355" i="31"/>
  <c r="L366" i="21" s="1"/>
  <c r="K356" i="31"/>
  <c r="L367" i="21" s="1"/>
  <c r="K357" i="31"/>
  <c r="L368" i="21" s="1"/>
  <c r="K358" i="31"/>
  <c r="L369" i="21" s="1"/>
  <c r="K359" i="31"/>
  <c r="K360" i="31"/>
  <c r="L371" i="21" s="1"/>
  <c r="K361" i="31"/>
  <c r="L372" i="21" s="1"/>
  <c r="K362" i="31"/>
  <c r="L373" i="21" s="1"/>
  <c r="K363" i="31"/>
  <c r="L374" i="21" s="1"/>
  <c r="K364" i="31"/>
  <c r="L375" i="21" s="1"/>
  <c r="K365" i="31"/>
  <c r="L376" i="21" s="1"/>
  <c r="K366" i="31"/>
  <c r="L377" i="21" s="1"/>
  <c r="K367" i="31"/>
  <c r="L378" i="21" s="1"/>
  <c r="K368" i="31"/>
  <c r="L379" i="21" s="1"/>
  <c r="K369" i="31"/>
  <c r="L380" i="21" s="1"/>
  <c r="K370" i="31"/>
  <c r="L381" i="21" s="1"/>
  <c r="K371" i="31"/>
  <c r="L382" i="21" s="1"/>
  <c r="K372" i="31"/>
  <c r="L383" i="21" s="1"/>
  <c r="K373" i="31"/>
  <c r="L384" i="21" s="1"/>
  <c r="K374" i="31"/>
  <c r="L385" i="21" s="1"/>
  <c r="K375" i="31"/>
  <c r="L386" i="21" s="1"/>
  <c r="K376" i="31"/>
  <c r="L387" i="21" s="1"/>
  <c r="K377" i="31"/>
  <c r="L388" i="21" s="1"/>
  <c r="K378" i="31"/>
  <c r="L389" i="21" s="1"/>
  <c r="K379" i="31"/>
  <c r="K380" i="31"/>
  <c r="L391" i="21" s="1"/>
  <c r="K381" i="31"/>
  <c r="L392" i="21" s="1"/>
  <c r="K382" i="31"/>
  <c r="L394" i="21" s="1"/>
  <c r="K383" i="31"/>
  <c r="K384" i="31"/>
  <c r="K385" i="31"/>
  <c r="L397" i="21" s="1"/>
  <c r="K386" i="31"/>
  <c r="L400" i="21" s="1"/>
  <c r="K387" i="31"/>
  <c r="L401" i="21" s="1"/>
  <c r="K388" i="31"/>
  <c r="K389" i="31"/>
  <c r="L403" i="21" s="1"/>
  <c r="K390" i="31"/>
  <c r="L404" i="21" s="1"/>
  <c r="K391" i="31"/>
  <c r="L405" i="21" s="1"/>
  <c r="K392" i="31"/>
  <c r="L406" i="21" s="1"/>
  <c r="K393" i="31"/>
  <c r="L407" i="21" s="1"/>
  <c r="K394" i="31"/>
  <c r="L408" i="21" s="1"/>
  <c r="K395" i="31"/>
  <c r="L409" i="21" s="1"/>
  <c r="K396" i="31"/>
  <c r="K397" i="31"/>
  <c r="L411" i="21" s="1"/>
  <c r="K398" i="31"/>
  <c r="K399" i="31"/>
  <c r="L413" i="21" s="1"/>
  <c r="K400" i="31"/>
  <c r="L414" i="21" s="1"/>
  <c r="K401" i="31"/>
  <c r="L415" i="21" s="1"/>
  <c r="K402" i="31"/>
  <c r="L416" i="21" s="1"/>
  <c r="K403" i="31"/>
  <c r="L417" i="21" s="1"/>
  <c r="K404" i="31"/>
  <c r="L418" i="21" s="1"/>
  <c r="K405" i="31"/>
  <c r="L419" i="21" s="1"/>
  <c r="K406" i="31"/>
  <c r="L420" i="21" s="1"/>
  <c r="K407" i="31"/>
  <c r="L421" i="21" s="1"/>
  <c r="K408" i="31"/>
  <c r="L422" i="21" s="1"/>
  <c r="K409" i="31"/>
  <c r="L423" i="21" s="1"/>
  <c r="K410" i="31"/>
  <c r="L424" i="21" s="1"/>
  <c r="K411" i="31"/>
  <c r="L425" i="21" s="1"/>
  <c r="K412" i="31"/>
  <c r="L426" i="21" s="1"/>
  <c r="K413" i="31"/>
  <c r="L427" i="21" s="1"/>
  <c r="K414" i="31"/>
  <c r="L428" i="21" s="1"/>
  <c r="K415" i="31"/>
  <c r="L429" i="21" s="1"/>
  <c r="K416" i="31"/>
  <c r="L430" i="21" s="1"/>
  <c r="K417" i="31"/>
  <c r="L431" i="21" s="1"/>
  <c r="K418" i="31"/>
  <c r="L432" i="21" s="1"/>
  <c r="K419" i="31"/>
  <c r="L433" i="21" s="1"/>
  <c r="K420" i="31"/>
  <c r="L434" i="21" s="1"/>
  <c r="K421" i="31"/>
  <c r="L435" i="21" s="1"/>
  <c r="K422" i="31"/>
  <c r="L436" i="21" s="1"/>
  <c r="K423" i="31"/>
  <c r="L437" i="21" s="1"/>
  <c r="K424" i="31"/>
  <c r="L438" i="21" s="1"/>
  <c r="K425" i="31"/>
  <c r="L439" i="21" s="1"/>
  <c r="K426" i="31"/>
  <c r="L440" i="21" s="1"/>
  <c r="K427" i="31"/>
  <c r="L441" i="21" s="1"/>
  <c r="K428" i="31"/>
  <c r="L442" i="21" s="1"/>
  <c r="K429" i="31"/>
  <c r="L443" i="21" s="1"/>
  <c r="K430" i="31"/>
  <c r="L444" i="21" s="1"/>
  <c r="K431" i="31"/>
  <c r="L445" i="21" s="1"/>
  <c r="K432" i="31"/>
  <c r="L447" i="21" s="1"/>
  <c r="K433" i="31"/>
  <c r="K434" i="31"/>
  <c r="L449" i="21" s="1"/>
  <c r="K435" i="31"/>
  <c r="L450" i="21" s="1"/>
  <c r="K436" i="31"/>
  <c r="L451" i="21" s="1"/>
  <c r="K437" i="31"/>
  <c r="L452" i="21" s="1"/>
  <c r="K438" i="31"/>
  <c r="L453" i="21" s="1"/>
  <c r="K439" i="31"/>
  <c r="L454" i="21" s="1"/>
  <c r="K440" i="31"/>
  <c r="L455" i="21" s="1"/>
  <c r="K441" i="31"/>
  <c r="L456" i="21" s="1"/>
  <c r="K442" i="31"/>
  <c r="L457" i="21" s="1"/>
  <c r="K443" i="31"/>
  <c r="L458" i="21" s="1"/>
  <c r="K444" i="31"/>
  <c r="L459" i="21" s="1"/>
  <c r="K445" i="31"/>
  <c r="L460" i="21" s="1"/>
  <c r="K446" i="31"/>
  <c r="K447" i="31"/>
  <c r="K448" i="31"/>
  <c r="L463" i="21" s="1"/>
  <c r="K449" i="31"/>
  <c r="L464" i="21" s="1"/>
  <c r="K450" i="31"/>
  <c r="L465" i="21" s="1"/>
  <c r="K451" i="31"/>
  <c r="L466" i="21" s="1"/>
  <c r="K452" i="31"/>
  <c r="L467" i="21" s="1"/>
  <c r="K453" i="31"/>
  <c r="K454" i="31"/>
  <c r="K455" i="31"/>
  <c r="L471" i="21" s="1"/>
  <c r="K456" i="31"/>
  <c r="L472" i="21" s="1"/>
  <c r="K457" i="31"/>
  <c r="L473" i="21" s="1"/>
  <c r="K458" i="31"/>
  <c r="L474" i="21" s="1"/>
  <c r="K459" i="31"/>
  <c r="L475" i="21" s="1"/>
  <c r="K460" i="31"/>
  <c r="L476" i="21" s="1"/>
  <c r="K461" i="31"/>
  <c r="L477" i="21" s="1"/>
  <c r="K462" i="31"/>
  <c r="L478" i="21" s="1"/>
  <c r="K463" i="31"/>
  <c r="L479" i="21" s="1"/>
  <c r="K464" i="31"/>
  <c r="K465" i="31"/>
  <c r="L481" i="21" s="1"/>
  <c r="K466" i="31"/>
  <c r="L482" i="21" s="1"/>
  <c r="K467" i="31"/>
  <c r="L483" i="21" s="1"/>
  <c r="K468" i="31"/>
  <c r="L484" i="21" s="1"/>
  <c r="K469" i="31"/>
  <c r="L485" i="21" s="1"/>
  <c r="K470" i="31"/>
  <c r="L486" i="21" s="1"/>
  <c r="K471" i="31"/>
  <c r="L487" i="21" s="1"/>
  <c r="K472" i="31"/>
  <c r="L488" i="21" s="1"/>
  <c r="K473" i="31"/>
  <c r="L489" i="21" s="1"/>
  <c r="K474" i="31"/>
  <c r="L490" i="21" s="1"/>
  <c r="K475" i="31"/>
  <c r="L491" i="21" s="1"/>
  <c r="K476" i="31"/>
  <c r="L492" i="21" s="1"/>
  <c r="K477" i="31"/>
  <c r="L493" i="21" s="1"/>
  <c r="K478" i="31"/>
  <c r="L494" i="21" s="1"/>
  <c r="K479" i="31"/>
  <c r="L495" i="21" s="1"/>
  <c r="K480" i="31"/>
  <c r="L496" i="21" s="1"/>
  <c r="K481" i="31"/>
  <c r="L498" i="21" s="1"/>
  <c r="K482" i="31"/>
  <c r="L499" i="21" s="1"/>
  <c r="K483" i="31"/>
  <c r="L500" i="21" s="1"/>
  <c r="K484" i="31"/>
  <c r="L501" i="21" s="1"/>
  <c r="K485" i="31"/>
  <c r="L502" i="21" s="1"/>
  <c r="K486" i="31"/>
  <c r="L503" i="21" s="1"/>
  <c r="K487" i="31"/>
  <c r="K488" i="31"/>
  <c r="L505" i="21" s="1"/>
  <c r="K489" i="31"/>
  <c r="L506" i="21" s="1"/>
  <c r="K490" i="31"/>
  <c r="L507" i="21" s="1"/>
  <c r="K491" i="31"/>
  <c r="L508" i="21" s="1"/>
  <c r="K492" i="31"/>
  <c r="L509" i="21" s="1"/>
  <c r="K493" i="31"/>
  <c r="L510" i="21" s="1"/>
  <c r="K494" i="31"/>
  <c r="L511" i="21" s="1"/>
  <c r="K495" i="31"/>
  <c r="L512" i="21" s="1"/>
  <c r="K496" i="31"/>
  <c r="L513" i="21" s="1"/>
  <c r="K497" i="31"/>
  <c r="L514" i="21" s="1"/>
  <c r="K498" i="31"/>
  <c r="L515" i="21" s="1"/>
  <c r="K499" i="31"/>
  <c r="L516" i="21" s="1"/>
  <c r="K500" i="31"/>
  <c r="L517" i="21" s="1"/>
  <c r="K501" i="31"/>
  <c r="L518" i="21" s="1"/>
  <c r="K502" i="31"/>
  <c r="L519" i="21" s="1"/>
  <c r="K503" i="31"/>
  <c r="L520" i="21" s="1"/>
  <c r="K504" i="31"/>
  <c r="L521" i="21" s="1"/>
  <c r="K505" i="31"/>
  <c r="L522" i="21" s="1"/>
  <c r="K506" i="31"/>
  <c r="K507" i="31"/>
  <c r="L524" i="21" s="1"/>
  <c r="K508" i="31"/>
  <c r="L525" i="21" s="1"/>
  <c r="K509" i="31"/>
  <c r="L526" i="21" s="1"/>
  <c r="K510" i="31"/>
  <c r="L527" i="21" s="1"/>
  <c r="K511" i="31"/>
  <c r="L528" i="21" s="1"/>
  <c r="K512" i="31"/>
  <c r="L529" i="21" s="1"/>
  <c r="K513" i="31"/>
  <c r="L530" i="21" s="1"/>
  <c r="K514" i="31"/>
  <c r="L531" i="21" s="1"/>
  <c r="K515" i="31"/>
  <c r="L532" i="21" s="1"/>
  <c r="K516" i="31"/>
  <c r="L533" i="21" s="1"/>
  <c r="K517" i="31"/>
  <c r="L534" i="21" s="1"/>
  <c r="K518" i="31"/>
  <c r="L535" i="21" s="1"/>
  <c r="K519" i="31"/>
  <c r="L536" i="21" s="1"/>
  <c r="K520" i="31"/>
  <c r="L537" i="21" s="1"/>
  <c r="K521" i="31"/>
  <c r="L538" i="21" s="1"/>
  <c r="K522" i="31"/>
  <c r="L539" i="21" s="1"/>
  <c r="K523" i="31"/>
  <c r="K524" i="31"/>
  <c r="L540" i="21" s="1"/>
  <c r="K525" i="31"/>
  <c r="L541" i="21" s="1"/>
  <c r="K526" i="31"/>
  <c r="L542" i="21" s="1"/>
  <c r="K527" i="31"/>
  <c r="K528" i="31"/>
  <c r="K529" i="31"/>
  <c r="K530" i="31"/>
  <c r="L546" i="21" s="1"/>
  <c r="K531" i="31"/>
  <c r="L547" i="21" s="1"/>
  <c r="K532" i="31"/>
  <c r="L548" i="21" s="1"/>
  <c r="K533" i="31"/>
  <c r="L549" i="21" s="1"/>
  <c r="K534" i="31"/>
  <c r="L550" i="21" s="1"/>
  <c r="K535" i="31"/>
  <c r="L551" i="21" s="1"/>
  <c r="K536" i="31"/>
  <c r="L552" i="21" s="1"/>
  <c r="K537" i="31"/>
  <c r="L553" i="21" s="1"/>
  <c r="K538" i="31"/>
  <c r="L554" i="21" s="1"/>
  <c r="K539" i="31"/>
  <c r="L555" i="21" s="1"/>
  <c r="K540" i="31"/>
  <c r="L556" i="21" s="1"/>
  <c r="K541" i="31"/>
  <c r="L557" i="21" s="1"/>
  <c r="K542" i="31"/>
  <c r="L558" i="21" s="1"/>
  <c r="K543" i="31"/>
  <c r="L559" i="21" s="1"/>
  <c r="K544" i="31"/>
  <c r="L560" i="21" s="1"/>
  <c r="K545" i="31"/>
  <c r="L561" i="21" s="1"/>
  <c r="K546" i="31"/>
  <c r="L562" i="21" s="1"/>
  <c r="K547" i="31"/>
  <c r="L563" i="21" s="1"/>
  <c r="K548" i="31"/>
  <c r="L564" i="21" s="1"/>
  <c r="K549" i="31"/>
  <c r="L565" i="21" s="1"/>
  <c r="K550" i="31"/>
  <c r="L566" i="21" s="1"/>
  <c r="K551" i="31"/>
  <c r="L567" i="21" s="1"/>
  <c r="K552" i="31"/>
  <c r="L568" i="21" s="1"/>
  <c r="K553" i="31"/>
  <c r="L569" i="21" s="1"/>
  <c r="K554" i="31"/>
  <c r="L570" i="21" s="1"/>
  <c r="K555" i="31"/>
  <c r="L571" i="21" s="1"/>
  <c r="K556" i="31"/>
  <c r="L572" i="21" s="1"/>
  <c r="K557" i="31"/>
  <c r="L573" i="21" s="1"/>
  <c r="K558" i="31"/>
  <c r="L574" i="21" s="1"/>
  <c r="K559" i="31"/>
  <c r="L575" i="21" s="1"/>
  <c r="K560" i="31"/>
  <c r="L576" i="21" s="1"/>
  <c r="K561" i="31"/>
  <c r="L577" i="21" s="1"/>
  <c r="K562" i="31"/>
  <c r="L578" i="21" s="1"/>
  <c r="K563" i="31"/>
  <c r="L579" i="21" s="1"/>
  <c r="K564" i="31"/>
  <c r="K565" i="31"/>
  <c r="L581" i="21" s="1"/>
  <c r="K566" i="31"/>
  <c r="L582" i="21" s="1"/>
  <c r="K567" i="31"/>
  <c r="L583" i="21" s="1"/>
  <c r="K568" i="31"/>
  <c r="L584" i="21" s="1"/>
  <c r="K569" i="31"/>
  <c r="L585" i="21" s="1"/>
  <c r="K570" i="31"/>
  <c r="L586" i="21" s="1"/>
  <c r="K571" i="31"/>
  <c r="L587" i="21" s="1"/>
  <c r="K572" i="31"/>
  <c r="L588" i="21" s="1"/>
  <c r="K573" i="31"/>
  <c r="L589" i="21" s="1"/>
  <c r="K574" i="31"/>
  <c r="L590" i="21" s="1"/>
  <c r="K575" i="31"/>
  <c r="L591" i="21" s="1"/>
  <c r="K576" i="31"/>
  <c r="L592" i="21" s="1"/>
  <c r="K577" i="31"/>
  <c r="L593" i="21" s="1"/>
  <c r="K578" i="31"/>
  <c r="L594" i="21" s="1"/>
  <c r="K579" i="31"/>
  <c r="L595" i="21" s="1"/>
  <c r="K580" i="31"/>
  <c r="L596" i="21" s="1"/>
  <c r="K581" i="31"/>
  <c r="K582" i="31"/>
  <c r="L598" i="21" s="1"/>
  <c r="K583" i="31"/>
  <c r="L599" i="21" s="1"/>
  <c r="K584" i="31"/>
  <c r="K585" i="31"/>
  <c r="L601" i="21" s="1"/>
  <c r="K586" i="31"/>
  <c r="L603" i="21" s="1"/>
  <c r="K587" i="31"/>
  <c r="L604" i="21" s="1"/>
  <c r="K588" i="31"/>
  <c r="L605" i="21" s="1"/>
  <c r="K589" i="31"/>
  <c r="L606" i="21" s="1"/>
  <c r="K590" i="31"/>
  <c r="L608" i="21" s="1"/>
  <c r="K591" i="31"/>
  <c r="L610" i="21" s="1"/>
  <c r="K592" i="31"/>
  <c r="L611" i="21" s="1"/>
  <c r="K593" i="31"/>
  <c r="L612" i="21" s="1"/>
  <c r="K594" i="31"/>
  <c r="L613" i="21" s="1"/>
  <c r="K595" i="31"/>
  <c r="L614" i="21" s="1"/>
  <c r="K596" i="31"/>
  <c r="L615" i="21" s="1"/>
  <c r="K597" i="31"/>
  <c r="L616" i="21" s="1"/>
  <c r="K598" i="31"/>
  <c r="L617" i="21" s="1"/>
  <c r="K599" i="31"/>
  <c r="L618" i="21" s="1"/>
  <c r="K600" i="31"/>
  <c r="L619" i="21" s="1"/>
  <c r="K601" i="31"/>
  <c r="L620" i="21" s="1"/>
  <c r="K602" i="31"/>
  <c r="L621" i="21" s="1"/>
  <c r="K603" i="31"/>
  <c r="L622" i="21" s="1"/>
  <c r="K604" i="31"/>
  <c r="K605" i="31"/>
  <c r="L624" i="21" s="1"/>
  <c r="K606" i="31"/>
  <c r="L625" i="21" s="1"/>
  <c r="K607" i="31"/>
  <c r="L626" i="21" s="1"/>
  <c r="K608" i="31"/>
  <c r="L627" i="21" s="1"/>
  <c r="K609" i="31"/>
  <c r="L628" i="21" s="1"/>
  <c r="K610" i="31"/>
  <c r="L629" i="21" s="1"/>
  <c r="K611" i="31"/>
  <c r="L630" i="21" s="1"/>
  <c r="K612" i="31"/>
  <c r="L631" i="21" s="1"/>
  <c r="K613" i="31"/>
  <c r="L632" i="21" s="1"/>
  <c r="K614" i="31"/>
  <c r="L633" i="21" s="1"/>
  <c r="K615" i="31"/>
  <c r="L634" i="21" s="1"/>
  <c r="K616" i="31"/>
  <c r="L635" i="21" s="1"/>
  <c r="K617" i="31"/>
  <c r="L636" i="21" s="1"/>
  <c r="K618" i="31"/>
  <c r="L637" i="21" s="1"/>
  <c r="K619" i="31"/>
  <c r="L638" i="21" s="1"/>
  <c r="K620" i="31"/>
  <c r="L639" i="21" s="1"/>
  <c r="K621" i="31"/>
  <c r="L607" i="21" s="1"/>
  <c r="K6" i="31"/>
  <c r="L18" i="21" s="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J505" i="31"/>
  <c r="J506" i="31"/>
  <c r="J507" i="31"/>
  <c r="J508" i="31"/>
  <c r="J509" i="31"/>
  <c r="J510" i="31"/>
  <c r="J511" i="31"/>
  <c r="J512" i="31"/>
  <c r="J513" i="31"/>
  <c r="J514" i="31"/>
  <c r="J515" i="31"/>
  <c r="J516" i="31"/>
  <c r="J517" i="31"/>
  <c r="J518" i="31"/>
  <c r="J519" i="31"/>
  <c r="J520" i="31"/>
  <c r="J521" i="31"/>
  <c r="J522" i="31"/>
  <c r="J523" i="31"/>
  <c r="J524" i="31"/>
  <c r="J525" i="31"/>
  <c r="J526" i="31"/>
  <c r="J527" i="31"/>
  <c r="J528" i="31"/>
  <c r="J529" i="31"/>
  <c r="J530" i="31"/>
  <c r="J531" i="31"/>
  <c r="J532" i="31"/>
  <c r="J533" i="31"/>
  <c r="J534" i="31"/>
  <c r="J535" i="31"/>
  <c r="J536" i="31"/>
  <c r="J537" i="31"/>
  <c r="J538" i="31"/>
  <c r="J539" i="31"/>
  <c r="J540" i="31"/>
  <c r="J541" i="31"/>
  <c r="J542" i="31"/>
  <c r="J543" i="31"/>
  <c r="J544" i="31"/>
  <c r="J545" i="31"/>
  <c r="J546" i="31"/>
  <c r="J547" i="31"/>
  <c r="J548" i="31"/>
  <c r="J549" i="31"/>
  <c r="J550" i="31"/>
  <c r="J551" i="31"/>
  <c r="J552" i="31"/>
  <c r="J553" i="31"/>
  <c r="J554" i="31"/>
  <c r="J555" i="31"/>
  <c r="J556" i="31"/>
  <c r="J557" i="31"/>
  <c r="J558" i="31"/>
  <c r="J559" i="31"/>
  <c r="J560" i="31"/>
  <c r="J561" i="31"/>
  <c r="J562" i="31"/>
  <c r="J563" i="31"/>
  <c r="J564" i="31"/>
  <c r="J565" i="31"/>
  <c r="J566" i="31"/>
  <c r="J567" i="31"/>
  <c r="J568" i="31"/>
  <c r="J569" i="31"/>
  <c r="J570" i="31"/>
  <c r="J571" i="31"/>
  <c r="J572" i="31"/>
  <c r="J573" i="31"/>
  <c r="J574" i="31"/>
  <c r="J575" i="31"/>
  <c r="J576" i="31"/>
  <c r="J577" i="31"/>
  <c r="J578" i="31"/>
  <c r="J579" i="31"/>
  <c r="J580" i="31"/>
  <c r="J581" i="31"/>
  <c r="J582" i="31"/>
  <c r="J583" i="31"/>
  <c r="J584" i="31"/>
  <c r="J585" i="31"/>
  <c r="J586" i="31"/>
  <c r="J587" i="31"/>
  <c r="J588" i="31"/>
  <c r="J589" i="31"/>
  <c r="J590" i="31"/>
  <c r="J591" i="31"/>
  <c r="J592" i="31"/>
  <c r="J593" i="31"/>
  <c r="J594" i="31"/>
  <c r="J595" i="31"/>
  <c r="J596" i="31"/>
  <c r="J597" i="31"/>
  <c r="J598" i="31"/>
  <c r="J599" i="31"/>
  <c r="J600" i="31"/>
  <c r="J601" i="31"/>
  <c r="J602" i="31"/>
  <c r="J603" i="31"/>
  <c r="J604" i="31"/>
  <c r="J605" i="31"/>
  <c r="J606" i="31"/>
  <c r="J607" i="31"/>
  <c r="J608" i="31"/>
  <c r="J609" i="31"/>
  <c r="J610" i="31"/>
  <c r="J611" i="31"/>
  <c r="J612" i="31"/>
  <c r="J613" i="31"/>
  <c r="J614" i="31"/>
  <c r="J615" i="31"/>
  <c r="J616" i="31"/>
  <c r="J617" i="31"/>
  <c r="J618" i="31"/>
  <c r="J619" i="31"/>
  <c r="J620" i="31"/>
  <c r="J621" i="31"/>
  <c r="J622" i="31"/>
  <c r="J623" i="31"/>
  <c r="J624" i="31"/>
  <c r="J625" i="31"/>
  <c r="J626" i="31"/>
  <c r="J627" i="31"/>
  <c r="J628" i="31"/>
  <c r="J629" i="31"/>
  <c r="J630" i="31"/>
  <c r="J631" i="31"/>
  <c r="J632" i="31"/>
  <c r="J633" i="31"/>
  <c r="J634" i="31"/>
  <c r="J635" i="31"/>
  <c r="J636" i="31"/>
  <c r="J637" i="31"/>
  <c r="J638" i="31"/>
  <c r="J639" i="31"/>
  <c r="J640" i="31"/>
  <c r="J641" i="31"/>
  <c r="J642" i="31"/>
  <c r="J643" i="31"/>
  <c r="J644" i="31"/>
  <c r="J645" i="31"/>
  <c r="J646" i="31"/>
  <c r="J647" i="31"/>
  <c r="J648" i="31"/>
  <c r="J649" i="31"/>
  <c r="J650" i="31"/>
  <c r="J651" i="31"/>
  <c r="J652" i="31"/>
  <c r="J653" i="31"/>
  <c r="J654" i="31"/>
  <c r="J655" i="31"/>
  <c r="J656" i="31"/>
  <c r="J657" i="31"/>
  <c r="J658" i="31"/>
  <c r="J659" i="31"/>
  <c r="J660" i="31"/>
  <c r="J661" i="31"/>
  <c r="J662" i="31"/>
  <c r="J663" i="31"/>
  <c r="J664" i="31"/>
  <c r="J665" i="31"/>
  <c r="J666" i="31"/>
  <c r="J667" i="31"/>
  <c r="J668" i="31"/>
  <c r="J669" i="31"/>
  <c r="J670" i="31"/>
  <c r="J671" i="31"/>
  <c r="J672" i="31"/>
  <c r="J673" i="31"/>
  <c r="J674" i="31"/>
  <c r="J675" i="31"/>
  <c r="J676" i="31"/>
  <c r="J677" i="31"/>
  <c r="J678" i="31"/>
  <c r="J679" i="31"/>
  <c r="J680" i="31"/>
  <c r="J681" i="31"/>
  <c r="J682" i="31"/>
  <c r="J683" i="31"/>
  <c r="J684" i="31"/>
  <c r="J685" i="31"/>
  <c r="J686" i="31"/>
  <c r="J687" i="31"/>
  <c r="J688" i="31"/>
  <c r="J689" i="31"/>
  <c r="J690" i="31"/>
  <c r="J691" i="31"/>
  <c r="J692" i="31"/>
  <c r="J693" i="31"/>
  <c r="J694" i="31"/>
  <c r="J695" i="31"/>
  <c r="J696" i="31"/>
  <c r="J697" i="31"/>
  <c r="J698" i="31"/>
  <c r="J699" i="31"/>
  <c r="J700" i="31"/>
  <c r="J701" i="31"/>
  <c r="J702" i="31"/>
  <c r="J703" i="31"/>
  <c r="J704" i="31"/>
  <c r="J705" i="31"/>
  <c r="J706" i="31"/>
  <c r="J707" i="31"/>
  <c r="J708" i="31"/>
  <c r="J709" i="31"/>
  <c r="J710" i="31"/>
  <c r="J711" i="31"/>
  <c r="J712" i="31"/>
  <c r="J713" i="31"/>
  <c r="J714" i="31"/>
  <c r="J715" i="31"/>
  <c r="J716" i="31"/>
  <c r="J717" i="31"/>
  <c r="J718" i="31"/>
  <c r="J719" i="31"/>
  <c r="J720" i="31"/>
  <c r="J721" i="31"/>
  <c r="J722" i="31"/>
  <c r="J723" i="31"/>
  <c r="J724" i="31"/>
  <c r="J725" i="31"/>
  <c r="J726" i="31"/>
  <c r="J727" i="31"/>
  <c r="J728" i="31"/>
  <c r="J729" i="31"/>
  <c r="J730" i="31"/>
  <c r="J731" i="31"/>
  <c r="J732" i="31"/>
  <c r="J733" i="31"/>
  <c r="J734" i="31"/>
  <c r="J735" i="31"/>
  <c r="J736" i="31"/>
  <c r="J737" i="31"/>
  <c r="J738" i="31"/>
  <c r="J739" i="31"/>
  <c r="J740" i="31"/>
  <c r="J741" i="31"/>
  <c r="J742" i="31"/>
  <c r="J743" i="31"/>
  <c r="J744" i="31"/>
  <c r="J745" i="31"/>
  <c r="J746" i="31"/>
  <c r="J747" i="31"/>
  <c r="J748" i="31"/>
  <c r="J749" i="31"/>
  <c r="J750" i="31"/>
  <c r="J751" i="31"/>
  <c r="J752" i="31"/>
  <c r="J753" i="31"/>
  <c r="J754" i="31"/>
  <c r="J755" i="31"/>
  <c r="J756" i="31"/>
  <c r="J757" i="31"/>
  <c r="J758" i="31"/>
  <c r="J759" i="31"/>
  <c r="J760" i="31"/>
  <c r="J761" i="31"/>
  <c r="J762" i="31"/>
  <c r="J763" i="31"/>
  <c r="J764" i="31"/>
  <c r="J765" i="31"/>
  <c r="J766" i="31"/>
  <c r="J767" i="31"/>
  <c r="J768" i="31"/>
  <c r="J769" i="31"/>
  <c r="J770" i="31"/>
  <c r="J771" i="31"/>
  <c r="J772" i="31"/>
  <c r="J773" i="31"/>
  <c r="J774" i="31"/>
  <c r="J775" i="31"/>
  <c r="J776" i="31"/>
  <c r="J777" i="31"/>
  <c r="J778" i="31"/>
  <c r="J779" i="31"/>
  <c r="J780" i="31"/>
  <c r="J781" i="31"/>
  <c r="J782" i="31"/>
  <c r="J783" i="31"/>
  <c r="J784" i="31"/>
  <c r="J785" i="31"/>
  <c r="J786" i="31"/>
  <c r="J787" i="31"/>
  <c r="J788" i="31"/>
  <c r="J789" i="31"/>
  <c r="J790" i="31"/>
  <c r="J791" i="31"/>
  <c r="J792" i="31"/>
  <c r="J793" i="31"/>
  <c r="J794" i="31"/>
  <c r="J795" i="31"/>
  <c r="J796" i="31"/>
  <c r="J797" i="31"/>
  <c r="J798" i="31"/>
  <c r="J799" i="31"/>
  <c r="J800" i="31"/>
  <c r="J801" i="31"/>
  <c r="J802" i="31"/>
  <c r="J803" i="31"/>
  <c r="J804" i="31"/>
  <c r="J805" i="31"/>
  <c r="J806" i="31"/>
  <c r="J807" i="31"/>
  <c r="J808" i="31"/>
  <c r="J809" i="31"/>
  <c r="J6" i="31"/>
  <c r="I7" i="31"/>
  <c r="I8" i="31"/>
  <c r="I9" i="31"/>
  <c r="I10" i="31"/>
  <c r="I11" i="31"/>
  <c r="I12" i="31"/>
  <c r="I13" i="31"/>
  <c r="I14" i="31"/>
  <c r="I15" i="31"/>
  <c r="I16" i="31"/>
  <c r="I17" i="31"/>
  <c r="I18" i="31"/>
  <c r="I19" i="31"/>
  <c r="I20" i="31"/>
  <c r="I21" i="31"/>
  <c r="I22" i="31"/>
  <c r="I23" i="31"/>
  <c r="I24" i="31"/>
  <c r="I25" i="31"/>
  <c r="I26" i="31"/>
  <c r="I30" i="31"/>
  <c r="I31" i="31"/>
  <c r="I32" i="31"/>
  <c r="I33" i="31"/>
  <c r="I34" i="31"/>
  <c r="I35" i="31"/>
  <c r="I36" i="31"/>
  <c r="I38" i="31"/>
  <c r="I39" i="31"/>
  <c r="I40" i="31"/>
  <c r="I41" i="31"/>
  <c r="I42" i="31"/>
  <c r="I44" i="31"/>
  <c r="I47" i="31"/>
  <c r="I48" i="31"/>
  <c r="I49" i="31"/>
  <c r="I50" i="31"/>
  <c r="I51" i="31"/>
  <c r="I52" i="31"/>
  <c r="I53" i="31"/>
  <c r="I54" i="31"/>
  <c r="I56" i="31"/>
  <c r="I57" i="31"/>
  <c r="I58" i="31"/>
  <c r="I59" i="31"/>
  <c r="I60" i="31"/>
  <c r="I61" i="31"/>
  <c r="I62" i="31"/>
  <c r="I63" i="31"/>
  <c r="I65" i="31"/>
  <c r="I66" i="31"/>
  <c r="I67" i="31"/>
  <c r="I68" i="31"/>
  <c r="I69" i="31"/>
  <c r="I70" i="31"/>
  <c r="I71" i="31"/>
  <c r="I72" i="31"/>
  <c r="I73" i="31"/>
  <c r="I74" i="31"/>
  <c r="I75" i="31"/>
  <c r="I76" i="31"/>
  <c r="I77" i="31"/>
  <c r="I78" i="31"/>
  <c r="I79" i="31"/>
  <c r="I80" i="31"/>
  <c r="I81" i="31"/>
  <c r="I82" i="31"/>
  <c r="I84" i="31"/>
  <c r="I85" i="31"/>
  <c r="I86" i="31"/>
  <c r="I87" i="31"/>
  <c r="I88" i="31"/>
  <c r="I89" i="31"/>
  <c r="I90" i="31"/>
  <c r="I91" i="31"/>
  <c r="I92" i="31"/>
  <c r="I95" i="31"/>
  <c r="I97" i="31"/>
  <c r="I98" i="31"/>
  <c r="I99" i="31"/>
  <c r="I100" i="31"/>
  <c r="I101" i="31"/>
  <c r="I102" i="31"/>
  <c r="I103" i="31"/>
  <c r="I104" i="31"/>
  <c r="I105" i="31"/>
  <c r="I106" i="31"/>
  <c r="I107" i="31"/>
  <c r="I108" i="31"/>
  <c r="I109" i="31"/>
  <c r="I110" i="31"/>
  <c r="I111" i="31"/>
  <c r="I112" i="31"/>
  <c r="I113" i="31"/>
  <c r="I114" i="31"/>
  <c r="I115" i="31"/>
  <c r="I116" i="31"/>
  <c r="I117" i="31"/>
  <c r="I122" i="31"/>
  <c r="I123" i="31"/>
  <c r="I124" i="31"/>
  <c r="I125" i="31"/>
  <c r="I126" i="31"/>
  <c r="I136" i="31"/>
  <c r="I137" i="31"/>
  <c r="I138" i="31"/>
  <c r="I139" i="31"/>
  <c r="I140" i="31"/>
  <c r="I142" i="31"/>
  <c r="I143" i="31"/>
  <c r="I144" i="31"/>
  <c r="I145" i="31"/>
  <c r="I146" i="31"/>
  <c r="I147" i="31"/>
  <c r="I148" i="31"/>
  <c r="I149"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6" i="31"/>
  <c r="I188" i="31"/>
  <c r="I189" i="31"/>
  <c r="I194" i="31"/>
  <c r="I195" i="31"/>
  <c r="I196" i="31"/>
  <c r="I197" i="31"/>
  <c r="I198" i="31"/>
  <c r="I199" i="31"/>
  <c r="I200" i="31"/>
  <c r="I201" i="31"/>
  <c r="I202" i="31"/>
  <c r="I203" i="31"/>
  <c r="I204" i="31"/>
  <c r="I206" i="31"/>
  <c r="I207" i="31"/>
  <c r="I208" i="31"/>
  <c r="I209" i="31"/>
  <c r="I210" i="31"/>
  <c r="I211" i="31"/>
  <c r="I212" i="31"/>
  <c r="I213" i="31"/>
  <c r="I214" i="31"/>
  <c r="I215" i="31"/>
  <c r="I216" i="31"/>
  <c r="I217" i="31"/>
  <c r="I218" i="31"/>
  <c r="I219" i="31"/>
  <c r="I220" i="31"/>
  <c r="I221" i="31"/>
  <c r="I222" i="31"/>
  <c r="I223" i="31"/>
  <c r="I224" i="31"/>
  <c r="I226" i="31"/>
  <c r="I227" i="31"/>
  <c r="I228" i="31"/>
  <c r="I229" i="31"/>
  <c r="I230" i="31"/>
  <c r="I231" i="31"/>
  <c r="I232" i="31"/>
  <c r="I233" i="31"/>
  <c r="I234" i="31"/>
  <c r="I235" i="31"/>
  <c r="I236" i="31"/>
  <c r="I237"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7" i="31"/>
  <c r="I268" i="31"/>
  <c r="I269" i="31"/>
  <c r="I270" i="31"/>
  <c r="I271" i="31"/>
  <c r="I272" i="31"/>
  <c r="I273" i="31"/>
  <c r="I274" i="31"/>
  <c r="I275" i="31"/>
  <c r="I276" i="31"/>
  <c r="I277" i="31"/>
  <c r="I278"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7" i="31"/>
  <c r="I318" i="31"/>
  <c r="I319" i="31"/>
  <c r="I320"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5" i="31"/>
  <c r="I426" i="31"/>
  <c r="I427" i="31"/>
  <c r="I428" i="31"/>
  <c r="I429" i="31"/>
  <c r="I430" i="31"/>
  <c r="I431" i="31"/>
  <c r="I432" i="31"/>
  <c r="I434" i="31"/>
  <c r="I435" i="31"/>
  <c r="I436" i="31"/>
  <c r="I437" i="31"/>
  <c r="I439" i="31"/>
  <c r="I440" i="31"/>
  <c r="I441" i="31"/>
  <c r="I442" i="31"/>
  <c r="I443" i="31"/>
  <c r="I444" i="31"/>
  <c r="I445"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4" i="31"/>
  <c r="I475" i="31"/>
  <c r="I476" i="31"/>
  <c r="I477" i="31"/>
  <c r="I478" i="31"/>
  <c r="I479" i="31"/>
  <c r="I480" i="31"/>
  <c r="I481" i="31"/>
  <c r="I482" i="31"/>
  <c r="I483" i="31"/>
  <c r="I486" i="31"/>
  <c r="I487" i="31"/>
  <c r="I488" i="31"/>
  <c r="I489" i="31"/>
  <c r="I490" i="31"/>
  <c r="I491" i="31"/>
  <c r="I492" i="31"/>
  <c r="I493" i="31"/>
  <c r="I494" i="31"/>
  <c r="I495" i="31"/>
  <c r="I496" i="31"/>
  <c r="I497" i="31"/>
  <c r="I498" i="31"/>
  <c r="I499" i="31"/>
  <c r="I500" i="31"/>
  <c r="I501" i="31"/>
  <c r="I508" i="31"/>
  <c r="I510" i="31"/>
  <c r="I511" i="31"/>
  <c r="I512" i="31"/>
  <c r="I513" i="31"/>
  <c r="I514" i="31"/>
  <c r="I515" i="31"/>
  <c r="I516" i="31"/>
  <c r="I517" i="31"/>
  <c r="I518" i="31"/>
  <c r="I519" i="31"/>
  <c r="I520"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I554" i="31"/>
  <c r="I555" i="31"/>
  <c r="I556" i="31"/>
  <c r="I557" i="31"/>
  <c r="I558" i="31"/>
  <c r="I559" i="31"/>
  <c r="I560" i="31"/>
  <c r="I561" i="31"/>
  <c r="I562" i="31"/>
  <c r="I563" i="31"/>
  <c r="I564" i="31"/>
  <c r="I565" i="31"/>
  <c r="I566" i="31"/>
  <c r="I567" i="31"/>
  <c r="I568" i="31"/>
  <c r="I569" i="31"/>
  <c r="I570" i="31"/>
  <c r="I571" i="31"/>
  <c r="I572" i="31"/>
  <c r="I573" i="31"/>
  <c r="I574" i="31"/>
  <c r="I575" i="31"/>
  <c r="I576" i="31"/>
  <c r="I577" i="31"/>
  <c r="I578" i="31"/>
  <c r="I579" i="31"/>
  <c r="I580" i="31"/>
  <c r="I581" i="31"/>
  <c r="I582" i="31"/>
  <c r="I583" i="31"/>
  <c r="I584" i="31"/>
  <c r="I585" i="31"/>
  <c r="I586" i="31"/>
  <c r="I587" i="31"/>
  <c r="I588" i="31"/>
  <c r="I589" i="31"/>
  <c r="I590" i="31"/>
  <c r="I591" i="31"/>
  <c r="I592" i="31"/>
  <c r="I593" i="31"/>
  <c r="I594" i="31"/>
  <c r="I595" i="31"/>
  <c r="I596" i="31"/>
  <c r="I597" i="31"/>
  <c r="I598" i="31"/>
  <c r="I599" i="31"/>
  <c r="I600" i="31"/>
  <c r="I601" i="31"/>
  <c r="I602" i="31"/>
  <c r="I603" i="31"/>
  <c r="I604" i="31"/>
  <c r="I605" i="31"/>
  <c r="I606" i="31"/>
  <c r="I607" i="31"/>
  <c r="I609" i="31"/>
  <c r="I611" i="31"/>
  <c r="I612" i="31"/>
  <c r="I613" i="31"/>
  <c r="I616" i="31"/>
  <c r="I617" i="31"/>
  <c r="I618" i="31"/>
  <c r="I619" i="31"/>
  <c r="I620" i="31"/>
  <c r="I621" i="31"/>
  <c r="I622" i="31"/>
  <c r="I623" i="31"/>
  <c r="I624" i="31"/>
  <c r="I625" i="31"/>
  <c r="I626" i="31"/>
  <c r="I627" i="31"/>
  <c r="I628" i="31"/>
  <c r="I629" i="31"/>
  <c r="I630" i="31"/>
  <c r="I631" i="31"/>
  <c r="I632" i="31"/>
  <c r="I633" i="31"/>
  <c r="I634" i="31"/>
  <c r="I635" i="31"/>
  <c r="I636" i="31"/>
  <c r="I637" i="31"/>
  <c r="I638" i="31"/>
  <c r="I639" i="31"/>
  <c r="I640" i="31"/>
  <c r="I641" i="31"/>
  <c r="I643" i="31"/>
  <c r="I644" i="31"/>
  <c r="I645" i="31"/>
  <c r="I646" i="31"/>
  <c r="I647" i="31"/>
  <c r="I650" i="31"/>
  <c r="I653" i="31"/>
  <c r="I654" i="31"/>
  <c r="I656" i="31"/>
  <c r="I660" i="31"/>
  <c r="I661" i="31"/>
  <c r="I662" i="31"/>
  <c r="I663" i="31"/>
  <c r="I664" i="31"/>
  <c r="I666" i="31"/>
  <c r="I667" i="31"/>
  <c r="I671" i="31"/>
  <c r="I672" i="31"/>
  <c r="I673" i="31"/>
  <c r="I675" i="31"/>
  <c r="I676" i="31"/>
  <c r="I677" i="31"/>
  <c r="I678" i="31"/>
  <c r="I680" i="31"/>
  <c r="I681" i="31"/>
  <c r="I682" i="31"/>
  <c r="I683" i="31"/>
  <c r="I684" i="31"/>
  <c r="I685" i="31"/>
  <c r="I686" i="31"/>
  <c r="I687" i="31"/>
  <c r="I688" i="31"/>
  <c r="I689" i="31"/>
  <c r="I690" i="31"/>
  <c r="I691" i="31"/>
  <c r="I692" i="31"/>
  <c r="I693" i="31"/>
  <c r="I694" i="31"/>
  <c r="I695" i="31"/>
  <c r="I696" i="31"/>
  <c r="I697" i="31"/>
  <c r="I698" i="31"/>
  <c r="I699" i="31"/>
  <c r="I700" i="31"/>
  <c r="I701" i="31"/>
  <c r="I703" i="31"/>
  <c r="I704" i="31"/>
  <c r="I705" i="31"/>
  <c r="I707" i="31"/>
  <c r="I708" i="31"/>
  <c r="I709" i="31"/>
  <c r="I710" i="31"/>
  <c r="I711" i="31"/>
  <c r="I712" i="31"/>
  <c r="I715" i="31"/>
  <c r="I716" i="31"/>
  <c r="I717" i="31"/>
  <c r="I718" i="31"/>
  <c r="I721" i="31"/>
  <c r="I722" i="31"/>
  <c r="I723" i="31"/>
  <c r="I724" i="31"/>
  <c r="I725" i="31"/>
  <c r="I726" i="31"/>
  <c r="I727" i="31"/>
  <c r="I728" i="31"/>
  <c r="I730" i="31"/>
  <c r="I731" i="31"/>
  <c r="I732" i="31"/>
  <c r="I733" i="31"/>
  <c r="I735" i="31"/>
  <c r="I737" i="31"/>
  <c r="I738" i="31"/>
  <c r="I739" i="31"/>
  <c r="I740" i="31"/>
  <c r="I741" i="31"/>
  <c r="I742" i="31"/>
  <c r="I743" i="31"/>
  <c r="I744" i="31"/>
  <c r="I745" i="31"/>
  <c r="I746" i="31"/>
  <c r="I747" i="31"/>
  <c r="I748" i="31"/>
  <c r="I749" i="31"/>
  <c r="I750" i="31"/>
  <c r="I751" i="31"/>
  <c r="I752" i="31"/>
  <c r="I753" i="31"/>
  <c r="I754" i="31"/>
  <c r="I755" i="31"/>
  <c r="I756" i="31"/>
  <c r="I757" i="31"/>
  <c r="I758" i="31"/>
  <c r="I759" i="31"/>
  <c r="I761" i="31"/>
  <c r="I762" i="31"/>
  <c r="I763" i="31"/>
  <c r="I764" i="31"/>
  <c r="I765" i="31"/>
  <c r="I766" i="31"/>
  <c r="I767" i="31"/>
  <c r="I768" i="31"/>
  <c r="I769" i="31"/>
  <c r="I771" i="31"/>
  <c r="I772" i="31"/>
  <c r="I773" i="31"/>
  <c r="I774" i="31"/>
  <c r="I775" i="31"/>
  <c r="I779" i="31"/>
  <c r="I781" i="31"/>
  <c r="I782" i="31"/>
  <c r="I783" i="31"/>
  <c r="I784" i="31"/>
  <c r="I785" i="31"/>
  <c r="I786" i="31"/>
  <c r="I787" i="31"/>
  <c r="I788" i="31"/>
  <c r="I789" i="31"/>
  <c r="I790" i="31"/>
  <c r="I791" i="31"/>
  <c r="I793" i="31"/>
  <c r="I794" i="31"/>
  <c r="I795" i="31"/>
  <c r="I796" i="31"/>
  <c r="I797" i="31"/>
  <c r="I798" i="31"/>
  <c r="I801" i="31"/>
  <c r="I802" i="31"/>
  <c r="I803" i="31"/>
  <c r="I804" i="31"/>
  <c r="I806" i="31"/>
  <c r="I808" i="31"/>
  <c r="G6" i="31"/>
  <c r="G7" i="31"/>
  <c r="H7" i="31"/>
  <c r="G8" i="31"/>
  <c r="H8" i="31"/>
  <c r="G9" i="31"/>
  <c r="H9" i="31"/>
  <c r="G10" i="31"/>
  <c r="H10" i="31"/>
  <c r="G11" i="31"/>
  <c r="H11" i="31"/>
  <c r="G12" i="31"/>
  <c r="H12" i="31"/>
  <c r="G13" i="31"/>
  <c r="H13" i="31"/>
  <c r="G14" i="31"/>
  <c r="H14" i="31"/>
  <c r="G15" i="31"/>
  <c r="H15" i="31"/>
  <c r="G16" i="31"/>
  <c r="H16" i="31"/>
  <c r="G17" i="31"/>
  <c r="H17" i="31"/>
  <c r="G18" i="31"/>
  <c r="H18" i="31"/>
  <c r="G19" i="31"/>
  <c r="H19" i="31"/>
  <c r="G20" i="31"/>
  <c r="H20" i="31"/>
  <c r="G21" i="31"/>
  <c r="H21" i="31"/>
  <c r="G22" i="31"/>
  <c r="H22" i="31"/>
  <c r="G23" i="31"/>
  <c r="H23" i="31"/>
  <c r="G24" i="31"/>
  <c r="H24" i="31"/>
  <c r="G25" i="31"/>
  <c r="H25" i="31"/>
  <c r="G26" i="31"/>
  <c r="H26" i="31"/>
  <c r="G27" i="31"/>
  <c r="H27" i="31"/>
  <c r="H28" i="31"/>
  <c r="H29" i="31"/>
  <c r="G30" i="31"/>
  <c r="H30" i="31"/>
  <c r="G31" i="31"/>
  <c r="H31" i="31"/>
  <c r="G32" i="31"/>
  <c r="H32" i="31"/>
  <c r="G33" i="31"/>
  <c r="H33" i="31"/>
  <c r="G34" i="31"/>
  <c r="H34" i="31"/>
  <c r="G35" i="31"/>
  <c r="H35" i="31"/>
  <c r="H36" i="31"/>
  <c r="H37" i="31"/>
  <c r="G38" i="31"/>
  <c r="H38" i="31"/>
  <c r="G39" i="31"/>
  <c r="H39" i="31"/>
  <c r="G40" i="31"/>
  <c r="H40" i="31"/>
  <c r="G41" i="31"/>
  <c r="H41" i="31"/>
  <c r="G42" i="31"/>
  <c r="H42" i="31"/>
  <c r="G43" i="31"/>
  <c r="H43" i="31"/>
  <c r="H44" i="31"/>
  <c r="H45" i="31"/>
  <c r="H46" i="31"/>
  <c r="G47" i="31"/>
  <c r="H47" i="31"/>
  <c r="G48" i="31"/>
  <c r="H48" i="31"/>
  <c r="G49" i="31"/>
  <c r="H49" i="31"/>
  <c r="G50" i="31"/>
  <c r="H50" i="31"/>
  <c r="G51" i="31"/>
  <c r="H51" i="31"/>
  <c r="G52" i="31"/>
  <c r="H52" i="31"/>
  <c r="G53" i="31"/>
  <c r="H53" i="31"/>
  <c r="G54" i="31"/>
  <c r="H54" i="31"/>
  <c r="H55" i="31"/>
  <c r="H56" i="31"/>
  <c r="G57" i="31"/>
  <c r="H57" i="31"/>
  <c r="G58" i="31"/>
  <c r="H58" i="31"/>
  <c r="G59" i="31"/>
  <c r="H59" i="31"/>
  <c r="G60" i="31"/>
  <c r="H60" i="31"/>
  <c r="G61" i="31"/>
  <c r="H61" i="31"/>
  <c r="G62" i="31"/>
  <c r="H62" i="31"/>
  <c r="G63" i="31"/>
  <c r="H63" i="31"/>
  <c r="H64" i="31"/>
  <c r="G65" i="31"/>
  <c r="H65" i="31"/>
  <c r="G66" i="31"/>
  <c r="H66" i="31"/>
  <c r="G67" i="31"/>
  <c r="H67" i="31"/>
  <c r="G68" i="31"/>
  <c r="H68" i="31"/>
  <c r="G69" i="31"/>
  <c r="H69" i="31"/>
  <c r="G70" i="31"/>
  <c r="H70" i="31"/>
  <c r="G71" i="31"/>
  <c r="H71" i="31"/>
  <c r="G72" i="31"/>
  <c r="H72" i="31"/>
  <c r="G73" i="31"/>
  <c r="H73" i="31"/>
  <c r="G74" i="31"/>
  <c r="H74" i="31"/>
  <c r="G75" i="31"/>
  <c r="H75" i="31"/>
  <c r="G76" i="31"/>
  <c r="H76" i="31"/>
  <c r="G77" i="31"/>
  <c r="H77" i="31"/>
  <c r="G78" i="31"/>
  <c r="H78" i="31"/>
  <c r="G79" i="31"/>
  <c r="H79" i="31"/>
  <c r="G80" i="31"/>
  <c r="H80" i="31"/>
  <c r="G81" i="31"/>
  <c r="H81" i="31"/>
  <c r="G82" i="31"/>
  <c r="H82" i="31"/>
  <c r="G83" i="31"/>
  <c r="H83" i="31"/>
  <c r="G84" i="31"/>
  <c r="H84" i="31"/>
  <c r="G85" i="31"/>
  <c r="H85" i="31"/>
  <c r="G86" i="31"/>
  <c r="H86" i="31"/>
  <c r="G87" i="31"/>
  <c r="H87" i="31"/>
  <c r="G88" i="31"/>
  <c r="H88" i="31"/>
  <c r="G89" i="31"/>
  <c r="H89" i="31"/>
  <c r="G90" i="31"/>
  <c r="H90" i="31"/>
  <c r="G91" i="31"/>
  <c r="H91" i="31"/>
  <c r="G92" i="31"/>
  <c r="H92" i="31"/>
  <c r="H93" i="31"/>
  <c r="G94" i="31"/>
  <c r="H94" i="31"/>
  <c r="G95" i="31"/>
  <c r="H95" i="31"/>
  <c r="H96" i="31"/>
  <c r="G97" i="31"/>
  <c r="H97" i="31"/>
  <c r="G98" i="31"/>
  <c r="H98" i="31"/>
  <c r="G99" i="31"/>
  <c r="H99" i="31"/>
  <c r="G100" i="31"/>
  <c r="H100" i="31"/>
  <c r="G101" i="31"/>
  <c r="H101" i="31"/>
  <c r="G102" i="31"/>
  <c r="H102" i="31"/>
  <c r="G103" i="31"/>
  <c r="H103" i="31"/>
  <c r="G104" i="31"/>
  <c r="H104" i="31"/>
  <c r="G105" i="31"/>
  <c r="H105" i="31"/>
  <c r="G106" i="31"/>
  <c r="H106" i="31"/>
  <c r="G107" i="31"/>
  <c r="H107" i="31"/>
  <c r="G108" i="31"/>
  <c r="H108" i="31"/>
  <c r="G109" i="31"/>
  <c r="H109" i="31"/>
  <c r="G110" i="31"/>
  <c r="H110" i="31"/>
  <c r="G111" i="31"/>
  <c r="H111" i="31"/>
  <c r="G112" i="31"/>
  <c r="H112" i="31"/>
  <c r="G113" i="31"/>
  <c r="H113" i="31"/>
  <c r="G114" i="31"/>
  <c r="H114" i="31"/>
  <c r="G115" i="31"/>
  <c r="H115" i="31"/>
  <c r="G116" i="31"/>
  <c r="H116" i="31"/>
  <c r="G117" i="31"/>
  <c r="H117" i="31"/>
  <c r="G118" i="31"/>
  <c r="H118" i="31"/>
  <c r="G119" i="31"/>
  <c r="H119" i="31"/>
  <c r="H120" i="31"/>
  <c r="H121" i="31"/>
  <c r="G122" i="31"/>
  <c r="H122" i="31"/>
  <c r="G123" i="31"/>
  <c r="H123" i="31"/>
  <c r="G124" i="31"/>
  <c r="H124" i="31"/>
  <c r="G125" i="31"/>
  <c r="H125" i="31"/>
  <c r="G126" i="31"/>
  <c r="H126" i="31"/>
  <c r="G136" i="31"/>
  <c r="H136" i="31"/>
  <c r="G137" i="31"/>
  <c r="H137" i="31"/>
  <c r="G138" i="31"/>
  <c r="H138" i="31"/>
  <c r="G139" i="31"/>
  <c r="H139" i="31"/>
  <c r="G140" i="31"/>
  <c r="H140" i="31"/>
  <c r="H141" i="31"/>
  <c r="G142" i="31"/>
  <c r="H142" i="31"/>
  <c r="G143" i="31"/>
  <c r="H143" i="31"/>
  <c r="G144" i="31"/>
  <c r="H144" i="31"/>
  <c r="G145" i="31"/>
  <c r="H145" i="31"/>
  <c r="G146" i="31"/>
  <c r="H146" i="31"/>
  <c r="G147" i="31"/>
  <c r="H147" i="31"/>
  <c r="G148" i="31"/>
  <c r="H148" i="31"/>
  <c r="G149" i="31"/>
  <c r="H149" i="31"/>
  <c r="G150" i="31"/>
  <c r="H150" i="31"/>
  <c r="H151" i="31"/>
  <c r="G152" i="31"/>
  <c r="H152" i="31"/>
  <c r="G153" i="31"/>
  <c r="H153" i="31"/>
  <c r="G154" i="31"/>
  <c r="H154" i="31"/>
  <c r="G155" i="31"/>
  <c r="H155" i="31"/>
  <c r="G156" i="31"/>
  <c r="H156" i="31"/>
  <c r="G157" i="31"/>
  <c r="H157" i="31"/>
  <c r="G158" i="31"/>
  <c r="H158" i="31"/>
  <c r="G159" i="31"/>
  <c r="H159" i="31"/>
  <c r="G160" i="31"/>
  <c r="H160" i="31"/>
  <c r="G161" i="31"/>
  <c r="H161" i="31"/>
  <c r="G162" i="31"/>
  <c r="H162" i="31"/>
  <c r="G163" i="31"/>
  <c r="H163" i="31"/>
  <c r="G164" i="31"/>
  <c r="H164" i="31"/>
  <c r="G165" i="31"/>
  <c r="H165" i="31"/>
  <c r="G166" i="31"/>
  <c r="H166" i="31"/>
  <c r="G167" i="31"/>
  <c r="H167" i="31"/>
  <c r="G168" i="31"/>
  <c r="H168" i="31"/>
  <c r="G169" i="31"/>
  <c r="H169" i="31"/>
  <c r="G170" i="31"/>
  <c r="H170" i="31"/>
  <c r="G171" i="31"/>
  <c r="H171" i="31"/>
  <c r="G172" i="31"/>
  <c r="H172" i="31"/>
  <c r="G173" i="31"/>
  <c r="H173" i="31"/>
  <c r="G174" i="31"/>
  <c r="H174" i="31"/>
  <c r="G175" i="31"/>
  <c r="H175" i="31"/>
  <c r="G176" i="31"/>
  <c r="H176" i="31"/>
  <c r="G177" i="31"/>
  <c r="H177" i="31"/>
  <c r="G178" i="31"/>
  <c r="H178" i="31"/>
  <c r="G179" i="31"/>
  <c r="H179" i="31"/>
  <c r="G180" i="31"/>
  <c r="H180" i="31"/>
  <c r="G181" i="31"/>
  <c r="H181" i="31"/>
  <c r="G182" i="31"/>
  <c r="H182" i="31"/>
  <c r="G183" i="31"/>
  <c r="H183" i="31"/>
  <c r="G184" i="31"/>
  <c r="H184" i="31"/>
  <c r="H185" i="31"/>
  <c r="H186" i="31"/>
  <c r="H187" i="31"/>
  <c r="G188" i="31"/>
  <c r="H188" i="31"/>
  <c r="G189" i="31"/>
  <c r="H189" i="31"/>
  <c r="G190" i="31"/>
  <c r="H190" i="31"/>
  <c r="G191" i="31"/>
  <c r="H191" i="31"/>
  <c r="G192" i="31"/>
  <c r="H192" i="31"/>
  <c r="H193" i="31"/>
  <c r="G194" i="31"/>
  <c r="H194" i="31"/>
  <c r="G195" i="31"/>
  <c r="H195" i="31"/>
  <c r="G196" i="31"/>
  <c r="H196" i="31"/>
  <c r="G197" i="31"/>
  <c r="H197" i="31"/>
  <c r="G198" i="31"/>
  <c r="H198" i="31"/>
  <c r="G199" i="31"/>
  <c r="H199" i="31"/>
  <c r="G200" i="31"/>
  <c r="H200" i="31"/>
  <c r="G201" i="31"/>
  <c r="H201" i="31"/>
  <c r="G202" i="31"/>
  <c r="H202" i="31"/>
  <c r="G203" i="31"/>
  <c r="H203" i="31"/>
  <c r="G204" i="31"/>
  <c r="H204" i="31"/>
  <c r="G205" i="31"/>
  <c r="H205" i="31"/>
  <c r="G206" i="31"/>
  <c r="H206" i="31"/>
  <c r="G207" i="31"/>
  <c r="H207" i="31"/>
  <c r="G208" i="31"/>
  <c r="H208" i="31"/>
  <c r="G209" i="31"/>
  <c r="H209" i="31"/>
  <c r="G210" i="31"/>
  <c r="H210" i="31"/>
  <c r="G211" i="31"/>
  <c r="H211" i="31"/>
  <c r="G212" i="31"/>
  <c r="H212" i="31"/>
  <c r="G213" i="31"/>
  <c r="H213" i="31"/>
  <c r="G214" i="31"/>
  <c r="H214" i="31"/>
  <c r="G215" i="31"/>
  <c r="H215" i="31"/>
  <c r="G216" i="31"/>
  <c r="H216" i="31"/>
  <c r="G217" i="31"/>
  <c r="H217" i="31"/>
  <c r="G218" i="31"/>
  <c r="H218" i="31"/>
  <c r="G219" i="31"/>
  <c r="H219" i="31"/>
  <c r="G220" i="31"/>
  <c r="H220" i="31"/>
  <c r="G221" i="31"/>
  <c r="H221" i="31"/>
  <c r="G222" i="31"/>
  <c r="H222" i="31"/>
  <c r="G223" i="31"/>
  <c r="H223" i="31"/>
  <c r="G224" i="31"/>
  <c r="H224" i="31"/>
  <c r="H225" i="31"/>
  <c r="G226" i="31"/>
  <c r="H226" i="31"/>
  <c r="G227" i="31"/>
  <c r="H227" i="31"/>
  <c r="G228" i="31"/>
  <c r="H228" i="31"/>
  <c r="G229" i="31"/>
  <c r="H229" i="31"/>
  <c r="G230" i="31"/>
  <c r="H230" i="31"/>
  <c r="G231" i="31"/>
  <c r="H231" i="31"/>
  <c r="G232" i="31"/>
  <c r="H232" i="31"/>
  <c r="G233" i="31"/>
  <c r="H233" i="31"/>
  <c r="G234" i="31"/>
  <c r="H234" i="31"/>
  <c r="G235" i="31"/>
  <c r="H235" i="31"/>
  <c r="G236" i="31"/>
  <c r="H236" i="31"/>
  <c r="G237" i="31"/>
  <c r="H237" i="31"/>
  <c r="H238" i="31"/>
  <c r="H239" i="31"/>
  <c r="G240" i="31"/>
  <c r="H240" i="31"/>
  <c r="G241" i="31"/>
  <c r="H241" i="31"/>
  <c r="G242" i="31"/>
  <c r="H242" i="31"/>
  <c r="G243" i="31"/>
  <c r="H243" i="31"/>
  <c r="G244" i="31"/>
  <c r="H244" i="31"/>
  <c r="G245" i="31"/>
  <c r="H245" i="31"/>
  <c r="G246" i="31"/>
  <c r="H246" i="31"/>
  <c r="G247" i="31"/>
  <c r="H247" i="31"/>
  <c r="G248" i="31"/>
  <c r="H248" i="31"/>
  <c r="G249" i="31"/>
  <c r="H249" i="31"/>
  <c r="G250" i="31"/>
  <c r="H250" i="31"/>
  <c r="G251" i="31"/>
  <c r="H251" i="31"/>
  <c r="G252" i="31"/>
  <c r="H252" i="31"/>
  <c r="G253" i="31"/>
  <c r="H253" i="31"/>
  <c r="G254" i="31"/>
  <c r="H254" i="31"/>
  <c r="G255" i="31"/>
  <c r="H255" i="31"/>
  <c r="G256" i="31"/>
  <c r="H256" i="31"/>
  <c r="G257" i="31"/>
  <c r="H257" i="31"/>
  <c r="G258" i="31"/>
  <c r="H258" i="31"/>
  <c r="G259" i="31"/>
  <c r="H259" i="31"/>
  <c r="G260" i="31"/>
  <c r="H260" i="31"/>
  <c r="G261" i="31"/>
  <c r="H261" i="31"/>
  <c r="G262" i="31"/>
  <c r="H262" i="31"/>
  <c r="G263" i="31"/>
  <c r="H263" i="31"/>
  <c r="G264" i="31"/>
  <c r="H264" i="31"/>
  <c r="G265" i="31"/>
  <c r="H265" i="31"/>
  <c r="H266" i="31"/>
  <c r="G267" i="31"/>
  <c r="H267" i="31"/>
  <c r="G268" i="31"/>
  <c r="H268" i="31"/>
  <c r="G269" i="31"/>
  <c r="H269" i="31"/>
  <c r="G270" i="31"/>
  <c r="H270" i="31"/>
  <c r="G271" i="31"/>
  <c r="H271" i="31"/>
  <c r="G272" i="31"/>
  <c r="H272" i="31"/>
  <c r="G273" i="31"/>
  <c r="H273" i="31"/>
  <c r="G274" i="31"/>
  <c r="H274" i="31"/>
  <c r="G275" i="31"/>
  <c r="H275" i="31"/>
  <c r="G276" i="31"/>
  <c r="H276" i="31"/>
  <c r="G277" i="31"/>
  <c r="H277" i="31"/>
  <c r="G278" i="31"/>
  <c r="H278" i="31"/>
  <c r="H279" i="31"/>
  <c r="G280" i="31"/>
  <c r="H280" i="31"/>
  <c r="G281" i="31"/>
  <c r="H281" i="31"/>
  <c r="G282" i="31"/>
  <c r="H282" i="31"/>
  <c r="G283" i="31"/>
  <c r="H283" i="31"/>
  <c r="G284" i="31"/>
  <c r="H284" i="31"/>
  <c r="G285" i="31"/>
  <c r="H285" i="31"/>
  <c r="G286" i="31"/>
  <c r="H286" i="31"/>
  <c r="G287" i="31"/>
  <c r="H287" i="31"/>
  <c r="G288" i="31"/>
  <c r="H288" i="31"/>
  <c r="G289" i="31"/>
  <c r="H289" i="31"/>
  <c r="G290" i="31"/>
  <c r="H290" i="31"/>
  <c r="G291" i="31"/>
  <c r="H291" i="31"/>
  <c r="G292" i="31"/>
  <c r="H292" i="31"/>
  <c r="G293" i="31"/>
  <c r="H293" i="31"/>
  <c r="G294" i="31"/>
  <c r="H294" i="31"/>
  <c r="G295" i="31"/>
  <c r="H295" i="31"/>
  <c r="G296" i="31"/>
  <c r="H296" i="31"/>
  <c r="G297" i="31"/>
  <c r="H297" i="31"/>
  <c r="G298" i="31"/>
  <c r="H298" i="31"/>
  <c r="G299" i="31"/>
  <c r="H299" i="31"/>
  <c r="G300" i="31"/>
  <c r="H300" i="31"/>
  <c r="G301" i="31"/>
  <c r="H301" i="31"/>
  <c r="G302" i="31"/>
  <c r="H302" i="31"/>
  <c r="G303" i="31"/>
  <c r="H303" i="31"/>
  <c r="G304" i="31"/>
  <c r="H304" i="31"/>
  <c r="G305" i="31"/>
  <c r="H305" i="31"/>
  <c r="G306" i="31"/>
  <c r="H306" i="31"/>
  <c r="G307" i="31"/>
  <c r="H307" i="31"/>
  <c r="G308" i="31"/>
  <c r="H308" i="31"/>
  <c r="G309" i="31"/>
  <c r="H309" i="31"/>
  <c r="G310" i="31"/>
  <c r="H310" i="31"/>
  <c r="G311" i="31"/>
  <c r="H311" i="31"/>
  <c r="G312" i="31"/>
  <c r="H312" i="31"/>
  <c r="G313" i="31"/>
  <c r="H313" i="31"/>
  <c r="G314" i="31"/>
  <c r="H314" i="31"/>
  <c r="G315" i="31"/>
  <c r="H315" i="31"/>
  <c r="H316" i="31"/>
  <c r="G317" i="31"/>
  <c r="H317" i="31"/>
  <c r="G318" i="31"/>
  <c r="H318" i="31"/>
  <c r="G319" i="31"/>
  <c r="H319" i="31"/>
  <c r="G320" i="31"/>
  <c r="H320" i="31"/>
  <c r="H321" i="31"/>
  <c r="G322" i="31"/>
  <c r="H322" i="31"/>
  <c r="G323" i="31"/>
  <c r="H323" i="31"/>
  <c r="G324" i="31"/>
  <c r="H324" i="31"/>
  <c r="G325" i="31"/>
  <c r="H325" i="31"/>
  <c r="G326" i="31"/>
  <c r="H326" i="31"/>
  <c r="G327" i="31"/>
  <c r="H327" i="31"/>
  <c r="G328" i="31"/>
  <c r="H328" i="31"/>
  <c r="G329" i="31"/>
  <c r="H329" i="31"/>
  <c r="G330" i="31"/>
  <c r="H330" i="31"/>
  <c r="G331" i="31"/>
  <c r="H331" i="31"/>
  <c r="G332" i="31"/>
  <c r="H332" i="31"/>
  <c r="G333" i="31"/>
  <c r="H333" i="31"/>
  <c r="G334" i="31"/>
  <c r="H334" i="31"/>
  <c r="G335" i="31"/>
  <c r="H335" i="31"/>
  <c r="G336" i="31"/>
  <c r="H336" i="31"/>
  <c r="G337" i="31"/>
  <c r="H337" i="31"/>
  <c r="G338" i="31"/>
  <c r="H338" i="31"/>
  <c r="G339" i="31"/>
  <c r="H339" i="31"/>
  <c r="G340" i="31"/>
  <c r="H340" i="31"/>
  <c r="G341" i="31"/>
  <c r="H341" i="31"/>
  <c r="G342" i="31"/>
  <c r="H342" i="31"/>
  <c r="G343" i="31"/>
  <c r="H343" i="31"/>
  <c r="G344" i="31"/>
  <c r="H344" i="31"/>
  <c r="G345" i="31"/>
  <c r="H345" i="31"/>
  <c r="G346" i="31"/>
  <c r="H346" i="31"/>
  <c r="G347" i="31"/>
  <c r="H347" i="31"/>
  <c r="G348" i="31"/>
  <c r="H348" i="31"/>
  <c r="G349" i="31"/>
  <c r="H349" i="31"/>
  <c r="G350" i="31"/>
  <c r="H350" i="31"/>
  <c r="G351" i="31"/>
  <c r="H351" i="31"/>
  <c r="G352" i="31"/>
  <c r="H352" i="31"/>
  <c r="G353" i="31"/>
  <c r="H353" i="31"/>
  <c r="G354" i="31"/>
  <c r="H354" i="31"/>
  <c r="G355" i="31"/>
  <c r="H355" i="31"/>
  <c r="G356" i="31"/>
  <c r="H356" i="31"/>
  <c r="G357" i="31"/>
  <c r="H357" i="31"/>
  <c r="H358" i="31"/>
  <c r="H359" i="31"/>
  <c r="G360" i="31"/>
  <c r="H360" i="31"/>
  <c r="G361" i="31"/>
  <c r="H361" i="31"/>
  <c r="G362" i="31"/>
  <c r="H362" i="31"/>
  <c r="G363" i="31"/>
  <c r="H363" i="31"/>
  <c r="G364" i="31"/>
  <c r="H364" i="31"/>
  <c r="G365" i="31"/>
  <c r="H365" i="31"/>
  <c r="G366" i="31"/>
  <c r="H366" i="31"/>
  <c r="G367" i="31"/>
  <c r="H367" i="31"/>
  <c r="G368" i="31"/>
  <c r="H368" i="31"/>
  <c r="G369" i="31"/>
  <c r="H369" i="31"/>
  <c r="G370" i="31"/>
  <c r="H370" i="31"/>
  <c r="G371" i="31"/>
  <c r="H371" i="31"/>
  <c r="G372" i="31"/>
  <c r="H372" i="31"/>
  <c r="G373" i="31"/>
  <c r="H373" i="31"/>
  <c r="G374" i="31"/>
  <c r="H374" i="31"/>
  <c r="G375" i="31"/>
  <c r="H375" i="31"/>
  <c r="G376" i="31"/>
  <c r="H376" i="31"/>
  <c r="G377" i="31"/>
  <c r="H377" i="31"/>
  <c r="G378" i="31"/>
  <c r="H378" i="31"/>
  <c r="G379" i="31"/>
  <c r="H379" i="31"/>
  <c r="G380" i="31"/>
  <c r="H380" i="31"/>
  <c r="G381" i="31"/>
  <c r="H381" i="31"/>
  <c r="G382" i="31"/>
  <c r="H382" i="31"/>
  <c r="G383" i="31"/>
  <c r="H383" i="31"/>
  <c r="G384" i="31"/>
  <c r="H384" i="31"/>
  <c r="G385" i="31"/>
  <c r="H385" i="31"/>
  <c r="G386" i="31"/>
  <c r="H386" i="31"/>
  <c r="G387" i="31"/>
  <c r="H387" i="31"/>
  <c r="G388" i="31"/>
  <c r="H388" i="31"/>
  <c r="G389" i="31"/>
  <c r="H389" i="31"/>
  <c r="G390" i="31"/>
  <c r="H390" i="31"/>
  <c r="G391" i="31"/>
  <c r="H391" i="31"/>
  <c r="G392" i="31"/>
  <c r="H392" i="31"/>
  <c r="G393" i="31"/>
  <c r="H393" i="31"/>
  <c r="G394" i="31"/>
  <c r="H394" i="31"/>
  <c r="G395" i="31"/>
  <c r="H395" i="31"/>
  <c r="G396" i="31"/>
  <c r="H396" i="31"/>
  <c r="G397" i="31"/>
  <c r="H397" i="31"/>
  <c r="G398" i="31"/>
  <c r="H398" i="31"/>
  <c r="G399" i="31"/>
  <c r="H399" i="31"/>
  <c r="G400" i="31"/>
  <c r="H400" i="31"/>
  <c r="G401" i="31"/>
  <c r="H401" i="31"/>
  <c r="G402" i="31"/>
  <c r="H402" i="31"/>
  <c r="G403" i="31"/>
  <c r="H403" i="31"/>
  <c r="G404" i="31"/>
  <c r="H404" i="31"/>
  <c r="G405" i="31"/>
  <c r="H405" i="31"/>
  <c r="G406" i="31"/>
  <c r="H406" i="31"/>
  <c r="G407" i="31"/>
  <c r="H407" i="31"/>
  <c r="G408" i="31"/>
  <c r="H408" i="31"/>
  <c r="G409" i="31"/>
  <c r="H409" i="31"/>
  <c r="G410" i="31"/>
  <c r="H410" i="31"/>
  <c r="G411" i="31"/>
  <c r="H411" i="31"/>
  <c r="H412" i="31"/>
  <c r="G413" i="31"/>
  <c r="H413" i="31"/>
  <c r="G414" i="31"/>
  <c r="H414" i="31"/>
  <c r="G415" i="31"/>
  <c r="H415" i="31"/>
  <c r="G416" i="31"/>
  <c r="H416" i="31"/>
  <c r="G417" i="31"/>
  <c r="H417" i="31"/>
  <c r="G418" i="31"/>
  <c r="H418" i="31"/>
  <c r="G419" i="31"/>
  <c r="H419" i="31"/>
  <c r="G420" i="31"/>
  <c r="H420" i="31"/>
  <c r="G421" i="31"/>
  <c r="H421" i="31"/>
  <c r="G422" i="31"/>
  <c r="H422" i="31"/>
  <c r="G423" i="31"/>
  <c r="H423" i="31"/>
  <c r="G424" i="31"/>
  <c r="H424" i="31"/>
  <c r="G425" i="31"/>
  <c r="H425" i="31"/>
  <c r="G426" i="31"/>
  <c r="H426" i="31"/>
  <c r="G427" i="31"/>
  <c r="H427" i="31"/>
  <c r="G428" i="31"/>
  <c r="H428" i="31"/>
  <c r="G429" i="31"/>
  <c r="H429" i="31"/>
  <c r="G430" i="31"/>
  <c r="H430" i="31"/>
  <c r="G431" i="31"/>
  <c r="H431" i="31"/>
  <c r="G432" i="31"/>
  <c r="H432" i="31"/>
  <c r="G433" i="31"/>
  <c r="H433" i="31"/>
  <c r="H434" i="31"/>
  <c r="G435" i="31"/>
  <c r="H435" i="31"/>
  <c r="G436" i="31"/>
  <c r="H436" i="31"/>
  <c r="G437" i="31"/>
  <c r="H437" i="31"/>
  <c r="H438" i="31"/>
  <c r="H439" i="31"/>
  <c r="G440" i="31"/>
  <c r="H440" i="31"/>
  <c r="G441" i="31"/>
  <c r="H441" i="31"/>
  <c r="G442" i="31"/>
  <c r="H442" i="31"/>
  <c r="G443" i="31"/>
  <c r="H443" i="31"/>
  <c r="G444" i="31"/>
  <c r="H444" i="31"/>
  <c r="G445" i="31"/>
  <c r="H445" i="31"/>
  <c r="G446" i="31"/>
  <c r="H446" i="31"/>
  <c r="G447" i="31"/>
  <c r="H447" i="31"/>
  <c r="G448" i="31"/>
  <c r="H448" i="31"/>
  <c r="G449" i="31"/>
  <c r="H449" i="31"/>
  <c r="G450" i="31"/>
  <c r="H450" i="31"/>
  <c r="G451" i="31"/>
  <c r="H451" i="31"/>
  <c r="G452" i="31"/>
  <c r="H452" i="31"/>
  <c r="H453" i="31"/>
  <c r="G454" i="31"/>
  <c r="H454" i="31"/>
  <c r="G455" i="31"/>
  <c r="H455" i="31"/>
  <c r="G456" i="31"/>
  <c r="H456" i="31"/>
  <c r="G457" i="31"/>
  <c r="H457" i="31"/>
  <c r="G458" i="31"/>
  <c r="H458" i="31"/>
  <c r="G459" i="31"/>
  <c r="H459" i="31"/>
  <c r="G460" i="31"/>
  <c r="H460" i="31"/>
  <c r="G461" i="31"/>
  <c r="H461" i="31"/>
  <c r="G462" i="31"/>
  <c r="H462" i="31"/>
  <c r="G463" i="31"/>
  <c r="H463" i="31"/>
  <c r="G464" i="31"/>
  <c r="H464" i="31"/>
  <c r="G465" i="31"/>
  <c r="H465" i="31"/>
  <c r="G466" i="31"/>
  <c r="H466" i="31"/>
  <c r="G467" i="31"/>
  <c r="H467" i="31"/>
  <c r="G468" i="31"/>
  <c r="H468" i="31"/>
  <c r="G469" i="31"/>
  <c r="H469" i="31"/>
  <c r="G470" i="31"/>
  <c r="H470" i="31"/>
  <c r="G471" i="31"/>
  <c r="H471" i="31"/>
  <c r="G472" i="31"/>
  <c r="H472" i="31"/>
  <c r="H473" i="31"/>
  <c r="G474" i="31"/>
  <c r="H474" i="31"/>
  <c r="G475" i="31"/>
  <c r="H475" i="31"/>
  <c r="G476" i="31"/>
  <c r="H476" i="31"/>
  <c r="G477" i="31"/>
  <c r="H477" i="31"/>
  <c r="G478" i="31"/>
  <c r="H478" i="31"/>
  <c r="G479" i="31"/>
  <c r="H479" i="31"/>
  <c r="G480" i="31"/>
  <c r="H480" i="31"/>
  <c r="G481" i="31"/>
  <c r="H481" i="31"/>
  <c r="G482" i="31"/>
  <c r="H482" i="31"/>
  <c r="G483" i="31"/>
  <c r="H483" i="31"/>
  <c r="H484" i="31"/>
  <c r="H485" i="31"/>
  <c r="G486" i="31"/>
  <c r="H486" i="31"/>
  <c r="G487" i="31"/>
  <c r="H487" i="31"/>
  <c r="G488" i="31"/>
  <c r="H488" i="31"/>
  <c r="G489" i="31"/>
  <c r="H489" i="31"/>
  <c r="G490" i="31"/>
  <c r="H490" i="31"/>
  <c r="G491" i="31"/>
  <c r="H491" i="31"/>
  <c r="G492" i="31"/>
  <c r="H492" i="31"/>
  <c r="G493" i="31"/>
  <c r="H493" i="31"/>
  <c r="G494" i="31"/>
  <c r="H494" i="31"/>
  <c r="G495" i="31"/>
  <c r="H495" i="31"/>
  <c r="G496" i="31"/>
  <c r="H496" i="31"/>
  <c r="G497" i="31"/>
  <c r="H497" i="31"/>
  <c r="G498" i="31"/>
  <c r="H498" i="31"/>
  <c r="G499" i="31"/>
  <c r="H499" i="31"/>
  <c r="G500" i="31"/>
  <c r="H500" i="31"/>
  <c r="G501" i="31"/>
  <c r="H501" i="31"/>
  <c r="G502" i="31"/>
  <c r="H502" i="31"/>
  <c r="H503" i="31"/>
  <c r="H504" i="31"/>
  <c r="H505" i="31"/>
  <c r="H506" i="31"/>
  <c r="H507" i="31"/>
  <c r="G508" i="31"/>
  <c r="H508" i="31"/>
  <c r="H509" i="31"/>
  <c r="H510" i="31"/>
  <c r="G511" i="31"/>
  <c r="H511" i="31"/>
  <c r="G512" i="31"/>
  <c r="H512" i="31"/>
  <c r="G513" i="31"/>
  <c r="H513" i="31"/>
  <c r="G514" i="31"/>
  <c r="H514" i="31"/>
  <c r="G515" i="31"/>
  <c r="H515" i="31"/>
  <c r="G516" i="31"/>
  <c r="H516" i="31"/>
  <c r="G517" i="31"/>
  <c r="H517" i="31"/>
  <c r="G518" i="31"/>
  <c r="H518" i="31"/>
  <c r="G519" i="31"/>
  <c r="H519" i="31"/>
  <c r="G520" i="31"/>
  <c r="H520" i="31"/>
  <c r="H521" i="31"/>
  <c r="H522" i="31"/>
  <c r="H523" i="31"/>
  <c r="G524" i="31"/>
  <c r="H524" i="31"/>
  <c r="H525" i="31"/>
  <c r="H526" i="31"/>
  <c r="H527" i="31"/>
  <c r="H528" i="31"/>
  <c r="H529" i="31"/>
  <c r="G530" i="31"/>
  <c r="H530" i="31"/>
  <c r="G531" i="31"/>
  <c r="H531" i="31"/>
  <c r="G532" i="31"/>
  <c r="H532" i="31"/>
  <c r="G533" i="31"/>
  <c r="H533" i="31"/>
  <c r="G534" i="31"/>
  <c r="H534" i="31"/>
  <c r="G535" i="31"/>
  <c r="H535" i="31"/>
  <c r="G536" i="31"/>
  <c r="H536" i="31"/>
  <c r="G537" i="31"/>
  <c r="H537" i="31"/>
  <c r="G538" i="31"/>
  <c r="H538" i="31"/>
  <c r="G539" i="31"/>
  <c r="H539" i="31"/>
  <c r="G540" i="31"/>
  <c r="H540" i="31"/>
  <c r="G541" i="31"/>
  <c r="H541" i="31"/>
  <c r="G542" i="31"/>
  <c r="H542" i="31"/>
  <c r="G543" i="31"/>
  <c r="H543" i="31"/>
  <c r="G544" i="31"/>
  <c r="H544" i="31"/>
  <c r="G545" i="31"/>
  <c r="H545" i="31"/>
  <c r="G546" i="31"/>
  <c r="H546" i="31"/>
  <c r="G547" i="31"/>
  <c r="H547" i="31"/>
  <c r="G548" i="31"/>
  <c r="H548" i="31"/>
  <c r="G549" i="31"/>
  <c r="H549" i="31"/>
  <c r="G550" i="31"/>
  <c r="H550" i="31"/>
  <c r="G551" i="31"/>
  <c r="H551" i="31"/>
  <c r="G552" i="31"/>
  <c r="H552" i="31"/>
  <c r="G553" i="31"/>
  <c r="H553" i="31"/>
  <c r="G554" i="31"/>
  <c r="H554" i="31"/>
  <c r="G555" i="31"/>
  <c r="H555" i="31"/>
  <c r="G556" i="31"/>
  <c r="H556" i="31"/>
  <c r="G557" i="31"/>
  <c r="H557" i="31"/>
  <c r="G558" i="31"/>
  <c r="H558" i="31"/>
  <c r="G559" i="31"/>
  <c r="H559" i="31"/>
  <c r="G560" i="31"/>
  <c r="H560" i="31"/>
  <c r="G561" i="31"/>
  <c r="H561" i="31"/>
  <c r="G562" i="31"/>
  <c r="H562" i="31"/>
  <c r="G563" i="31"/>
  <c r="H563" i="31"/>
  <c r="G564" i="31"/>
  <c r="H564" i="31"/>
  <c r="G565" i="31"/>
  <c r="H565" i="31"/>
  <c r="G566" i="31"/>
  <c r="H566" i="31"/>
  <c r="G567" i="31"/>
  <c r="H567" i="31"/>
  <c r="G568" i="31"/>
  <c r="H568" i="31"/>
  <c r="G569" i="31"/>
  <c r="H569" i="31"/>
  <c r="G570" i="31"/>
  <c r="H570" i="31"/>
  <c r="G571" i="31"/>
  <c r="H571" i="31"/>
  <c r="G572" i="31"/>
  <c r="H572" i="31"/>
  <c r="G573" i="31"/>
  <c r="H573" i="31"/>
  <c r="G574" i="31"/>
  <c r="H574" i="31"/>
  <c r="G575" i="31"/>
  <c r="H575" i="31"/>
  <c r="G576" i="31"/>
  <c r="H576" i="31"/>
  <c r="G577" i="31"/>
  <c r="H577" i="31"/>
  <c r="G578" i="31"/>
  <c r="H578" i="31"/>
  <c r="G579" i="31"/>
  <c r="H579" i="31"/>
  <c r="G580" i="31"/>
  <c r="H580" i="31"/>
  <c r="G581" i="31"/>
  <c r="H581" i="31"/>
  <c r="G582" i="31"/>
  <c r="H582" i="31"/>
  <c r="G583" i="31"/>
  <c r="H583" i="31"/>
  <c r="H584" i="31"/>
  <c r="H585" i="31"/>
  <c r="G586" i="31"/>
  <c r="H586" i="31"/>
  <c r="G587" i="31"/>
  <c r="H587" i="31"/>
  <c r="G588" i="31"/>
  <c r="H588" i="31"/>
  <c r="G589" i="31"/>
  <c r="H589" i="31"/>
  <c r="G590" i="31"/>
  <c r="H590" i="31"/>
  <c r="G591" i="31"/>
  <c r="H591" i="31"/>
  <c r="G592" i="31"/>
  <c r="H592" i="31"/>
  <c r="G593" i="31"/>
  <c r="H593" i="31"/>
  <c r="G594" i="31"/>
  <c r="H594" i="31"/>
  <c r="G595" i="31"/>
  <c r="H595" i="31"/>
  <c r="G596" i="31"/>
  <c r="H596" i="31"/>
  <c r="G597" i="31"/>
  <c r="H597" i="31"/>
  <c r="G598" i="31"/>
  <c r="H598" i="31"/>
  <c r="G599" i="31"/>
  <c r="H599" i="31"/>
  <c r="G600" i="31"/>
  <c r="H600" i="31"/>
  <c r="G601" i="31"/>
  <c r="H601" i="31"/>
  <c r="G602" i="31"/>
  <c r="H602" i="31"/>
  <c r="G603" i="31"/>
  <c r="H603" i="31"/>
  <c r="G604" i="31"/>
  <c r="H604" i="31"/>
  <c r="G605" i="31"/>
  <c r="H605" i="31"/>
  <c r="G606" i="31"/>
  <c r="H606" i="31"/>
  <c r="G607" i="31"/>
  <c r="H607" i="31"/>
  <c r="H608" i="31"/>
  <c r="G609" i="31"/>
  <c r="H609" i="31"/>
  <c r="H610" i="31"/>
  <c r="G611" i="31"/>
  <c r="H611" i="31"/>
  <c r="H612" i="31"/>
  <c r="G613" i="31"/>
  <c r="H613" i="31"/>
  <c r="H614" i="31"/>
  <c r="H615" i="31"/>
  <c r="G616" i="31"/>
  <c r="H616" i="31"/>
  <c r="G617" i="31"/>
  <c r="H617" i="31"/>
  <c r="G618" i="31"/>
  <c r="H618" i="31"/>
  <c r="G619" i="31"/>
  <c r="H619" i="31"/>
  <c r="G620" i="31"/>
  <c r="H620" i="31"/>
  <c r="G621" i="31"/>
  <c r="H621" i="31"/>
  <c r="G622" i="31"/>
  <c r="M744" i="21" s="1"/>
  <c r="H744" i="21" s="1"/>
  <c r="H622" i="31"/>
  <c r="G623" i="31"/>
  <c r="M640" i="21" s="1"/>
  <c r="H623" i="31"/>
  <c r="G624" i="31"/>
  <c r="M641" i="21" s="1"/>
  <c r="H624" i="31"/>
  <c r="G625" i="31"/>
  <c r="M642" i="21" s="1"/>
  <c r="H625" i="31"/>
  <c r="G626" i="31"/>
  <c r="M643" i="21" s="1"/>
  <c r="H626" i="31"/>
  <c r="G627" i="31"/>
  <c r="M644" i="21" s="1"/>
  <c r="H627" i="31"/>
  <c r="G628" i="31"/>
  <c r="M645" i="21" s="1"/>
  <c r="H628" i="31"/>
  <c r="G629" i="31"/>
  <c r="M646" i="21" s="1"/>
  <c r="H629" i="31"/>
  <c r="G630" i="31"/>
  <c r="M647" i="21" s="1"/>
  <c r="H630" i="31"/>
  <c r="G631" i="31"/>
  <c r="M648" i="21" s="1"/>
  <c r="H631" i="31"/>
  <c r="G632" i="31"/>
  <c r="M649" i="21" s="1"/>
  <c r="H632" i="31"/>
  <c r="G633" i="31"/>
  <c r="M650" i="21" s="1"/>
  <c r="H633" i="31"/>
  <c r="G634" i="31"/>
  <c r="M651" i="21" s="1"/>
  <c r="H634" i="31"/>
  <c r="G635" i="31"/>
  <c r="M652" i="21" s="1"/>
  <c r="H635" i="31"/>
  <c r="G636" i="31"/>
  <c r="M653" i="21" s="1"/>
  <c r="H636" i="31"/>
  <c r="G637" i="31"/>
  <c r="M654" i="21" s="1"/>
  <c r="H637" i="31"/>
  <c r="G638" i="31"/>
  <c r="M655" i="21" s="1"/>
  <c r="H638" i="31"/>
  <c r="G639" i="31"/>
  <c r="M656" i="21" s="1"/>
  <c r="H639" i="31"/>
  <c r="G640" i="31"/>
  <c r="M657" i="21" s="1"/>
  <c r="H640" i="31"/>
  <c r="G641" i="31"/>
  <c r="M658" i="21" s="1"/>
  <c r="H641" i="31"/>
  <c r="H642" i="31"/>
  <c r="G643" i="31"/>
  <c r="M659" i="21" s="1"/>
  <c r="H643" i="31"/>
  <c r="G644" i="31"/>
  <c r="M660" i="21" s="1"/>
  <c r="H644" i="31"/>
  <c r="G645" i="31"/>
  <c r="M661" i="21" s="1"/>
  <c r="H645" i="31"/>
  <c r="G646" i="31"/>
  <c r="M662" i="21" s="1"/>
  <c r="H646" i="31"/>
  <c r="H647" i="31"/>
  <c r="G648" i="31"/>
  <c r="M664" i="21" s="1"/>
  <c r="H648" i="31"/>
  <c r="H649" i="31"/>
  <c r="G650" i="31"/>
  <c r="M666" i="21" s="1"/>
  <c r="H650" i="31"/>
  <c r="H651" i="31"/>
  <c r="G652" i="31"/>
  <c r="M668" i="21" s="1"/>
  <c r="H652" i="31"/>
  <c r="H653" i="31"/>
  <c r="G654" i="31"/>
  <c r="M670" i="21" s="1"/>
  <c r="H654" i="31"/>
  <c r="H655" i="31"/>
  <c r="G656" i="31"/>
  <c r="M672" i="21" s="1"/>
  <c r="H656" i="31"/>
  <c r="H657" i="31"/>
  <c r="H658" i="31"/>
  <c r="H659" i="31"/>
  <c r="H660" i="31"/>
  <c r="G661" i="31"/>
  <c r="M677" i="21" s="1"/>
  <c r="H661" i="31"/>
  <c r="G662" i="31"/>
  <c r="M678" i="21" s="1"/>
  <c r="H662" i="31"/>
  <c r="G663" i="31"/>
  <c r="M679" i="21" s="1"/>
  <c r="H663" i="31"/>
  <c r="G664" i="31"/>
  <c r="M680" i="21" s="1"/>
  <c r="H664" i="31"/>
  <c r="H665" i="31"/>
  <c r="H666" i="31"/>
  <c r="H667" i="31"/>
  <c r="H668" i="31"/>
  <c r="H669" i="31"/>
  <c r="H670" i="31"/>
  <c r="H671" i="31"/>
  <c r="H672" i="31"/>
  <c r="G673" i="31"/>
  <c r="M689" i="21" s="1"/>
  <c r="H673" i="31"/>
  <c r="H674" i="31"/>
  <c r="G675" i="31"/>
  <c r="M691" i="21" s="1"/>
  <c r="H675" i="31"/>
  <c r="G676" i="31"/>
  <c r="M692" i="21" s="1"/>
  <c r="H676" i="31"/>
  <c r="G677" i="31"/>
  <c r="M693" i="21" s="1"/>
  <c r="H677" i="31"/>
  <c r="G678" i="31"/>
  <c r="M694" i="21" s="1"/>
  <c r="H678" i="31"/>
  <c r="G679" i="31"/>
  <c r="M695" i="21" s="1"/>
  <c r="H679" i="31"/>
  <c r="G680" i="31"/>
  <c r="M696" i="21" s="1"/>
  <c r="H680" i="31"/>
  <c r="G681" i="31"/>
  <c r="M697" i="21" s="1"/>
  <c r="H681" i="31"/>
  <c r="G682" i="31"/>
  <c r="M698" i="21" s="1"/>
  <c r="H682" i="31"/>
  <c r="G683" i="31"/>
  <c r="M699" i="21" s="1"/>
  <c r="H683" i="31"/>
  <c r="G684" i="31"/>
  <c r="M700" i="21" s="1"/>
  <c r="H684" i="31"/>
  <c r="G685" i="31"/>
  <c r="M701" i="21" s="1"/>
  <c r="H685" i="31"/>
  <c r="G686" i="31"/>
  <c r="M702" i="21" s="1"/>
  <c r="H686" i="31"/>
  <c r="G687" i="31"/>
  <c r="M703" i="21" s="1"/>
  <c r="H687" i="31"/>
  <c r="G688" i="31"/>
  <c r="M704" i="21" s="1"/>
  <c r="H688" i="31"/>
  <c r="G689" i="31"/>
  <c r="M705" i="21" s="1"/>
  <c r="H689" i="31"/>
  <c r="G690" i="31"/>
  <c r="M706" i="21" s="1"/>
  <c r="H690" i="31"/>
  <c r="G691" i="31"/>
  <c r="M707" i="21" s="1"/>
  <c r="H691" i="31"/>
  <c r="G692" i="31"/>
  <c r="M708" i="21" s="1"/>
  <c r="H692" i="31"/>
  <c r="G693" i="31"/>
  <c r="M709" i="21" s="1"/>
  <c r="H693" i="31"/>
  <c r="G694" i="31"/>
  <c r="M710" i="21" s="1"/>
  <c r="H694" i="31"/>
  <c r="G695" i="31"/>
  <c r="M711" i="21" s="1"/>
  <c r="H695" i="31"/>
  <c r="G696" i="31"/>
  <c r="M712" i="21" s="1"/>
  <c r="H696" i="31"/>
  <c r="G697" i="31"/>
  <c r="M713" i="21" s="1"/>
  <c r="H697" i="31"/>
  <c r="G698" i="31"/>
  <c r="M714" i="21" s="1"/>
  <c r="H698" i="31"/>
  <c r="G699" i="31"/>
  <c r="M715" i="21" s="1"/>
  <c r="H699" i="31"/>
  <c r="G700" i="31"/>
  <c r="M716" i="21" s="1"/>
  <c r="H700" i="31"/>
  <c r="G701" i="31"/>
  <c r="M717" i="21" s="1"/>
  <c r="H701" i="31"/>
  <c r="H702" i="31"/>
  <c r="H703" i="31"/>
  <c r="G704" i="31"/>
  <c r="M720" i="21" s="1"/>
  <c r="H704" i="31"/>
  <c r="H705" i="31"/>
  <c r="H706" i="31"/>
  <c r="G707" i="31"/>
  <c r="M724" i="21" s="1"/>
  <c r="H707" i="31"/>
  <c r="G708" i="31"/>
  <c r="M725" i="21" s="1"/>
  <c r="H708" i="31"/>
  <c r="H709" i="31"/>
  <c r="H710" i="31"/>
  <c r="G711" i="31"/>
  <c r="M729" i="21" s="1"/>
  <c r="H711" i="31"/>
  <c r="G712" i="31"/>
  <c r="M730" i="21" s="1"/>
  <c r="H712" i="31"/>
  <c r="H713" i="31"/>
  <c r="G714" i="31"/>
  <c r="M732" i="21" s="1"/>
  <c r="H714" i="31"/>
  <c r="G715" i="31"/>
  <c r="M733" i="21" s="1"/>
  <c r="H715" i="31"/>
  <c r="G716" i="31"/>
  <c r="M734" i="21" s="1"/>
  <c r="H716" i="31"/>
  <c r="G717" i="31"/>
  <c r="M735" i="21" s="1"/>
  <c r="H717" i="31"/>
  <c r="G718" i="31"/>
  <c r="M736" i="21" s="1"/>
  <c r="H718" i="31"/>
  <c r="G719" i="31"/>
  <c r="M737" i="21" s="1"/>
  <c r="H719" i="31"/>
  <c r="G720" i="31"/>
  <c r="M738" i="21" s="1"/>
  <c r="H720" i="31"/>
  <c r="G721" i="31"/>
  <c r="M739" i="21" s="1"/>
  <c r="H721" i="31"/>
  <c r="G722" i="31"/>
  <c r="M741" i="21" s="1"/>
  <c r="H722" i="31"/>
  <c r="G723" i="31"/>
  <c r="M745" i="21" s="1"/>
  <c r="H723" i="31"/>
  <c r="G724" i="31"/>
  <c r="M746" i="21" s="1"/>
  <c r="H724" i="31"/>
  <c r="G725" i="31"/>
  <c r="M747" i="21" s="1"/>
  <c r="H725" i="31"/>
  <c r="G726" i="31"/>
  <c r="M748" i="21" s="1"/>
  <c r="H726" i="31"/>
  <c r="G727" i="31"/>
  <c r="M749" i="21" s="1"/>
  <c r="H727" i="31"/>
  <c r="G728" i="31"/>
  <c r="M750" i="21" s="1"/>
  <c r="H728" i="31"/>
  <c r="H729" i="31"/>
  <c r="G730" i="31"/>
  <c r="M752" i="21" s="1"/>
  <c r="H730" i="31"/>
  <c r="G731" i="31"/>
  <c r="M753" i="21" s="1"/>
  <c r="H731" i="31"/>
  <c r="G732" i="31"/>
  <c r="M754" i="21" s="1"/>
  <c r="H732" i="31"/>
  <c r="G733" i="31"/>
  <c r="M756" i="21" s="1"/>
  <c r="H733" i="31"/>
  <c r="H734" i="31"/>
  <c r="G735" i="31"/>
  <c r="M758" i="21" s="1"/>
  <c r="H735" i="31"/>
  <c r="H736" i="31"/>
  <c r="G737" i="31"/>
  <c r="M760" i="21" s="1"/>
  <c r="H737" i="31"/>
  <c r="G738" i="31"/>
  <c r="M761" i="21" s="1"/>
  <c r="H738" i="31"/>
  <c r="G739" i="31"/>
  <c r="M762" i="21" s="1"/>
  <c r="H739" i="31"/>
  <c r="G740" i="31"/>
  <c r="M763" i="21" s="1"/>
  <c r="H740" i="31"/>
  <c r="G741" i="31"/>
  <c r="M764" i="21" s="1"/>
  <c r="H741" i="31"/>
  <c r="G742" i="31"/>
  <c r="M765" i="21" s="1"/>
  <c r="H742" i="31"/>
  <c r="G743" i="31"/>
  <c r="M766" i="21" s="1"/>
  <c r="H743" i="31"/>
  <c r="G744" i="31"/>
  <c r="M767" i="21" s="1"/>
  <c r="H744" i="31"/>
  <c r="G745" i="31"/>
  <c r="M768" i="21" s="1"/>
  <c r="H745" i="31"/>
  <c r="G746" i="31"/>
  <c r="M769" i="21" s="1"/>
  <c r="H746" i="31"/>
  <c r="G747" i="31"/>
  <c r="M770" i="21" s="1"/>
  <c r="H747" i="31"/>
  <c r="G748" i="31"/>
  <c r="M771" i="21" s="1"/>
  <c r="H748" i="31"/>
  <c r="G749" i="31"/>
  <c r="M772" i="21" s="1"/>
  <c r="H749" i="31"/>
  <c r="G750" i="31"/>
  <c r="M773" i="21" s="1"/>
  <c r="H750" i="31"/>
  <c r="G751" i="31"/>
  <c r="M774" i="21" s="1"/>
  <c r="H751" i="31"/>
  <c r="G752" i="31"/>
  <c r="M775" i="21" s="1"/>
  <c r="H752" i="31"/>
  <c r="G753" i="31"/>
  <c r="M776" i="21" s="1"/>
  <c r="H753" i="31"/>
  <c r="G754" i="31"/>
  <c r="M777" i="21" s="1"/>
  <c r="H754" i="31"/>
  <c r="G755" i="31"/>
  <c r="M778" i="21" s="1"/>
  <c r="H755" i="31"/>
  <c r="G756" i="31"/>
  <c r="M779" i="21" s="1"/>
  <c r="H756" i="31"/>
  <c r="G757" i="31"/>
  <c r="M780" i="21" s="1"/>
  <c r="H757" i="31"/>
  <c r="G758" i="31"/>
  <c r="M781" i="21" s="1"/>
  <c r="H758" i="31"/>
  <c r="G759" i="31"/>
  <c r="M782" i="21" s="1"/>
  <c r="H759" i="31"/>
  <c r="H760" i="31"/>
  <c r="G761" i="31"/>
  <c r="M784" i="21" s="1"/>
  <c r="H761" i="31"/>
  <c r="G762" i="31"/>
  <c r="M785" i="21" s="1"/>
  <c r="H762" i="31"/>
  <c r="G763" i="31"/>
  <c r="M786" i="21" s="1"/>
  <c r="H763" i="31"/>
  <c r="G764" i="31"/>
  <c r="M787" i="21" s="1"/>
  <c r="H764" i="31"/>
  <c r="G765" i="31"/>
  <c r="M788" i="21" s="1"/>
  <c r="H765" i="31"/>
  <c r="G766" i="31"/>
  <c r="M789" i="21" s="1"/>
  <c r="H766" i="31"/>
  <c r="G767" i="31"/>
  <c r="M790" i="21" s="1"/>
  <c r="H767" i="31"/>
  <c r="G768" i="31"/>
  <c r="M791" i="21" s="1"/>
  <c r="H768" i="31"/>
  <c r="G769" i="31"/>
  <c r="M792" i="21" s="1"/>
  <c r="H769" i="31"/>
  <c r="H770" i="31"/>
  <c r="G771" i="31"/>
  <c r="M794" i="21" s="1"/>
  <c r="H771" i="31"/>
  <c r="G772" i="31"/>
  <c r="M795" i="21" s="1"/>
  <c r="H772" i="31"/>
  <c r="G773" i="31"/>
  <c r="M796" i="21" s="1"/>
  <c r="H773" i="31"/>
  <c r="G774" i="31"/>
  <c r="M797" i="21" s="1"/>
  <c r="H774" i="31"/>
  <c r="G775" i="31"/>
  <c r="M798" i="21" s="1"/>
  <c r="H775" i="31"/>
  <c r="H776" i="31"/>
  <c r="G777" i="31"/>
  <c r="M800" i="21" s="1"/>
  <c r="H777" i="31"/>
  <c r="G778" i="31"/>
  <c r="H778" i="31"/>
  <c r="G779" i="31"/>
  <c r="M801" i="21" s="1"/>
  <c r="H779" i="31"/>
  <c r="H780" i="31"/>
  <c r="G781" i="31"/>
  <c r="M803" i="21" s="1"/>
  <c r="H781" i="31"/>
  <c r="G782" i="31"/>
  <c r="M804" i="21" s="1"/>
  <c r="H782" i="31"/>
  <c r="G783" i="31"/>
  <c r="M805" i="21" s="1"/>
  <c r="H783" i="31"/>
  <c r="G784" i="31"/>
  <c r="M806" i="21" s="1"/>
  <c r="H784" i="31"/>
  <c r="G785" i="31"/>
  <c r="M807" i="21" s="1"/>
  <c r="H785" i="31"/>
  <c r="G786" i="31"/>
  <c r="M808" i="21" s="1"/>
  <c r="H786" i="31"/>
  <c r="G787" i="31"/>
  <c r="M809" i="21" s="1"/>
  <c r="H787" i="31"/>
  <c r="G788" i="31"/>
  <c r="M810" i="21" s="1"/>
  <c r="H788" i="31"/>
  <c r="G789" i="31"/>
  <c r="M811" i="21" s="1"/>
  <c r="H789" i="31"/>
  <c r="G790" i="31"/>
  <c r="M812" i="21" s="1"/>
  <c r="H790" i="31"/>
  <c r="G791" i="31"/>
  <c r="M45" i="21" s="1"/>
  <c r="H791" i="31"/>
  <c r="G792" i="31"/>
  <c r="H792" i="31"/>
  <c r="G793" i="31"/>
  <c r="M170" i="21" s="1"/>
  <c r="H793" i="31"/>
  <c r="G794" i="31"/>
  <c r="M393" i="21" s="1"/>
  <c r="H794" i="31"/>
  <c r="G795" i="31"/>
  <c r="M399" i="21" s="1"/>
  <c r="H795" i="31"/>
  <c r="G796" i="31"/>
  <c r="M468" i="21" s="1"/>
  <c r="H796" i="31"/>
  <c r="H797" i="31"/>
  <c r="G798" i="31"/>
  <c r="M609" i="21" s="1"/>
  <c r="H798" i="31"/>
  <c r="H799" i="31"/>
  <c r="H800" i="31"/>
  <c r="G801" i="31"/>
  <c r="M740" i="21" s="1"/>
  <c r="H801" i="31"/>
  <c r="G802" i="31"/>
  <c r="M742" i="21" s="1"/>
  <c r="H802" i="31"/>
  <c r="G803" i="31"/>
  <c r="M755" i="21" s="1"/>
  <c r="H803" i="31"/>
  <c r="G804" i="31"/>
  <c r="M813" i="21" s="1"/>
  <c r="H804" i="31"/>
  <c r="H805" i="31"/>
  <c r="H806" i="31"/>
  <c r="H807" i="31"/>
  <c r="G808" i="31"/>
  <c r="M817" i="21" s="1"/>
  <c r="H808" i="31"/>
  <c r="G809" i="31"/>
  <c r="M818" i="21" s="1"/>
  <c r="H809" i="31"/>
  <c r="H6" i="31"/>
  <c r="E6" i="31"/>
  <c r="E7" i="31"/>
  <c r="F7" i="31"/>
  <c r="E8" i="31"/>
  <c r="F8" i="31"/>
  <c r="E9" i="31"/>
  <c r="F9" i="31"/>
  <c r="E10" i="31"/>
  <c r="F10" i="31"/>
  <c r="E11" i="31"/>
  <c r="F11" i="31"/>
  <c r="E12" i="31"/>
  <c r="F12" i="31"/>
  <c r="E13" i="31"/>
  <c r="F13" i="31"/>
  <c r="E14" i="31"/>
  <c r="F14" i="31"/>
  <c r="E15" i="31"/>
  <c r="F15" i="31"/>
  <c r="E16" i="31"/>
  <c r="F16" i="31"/>
  <c r="E17" i="31"/>
  <c r="F17" i="31"/>
  <c r="E18" i="31"/>
  <c r="F18" i="31"/>
  <c r="E19" i="31"/>
  <c r="F19" i="31"/>
  <c r="E20" i="31"/>
  <c r="F20" i="31"/>
  <c r="E21" i="31"/>
  <c r="F21" i="31"/>
  <c r="E22" i="31"/>
  <c r="F22" i="31"/>
  <c r="E23" i="31"/>
  <c r="F23" i="31"/>
  <c r="E24" i="31"/>
  <c r="F24" i="31"/>
  <c r="E25" i="31"/>
  <c r="F25" i="31"/>
  <c r="E26" i="31"/>
  <c r="F26" i="31"/>
  <c r="E27" i="31"/>
  <c r="F27" i="31"/>
  <c r="E28" i="31"/>
  <c r="F28" i="31"/>
  <c r="E29" i="31"/>
  <c r="F29" i="31"/>
  <c r="E30" i="31"/>
  <c r="F30" i="31"/>
  <c r="E31" i="31"/>
  <c r="F31" i="31"/>
  <c r="E32" i="31"/>
  <c r="F32" i="31"/>
  <c r="E33" i="31"/>
  <c r="F33" i="31"/>
  <c r="E34" i="31"/>
  <c r="F34" i="31"/>
  <c r="E35" i="31"/>
  <c r="F35" i="31"/>
  <c r="E36" i="31"/>
  <c r="F36" i="31"/>
  <c r="E37" i="31"/>
  <c r="F37" i="31"/>
  <c r="E38" i="31"/>
  <c r="F38" i="31"/>
  <c r="E39" i="31"/>
  <c r="F39" i="31"/>
  <c r="E40" i="31"/>
  <c r="F40" i="31"/>
  <c r="E41" i="31"/>
  <c r="F41" i="31"/>
  <c r="E42" i="31"/>
  <c r="F42" i="31"/>
  <c r="E43" i="31"/>
  <c r="F43" i="31"/>
  <c r="E44" i="31"/>
  <c r="F44" i="31"/>
  <c r="E45" i="31"/>
  <c r="F45" i="31"/>
  <c r="E46" i="31"/>
  <c r="F46" i="31"/>
  <c r="E47" i="31"/>
  <c r="F47" i="31"/>
  <c r="E48" i="31"/>
  <c r="F48" i="31"/>
  <c r="E49" i="31"/>
  <c r="F49" i="31"/>
  <c r="E50" i="31"/>
  <c r="F50" i="31"/>
  <c r="E51" i="31"/>
  <c r="F51" i="31"/>
  <c r="E52" i="31"/>
  <c r="F52" i="31"/>
  <c r="E53" i="31"/>
  <c r="F53" i="31"/>
  <c r="E54" i="31"/>
  <c r="F54" i="31"/>
  <c r="E55" i="31"/>
  <c r="F55" i="31"/>
  <c r="E56" i="31"/>
  <c r="F56" i="31"/>
  <c r="E57" i="31"/>
  <c r="F57" i="31"/>
  <c r="E58" i="31"/>
  <c r="F58" i="31"/>
  <c r="E59" i="31"/>
  <c r="F59" i="31"/>
  <c r="E60" i="31"/>
  <c r="F60" i="31"/>
  <c r="E61" i="31"/>
  <c r="F61" i="31"/>
  <c r="E62" i="31"/>
  <c r="F62" i="31"/>
  <c r="E63" i="31"/>
  <c r="F63" i="31"/>
  <c r="E64" i="31"/>
  <c r="F64" i="31"/>
  <c r="E65" i="31"/>
  <c r="F65" i="31"/>
  <c r="E66" i="31"/>
  <c r="F66" i="31"/>
  <c r="E67" i="31"/>
  <c r="F67" i="31"/>
  <c r="E68" i="31"/>
  <c r="F68" i="31"/>
  <c r="E69" i="31"/>
  <c r="F69" i="31"/>
  <c r="E70" i="31"/>
  <c r="F70" i="31"/>
  <c r="E71" i="31"/>
  <c r="F71" i="31"/>
  <c r="E72" i="31"/>
  <c r="F72" i="31"/>
  <c r="E73" i="31"/>
  <c r="F73" i="31"/>
  <c r="E74" i="31"/>
  <c r="F74" i="31"/>
  <c r="E75" i="31"/>
  <c r="F75" i="31"/>
  <c r="E76" i="31"/>
  <c r="F76" i="31"/>
  <c r="E77" i="31"/>
  <c r="F77" i="31"/>
  <c r="E78" i="31"/>
  <c r="F78" i="31"/>
  <c r="E79" i="31"/>
  <c r="F79" i="31"/>
  <c r="E80" i="31"/>
  <c r="F80" i="31"/>
  <c r="E81" i="31"/>
  <c r="F81" i="31"/>
  <c r="E82" i="31"/>
  <c r="F82" i="31"/>
  <c r="E83" i="31"/>
  <c r="F83" i="31"/>
  <c r="E84" i="31"/>
  <c r="F84" i="31"/>
  <c r="E85" i="31"/>
  <c r="F85" i="31"/>
  <c r="E86" i="31"/>
  <c r="F86" i="31"/>
  <c r="E87" i="31"/>
  <c r="F87" i="31"/>
  <c r="E88" i="31"/>
  <c r="F88" i="31"/>
  <c r="E89" i="31"/>
  <c r="F89" i="31"/>
  <c r="E90" i="31"/>
  <c r="F90" i="31"/>
  <c r="E91" i="31"/>
  <c r="F91" i="31"/>
  <c r="E92" i="31"/>
  <c r="F92" i="31"/>
  <c r="E93" i="31"/>
  <c r="F93" i="31"/>
  <c r="E94" i="31"/>
  <c r="F94" i="31"/>
  <c r="E95" i="31"/>
  <c r="F95" i="31"/>
  <c r="E96" i="31"/>
  <c r="F96" i="31"/>
  <c r="E97" i="31"/>
  <c r="F97" i="31"/>
  <c r="E98" i="31"/>
  <c r="F98" i="31"/>
  <c r="E99" i="31"/>
  <c r="F99" i="31"/>
  <c r="E100" i="31"/>
  <c r="F100" i="31"/>
  <c r="E101" i="31"/>
  <c r="F101" i="31"/>
  <c r="E102" i="31"/>
  <c r="F102" i="31"/>
  <c r="E103" i="31"/>
  <c r="F103" i="31"/>
  <c r="E104" i="31"/>
  <c r="F104" i="31"/>
  <c r="E105" i="31"/>
  <c r="F105" i="31"/>
  <c r="E106" i="31"/>
  <c r="F106" i="31"/>
  <c r="E107" i="31"/>
  <c r="F107" i="31"/>
  <c r="E108" i="31"/>
  <c r="F108" i="31"/>
  <c r="E109" i="31"/>
  <c r="F109" i="31"/>
  <c r="E110" i="31"/>
  <c r="F110" i="31"/>
  <c r="E111" i="31"/>
  <c r="F111" i="31"/>
  <c r="E112" i="31"/>
  <c r="F112" i="31"/>
  <c r="E113" i="31"/>
  <c r="F113" i="31"/>
  <c r="E114" i="31"/>
  <c r="F114" i="31"/>
  <c r="E115" i="31"/>
  <c r="F115" i="31"/>
  <c r="E116" i="31"/>
  <c r="F116" i="31"/>
  <c r="E117" i="31"/>
  <c r="F117" i="31"/>
  <c r="E118" i="31"/>
  <c r="F118" i="31"/>
  <c r="E119" i="31"/>
  <c r="F119" i="31"/>
  <c r="E120" i="31"/>
  <c r="F120" i="31"/>
  <c r="E121" i="31"/>
  <c r="F121" i="31"/>
  <c r="E122" i="31"/>
  <c r="F122" i="31"/>
  <c r="E123" i="31"/>
  <c r="F123" i="31"/>
  <c r="E124" i="31"/>
  <c r="F124" i="31"/>
  <c r="E125" i="31"/>
  <c r="F125" i="31"/>
  <c r="E126" i="31"/>
  <c r="F126" i="31"/>
  <c r="E136" i="31"/>
  <c r="F136" i="31"/>
  <c r="E137" i="31"/>
  <c r="F137" i="31"/>
  <c r="E138" i="31"/>
  <c r="F138" i="31"/>
  <c r="E139" i="31"/>
  <c r="F139" i="31"/>
  <c r="E140" i="31"/>
  <c r="F140" i="31"/>
  <c r="E141" i="31"/>
  <c r="F141" i="31"/>
  <c r="E142" i="31"/>
  <c r="F142" i="31"/>
  <c r="E143" i="31"/>
  <c r="F143" i="31"/>
  <c r="E144" i="31"/>
  <c r="F144" i="31"/>
  <c r="E145" i="31"/>
  <c r="F145" i="31"/>
  <c r="E146" i="31"/>
  <c r="F146" i="31"/>
  <c r="E147" i="31"/>
  <c r="F147" i="31"/>
  <c r="E148" i="31"/>
  <c r="F148" i="31"/>
  <c r="E149" i="31"/>
  <c r="F149" i="31"/>
  <c r="E150" i="31"/>
  <c r="F150" i="31"/>
  <c r="E151" i="31"/>
  <c r="F151" i="31"/>
  <c r="E152" i="31"/>
  <c r="F152" i="31"/>
  <c r="E153" i="31"/>
  <c r="F153" i="31"/>
  <c r="E154" i="31"/>
  <c r="F154" i="31"/>
  <c r="E155" i="31"/>
  <c r="F155" i="31"/>
  <c r="E156" i="31"/>
  <c r="F156" i="31"/>
  <c r="E157" i="31"/>
  <c r="F157" i="31"/>
  <c r="E158" i="31"/>
  <c r="F158" i="31"/>
  <c r="E159" i="31"/>
  <c r="F159" i="31"/>
  <c r="E160" i="31"/>
  <c r="F160" i="31"/>
  <c r="E161" i="31"/>
  <c r="F161" i="31"/>
  <c r="E162" i="31"/>
  <c r="F162" i="31"/>
  <c r="E163" i="31"/>
  <c r="F163" i="31"/>
  <c r="E164" i="31"/>
  <c r="F164" i="31"/>
  <c r="E165" i="31"/>
  <c r="F165" i="31"/>
  <c r="E166" i="31"/>
  <c r="F166" i="31"/>
  <c r="E167" i="31"/>
  <c r="F167" i="31"/>
  <c r="E168" i="31"/>
  <c r="F168" i="31"/>
  <c r="E169" i="31"/>
  <c r="F169" i="31"/>
  <c r="E170" i="31"/>
  <c r="F170" i="31"/>
  <c r="E171" i="31"/>
  <c r="F171" i="31"/>
  <c r="E172" i="31"/>
  <c r="F172" i="31"/>
  <c r="E173" i="31"/>
  <c r="F173" i="31"/>
  <c r="E174" i="31"/>
  <c r="F174" i="31"/>
  <c r="E175" i="31"/>
  <c r="F175" i="31"/>
  <c r="E176" i="31"/>
  <c r="F176" i="31"/>
  <c r="E177" i="31"/>
  <c r="F177" i="31"/>
  <c r="E178" i="31"/>
  <c r="F178" i="31"/>
  <c r="E179" i="31"/>
  <c r="F179" i="31"/>
  <c r="E180" i="31"/>
  <c r="F180" i="31"/>
  <c r="E181" i="31"/>
  <c r="F181" i="31"/>
  <c r="E182" i="31"/>
  <c r="F182" i="31"/>
  <c r="E183" i="31"/>
  <c r="F183" i="31"/>
  <c r="E184" i="31"/>
  <c r="F184" i="31"/>
  <c r="E185" i="31"/>
  <c r="F185" i="31"/>
  <c r="E186" i="31"/>
  <c r="F186" i="31"/>
  <c r="E187" i="31"/>
  <c r="F187" i="31"/>
  <c r="E188" i="31"/>
  <c r="F188" i="31"/>
  <c r="E189" i="31"/>
  <c r="F189" i="31"/>
  <c r="E190" i="31"/>
  <c r="F190" i="31"/>
  <c r="F191" i="31"/>
  <c r="E192" i="31"/>
  <c r="F192" i="31"/>
  <c r="E193" i="31"/>
  <c r="F193" i="31"/>
  <c r="E194" i="31"/>
  <c r="F194" i="31"/>
  <c r="E195" i="31"/>
  <c r="F195" i="31"/>
  <c r="E196" i="31"/>
  <c r="F196" i="31"/>
  <c r="E197" i="31"/>
  <c r="F197" i="31"/>
  <c r="E198" i="31"/>
  <c r="F198" i="31"/>
  <c r="E199" i="31"/>
  <c r="F199" i="31"/>
  <c r="E200" i="31"/>
  <c r="F200" i="31"/>
  <c r="E201" i="31"/>
  <c r="F201" i="31"/>
  <c r="E202" i="31"/>
  <c r="F202" i="31"/>
  <c r="E203" i="31"/>
  <c r="F203" i="31"/>
  <c r="E204" i="31"/>
  <c r="F204" i="31"/>
  <c r="E205" i="31"/>
  <c r="F205" i="31"/>
  <c r="E206" i="31"/>
  <c r="F206" i="31"/>
  <c r="E207" i="31"/>
  <c r="F207" i="31"/>
  <c r="E208" i="31"/>
  <c r="F208" i="31"/>
  <c r="E209" i="31"/>
  <c r="F209" i="31"/>
  <c r="E210" i="31"/>
  <c r="F210" i="31"/>
  <c r="E211" i="31"/>
  <c r="F211" i="31"/>
  <c r="E212" i="31"/>
  <c r="F212" i="31"/>
  <c r="E213" i="31"/>
  <c r="F213" i="31"/>
  <c r="E214" i="31"/>
  <c r="F214" i="31"/>
  <c r="E215" i="31"/>
  <c r="F215" i="31"/>
  <c r="E216" i="31"/>
  <c r="F216" i="31"/>
  <c r="E217" i="31"/>
  <c r="F217" i="31"/>
  <c r="E218" i="31"/>
  <c r="F218" i="31"/>
  <c r="E219" i="31"/>
  <c r="F219" i="31"/>
  <c r="E220" i="31"/>
  <c r="F220" i="31"/>
  <c r="E221" i="31"/>
  <c r="F221" i="31"/>
  <c r="E222" i="31"/>
  <c r="F222" i="31"/>
  <c r="E223" i="31"/>
  <c r="F223" i="31"/>
  <c r="E224" i="31"/>
  <c r="F224" i="31"/>
  <c r="E225" i="31"/>
  <c r="F225" i="31"/>
  <c r="E226" i="31"/>
  <c r="F226" i="31"/>
  <c r="E227" i="31"/>
  <c r="F227" i="31"/>
  <c r="E228" i="31"/>
  <c r="F228" i="31"/>
  <c r="E229" i="31"/>
  <c r="F229" i="31"/>
  <c r="E230" i="31"/>
  <c r="F230" i="31"/>
  <c r="E231" i="31"/>
  <c r="F231" i="31"/>
  <c r="E232" i="31"/>
  <c r="F232" i="31"/>
  <c r="E233" i="31"/>
  <c r="F233" i="31"/>
  <c r="E234" i="31"/>
  <c r="F234" i="31"/>
  <c r="E235" i="31"/>
  <c r="F235" i="31"/>
  <c r="E236" i="31"/>
  <c r="F236" i="31"/>
  <c r="E237" i="31"/>
  <c r="F237" i="31"/>
  <c r="E238" i="31"/>
  <c r="F238" i="31"/>
  <c r="E239" i="31"/>
  <c r="F239" i="31"/>
  <c r="E240" i="31"/>
  <c r="F240" i="31"/>
  <c r="E241" i="31"/>
  <c r="F241" i="31"/>
  <c r="E242" i="31"/>
  <c r="F242" i="31"/>
  <c r="E243" i="31"/>
  <c r="F243" i="31"/>
  <c r="E244" i="31"/>
  <c r="F244" i="31"/>
  <c r="E245" i="31"/>
  <c r="F245" i="31"/>
  <c r="E246" i="31"/>
  <c r="F246" i="31"/>
  <c r="E247" i="31"/>
  <c r="F247" i="31"/>
  <c r="E248" i="31"/>
  <c r="F248" i="31"/>
  <c r="E249" i="31"/>
  <c r="F249" i="31"/>
  <c r="E250" i="31"/>
  <c r="F250" i="31"/>
  <c r="E251" i="31"/>
  <c r="F251" i="31"/>
  <c r="E252" i="31"/>
  <c r="F252" i="31"/>
  <c r="E253" i="31"/>
  <c r="F253" i="31"/>
  <c r="E254" i="31"/>
  <c r="F254" i="31"/>
  <c r="E255" i="31"/>
  <c r="F255" i="31"/>
  <c r="E256" i="31"/>
  <c r="F256" i="31"/>
  <c r="E257" i="31"/>
  <c r="F257" i="31"/>
  <c r="E258" i="31"/>
  <c r="F258" i="31"/>
  <c r="E259" i="31"/>
  <c r="F259" i="31"/>
  <c r="E260" i="31"/>
  <c r="F260" i="31"/>
  <c r="E261" i="31"/>
  <c r="F261" i="31"/>
  <c r="E262" i="31"/>
  <c r="F262" i="31"/>
  <c r="E263" i="31"/>
  <c r="F263" i="31"/>
  <c r="E264" i="31"/>
  <c r="F264" i="31"/>
  <c r="E265" i="31"/>
  <c r="F265" i="31"/>
  <c r="E266" i="31"/>
  <c r="F266" i="31"/>
  <c r="E267" i="31"/>
  <c r="F267" i="31"/>
  <c r="E268" i="31"/>
  <c r="F268" i="31"/>
  <c r="E269" i="31"/>
  <c r="F269" i="31"/>
  <c r="E270" i="31"/>
  <c r="F270" i="31"/>
  <c r="E271" i="31"/>
  <c r="F271" i="31"/>
  <c r="E272" i="31"/>
  <c r="F272" i="31"/>
  <c r="E273" i="31"/>
  <c r="F273" i="31"/>
  <c r="E274" i="31"/>
  <c r="F274" i="31"/>
  <c r="E275" i="31"/>
  <c r="F275" i="31"/>
  <c r="E276" i="31"/>
  <c r="F276" i="31"/>
  <c r="E277" i="31"/>
  <c r="F277" i="31"/>
  <c r="E278" i="31"/>
  <c r="F278" i="31"/>
  <c r="E279" i="31"/>
  <c r="F279" i="31"/>
  <c r="E280" i="31"/>
  <c r="F280" i="31"/>
  <c r="E281" i="31"/>
  <c r="F281" i="31"/>
  <c r="E282" i="31"/>
  <c r="F282" i="31"/>
  <c r="E283" i="31"/>
  <c r="F283" i="31"/>
  <c r="E284" i="31"/>
  <c r="F284" i="31"/>
  <c r="E285" i="31"/>
  <c r="F285" i="31"/>
  <c r="E286" i="31"/>
  <c r="F286" i="31"/>
  <c r="E287" i="31"/>
  <c r="F287" i="31"/>
  <c r="E288" i="31"/>
  <c r="F288" i="31"/>
  <c r="E289" i="31"/>
  <c r="F289" i="31"/>
  <c r="E290" i="31"/>
  <c r="F290" i="31"/>
  <c r="E291" i="31"/>
  <c r="F291" i="31"/>
  <c r="E292" i="31"/>
  <c r="F292" i="31"/>
  <c r="E293" i="31"/>
  <c r="F293" i="31"/>
  <c r="E294" i="31"/>
  <c r="F294" i="31"/>
  <c r="E295" i="31"/>
  <c r="F295" i="31"/>
  <c r="E296" i="31"/>
  <c r="F296" i="31"/>
  <c r="E297" i="31"/>
  <c r="F297" i="31"/>
  <c r="E298" i="31"/>
  <c r="F298" i="31"/>
  <c r="E299" i="31"/>
  <c r="F299" i="31"/>
  <c r="E300" i="31"/>
  <c r="F300" i="31"/>
  <c r="E301" i="31"/>
  <c r="F301" i="31"/>
  <c r="E302" i="31"/>
  <c r="F302" i="31"/>
  <c r="E303" i="31"/>
  <c r="F303" i="31"/>
  <c r="E304" i="31"/>
  <c r="F304" i="31"/>
  <c r="E305" i="31"/>
  <c r="F305" i="31"/>
  <c r="E306" i="31"/>
  <c r="F306" i="31"/>
  <c r="E307" i="31"/>
  <c r="F307" i="31"/>
  <c r="E308" i="31"/>
  <c r="F308" i="31"/>
  <c r="E309" i="31"/>
  <c r="F309" i="31"/>
  <c r="E310" i="31"/>
  <c r="F310" i="31"/>
  <c r="E311" i="31"/>
  <c r="F311" i="31"/>
  <c r="E312" i="31"/>
  <c r="F312" i="31"/>
  <c r="E313" i="31"/>
  <c r="F313" i="31"/>
  <c r="E314" i="31"/>
  <c r="F314" i="31"/>
  <c r="E315" i="31"/>
  <c r="F315" i="31"/>
  <c r="E316" i="31"/>
  <c r="F316" i="31"/>
  <c r="E317" i="31"/>
  <c r="F317" i="31"/>
  <c r="E318" i="31"/>
  <c r="F318" i="31"/>
  <c r="E319" i="31"/>
  <c r="F319" i="31"/>
  <c r="E320" i="31"/>
  <c r="F320" i="31"/>
  <c r="E321" i="31"/>
  <c r="F321" i="31"/>
  <c r="E322" i="31"/>
  <c r="F322" i="31"/>
  <c r="E323" i="31"/>
  <c r="F323" i="31"/>
  <c r="E324" i="31"/>
  <c r="F324" i="31"/>
  <c r="E325" i="31"/>
  <c r="F325" i="31"/>
  <c r="E326" i="31"/>
  <c r="F326" i="31"/>
  <c r="E327" i="31"/>
  <c r="F327" i="31"/>
  <c r="E328" i="31"/>
  <c r="F328" i="31"/>
  <c r="E329" i="31"/>
  <c r="F329" i="31"/>
  <c r="E330" i="31"/>
  <c r="F330" i="31"/>
  <c r="E331" i="31"/>
  <c r="F331" i="31"/>
  <c r="E332" i="31"/>
  <c r="F332" i="31"/>
  <c r="E333" i="31"/>
  <c r="F333" i="31"/>
  <c r="E334" i="31"/>
  <c r="F334" i="31"/>
  <c r="E335" i="31"/>
  <c r="F335" i="31"/>
  <c r="E336" i="31"/>
  <c r="F336" i="31"/>
  <c r="E337" i="31"/>
  <c r="F337" i="31"/>
  <c r="E338" i="31"/>
  <c r="F338" i="31"/>
  <c r="E339" i="31"/>
  <c r="F339" i="31"/>
  <c r="E340" i="31"/>
  <c r="F340" i="31"/>
  <c r="E341" i="31"/>
  <c r="F341" i="31"/>
  <c r="E342" i="31"/>
  <c r="F342" i="31"/>
  <c r="E343" i="31"/>
  <c r="F343" i="31"/>
  <c r="E344" i="31"/>
  <c r="F344" i="31"/>
  <c r="E345" i="31"/>
  <c r="F345" i="31"/>
  <c r="E346" i="31"/>
  <c r="F346" i="31"/>
  <c r="E347" i="31"/>
  <c r="F347" i="31"/>
  <c r="E348" i="31"/>
  <c r="F348" i="31"/>
  <c r="E349" i="31"/>
  <c r="F349" i="31"/>
  <c r="E350" i="31"/>
  <c r="F350" i="31"/>
  <c r="E351" i="31"/>
  <c r="F351" i="31"/>
  <c r="E352" i="31"/>
  <c r="F352" i="31"/>
  <c r="E353" i="31"/>
  <c r="F353" i="31"/>
  <c r="E354" i="31"/>
  <c r="F354" i="31"/>
  <c r="E355" i="31"/>
  <c r="F355" i="31"/>
  <c r="E356" i="31"/>
  <c r="F356" i="31"/>
  <c r="E357" i="31"/>
  <c r="F357" i="31"/>
  <c r="E358" i="31"/>
  <c r="F358" i="31"/>
  <c r="E359" i="31"/>
  <c r="F359" i="31"/>
  <c r="E360" i="31"/>
  <c r="F360" i="31"/>
  <c r="E361" i="31"/>
  <c r="F361" i="31"/>
  <c r="E362" i="31"/>
  <c r="F362" i="31"/>
  <c r="E363" i="31"/>
  <c r="F363" i="31"/>
  <c r="E364" i="31"/>
  <c r="F364" i="31"/>
  <c r="E365" i="31"/>
  <c r="F365" i="31"/>
  <c r="E366" i="31"/>
  <c r="F366" i="31"/>
  <c r="E367" i="31"/>
  <c r="F367" i="31"/>
  <c r="E368" i="31"/>
  <c r="F368" i="31"/>
  <c r="E369" i="31"/>
  <c r="F369" i="31"/>
  <c r="E370" i="31"/>
  <c r="F370" i="31"/>
  <c r="E371" i="31"/>
  <c r="F371" i="31"/>
  <c r="E372" i="31"/>
  <c r="F372" i="31"/>
  <c r="E373" i="31"/>
  <c r="F373" i="31"/>
  <c r="E374" i="31"/>
  <c r="F374" i="31"/>
  <c r="E375" i="31"/>
  <c r="F375" i="31"/>
  <c r="E376" i="31"/>
  <c r="F376" i="31"/>
  <c r="E377" i="31"/>
  <c r="F377" i="31"/>
  <c r="E378" i="31"/>
  <c r="F378" i="31"/>
  <c r="E379" i="31"/>
  <c r="F379" i="31"/>
  <c r="E380" i="31"/>
  <c r="F380" i="31"/>
  <c r="E381" i="31"/>
  <c r="F381" i="31"/>
  <c r="E382" i="31"/>
  <c r="F382" i="31"/>
  <c r="E383" i="31"/>
  <c r="F383" i="31"/>
  <c r="E384" i="31"/>
  <c r="F384" i="31"/>
  <c r="E385" i="31"/>
  <c r="F385" i="31"/>
  <c r="E386" i="31"/>
  <c r="F386" i="31"/>
  <c r="E387" i="31"/>
  <c r="F387" i="31"/>
  <c r="E388" i="31"/>
  <c r="F388" i="31"/>
  <c r="E389" i="31"/>
  <c r="F389" i="31"/>
  <c r="E390" i="31"/>
  <c r="F390" i="31"/>
  <c r="E391" i="31"/>
  <c r="F391" i="31"/>
  <c r="E392" i="31"/>
  <c r="F392" i="31"/>
  <c r="E393" i="31"/>
  <c r="F393" i="31"/>
  <c r="E394" i="31"/>
  <c r="F394" i="31"/>
  <c r="E395" i="31"/>
  <c r="F395" i="31"/>
  <c r="E396" i="31"/>
  <c r="F396" i="31"/>
  <c r="E397" i="31"/>
  <c r="F397" i="31"/>
  <c r="E398" i="31"/>
  <c r="F398" i="31"/>
  <c r="E399" i="31"/>
  <c r="F399" i="31"/>
  <c r="E400" i="31"/>
  <c r="F400" i="31"/>
  <c r="E401" i="31"/>
  <c r="F401" i="31"/>
  <c r="E402" i="31"/>
  <c r="F402" i="31"/>
  <c r="E403" i="31"/>
  <c r="F403" i="31"/>
  <c r="E404" i="31"/>
  <c r="F404" i="31"/>
  <c r="E405" i="31"/>
  <c r="F405" i="31"/>
  <c r="E406" i="31"/>
  <c r="F406" i="31"/>
  <c r="E407" i="31"/>
  <c r="F407" i="31"/>
  <c r="E408" i="31"/>
  <c r="F408" i="31"/>
  <c r="E409" i="31"/>
  <c r="F409" i="31"/>
  <c r="E410" i="31"/>
  <c r="F410" i="31"/>
  <c r="E411" i="31"/>
  <c r="F411" i="31"/>
  <c r="E412" i="31"/>
  <c r="F412" i="31"/>
  <c r="E413" i="31"/>
  <c r="F413" i="31"/>
  <c r="E414" i="31"/>
  <c r="F414" i="31"/>
  <c r="E415" i="31"/>
  <c r="F415" i="31"/>
  <c r="E416" i="31"/>
  <c r="F416" i="31"/>
  <c r="E417" i="31"/>
  <c r="F417" i="31"/>
  <c r="E418" i="31"/>
  <c r="F418" i="31"/>
  <c r="E419" i="31"/>
  <c r="F419" i="31"/>
  <c r="E420" i="31"/>
  <c r="F420" i="31"/>
  <c r="E421" i="31"/>
  <c r="F421" i="31"/>
  <c r="E422" i="31"/>
  <c r="F422" i="31"/>
  <c r="E423" i="31"/>
  <c r="F423" i="31"/>
  <c r="E424" i="31"/>
  <c r="F424" i="31"/>
  <c r="E425" i="31"/>
  <c r="F425" i="31"/>
  <c r="E426" i="31"/>
  <c r="F426" i="31"/>
  <c r="E427" i="31"/>
  <c r="F427" i="31"/>
  <c r="E428" i="31"/>
  <c r="F428" i="31"/>
  <c r="E429" i="31"/>
  <c r="F429" i="31"/>
  <c r="E430" i="31"/>
  <c r="F430" i="31"/>
  <c r="E431" i="31"/>
  <c r="F431" i="31"/>
  <c r="E432" i="31"/>
  <c r="F432" i="31"/>
  <c r="E433" i="31"/>
  <c r="F433" i="31"/>
  <c r="E434" i="31"/>
  <c r="F434" i="31"/>
  <c r="E435" i="31"/>
  <c r="F435" i="31"/>
  <c r="E436" i="31"/>
  <c r="F436" i="31"/>
  <c r="E437" i="31"/>
  <c r="F437" i="31"/>
  <c r="E438" i="31"/>
  <c r="F438" i="31"/>
  <c r="E439" i="31"/>
  <c r="F439" i="31"/>
  <c r="E440" i="31"/>
  <c r="F440" i="31"/>
  <c r="E441" i="31"/>
  <c r="F441" i="31"/>
  <c r="E442" i="31"/>
  <c r="F442" i="31"/>
  <c r="E443" i="31"/>
  <c r="F443" i="31"/>
  <c r="E444" i="31"/>
  <c r="F444" i="31"/>
  <c r="E445" i="31"/>
  <c r="F445" i="31"/>
  <c r="E446" i="31"/>
  <c r="F446" i="31"/>
  <c r="E447" i="31"/>
  <c r="F447" i="31"/>
  <c r="E448" i="31"/>
  <c r="F448" i="31"/>
  <c r="E449" i="31"/>
  <c r="F449" i="31"/>
  <c r="E450" i="31"/>
  <c r="F450" i="31"/>
  <c r="E451" i="31"/>
  <c r="F451" i="31"/>
  <c r="E452" i="31"/>
  <c r="F452" i="31"/>
  <c r="E453" i="31"/>
  <c r="F453" i="31"/>
  <c r="E454" i="31"/>
  <c r="F454" i="31"/>
  <c r="E455" i="31"/>
  <c r="F455" i="31"/>
  <c r="E456" i="31"/>
  <c r="F456" i="31"/>
  <c r="E457" i="31"/>
  <c r="F457" i="31"/>
  <c r="E458" i="31"/>
  <c r="F458" i="31"/>
  <c r="E459" i="31"/>
  <c r="F459" i="31"/>
  <c r="E460" i="31"/>
  <c r="F460" i="31"/>
  <c r="E461" i="31"/>
  <c r="F461" i="31"/>
  <c r="E462" i="31"/>
  <c r="F462" i="31"/>
  <c r="E463" i="31"/>
  <c r="F463" i="31"/>
  <c r="E464" i="31"/>
  <c r="F464" i="31"/>
  <c r="E465" i="31"/>
  <c r="F465" i="31"/>
  <c r="E466" i="31"/>
  <c r="F466" i="31"/>
  <c r="E467" i="31"/>
  <c r="F467" i="31"/>
  <c r="E468" i="31"/>
  <c r="F468" i="31"/>
  <c r="E469" i="31"/>
  <c r="F469" i="31"/>
  <c r="E470" i="31"/>
  <c r="F470" i="31"/>
  <c r="E471" i="31"/>
  <c r="F471" i="31"/>
  <c r="E472" i="31"/>
  <c r="F472" i="31"/>
  <c r="E473" i="31"/>
  <c r="F473" i="31"/>
  <c r="E474" i="31"/>
  <c r="F474" i="31"/>
  <c r="E475" i="31"/>
  <c r="F475" i="31"/>
  <c r="E476" i="31"/>
  <c r="F476" i="31"/>
  <c r="E477" i="31"/>
  <c r="F477" i="31"/>
  <c r="E478" i="31"/>
  <c r="F478" i="31"/>
  <c r="E479" i="31"/>
  <c r="F479" i="31"/>
  <c r="E480" i="31"/>
  <c r="F480" i="31"/>
  <c r="E481" i="31"/>
  <c r="F481" i="31"/>
  <c r="E482" i="31"/>
  <c r="F482" i="31"/>
  <c r="E483" i="31"/>
  <c r="F483" i="31"/>
  <c r="E484" i="31"/>
  <c r="F484" i="31"/>
  <c r="E485" i="31"/>
  <c r="F485" i="31"/>
  <c r="E486" i="31"/>
  <c r="F486" i="31"/>
  <c r="E487" i="31"/>
  <c r="F487" i="31"/>
  <c r="E488" i="31"/>
  <c r="F488" i="31"/>
  <c r="E489" i="31"/>
  <c r="F489" i="31"/>
  <c r="E490" i="31"/>
  <c r="F490" i="31"/>
  <c r="E491" i="31"/>
  <c r="F491" i="31"/>
  <c r="E492" i="31"/>
  <c r="F492" i="31"/>
  <c r="E493" i="31"/>
  <c r="F493" i="31"/>
  <c r="E494" i="31"/>
  <c r="F494" i="31"/>
  <c r="E495" i="31"/>
  <c r="F495" i="31"/>
  <c r="E496" i="31"/>
  <c r="F496" i="31"/>
  <c r="E497" i="31"/>
  <c r="F497" i="31"/>
  <c r="E498" i="31"/>
  <c r="F498" i="31"/>
  <c r="E499" i="31"/>
  <c r="F499" i="31"/>
  <c r="E500" i="31"/>
  <c r="F500" i="31"/>
  <c r="E501" i="31"/>
  <c r="F501" i="31"/>
  <c r="E502" i="31"/>
  <c r="F502" i="31"/>
  <c r="E503" i="31"/>
  <c r="F503" i="31"/>
  <c r="E504" i="31"/>
  <c r="F504" i="31"/>
  <c r="E505" i="31"/>
  <c r="F505" i="31"/>
  <c r="E506" i="31"/>
  <c r="F506" i="31"/>
  <c r="E507" i="31"/>
  <c r="F507" i="31"/>
  <c r="E508" i="31"/>
  <c r="F508" i="31"/>
  <c r="E509" i="31"/>
  <c r="F509" i="31"/>
  <c r="E510" i="31"/>
  <c r="F510" i="31"/>
  <c r="E511" i="31"/>
  <c r="F511" i="31"/>
  <c r="E512" i="31"/>
  <c r="F512" i="31"/>
  <c r="E513" i="31"/>
  <c r="F513" i="31"/>
  <c r="F514" i="31"/>
  <c r="E515" i="31"/>
  <c r="F515" i="31"/>
  <c r="E516" i="31"/>
  <c r="F516" i="31"/>
  <c r="E517" i="31"/>
  <c r="F517" i="31"/>
  <c r="E518" i="31"/>
  <c r="F518" i="31"/>
  <c r="E519" i="31"/>
  <c r="F519" i="31"/>
  <c r="E520" i="31"/>
  <c r="F520" i="31"/>
  <c r="E521" i="31"/>
  <c r="F521" i="31"/>
  <c r="E522" i="31"/>
  <c r="F522" i="31"/>
  <c r="E523" i="31"/>
  <c r="F523" i="31"/>
  <c r="E524" i="31"/>
  <c r="F524" i="31"/>
  <c r="E525" i="31"/>
  <c r="F525" i="31"/>
  <c r="E526" i="31"/>
  <c r="F526" i="31"/>
  <c r="E527" i="31"/>
  <c r="F527" i="31"/>
  <c r="E528" i="31"/>
  <c r="F528" i="31"/>
  <c r="E529" i="31"/>
  <c r="F529" i="31"/>
  <c r="E530" i="31"/>
  <c r="F530" i="31"/>
  <c r="E531" i="31"/>
  <c r="F531" i="31"/>
  <c r="E532" i="31"/>
  <c r="F532" i="31"/>
  <c r="E533" i="31"/>
  <c r="F533" i="31"/>
  <c r="E534" i="31"/>
  <c r="F534" i="31"/>
  <c r="E535" i="31"/>
  <c r="F535" i="31"/>
  <c r="E536" i="31"/>
  <c r="F536" i="31"/>
  <c r="E537" i="31"/>
  <c r="F537" i="31"/>
  <c r="E538" i="31"/>
  <c r="F538" i="31"/>
  <c r="E539" i="31"/>
  <c r="F539" i="31"/>
  <c r="E540" i="31"/>
  <c r="F540" i="31"/>
  <c r="E541" i="31"/>
  <c r="F541" i="31"/>
  <c r="E542" i="31"/>
  <c r="F542" i="31"/>
  <c r="E543" i="31"/>
  <c r="F543" i="31"/>
  <c r="E544" i="31"/>
  <c r="F544" i="31"/>
  <c r="E545" i="31"/>
  <c r="F545" i="31"/>
  <c r="E546" i="31"/>
  <c r="F546" i="31"/>
  <c r="E547" i="31"/>
  <c r="F547" i="31"/>
  <c r="E548" i="31"/>
  <c r="F548" i="31"/>
  <c r="E549" i="31"/>
  <c r="F549" i="31"/>
  <c r="E550" i="31"/>
  <c r="F550" i="31"/>
  <c r="E551" i="31"/>
  <c r="F551" i="31"/>
  <c r="E552" i="31"/>
  <c r="F552" i="31"/>
  <c r="E553" i="31"/>
  <c r="F553" i="31"/>
  <c r="E554" i="31"/>
  <c r="F554" i="31"/>
  <c r="E555" i="31"/>
  <c r="F555" i="31"/>
  <c r="E556" i="31"/>
  <c r="F556" i="31"/>
  <c r="E557" i="31"/>
  <c r="F557" i="31"/>
  <c r="E558" i="31"/>
  <c r="F558" i="31"/>
  <c r="E559" i="31"/>
  <c r="F559" i="31"/>
  <c r="E560" i="31"/>
  <c r="F560" i="31"/>
  <c r="E561" i="31"/>
  <c r="F561" i="31"/>
  <c r="E562" i="31"/>
  <c r="F562" i="31"/>
  <c r="E563" i="31"/>
  <c r="F563" i="31"/>
  <c r="E564" i="31"/>
  <c r="F564" i="31"/>
  <c r="E565" i="31"/>
  <c r="F565" i="31"/>
  <c r="E566" i="31"/>
  <c r="F566" i="31"/>
  <c r="E567" i="31"/>
  <c r="F567" i="31"/>
  <c r="E568" i="31"/>
  <c r="F568" i="31"/>
  <c r="E569" i="31"/>
  <c r="F569" i="31"/>
  <c r="E570" i="31"/>
  <c r="F570" i="31"/>
  <c r="E571" i="31"/>
  <c r="F571" i="31"/>
  <c r="E572" i="31"/>
  <c r="F572" i="31"/>
  <c r="E573" i="31"/>
  <c r="F573" i="31"/>
  <c r="E574" i="31"/>
  <c r="F574" i="31"/>
  <c r="E575" i="31"/>
  <c r="F575" i="31"/>
  <c r="E576" i="31"/>
  <c r="F576" i="31"/>
  <c r="E577" i="31"/>
  <c r="F577" i="31"/>
  <c r="E578" i="31"/>
  <c r="F578" i="31"/>
  <c r="E579" i="31"/>
  <c r="F579" i="31"/>
  <c r="E580" i="31"/>
  <c r="F580" i="31"/>
  <c r="E581" i="31"/>
  <c r="F581" i="31"/>
  <c r="E582" i="31"/>
  <c r="F582" i="31"/>
  <c r="E583" i="31"/>
  <c r="F583" i="31"/>
  <c r="E584" i="31"/>
  <c r="F584" i="31"/>
  <c r="E585" i="31"/>
  <c r="F585" i="31"/>
  <c r="E586" i="31"/>
  <c r="F586" i="31"/>
  <c r="E587" i="31"/>
  <c r="F587" i="31"/>
  <c r="E588" i="31"/>
  <c r="F588" i="31"/>
  <c r="E589" i="31"/>
  <c r="F589" i="31"/>
  <c r="E590" i="31"/>
  <c r="F590" i="31"/>
  <c r="E591" i="31"/>
  <c r="F591" i="31"/>
  <c r="E592" i="31"/>
  <c r="F592" i="31"/>
  <c r="E593" i="31"/>
  <c r="F593" i="31"/>
  <c r="E594" i="31"/>
  <c r="F594" i="31"/>
  <c r="E595" i="31"/>
  <c r="F595" i="31"/>
  <c r="E596" i="31"/>
  <c r="F596" i="31"/>
  <c r="E597" i="31"/>
  <c r="F597" i="31"/>
  <c r="E598" i="31"/>
  <c r="F598" i="31"/>
  <c r="E599" i="31"/>
  <c r="F599" i="31"/>
  <c r="E600" i="31"/>
  <c r="F600" i="31"/>
  <c r="E601" i="31"/>
  <c r="F601" i="31"/>
  <c r="E602" i="31"/>
  <c r="F602" i="31"/>
  <c r="E603" i="31"/>
  <c r="F603" i="31"/>
  <c r="E604" i="31"/>
  <c r="F604" i="31"/>
  <c r="E605" i="31"/>
  <c r="F605" i="31"/>
  <c r="E606" i="31"/>
  <c r="F606" i="31"/>
  <c r="E607" i="31"/>
  <c r="F607" i="31"/>
  <c r="E608" i="31"/>
  <c r="F608" i="31"/>
  <c r="E609" i="31"/>
  <c r="F609" i="31"/>
  <c r="E610" i="31"/>
  <c r="F610" i="31"/>
  <c r="E611" i="31"/>
  <c r="F611" i="31"/>
  <c r="E612" i="31"/>
  <c r="F612" i="31"/>
  <c r="E613" i="31"/>
  <c r="F613" i="31"/>
  <c r="E614" i="31"/>
  <c r="F614" i="31"/>
  <c r="E615" i="31"/>
  <c r="F615" i="31"/>
  <c r="E616" i="31"/>
  <c r="F616" i="31"/>
  <c r="E617" i="31"/>
  <c r="F617" i="31"/>
  <c r="E618" i="31"/>
  <c r="F618" i="31"/>
  <c r="E619" i="31"/>
  <c r="F619" i="31"/>
  <c r="E620" i="31"/>
  <c r="F620" i="31"/>
  <c r="E621" i="31"/>
  <c r="F621" i="31"/>
  <c r="F6" i="31"/>
  <c r="E698" i="21" l="1"/>
  <c r="E594" i="21"/>
  <c r="E562" i="21"/>
  <c r="E538" i="21"/>
  <c r="E137" i="21"/>
  <c r="E742" i="21"/>
  <c r="E591" i="21"/>
  <c r="E517" i="21"/>
  <c r="E511" i="21"/>
  <c r="E447" i="21"/>
  <c r="E359" i="21"/>
  <c r="E302" i="21"/>
  <c r="E270" i="21"/>
  <c r="E115" i="21"/>
  <c r="E62" i="21"/>
  <c r="E60" i="21"/>
  <c r="E48" i="21"/>
  <c r="E697" i="21"/>
  <c r="E561" i="21"/>
  <c r="E505" i="21"/>
  <c r="E449" i="21"/>
  <c r="E425" i="21"/>
  <c r="E409" i="21"/>
  <c r="E385" i="21"/>
  <c r="E353" i="21"/>
  <c r="E329" i="21"/>
  <c r="E321" i="21"/>
  <c r="E281" i="21"/>
  <c r="E257" i="21"/>
  <c r="E200" i="21"/>
  <c r="E136" i="21"/>
  <c r="E128" i="21"/>
  <c r="E104" i="21"/>
  <c r="E96" i="21"/>
  <c r="E88" i="21"/>
  <c r="E72" i="21"/>
  <c r="E711" i="21"/>
  <c r="E709" i="21"/>
  <c r="E535" i="21"/>
  <c r="E533" i="21"/>
  <c r="E744" i="21"/>
  <c r="X699" i="21"/>
  <c r="E699" i="21"/>
  <c r="X623" i="21"/>
  <c r="E623" i="21"/>
  <c r="X611" i="21"/>
  <c r="E611" i="21"/>
  <c r="X525" i="21"/>
  <c r="E525" i="21"/>
  <c r="X515" i="21"/>
  <c r="E515" i="21"/>
  <c r="X500" i="21"/>
  <c r="E500" i="21"/>
  <c r="X438" i="21"/>
  <c r="E438" i="21"/>
  <c r="X67" i="21"/>
  <c r="E67" i="21"/>
  <c r="X31" i="21"/>
  <c r="E31" i="21"/>
  <c r="X727" i="21"/>
  <c r="E727" i="21"/>
  <c r="X609" i="21"/>
  <c r="E609" i="21"/>
  <c r="X468" i="21"/>
  <c r="E468" i="21"/>
  <c r="X393" i="21"/>
  <c r="E393" i="21"/>
  <c r="X794" i="21"/>
  <c r="E794" i="21"/>
  <c r="X792" i="21"/>
  <c r="E792" i="21"/>
  <c r="X790" i="21"/>
  <c r="E790" i="21"/>
  <c r="X788" i="21"/>
  <c r="E788" i="21"/>
  <c r="X786" i="21"/>
  <c r="E786" i="21"/>
  <c r="X784" i="21"/>
  <c r="E784" i="21"/>
  <c r="X782" i="21"/>
  <c r="E782" i="21"/>
  <c r="X780" i="21"/>
  <c r="E780" i="21"/>
  <c r="X778" i="21"/>
  <c r="E778" i="21"/>
  <c r="X776" i="21"/>
  <c r="E776" i="21"/>
  <c r="X774" i="21"/>
  <c r="E774" i="21"/>
  <c r="X772" i="21"/>
  <c r="E772" i="21"/>
  <c r="X603" i="21"/>
  <c r="E603" i="21"/>
  <c r="X600" i="21"/>
  <c r="E600" i="21"/>
  <c r="X598" i="21"/>
  <c r="E598" i="21"/>
  <c r="X596" i="21"/>
  <c r="E596" i="21"/>
  <c r="X553" i="21"/>
  <c r="E553" i="21"/>
  <c r="X549" i="21"/>
  <c r="E549" i="21"/>
  <c r="X498" i="21"/>
  <c r="E498" i="21"/>
  <c r="X493" i="21"/>
  <c r="E493" i="21"/>
  <c r="X434" i="21"/>
  <c r="E434" i="21"/>
  <c r="X432" i="21"/>
  <c r="E432" i="21"/>
  <c r="X430" i="21"/>
  <c r="E430" i="21"/>
  <c r="X428" i="21"/>
  <c r="E428" i="21"/>
  <c r="X400" i="21"/>
  <c r="E400" i="21"/>
  <c r="X384" i="21"/>
  <c r="E384" i="21"/>
  <c r="X382" i="21"/>
  <c r="E382" i="21"/>
  <c r="X380" i="21"/>
  <c r="E380" i="21"/>
  <c r="X339" i="21"/>
  <c r="E339" i="21"/>
  <c r="X337" i="21"/>
  <c r="E337" i="21"/>
  <c r="X335" i="21"/>
  <c r="E335" i="21"/>
  <c r="X333" i="21"/>
  <c r="E333" i="21"/>
  <c r="X319" i="21"/>
  <c r="E319" i="21"/>
  <c r="X317" i="21"/>
  <c r="E317" i="21"/>
  <c r="X279" i="21"/>
  <c r="E279" i="21"/>
  <c r="X277" i="21"/>
  <c r="E277" i="21"/>
  <c r="X259" i="21"/>
  <c r="E259" i="21"/>
  <c r="X250" i="21"/>
  <c r="E250" i="21"/>
  <c r="X248" i="21"/>
  <c r="E248" i="21"/>
  <c r="X246" i="21"/>
  <c r="E246" i="21"/>
  <c r="X244" i="21"/>
  <c r="E244" i="21"/>
  <c r="X225" i="21"/>
  <c r="E225" i="21"/>
  <c r="X223" i="21"/>
  <c r="E223" i="21"/>
  <c r="X221" i="21"/>
  <c r="E221" i="21"/>
  <c r="X219" i="21"/>
  <c r="E219" i="21"/>
  <c r="X217" i="21"/>
  <c r="E217" i="21"/>
  <c r="X215" i="21"/>
  <c r="E215" i="21"/>
  <c r="X213" i="21"/>
  <c r="E213" i="21"/>
  <c r="X184" i="21"/>
  <c r="E184" i="21"/>
  <c r="X182" i="21"/>
  <c r="E182" i="21"/>
  <c r="X180" i="21"/>
  <c r="E180" i="21"/>
  <c r="X160" i="21"/>
  <c r="E160" i="21"/>
  <c r="X158" i="21"/>
  <c r="E158" i="21"/>
  <c r="X156" i="21"/>
  <c r="E156" i="21"/>
  <c r="X134" i="21"/>
  <c r="E134" i="21"/>
  <c r="X132" i="21"/>
  <c r="E132" i="21"/>
  <c r="X130" i="21"/>
  <c r="E130" i="21"/>
  <c r="X93" i="21"/>
  <c r="E93" i="21"/>
  <c r="X25" i="21"/>
  <c r="E25" i="21"/>
  <c r="X21" i="21"/>
  <c r="E21" i="21"/>
  <c r="E803" i="21"/>
  <c r="E771" i="21"/>
  <c r="E707" i="21"/>
  <c r="E627" i="21"/>
  <c r="E563" i="21"/>
  <c r="E555" i="21"/>
  <c r="E539" i="21"/>
  <c r="E507" i="21"/>
  <c r="E499" i="21"/>
  <c r="E491" i="21"/>
  <c r="E435" i="21"/>
  <c r="E411" i="21"/>
  <c r="E403" i="21"/>
  <c r="E395" i="21"/>
  <c r="E379" i="21"/>
  <c r="E331" i="21"/>
  <c r="E315" i="21"/>
  <c r="E307" i="21"/>
  <c r="E275" i="21"/>
  <c r="E267" i="21"/>
  <c r="E251" i="21"/>
  <c r="E162" i="21"/>
  <c r="E154" i="21"/>
  <c r="E146" i="21"/>
  <c r="E122" i="21"/>
  <c r="E90" i="21"/>
  <c r="E82" i="21"/>
  <c r="E66" i="21"/>
  <c r="X619" i="21"/>
  <c r="E619" i="21"/>
  <c r="X581" i="21"/>
  <c r="E581" i="21"/>
  <c r="X527" i="21"/>
  <c r="E527" i="21"/>
  <c r="X519" i="21"/>
  <c r="E519" i="21"/>
  <c r="X440" i="21"/>
  <c r="E440" i="21"/>
  <c r="X349" i="21"/>
  <c r="E349" i="21"/>
  <c r="X296" i="21"/>
  <c r="E296" i="21"/>
  <c r="X288" i="21"/>
  <c r="E288" i="21"/>
  <c r="X263" i="21"/>
  <c r="E263" i="21"/>
  <c r="X192" i="21"/>
  <c r="E192" i="21"/>
  <c r="X168" i="21"/>
  <c r="E168" i="21"/>
  <c r="X97" i="21"/>
  <c r="E97" i="21"/>
  <c r="X35" i="21"/>
  <c r="E35" i="21"/>
  <c r="X27" i="21"/>
  <c r="E27" i="21"/>
  <c r="E330" i="21"/>
  <c r="X55" i="21"/>
  <c r="E55" i="21"/>
  <c r="X802" i="21"/>
  <c r="E802" i="21"/>
  <c r="X745" i="21"/>
  <c r="E745" i="21"/>
  <c r="X739" i="21"/>
  <c r="E739" i="21"/>
  <c r="X737" i="21"/>
  <c r="H737" i="21" s="1"/>
  <c r="E737" i="21"/>
  <c r="X735" i="21"/>
  <c r="H735" i="21" s="1"/>
  <c r="J735" i="21" s="1"/>
  <c r="E735" i="21"/>
  <c r="X733" i="21"/>
  <c r="E733" i="21"/>
  <c r="X731" i="21"/>
  <c r="E731" i="21"/>
  <c r="X729" i="21"/>
  <c r="E729" i="21"/>
  <c r="X726" i="21"/>
  <c r="E726" i="21"/>
  <c r="X724" i="21"/>
  <c r="E724" i="21"/>
  <c r="X722" i="21"/>
  <c r="E722" i="21"/>
  <c r="X719" i="21"/>
  <c r="E719" i="21"/>
  <c r="X717" i="21"/>
  <c r="E717" i="21"/>
  <c r="X715" i="21"/>
  <c r="H715" i="21" s="1"/>
  <c r="E715" i="21"/>
  <c r="X713" i="21"/>
  <c r="E713" i="21"/>
  <c r="X650" i="21"/>
  <c r="E650" i="21"/>
  <c r="X648" i="21"/>
  <c r="E648" i="21"/>
  <c r="X646" i="21"/>
  <c r="E646" i="21"/>
  <c r="X644" i="21"/>
  <c r="E644" i="21"/>
  <c r="X642" i="21"/>
  <c r="H642" i="21" s="1"/>
  <c r="E642" i="21"/>
  <c r="X640" i="21"/>
  <c r="H640" i="21" s="1"/>
  <c r="E640" i="21"/>
  <c r="X639" i="21"/>
  <c r="E639" i="21"/>
  <c r="X637" i="21"/>
  <c r="E637" i="21"/>
  <c r="X635" i="21"/>
  <c r="E635" i="21"/>
  <c r="X633" i="21"/>
  <c r="E633" i="21"/>
  <c r="X631" i="21"/>
  <c r="E631" i="21"/>
  <c r="X629" i="21"/>
  <c r="E629" i="21"/>
  <c r="X392" i="21"/>
  <c r="E392" i="21"/>
  <c r="X390" i="21"/>
  <c r="E390" i="21"/>
  <c r="X388" i="21"/>
  <c r="E388" i="21"/>
  <c r="X357" i="21"/>
  <c r="E357" i="21"/>
  <c r="X355" i="21"/>
  <c r="E355" i="21"/>
  <c r="X306" i="21"/>
  <c r="E306" i="21"/>
  <c r="X304" i="21"/>
  <c r="E304" i="21"/>
  <c r="X300" i="21"/>
  <c r="E300" i="21"/>
  <c r="X272" i="21"/>
  <c r="E272" i="21"/>
  <c r="X268" i="21"/>
  <c r="E268" i="21"/>
  <c r="X254" i="21"/>
  <c r="E254" i="21"/>
  <c r="X175" i="21"/>
  <c r="E175" i="21"/>
  <c r="X173" i="21"/>
  <c r="E173" i="21"/>
  <c r="X153" i="21"/>
  <c r="E153" i="21"/>
  <c r="X151" i="21"/>
  <c r="E151" i="21"/>
  <c r="X149" i="21"/>
  <c r="E149" i="21"/>
  <c r="X147" i="21"/>
  <c r="E147" i="21"/>
  <c r="X120" i="21"/>
  <c r="E120" i="21"/>
  <c r="X117" i="21"/>
  <c r="E117" i="21"/>
  <c r="X113" i="21"/>
  <c r="E113" i="21"/>
  <c r="X109" i="21"/>
  <c r="E109" i="21"/>
  <c r="X107" i="21"/>
  <c r="E107" i="21"/>
  <c r="X105" i="21"/>
  <c r="E105" i="21"/>
  <c r="X73" i="21"/>
  <c r="E73" i="21"/>
  <c r="X58" i="21"/>
  <c r="E58" i="21"/>
  <c r="X56" i="21"/>
  <c r="E56" i="21"/>
  <c r="X497" i="21"/>
  <c r="E497" i="21"/>
  <c r="X398" i="21"/>
  <c r="E398" i="21"/>
  <c r="X285" i="21"/>
  <c r="E285" i="21"/>
  <c r="X112" i="21"/>
  <c r="E112" i="21"/>
  <c r="X52" i="21"/>
  <c r="E52" i="21"/>
  <c r="X50" i="21"/>
  <c r="E50" i="21"/>
  <c r="X46" i="21"/>
  <c r="E46" i="21"/>
  <c r="E801" i="21"/>
  <c r="E593" i="21"/>
  <c r="E537" i="21"/>
  <c r="E241" i="21"/>
  <c r="E64" i="21"/>
  <c r="X798" i="21"/>
  <c r="E798" i="21"/>
  <c r="X701" i="21"/>
  <c r="E701" i="21"/>
  <c r="X613" i="21"/>
  <c r="E613" i="21"/>
  <c r="X583" i="21"/>
  <c r="E583" i="21"/>
  <c r="X571" i="21"/>
  <c r="E571" i="21"/>
  <c r="X531" i="21"/>
  <c r="E531" i="21"/>
  <c r="X523" i="21"/>
  <c r="E523" i="21"/>
  <c r="X509" i="21"/>
  <c r="E509" i="21"/>
  <c r="X442" i="21"/>
  <c r="E442" i="21"/>
  <c r="X351" i="21"/>
  <c r="E351" i="21"/>
  <c r="X292" i="21"/>
  <c r="E292" i="21"/>
  <c r="X166" i="21"/>
  <c r="E166" i="21"/>
  <c r="X101" i="21"/>
  <c r="E101" i="21"/>
  <c r="X45" i="21"/>
  <c r="E45" i="21"/>
  <c r="X814" i="21"/>
  <c r="E814" i="21"/>
  <c r="X812" i="21"/>
  <c r="E812" i="21"/>
  <c r="X810" i="21"/>
  <c r="E810" i="21"/>
  <c r="E808" i="21"/>
  <c r="X806" i="21"/>
  <c r="E806" i="21"/>
  <c r="X804" i="21"/>
  <c r="E804" i="21"/>
  <c r="X769" i="21"/>
  <c r="E769" i="21"/>
  <c r="E767" i="21"/>
  <c r="X765" i="21"/>
  <c r="E765" i="21"/>
  <c r="X763" i="21"/>
  <c r="E763" i="21"/>
  <c r="X761" i="21"/>
  <c r="E761" i="21"/>
  <c r="X759" i="21"/>
  <c r="E759" i="21"/>
  <c r="X757" i="21"/>
  <c r="E757" i="21"/>
  <c r="X754" i="21"/>
  <c r="E754" i="21"/>
  <c r="X752" i="21"/>
  <c r="E752" i="21"/>
  <c r="X750" i="21"/>
  <c r="E750" i="21"/>
  <c r="X748" i="21"/>
  <c r="E748" i="21"/>
  <c r="X696" i="21"/>
  <c r="E696" i="21"/>
  <c r="X694" i="21"/>
  <c r="E694" i="21"/>
  <c r="X692" i="21"/>
  <c r="E692" i="21"/>
  <c r="X690" i="21"/>
  <c r="E690" i="21"/>
  <c r="X688" i="21"/>
  <c r="E688" i="21"/>
  <c r="X686" i="21"/>
  <c r="E686" i="21"/>
  <c r="X684" i="21"/>
  <c r="E684" i="21"/>
  <c r="X682" i="21"/>
  <c r="E682" i="21"/>
  <c r="X680" i="21"/>
  <c r="E680" i="21"/>
  <c r="X678" i="21"/>
  <c r="E678" i="21"/>
  <c r="X676" i="21"/>
  <c r="E676" i="21"/>
  <c r="X674" i="21"/>
  <c r="E674" i="21"/>
  <c r="X672" i="21"/>
  <c r="E672" i="21"/>
  <c r="X670" i="21"/>
  <c r="E670" i="21"/>
  <c r="X668" i="21"/>
  <c r="E668" i="21"/>
  <c r="X666" i="21"/>
  <c r="E666" i="21"/>
  <c r="X664" i="21"/>
  <c r="E664" i="21"/>
  <c r="E662" i="21"/>
  <c r="X660" i="21"/>
  <c r="E660" i="21"/>
  <c r="X658" i="21"/>
  <c r="E658" i="21"/>
  <c r="X656" i="21"/>
  <c r="H656" i="21" s="1"/>
  <c r="E656" i="21"/>
  <c r="X654" i="21"/>
  <c r="E654" i="21"/>
  <c r="E559" i="21"/>
  <c r="E557" i="21"/>
  <c r="X546" i="21"/>
  <c r="E546" i="21"/>
  <c r="X544" i="21"/>
  <c r="E544" i="21"/>
  <c r="E542" i="21"/>
  <c r="X490" i="21"/>
  <c r="E490" i="21"/>
  <c r="X488" i="21"/>
  <c r="E488" i="21"/>
  <c r="E486" i="21"/>
  <c r="X484" i="21"/>
  <c r="E484" i="21"/>
  <c r="X482" i="21"/>
  <c r="E482" i="21"/>
  <c r="X480" i="21"/>
  <c r="E480" i="21"/>
  <c r="X478" i="21"/>
  <c r="E478" i="21"/>
  <c r="X476" i="21"/>
  <c r="E476" i="21"/>
  <c r="X474" i="21"/>
  <c r="E474" i="21"/>
  <c r="X472" i="21"/>
  <c r="E472" i="21"/>
  <c r="X470" i="21"/>
  <c r="E470" i="21"/>
  <c r="X467" i="21"/>
  <c r="E467" i="21"/>
  <c r="X465" i="21"/>
  <c r="E465" i="21"/>
  <c r="X463" i="21"/>
  <c r="E463" i="21"/>
  <c r="X461" i="21"/>
  <c r="E461" i="21"/>
  <c r="X459" i="21"/>
  <c r="E459" i="21"/>
  <c r="X457" i="21"/>
  <c r="E457" i="21"/>
  <c r="X455" i="21"/>
  <c r="E455" i="21"/>
  <c r="X453" i="21"/>
  <c r="E453" i="21"/>
  <c r="X451" i="21"/>
  <c r="E451" i="21"/>
  <c r="X423" i="21"/>
  <c r="E423" i="21"/>
  <c r="X421" i="21"/>
  <c r="E421" i="21"/>
  <c r="X419" i="21"/>
  <c r="E419" i="21"/>
  <c r="X417" i="21"/>
  <c r="E417" i="21"/>
  <c r="X415" i="21"/>
  <c r="E415" i="21"/>
  <c r="E413" i="21"/>
  <c r="E406" i="21"/>
  <c r="X377" i="21"/>
  <c r="E377" i="21"/>
  <c r="E375" i="21"/>
  <c r="X373" i="21"/>
  <c r="E373" i="21"/>
  <c r="X371" i="21"/>
  <c r="E371" i="21"/>
  <c r="X369" i="21"/>
  <c r="E369" i="21"/>
  <c r="X367" i="21"/>
  <c r="E367" i="21"/>
  <c r="X365" i="21"/>
  <c r="E365" i="21"/>
  <c r="X363" i="21"/>
  <c r="E363" i="21"/>
  <c r="X361" i="21"/>
  <c r="E361" i="21"/>
  <c r="X314" i="21"/>
  <c r="E314" i="21"/>
  <c r="X312" i="21"/>
  <c r="E312" i="21"/>
  <c r="X310" i="21"/>
  <c r="E310" i="21"/>
  <c r="X308" i="21"/>
  <c r="E308" i="21"/>
  <c r="X239" i="21"/>
  <c r="E239" i="21"/>
  <c r="E237" i="21"/>
  <c r="E235" i="21"/>
  <c r="X233" i="21"/>
  <c r="E233" i="21"/>
  <c r="X231" i="21"/>
  <c r="E231" i="21"/>
  <c r="E229" i="21"/>
  <c r="X210" i="21"/>
  <c r="E210" i="21"/>
  <c r="X208" i="21"/>
  <c r="E208" i="21"/>
  <c r="X206" i="21"/>
  <c r="E206" i="21"/>
  <c r="X204" i="21"/>
  <c r="E204" i="21"/>
  <c r="X202" i="21"/>
  <c r="E202" i="21"/>
  <c r="X127" i="21"/>
  <c r="E127" i="21"/>
  <c r="X125" i="21"/>
  <c r="E125" i="21"/>
  <c r="X81" i="21"/>
  <c r="E81" i="21"/>
  <c r="X79" i="21"/>
  <c r="E79" i="21"/>
  <c r="X77" i="21"/>
  <c r="E77" i="21"/>
  <c r="X18" i="21"/>
  <c r="E18" i="21"/>
  <c r="E592" i="21"/>
  <c r="E568" i="21"/>
  <c r="E560" i="21"/>
  <c r="E536" i="21"/>
  <c r="E504" i="21"/>
  <c r="E408" i="21"/>
  <c r="E360" i="21"/>
  <c r="E256" i="21"/>
  <c r="X816" i="21"/>
  <c r="E816" i="21"/>
  <c r="X625" i="21"/>
  <c r="E625" i="21"/>
  <c r="X615" i="21"/>
  <c r="E615" i="21"/>
  <c r="X585" i="21"/>
  <c r="E585" i="21"/>
  <c r="X573" i="21"/>
  <c r="E573" i="21"/>
  <c r="X502" i="21"/>
  <c r="E502" i="21"/>
  <c r="X343" i="21"/>
  <c r="E343" i="21"/>
  <c r="X328" i="21"/>
  <c r="E328" i="21"/>
  <c r="X186" i="21"/>
  <c r="E186" i="21"/>
  <c r="X139" i="21"/>
  <c r="E139" i="21"/>
  <c r="X99" i="21"/>
  <c r="E99" i="21"/>
  <c r="X39" i="21"/>
  <c r="E39" i="21"/>
  <c r="X33" i="21"/>
  <c r="E33" i="21"/>
  <c r="Y54" i="21"/>
  <c r="E54" i="21"/>
  <c r="X721" i="21"/>
  <c r="E721" i="21"/>
  <c r="X602" i="21"/>
  <c r="E602" i="21"/>
  <c r="X399" i="21"/>
  <c r="E399" i="21"/>
  <c r="X170" i="21"/>
  <c r="H170" i="21" s="1"/>
  <c r="E170" i="21"/>
  <c r="X795" i="21"/>
  <c r="E795" i="21"/>
  <c r="X793" i="21"/>
  <c r="E793" i="21"/>
  <c r="X791" i="21"/>
  <c r="H791" i="21" s="1"/>
  <c r="J791" i="21" s="1"/>
  <c r="E791" i="21"/>
  <c r="X789" i="21"/>
  <c r="H789" i="21" s="1"/>
  <c r="E789" i="21"/>
  <c r="X787" i="21"/>
  <c r="E787" i="21"/>
  <c r="X785" i="21"/>
  <c r="E785" i="21"/>
  <c r="X783" i="21"/>
  <c r="E783" i="21"/>
  <c r="X781" i="21"/>
  <c r="E781" i="21"/>
  <c r="X779" i="21"/>
  <c r="E779" i="21"/>
  <c r="X777" i="21"/>
  <c r="E777" i="21"/>
  <c r="X775" i="21"/>
  <c r="E775" i="21"/>
  <c r="X773" i="21"/>
  <c r="H773" i="21" s="1"/>
  <c r="E773" i="21"/>
  <c r="X601" i="21"/>
  <c r="E601" i="21"/>
  <c r="X599" i="21"/>
  <c r="E599" i="21"/>
  <c r="E597" i="21"/>
  <c r="X595" i="21"/>
  <c r="E595" i="21"/>
  <c r="E566" i="21"/>
  <c r="X552" i="21"/>
  <c r="E552" i="21"/>
  <c r="X550" i="21"/>
  <c r="E550" i="21"/>
  <c r="X496" i="21"/>
  <c r="E496" i="21"/>
  <c r="X494" i="21"/>
  <c r="E494" i="21"/>
  <c r="X492" i="21"/>
  <c r="E492" i="21"/>
  <c r="X433" i="21"/>
  <c r="E433" i="21"/>
  <c r="X431" i="21"/>
  <c r="E431" i="21"/>
  <c r="X429" i="21"/>
  <c r="E429" i="21"/>
  <c r="X427" i="21"/>
  <c r="E427" i="21"/>
  <c r="X401" i="21"/>
  <c r="E401" i="21"/>
  <c r="E397" i="21"/>
  <c r="X383" i="21"/>
  <c r="E383" i="21"/>
  <c r="X381" i="21"/>
  <c r="E381" i="21"/>
  <c r="X338" i="21"/>
  <c r="E338" i="21"/>
  <c r="X336" i="21"/>
  <c r="E336" i="21"/>
  <c r="X334" i="21"/>
  <c r="E334" i="21"/>
  <c r="X332" i="21"/>
  <c r="E332" i="21"/>
  <c r="X320" i="21"/>
  <c r="E320" i="21"/>
  <c r="X318" i="21"/>
  <c r="E318" i="21"/>
  <c r="X316" i="21"/>
  <c r="E316" i="21"/>
  <c r="X280" i="21"/>
  <c r="E280" i="21"/>
  <c r="X278" i="21"/>
  <c r="E278" i="21"/>
  <c r="X276" i="21"/>
  <c r="E276" i="21"/>
  <c r="X258" i="21"/>
  <c r="E258" i="21"/>
  <c r="E249" i="21"/>
  <c r="X247" i="21"/>
  <c r="E247" i="21"/>
  <c r="E245" i="21"/>
  <c r="X243" i="21"/>
  <c r="E243" i="21"/>
  <c r="X226" i="21"/>
  <c r="E226" i="21"/>
  <c r="X224" i="21"/>
  <c r="E224" i="21"/>
  <c r="X222" i="21"/>
  <c r="E222" i="21"/>
  <c r="X220" i="21"/>
  <c r="E220" i="21"/>
  <c r="E218" i="21"/>
  <c r="X216" i="21"/>
  <c r="E216" i="21"/>
  <c r="X214" i="21"/>
  <c r="E214" i="21"/>
  <c r="X212" i="21"/>
  <c r="E212" i="21"/>
  <c r="X183" i="21"/>
  <c r="E183" i="21"/>
  <c r="X181" i="21"/>
  <c r="E181" i="21"/>
  <c r="X161" i="21"/>
  <c r="E161" i="21"/>
  <c r="X159" i="21"/>
  <c r="E159" i="21"/>
  <c r="X157" i="21"/>
  <c r="E157" i="21"/>
  <c r="E135" i="21"/>
  <c r="X133" i="21"/>
  <c r="E133" i="21"/>
  <c r="X131" i="21"/>
  <c r="E131" i="21"/>
  <c r="X129" i="21"/>
  <c r="E129" i="21"/>
  <c r="X94" i="21"/>
  <c r="E94" i="21"/>
  <c r="X92" i="21"/>
  <c r="E92" i="21"/>
  <c r="E87" i="21"/>
  <c r="X85" i="21"/>
  <c r="E85" i="21"/>
  <c r="X83" i="21"/>
  <c r="E83" i="21"/>
  <c r="E24" i="21"/>
  <c r="X22" i="21"/>
  <c r="E22" i="21"/>
  <c r="X800" i="21"/>
  <c r="E800" i="21"/>
  <c r="X705" i="21"/>
  <c r="E705" i="21"/>
  <c r="X587" i="21"/>
  <c r="E587" i="21"/>
  <c r="X575" i="21"/>
  <c r="E575" i="21"/>
  <c r="X529" i="21"/>
  <c r="E529" i="21"/>
  <c r="X436" i="21"/>
  <c r="E436" i="21"/>
  <c r="X341" i="21"/>
  <c r="E341" i="21"/>
  <c r="X265" i="21"/>
  <c r="E265" i="21"/>
  <c r="X190" i="21"/>
  <c r="E190" i="21"/>
  <c r="X143" i="21"/>
  <c r="E143" i="21"/>
  <c r="X71" i="21"/>
  <c r="E71" i="21"/>
  <c r="X41" i="21"/>
  <c r="E41" i="21"/>
  <c r="H724" i="21"/>
  <c r="J724" i="21" s="1"/>
  <c r="H713" i="21"/>
  <c r="K713" i="21" s="1"/>
  <c r="X817" i="21"/>
  <c r="E817" i="21"/>
  <c r="X755" i="21"/>
  <c r="E755" i="21"/>
  <c r="X799" i="21"/>
  <c r="E799" i="21"/>
  <c r="X797" i="21"/>
  <c r="E797" i="21"/>
  <c r="X706" i="21"/>
  <c r="E706" i="21"/>
  <c r="X704" i="21"/>
  <c r="E704" i="21"/>
  <c r="X702" i="21"/>
  <c r="E702" i="21"/>
  <c r="X700" i="21"/>
  <c r="E700" i="21"/>
  <c r="X626" i="21"/>
  <c r="E626" i="21"/>
  <c r="X624" i="21"/>
  <c r="E624" i="21"/>
  <c r="X622" i="21"/>
  <c r="E622" i="21"/>
  <c r="X620" i="21"/>
  <c r="E620" i="21"/>
  <c r="X618" i="21"/>
  <c r="E618" i="21"/>
  <c r="X616" i="21"/>
  <c r="E616" i="21"/>
  <c r="X614" i="21"/>
  <c r="E614" i="21"/>
  <c r="X612" i="21"/>
  <c r="E612" i="21"/>
  <c r="X610" i="21"/>
  <c r="E610" i="21"/>
  <c r="X606" i="21"/>
  <c r="E606" i="21"/>
  <c r="E590" i="21"/>
  <c r="X588" i="21"/>
  <c r="E588" i="21"/>
  <c r="X586" i="21"/>
  <c r="E586" i="21"/>
  <c r="X584" i="21"/>
  <c r="E584" i="21"/>
  <c r="X582" i="21"/>
  <c r="E582" i="21"/>
  <c r="X580" i="21"/>
  <c r="E580" i="21"/>
  <c r="X578" i="21"/>
  <c r="E578" i="21"/>
  <c r="X576" i="21"/>
  <c r="E576" i="21"/>
  <c r="X574" i="21"/>
  <c r="E574" i="21"/>
  <c r="X572" i="21"/>
  <c r="E572" i="21"/>
  <c r="X570" i="21"/>
  <c r="E570" i="21"/>
  <c r="X530" i="21"/>
  <c r="E530" i="21"/>
  <c r="X528" i="21"/>
  <c r="E528" i="21"/>
  <c r="X526" i="21"/>
  <c r="E526" i="21"/>
  <c r="X524" i="21"/>
  <c r="E524" i="21"/>
  <c r="X522" i="21"/>
  <c r="E522" i="21"/>
  <c r="X520" i="21"/>
  <c r="E520" i="21"/>
  <c r="X518" i="21"/>
  <c r="E518" i="21"/>
  <c r="X516" i="21"/>
  <c r="E516" i="21"/>
  <c r="X514" i="21"/>
  <c r="E514" i="21"/>
  <c r="X512" i="21"/>
  <c r="E512" i="21"/>
  <c r="X510" i="21"/>
  <c r="E510" i="21"/>
  <c r="X508" i="21"/>
  <c r="E508" i="21"/>
  <c r="E503" i="21"/>
  <c r="X501" i="21"/>
  <c r="E501" i="21"/>
  <c r="X448" i="21"/>
  <c r="E448" i="21"/>
  <c r="X445" i="21"/>
  <c r="E445" i="21"/>
  <c r="X443" i="21"/>
  <c r="E443" i="21"/>
  <c r="X441" i="21"/>
  <c r="E441" i="21"/>
  <c r="X439" i="21"/>
  <c r="E439" i="21"/>
  <c r="X437" i="21"/>
  <c r="E437" i="21"/>
  <c r="X352" i="21"/>
  <c r="E352" i="21"/>
  <c r="X350" i="21"/>
  <c r="E350" i="21"/>
  <c r="X348" i="21"/>
  <c r="E348" i="21"/>
  <c r="X346" i="21"/>
  <c r="E346" i="21"/>
  <c r="X344" i="21"/>
  <c r="E344" i="21"/>
  <c r="X342" i="21"/>
  <c r="E342" i="21"/>
  <c r="X327" i="21"/>
  <c r="E327" i="21"/>
  <c r="X325" i="21"/>
  <c r="E325" i="21"/>
  <c r="X322" i="21"/>
  <c r="E322" i="21"/>
  <c r="X297" i="21"/>
  <c r="E297" i="21"/>
  <c r="X295" i="21"/>
  <c r="E295" i="21"/>
  <c r="X293" i="21"/>
  <c r="E293" i="21"/>
  <c r="X291" i="21"/>
  <c r="E291" i="21"/>
  <c r="X289" i="21"/>
  <c r="E289" i="21"/>
  <c r="X287" i="21"/>
  <c r="E287" i="21"/>
  <c r="E284" i="21"/>
  <c r="X282" i="21"/>
  <c r="E282" i="21"/>
  <c r="X266" i="21"/>
  <c r="E266" i="21"/>
  <c r="X264" i="21"/>
  <c r="E264" i="21"/>
  <c r="X262" i="21"/>
  <c r="E262" i="21"/>
  <c r="Y228" i="21"/>
  <c r="E228" i="21"/>
  <c r="X199" i="21"/>
  <c r="E199" i="21"/>
  <c r="X197" i="21"/>
  <c r="E197" i="21"/>
  <c r="X195" i="21"/>
  <c r="E195" i="21"/>
  <c r="X193" i="21"/>
  <c r="E193" i="21"/>
  <c r="X191" i="21"/>
  <c r="E191" i="21"/>
  <c r="X189" i="21"/>
  <c r="E189" i="21"/>
  <c r="E187" i="21"/>
  <c r="X169" i="21"/>
  <c r="E169" i="21"/>
  <c r="X167" i="21"/>
  <c r="E167" i="21"/>
  <c r="X165" i="21"/>
  <c r="E165" i="21"/>
  <c r="X163" i="21"/>
  <c r="E163" i="21"/>
  <c r="X144" i="21"/>
  <c r="E144" i="21"/>
  <c r="E142" i="21"/>
  <c r="X140" i="21"/>
  <c r="E140" i="21"/>
  <c r="X138" i="21"/>
  <c r="E138" i="21"/>
  <c r="E102" i="21"/>
  <c r="X100" i="21"/>
  <c r="E100" i="21"/>
  <c r="X98" i="21"/>
  <c r="E98" i="21"/>
  <c r="X70" i="21"/>
  <c r="E70" i="21"/>
  <c r="E68" i="21"/>
  <c r="E42" i="21"/>
  <c r="X40" i="21"/>
  <c r="E40" i="21"/>
  <c r="E38" i="21"/>
  <c r="E36" i="21"/>
  <c r="X34" i="21"/>
  <c r="E34" i="21"/>
  <c r="X32" i="21"/>
  <c r="E32" i="21"/>
  <c r="E30" i="21"/>
  <c r="E28" i="21"/>
  <c r="X621" i="21"/>
  <c r="E621" i="21"/>
  <c r="X608" i="21"/>
  <c r="E608" i="21"/>
  <c r="X577" i="21"/>
  <c r="E577" i="21"/>
  <c r="X521" i="21"/>
  <c r="E521" i="21"/>
  <c r="X513" i="21"/>
  <c r="E513" i="21"/>
  <c r="X345" i="21"/>
  <c r="E345" i="21"/>
  <c r="X283" i="21"/>
  <c r="E283" i="21"/>
  <c r="X145" i="21"/>
  <c r="E145" i="21"/>
  <c r="E746" i="21"/>
  <c r="E274" i="21"/>
  <c r="X741" i="21"/>
  <c r="E741" i="21"/>
  <c r="X738" i="21"/>
  <c r="E738" i="21"/>
  <c r="X736" i="21"/>
  <c r="E736" i="21"/>
  <c r="X734" i="21"/>
  <c r="E734" i="21"/>
  <c r="X732" i="21"/>
  <c r="E732" i="21"/>
  <c r="X730" i="21"/>
  <c r="E730" i="21"/>
  <c r="X728" i="21"/>
  <c r="E728" i="21"/>
  <c r="X725" i="21"/>
  <c r="E725" i="21"/>
  <c r="X723" i="21"/>
  <c r="E723" i="21"/>
  <c r="X720" i="21"/>
  <c r="E720" i="21"/>
  <c r="X718" i="21"/>
  <c r="E718" i="21"/>
  <c r="X716" i="21"/>
  <c r="E716" i="21"/>
  <c r="X714" i="21"/>
  <c r="E714" i="21"/>
  <c r="X712" i="21"/>
  <c r="E712" i="21"/>
  <c r="E710" i="21"/>
  <c r="E708" i="21"/>
  <c r="X651" i="21"/>
  <c r="E651" i="21"/>
  <c r="X649" i="21"/>
  <c r="E649" i="21"/>
  <c r="X647" i="21"/>
  <c r="E647" i="21"/>
  <c r="X645" i="21"/>
  <c r="E645" i="21"/>
  <c r="X643" i="21"/>
  <c r="E643" i="21"/>
  <c r="X641" i="21"/>
  <c r="E641" i="21"/>
  <c r="X607" i="21"/>
  <c r="E607" i="21"/>
  <c r="X638" i="21"/>
  <c r="E638" i="21"/>
  <c r="X636" i="21"/>
  <c r="E636" i="21"/>
  <c r="X634" i="21"/>
  <c r="E634" i="21"/>
  <c r="X632" i="21"/>
  <c r="E632" i="21"/>
  <c r="X630" i="21"/>
  <c r="E630" i="21"/>
  <c r="X628" i="21"/>
  <c r="E628" i="21"/>
  <c r="X534" i="21"/>
  <c r="E534" i="21"/>
  <c r="X394" i="21"/>
  <c r="E394" i="21"/>
  <c r="X391" i="21"/>
  <c r="E391" i="21"/>
  <c r="X389" i="21"/>
  <c r="E389" i="21"/>
  <c r="X387" i="21"/>
  <c r="E387" i="21"/>
  <c r="X354" i="21"/>
  <c r="E354" i="21"/>
  <c r="X305" i="21"/>
  <c r="E305" i="21"/>
  <c r="X303" i="21"/>
  <c r="E303" i="21"/>
  <c r="X301" i="21"/>
  <c r="E301" i="21"/>
  <c r="X299" i="21"/>
  <c r="E299" i="21"/>
  <c r="X273" i="21"/>
  <c r="E273" i="21"/>
  <c r="X269" i="21"/>
  <c r="E269" i="21"/>
  <c r="X255" i="21"/>
  <c r="E255" i="21"/>
  <c r="X176" i="21"/>
  <c r="E176" i="21"/>
  <c r="X174" i="21"/>
  <c r="E174" i="21"/>
  <c r="X172" i="21"/>
  <c r="E172" i="21"/>
  <c r="X152" i="21"/>
  <c r="E152" i="21"/>
  <c r="X150" i="21"/>
  <c r="E150" i="21"/>
  <c r="E148" i="21"/>
  <c r="E121" i="21"/>
  <c r="X118" i="21"/>
  <c r="E118" i="21"/>
  <c r="E116" i="21"/>
  <c r="X114" i="21"/>
  <c r="E114" i="21"/>
  <c r="E110" i="21"/>
  <c r="X108" i="21"/>
  <c r="E108" i="21"/>
  <c r="X106" i="21"/>
  <c r="E106" i="21"/>
  <c r="X74" i="21"/>
  <c r="E74" i="21"/>
  <c r="E63" i="21"/>
  <c r="E61" i="21"/>
  <c r="X59" i="21"/>
  <c r="E59" i="21"/>
  <c r="X57" i="21"/>
  <c r="E57" i="21"/>
  <c r="X743" i="21"/>
  <c r="E743" i="21"/>
  <c r="X446" i="21"/>
  <c r="E446" i="21"/>
  <c r="X323" i="21"/>
  <c r="E323" i="21"/>
  <c r="X119" i="21"/>
  <c r="E119" i="21"/>
  <c r="X111" i="21"/>
  <c r="E111" i="21"/>
  <c r="X51" i="21"/>
  <c r="E51" i="21"/>
  <c r="X49" i="21"/>
  <c r="E49" i="21"/>
  <c r="X47" i="21"/>
  <c r="E47" i="21"/>
  <c r="X44" i="21"/>
  <c r="E44" i="21"/>
  <c r="X818" i="21"/>
  <c r="E818" i="21"/>
  <c r="X703" i="21"/>
  <c r="E703" i="21"/>
  <c r="X617" i="21"/>
  <c r="E617" i="21"/>
  <c r="X605" i="21"/>
  <c r="E605" i="21"/>
  <c r="X589" i="21"/>
  <c r="E589" i="21"/>
  <c r="X579" i="21"/>
  <c r="E579" i="21"/>
  <c r="X569" i="21"/>
  <c r="E569" i="21"/>
  <c r="X444" i="21"/>
  <c r="E444" i="21"/>
  <c r="X347" i="21"/>
  <c r="E347" i="21"/>
  <c r="X123" i="21"/>
  <c r="E123" i="21"/>
  <c r="X194" i="21"/>
  <c r="E194" i="21"/>
  <c r="X69" i="21"/>
  <c r="E69" i="21"/>
  <c r="E177" i="21"/>
  <c r="X815" i="21"/>
  <c r="E815" i="21"/>
  <c r="X813" i="21"/>
  <c r="E813" i="21"/>
  <c r="X811" i="21"/>
  <c r="E811" i="21"/>
  <c r="X809" i="21"/>
  <c r="H809" i="21" s="1"/>
  <c r="E809" i="21"/>
  <c r="X805" i="21"/>
  <c r="E805" i="21"/>
  <c r="X770" i="21"/>
  <c r="E770" i="21"/>
  <c r="X766" i="21"/>
  <c r="E766" i="21"/>
  <c r="X764" i="21"/>
  <c r="H764" i="21" s="1"/>
  <c r="J764" i="21" s="1"/>
  <c r="E764" i="21"/>
  <c r="X762" i="21"/>
  <c r="E762" i="21"/>
  <c r="X760" i="21"/>
  <c r="E760" i="21"/>
  <c r="X758" i="21"/>
  <c r="E758" i="21"/>
  <c r="X756" i="21"/>
  <c r="H756" i="21" s="1"/>
  <c r="E756" i="21"/>
  <c r="X753" i="21"/>
  <c r="E753" i="21"/>
  <c r="X751" i="21"/>
  <c r="E751" i="21"/>
  <c r="X749" i="21"/>
  <c r="E749" i="21"/>
  <c r="X747" i="21"/>
  <c r="H747" i="21" s="1"/>
  <c r="J747" i="21" s="1"/>
  <c r="E747" i="21"/>
  <c r="X695" i="21"/>
  <c r="E695" i="21"/>
  <c r="X693" i="21"/>
  <c r="E693" i="21"/>
  <c r="X691" i="21"/>
  <c r="E691" i="21"/>
  <c r="X689" i="21"/>
  <c r="H689" i="21" s="1"/>
  <c r="E689" i="21"/>
  <c r="X687" i="21"/>
  <c r="E687" i="21"/>
  <c r="X685" i="21"/>
  <c r="E685" i="21"/>
  <c r="X683" i="21"/>
  <c r="E683" i="21"/>
  <c r="X681" i="21"/>
  <c r="E681" i="21"/>
  <c r="X679" i="21"/>
  <c r="E679" i="21"/>
  <c r="X677" i="21"/>
  <c r="E677" i="21"/>
  <c r="X675" i="21"/>
  <c r="E675" i="21"/>
  <c r="X673" i="21"/>
  <c r="E673" i="21"/>
  <c r="X671" i="21"/>
  <c r="E671" i="21"/>
  <c r="X669" i="21"/>
  <c r="E669" i="21"/>
  <c r="X667" i="21"/>
  <c r="E667" i="21"/>
  <c r="X665" i="21"/>
  <c r="E665" i="21"/>
  <c r="X663" i="21"/>
  <c r="E663" i="21"/>
  <c r="X661" i="21"/>
  <c r="E661" i="21"/>
  <c r="X659" i="21"/>
  <c r="H659" i="21" s="1"/>
  <c r="E659" i="21"/>
  <c r="X657" i="21"/>
  <c r="H657" i="21" s="1"/>
  <c r="E657" i="21"/>
  <c r="X655" i="21"/>
  <c r="E655" i="21"/>
  <c r="X653" i="21"/>
  <c r="E653" i="21"/>
  <c r="X547" i="21"/>
  <c r="E547" i="21"/>
  <c r="X545" i="21"/>
  <c r="E545" i="21"/>
  <c r="X543" i="21"/>
  <c r="E543" i="21"/>
  <c r="X489" i="21"/>
  <c r="E489" i="21"/>
  <c r="X487" i="21"/>
  <c r="E487" i="21"/>
  <c r="X485" i="21"/>
  <c r="E485" i="21"/>
  <c r="X483" i="21"/>
  <c r="E483" i="21"/>
  <c r="X481" i="21"/>
  <c r="E481" i="21"/>
  <c r="X477" i="21"/>
  <c r="E477" i="21"/>
  <c r="X475" i="21"/>
  <c r="E475" i="21"/>
  <c r="X473" i="21"/>
  <c r="E473" i="21"/>
  <c r="X471" i="21"/>
  <c r="E471" i="21"/>
  <c r="X469" i="21"/>
  <c r="E469" i="21"/>
  <c r="X466" i="21"/>
  <c r="E466" i="21"/>
  <c r="X464" i="21"/>
  <c r="E464" i="21"/>
  <c r="X462" i="21"/>
  <c r="E462" i="21"/>
  <c r="X460" i="21"/>
  <c r="E460" i="21"/>
  <c r="X458" i="21"/>
  <c r="E458" i="21"/>
  <c r="X456" i="21"/>
  <c r="E456" i="21"/>
  <c r="X454" i="21"/>
  <c r="E454" i="21"/>
  <c r="X452" i="21"/>
  <c r="E452" i="21"/>
  <c r="X424" i="21"/>
  <c r="E424" i="21"/>
  <c r="X422" i="21"/>
  <c r="E422" i="21"/>
  <c r="X420" i="21"/>
  <c r="E420" i="21"/>
  <c r="X418" i="21"/>
  <c r="E418" i="21"/>
  <c r="X416" i="21"/>
  <c r="E416" i="21"/>
  <c r="X412" i="21"/>
  <c r="E412" i="21"/>
  <c r="X378" i="21"/>
  <c r="E378" i="21"/>
  <c r="X376" i="21"/>
  <c r="E376" i="21"/>
  <c r="X374" i="21"/>
  <c r="E374" i="21"/>
  <c r="X372" i="21"/>
  <c r="E372" i="21"/>
  <c r="X370" i="21"/>
  <c r="E370" i="21"/>
  <c r="X368" i="21"/>
  <c r="E368" i="21"/>
  <c r="X366" i="21"/>
  <c r="E366" i="21"/>
  <c r="X364" i="21"/>
  <c r="E364" i="21"/>
  <c r="X362" i="21"/>
  <c r="E362" i="21"/>
  <c r="X313" i="21"/>
  <c r="E313" i="21"/>
  <c r="X309" i="21"/>
  <c r="E309" i="21"/>
  <c r="X236" i="21"/>
  <c r="E236" i="21"/>
  <c r="X234" i="21"/>
  <c r="E234" i="21"/>
  <c r="X232" i="21"/>
  <c r="E232" i="21"/>
  <c r="X209" i="21"/>
  <c r="E209" i="21"/>
  <c r="X207" i="21"/>
  <c r="E207" i="21"/>
  <c r="X205" i="21"/>
  <c r="E205" i="21"/>
  <c r="X203" i="21"/>
  <c r="E203" i="21"/>
  <c r="X178" i="21"/>
  <c r="E178" i="21"/>
  <c r="X126" i="21"/>
  <c r="E126" i="21"/>
  <c r="X124" i="21"/>
  <c r="E124" i="21"/>
  <c r="X80" i="21"/>
  <c r="E80" i="21"/>
  <c r="X78" i="21"/>
  <c r="E78" i="21"/>
  <c r="X76" i="21"/>
  <c r="E76" i="21"/>
  <c r="X19" i="21"/>
  <c r="E19" i="21"/>
  <c r="E20" i="21"/>
  <c r="E796" i="21"/>
  <c r="E740" i="21"/>
  <c r="E652" i="21"/>
  <c r="E604" i="21"/>
  <c r="E564" i="21"/>
  <c r="E556" i="21"/>
  <c r="E548" i="21"/>
  <c r="E540" i="21"/>
  <c r="E532" i="21"/>
  <c r="E404" i="21"/>
  <c r="E396" i="21"/>
  <c r="E340" i="21"/>
  <c r="E260" i="21"/>
  <c r="E252" i="21"/>
  <c r="E227" i="21"/>
  <c r="E211" i="21"/>
  <c r="E179" i="21"/>
  <c r="E171" i="21"/>
  <c r="E155" i="21"/>
  <c r="E91" i="21"/>
  <c r="E75" i="21"/>
  <c r="E43" i="21"/>
  <c r="X23" i="21"/>
  <c r="I25" i="21"/>
  <c r="X37" i="21"/>
  <c r="X29" i="21"/>
  <c r="X24" i="21"/>
  <c r="H703" i="21"/>
  <c r="J703" i="21" s="1"/>
  <c r="H699" i="21"/>
  <c r="J699" i="21" s="1"/>
  <c r="X48" i="21"/>
  <c r="H763" i="21"/>
  <c r="K763" i="21" s="1"/>
  <c r="H691" i="21"/>
  <c r="H769" i="21"/>
  <c r="J769" i="21" s="1"/>
  <c r="H761" i="21"/>
  <c r="J761" i="21" s="1"/>
  <c r="Q97" i="31"/>
  <c r="H818" i="21"/>
  <c r="H393" i="21"/>
  <c r="H705" i="21"/>
  <c r="K705" i="21" s="1"/>
  <c r="H701" i="21"/>
  <c r="K701" i="21" s="1"/>
  <c r="I58" i="21"/>
  <c r="I266" i="21"/>
  <c r="I509" i="21"/>
  <c r="I314" i="21"/>
  <c r="H750" i="21"/>
  <c r="K750" i="21" s="1"/>
  <c r="H805" i="21"/>
  <c r="K805" i="21" s="1"/>
  <c r="H797" i="21"/>
  <c r="J797" i="21" s="1"/>
  <c r="H754" i="21"/>
  <c r="K754" i="21" s="1"/>
  <c r="H729" i="21"/>
  <c r="J729" i="21" s="1"/>
  <c r="H745" i="21"/>
  <c r="J745" i="21" s="1"/>
  <c r="H655" i="21"/>
  <c r="J655" i="21" s="1"/>
  <c r="H643" i="21"/>
  <c r="J643" i="21" s="1"/>
  <c r="I612" i="21"/>
  <c r="I549" i="21"/>
  <c r="I304" i="21"/>
  <c r="H748" i="21"/>
  <c r="J748" i="21" s="1"/>
  <c r="I383" i="21"/>
  <c r="I244" i="21"/>
  <c r="I163" i="21"/>
  <c r="H795" i="21"/>
  <c r="J795" i="21" s="1"/>
  <c r="H752" i="21"/>
  <c r="J752" i="21" s="1"/>
  <c r="H661" i="21"/>
  <c r="J661" i="21" s="1"/>
  <c r="I569" i="21"/>
  <c r="H677" i="21"/>
  <c r="H653" i="21"/>
  <c r="J653" i="21" s="1"/>
  <c r="H649" i="21"/>
  <c r="K649" i="21" s="1"/>
  <c r="H645" i="21"/>
  <c r="J645" i="21" s="1"/>
  <c r="H641" i="21"/>
  <c r="K641" i="21" s="1"/>
  <c r="I451" i="21"/>
  <c r="I33" i="21"/>
  <c r="I19" i="21"/>
  <c r="I715" i="21"/>
  <c r="I753" i="21"/>
  <c r="I700" i="21"/>
  <c r="I688" i="21"/>
  <c r="I605" i="21"/>
  <c r="I443" i="21"/>
  <c r="I354" i="21"/>
  <c r="H798" i="21"/>
  <c r="H730" i="21"/>
  <c r="K730" i="21" s="1"/>
  <c r="H660" i="21"/>
  <c r="J660" i="21" s="1"/>
  <c r="I714" i="21"/>
  <c r="I582" i="21"/>
  <c r="I668" i="21"/>
  <c r="I514" i="21"/>
  <c r="I199" i="21"/>
  <c r="I730" i="21"/>
  <c r="I672" i="21"/>
  <c r="I617" i="21"/>
  <c r="I550" i="21"/>
  <c r="I623" i="21"/>
  <c r="I376" i="21"/>
  <c r="I123" i="21"/>
  <c r="I168" i="21"/>
  <c r="I522" i="21"/>
  <c r="I382" i="21"/>
  <c r="I83" i="21"/>
  <c r="I654" i="21"/>
  <c r="I600" i="21"/>
  <c r="I498" i="21"/>
  <c r="I223" i="21"/>
  <c r="I788" i="21"/>
  <c r="H790" i="21"/>
  <c r="I18" i="21"/>
  <c r="I694" i="21"/>
  <c r="I676" i="21"/>
  <c r="I660" i="21"/>
  <c r="I637" i="21"/>
  <c r="I633" i="21"/>
  <c r="I629" i="21"/>
  <c r="I588" i="21"/>
  <c r="I530" i="21"/>
  <c r="I526" i="21"/>
  <c r="I473" i="21"/>
  <c r="I362" i="21"/>
  <c r="I317" i="21"/>
  <c r="I299" i="21"/>
  <c r="I293" i="21"/>
  <c r="I263" i="21"/>
  <c r="I243" i="21"/>
  <c r="I191" i="21"/>
  <c r="I131" i="21"/>
  <c r="I97" i="21"/>
  <c r="I51" i="21"/>
  <c r="I47" i="21"/>
  <c r="I743" i="21"/>
  <c r="I774" i="21"/>
  <c r="I747" i="21"/>
  <c r="I734" i="21"/>
  <c r="I684" i="21"/>
  <c r="I680" i="21"/>
  <c r="I640" i="21"/>
  <c r="I576" i="21"/>
  <c r="I570" i="21"/>
  <c r="I502" i="21"/>
  <c r="I477" i="21"/>
  <c r="I452" i="21"/>
  <c r="I437" i="21"/>
  <c r="I431" i="21"/>
  <c r="I366" i="21"/>
  <c r="I334" i="21"/>
  <c r="I209" i="21"/>
  <c r="I195" i="21"/>
  <c r="I183" i="21"/>
  <c r="I156" i="21"/>
  <c r="I71" i="21"/>
  <c r="H45" i="21"/>
  <c r="J45" i="21" s="1"/>
  <c r="H780" i="21"/>
  <c r="H772" i="21"/>
  <c r="J772" i="21" s="1"/>
  <c r="H712" i="21"/>
  <c r="J712" i="21" s="1"/>
  <c r="H704" i="21"/>
  <c r="J704" i="21" s="1"/>
  <c r="H700" i="21"/>
  <c r="J700" i="21" s="1"/>
  <c r="I34" i="21"/>
  <c r="I780" i="21"/>
  <c r="I658" i="21"/>
  <c r="I635" i="21"/>
  <c r="I611" i="21"/>
  <c r="I586" i="21"/>
  <c r="I544" i="21"/>
  <c r="I534" i="21"/>
  <c r="I528" i="21"/>
  <c r="I518" i="21"/>
  <c r="I483" i="21"/>
  <c r="I471" i="21"/>
  <c r="I466" i="21"/>
  <c r="I460" i="21"/>
  <c r="I448" i="21"/>
  <c r="I328" i="21"/>
  <c r="I309" i="21"/>
  <c r="I303" i="21"/>
  <c r="I297" i="21"/>
  <c r="I291" i="21"/>
  <c r="I215" i="21"/>
  <c r="I189" i="21"/>
  <c r="I129" i="21"/>
  <c r="I101" i="21"/>
  <c r="I67" i="21"/>
  <c r="H792" i="21"/>
  <c r="J792" i="21" s="1"/>
  <c r="H788" i="21"/>
  <c r="H784" i="21"/>
  <c r="K784" i="21" s="1"/>
  <c r="H668" i="21"/>
  <c r="J668" i="21" s="1"/>
  <c r="I111" i="21"/>
  <c r="I40" i="21"/>
  <c r="I755" i="21"/>
  <c r="I798" i="21"/>
  <c r="I792" i="21"/>
  <c r="I712" i="21"/>
  <c r="I644" i="21"/>
  <c r="I631" i="21"/>
  <c r="I621" i="21"/>
  <c r="I615" i="21"/>
  <c r="I603" i="21"/>
  <c r="I598" i="21"/>
  <c r="I580" i="21"/>
  <c r="I524" i="21"/>
  <c r="I512" i="21"/>
  <c r="I489" i="21"/>
  <c r="I454" i="21"/>
  <c r="I441" i="21"/>
  <c r="I423" i="21"/>
  <c r="I392" i="21"/>
  <c r="I374" i="21"/>
  <c r="I344" i="21"/>
  <c r="I338" i="21"/>
  <c r="I221" i="21"/>
  <c r="I166" i="21"/>
  <c r="I81" i="21"/>
  <c r="H804" i="21"/>
  <c r="J804" i="21" s="1"/>
  <c r="H753" i="21"/>
  <c r="J753" i="21" s="1"/>
  <c r="H720" i="21"/>
  <c r="J720" i="21" s="1"/>
  <c r="I44" i="21"/>
  <c r="I446" i="21"/>
  <c r="I732" i="21"/>
  <c r="I728" i="21"/>
  <c r="I674" i="21"/>
  <c r="I670" i="21"/>
  <c r="I666" i="21"/>
  <c r="I639" i="21"/>
  <c r="I574" i="21"/>
  <c r="I475" i="21"/>
  <c r="I401" i="21"/>
  <c r="I364" i="21"/>
  <c r="I319" i="21"/>
  <c r="I265" i="21"/>
  <c r="I239" i="21"/>
  <c r="I233" i="21"/>
  <c r="I207" i="21"/>
  <c r="I197" i="21"/>
  <c r="I193" i="21"/>
  <c r="I160" i="21"/>
  <c r="I133" i="21"/>
  <c r="I120" i="21"/>
  <c r="I93" i="21"/>
  <c r="H755" i="21"/>
  <c r="J755" i="21" s="1"/>
  <c r="H800" i="21"/>
  <c r="H741" i="21"/>
  <c r="J741" i="21" s="1"/>
  <c r="H736" i="21"/>
  <c r="K736" i="21" s="1"/>
  <c r="H732" i="21"/>
  <c r="J732" i="21" s="1"/>
  <c r="H678" i="21"/>
  <c r="J678" i="21" s="1"/>
  <c r="H672" i="21"/>
  <c r="J672" i="21" s="1"/>
  <c r="H654" i="21"/>
  <c r="J654" i="21" s="1"/>
  <c r="I817" i="21"/>
  <c r="I656" i="21"/>
  <c r="I625" i="21"/>
  <c r="I608" i="21"/>
  <c r="I584" i="21"/>
  <c r="I552" i="21"/>
  <c r="I520" i="21"/>
  <c r="I516" i="21"/>
  <c r="I500" i="21"/>
  <c r="I493" i="21"/>
  <c r="I464" i="21"/>
  <c r="I458" i="21"/>
  <c r="I445" i="21"/>
  <c r="I415" i="21"/>
  <c r="I378" i="21"/>
  <c r="I332" i="21"/>
  <c r="I313" i="21"/>
  <c r="I282" i="21"/>
  <c r="I268" i="21"/>
  <c r="I225" i="21"/>
  <c r="I127" i="21"/>
  <c r="I105" i="21"/>
  <c r="I85" i="21"/>
  <c r="H817" i="21"/>
  <c r="K817" i="21" s="1"/>
  <c r="H778" i="21"/>
  <c r="J778" i="21" s="1"/>
  <c r="H762" i="21"/>
  <c r="K762" i="21" s="1"/>
  <c r="H714" i="21"/>
  <c r="J714" i="21" s="1"/>
  <c r="H706" i="21"/>
  <c r="K706" i="21" s="1"/>
  <c r="H702" i="21"/>
  <c r="J702" i="21" s="1"/>
  <c r="H694" i="21"/>
  <c r="H666" i="21"/>
  <c r="J666" i="21" s="1"/>
  <c r="I49" i="21"/>
  <c r="I32" i="21"/>
  <c r="I57" i="21"/>
  <c r="I749" i="21"/>
  <c r="I736" i="21"/>
  <c r="I720" i="21"/>
  <c r="I642" i="21"/>
  <c r="I613" i="21"/>
  <c r="I596" i="21"/>
  <c r="I578" i="21"/>
  <c r="I510" i="21"/>
  <c r="I439" i="21"/>
  <c r="I433" i="21"/>
  <c r="I390" i="21"/>
  <c r="I372" i="21"/>
  <c r="I342" i="21"/>
  <c r="I336" i="21"/>
  <c r="I289" i="21"/>
  <c r="I152" i="21"/>
  <c r="I109" i="21"/>
  <c r="I79" i="21"/>
  <c r="I73" i="21"/>
  <c r="I756" i="21"/>
  <c r="I725" i="21"/>
  <c r="I790" i="21"/>
  <c r="I784" i="21"/>
  <c r="H609" i="21"/>
  <c r="K609" i="21" s="1"/>
  <c r="I112" i="21"/>
  <c r="I727" i="21"/>
  <c r="I733" i="21"/>
  <c r="I724" i="21"/>
  <c r="I655" i="21"/>
  <c r="I649" i="21"/>
  <c r="I630" i="21"/>
  <c r="I626" i="21"/>
  <c r="I589" i="21"/>
  <c r="I585" i="21"/>
  <c r="I581" i="21"/>
  <c r="I577" i="21"/>
  <c r="I573" i="21"/>
  <c r="I553" i="21"/>
  <c r="I529" i="21"/>
  <c r="I523" i="21"/>
  <c r="I513" i="21"/>
  <c r="I492" i="21"/>
  <c r="I480" i="21"/>
  <c r="I457" i="21"/>
  <c r="I432" i="21"/>
  <c r="I416" i="21"/>
  <c r="I394" i="21"/>
  <c r="I373" i="21"/>
  <c r="I355" i="21"/>
  <c r="I318" i="21"/>
  <c r="I269" i="21"/>
  <c r="I254" i="21"/>
  <c r="I226" i="21"/>
  <c r="I222" i="21"/>
  <c r="I216" i="21"/>
  <c r="I157" i="21"/>
  <c r="I126" i="21"/>
  <c r="I100" i="21"/>
  <c r="I769" i="21"/>
  <c r="I737" i="21"/>
  <c r="I689" i="21"/>
  <c r="I659" i="21"/>
  <c r="I595" i="21"/>
  <c r="I436" i="21"/>
  <c r="I377" i="21"/>
  <c r="I365" i="21"/>
  <c r="I361" i="21"/>
  <c r="I337" i="21"/>
  <c r="I333" i="21"/>
  <c r="I322" i="21"/>
  <c r="I308" i="21"/>
  <c r="I292" i="21"/>
  <c r="I288" i="21"/>
  <c r="I232" i="21"/>
  <c r="I192" i="21"/>
  <c r="I134" i="21"/>
  <c r="I130" i="21"/>
  <c r="I118" i="21"/>
  <c r="I94" i="21"/>
  <c r="I78" i="21"/>
  <c r="I41" i="21"/>
  <c r="I525" i="21"/>
  <c r="I496" i="21"/>
  <c r="I465" i="21"/>
  <c r="I420" i="21"/>
  <c r="I387" i="21"/>
  <c r="I248" i="21"/>
  <c r="I151" i="21"/>
  <c r="I50" i="21"/>
  <c r="I46" i="21"/>
  <c r="I35" i="21"/>
  <c r="I663" i="21"/>
  <c r="I614" i="21"/>
  <c r="I610" i="21"/>
  <c r="I571" i="21"/>
  <c r="I543" i="21"/>
  <c r="I501" i="21"/>
  <c r="I478" i="21"/>
  <c r="I455" i="21"/>
  <c r="I453" i="21"/>
  <c r="I444" i="21"/>
  <c r="I424" i="21"/>
  <c r="I400" i="21"/>
  <c r="I381" i="21"/>
  <c r="I296" i="21"/>
  <c r="I264" i="21"/>
  <c r="I258" i="21"/>
  <c r="I186" i="21"/>
  <c r="I180" i="21"/>
  <c r="I139" i="21"/>
  <c r="I124" i="21"/>
  <c r="I98" i="21"/>
  <c r="I56" i="21"/>
  <c r="I791" i="21"/>
  <c r="I705" i="21"/>
  <c r="I699" i="21"/>
  <c r="I673" i="21"/>
  <c r="I624" i="21"/>
  <c r="I587" i="21"/>
  <c r="I583" i="21"/>
  <c r="I579" i="21"/>
  <c r="I575" i="21"/>
  <c r="I515" i="21"/>
  <c r="I459" i="21"/>
  <c r="I434" i="21"/>
  <c r="I391" i="21"/>
  <c r="I371" i="21"/>
  <c r="I320" i="21"/>
  <c r="I316" i="21"/>
  <c r="I306" i="21"/>
  <c r="I224" i="21"/>
  <c r="I214" i="21"/>
  <c r="I202" i="21"/>
  <c r="I165" i="21"/>
  <c r="I795" i="21"/>
  <c r="I726" i="21"/>
  <c r="I722" i="21"/>
  <c r="I669" i="21"/>
  <c r="I545" i="21"/>
  <c r="I527" i="21"/>
  <c r="I519" i="21"/>
  <c r="I472" i="21"/>
  <c r="I438" i="21"/>
  <c r="I418" i="21"/>
  <c r="I367" i="21"/>
  <c r="I363" i="21"/>
  <c r="I339" i="21"/>
  <c r="I335" i="21"/>
  <c r="I310" i="21"/>
  <c r="I250" i="21"/>
  <c r="I234" i="21"/>
  <c r="I194" i="21"/>
  <c r="I190" i="21"/>
  <c r="I143" i="21"/>
  <c r="I132" i="21"/>
  <c r="I92" i="21"/>
  <c r="I80" i="21"/>
  <c r="I70" i="21"/>
  <c r="I21" i="21"/>
  <c r="I675" i="21"/>
  <c r="I601" i="21"/>
  <c r="I521" i="21"/>
  <c r="I467" i="21"/>
  <c r="I463" i="21"/>
  <c r="I351" i="21"/>
  <c r="I325" i="21"/>
  <c r="I283" i="21"/>
  <c r="I277" i="21"/>
  <c r="I153" i="21"/>
  <c r="I149" i="21"/>
  <c r="I805" i="21"/>
  <c r="I761" i="21"/>
  <c r="I757" i="21"/>
  <c r="I752" i="21"/>
  <c r="I748" i="21"/>
  <c r="I729" i="21"/>
  <c r="I683" i="21"/>
  <c r="I643" i="21"/>
  <c r="I607" i="21"/>
  <c r="I636" i="21"/>
  <c r="I745" i="21"/>
  <c r="I793" i="21"/>
  <c r="I789" i="21"/>
  <c r="I703" i="21"/>
  <c r="I685" i="21"/>
  <c r="I661" i="21"/>
  <c r="I657" i="21"/>
  <c r="I653" i="21"/>
  <c r="I632" i="21"/>
  <c r="I620" i="21"/>
  <c r="I816" i="21"/>
  <c r="I809" i="21"/>
  <c r="I735" i="21"/>
  <c r="I719" i="21"/>
  <c r="I691" i="21"/>
  <c r="I677" i="21"/>
  <c r="I783" i="21"/>
  <c r="I777" i="21"/>
  <c r="I759" i="21"/>
  <c r="I754" i="21"/>
  <c r="I750" i="21"/>
  <c r="I731" i="21"/>
  <c r="I671" i="21"/>
  <c r="I645" i="21"/>
  <c r="I641" i="21"/>
  <c r="I638" i="21"/>
  <c r="I393" i="21"/>
  <c r="I763" i="21"/>
  <c r="I713" i="21"/>
  <c r="I701" i="21"/>
  <c r="I687" i="21"/>
  <c r="I681" i="21"/>
  <c r="I634" i="21"/>
  <c r="I682" i="21"/>
  <c r="I678" i="21"/>
  <c r="I690" i="21"/>
  <c r="Y725" i="21"/>
  <c r="H725" i="21" s="1"/>
  <c r="I723" i="21"/>
  <c r="I704" i="21"/>
  <c r="I686" i="21"/>
  <c r="I718" i="21"/>
  <c r="I706" i="21"/>
  <c r="I702" i="21"/>
  <c r="I815" i="21"/>
  <c r="I797" i="21"/>
  <c r="I778" i="21"/>
  <c r="I773" i="21"/>
  <c r="I468" i="21"/>
  <c r="I818" i="21"/>
  <c r="I609" i="21"/>
  <c r="I799" i="21"/>
  <c r="I770" i="21"/>
  <c r="I764" i="21"/>
  <c r="I741" i="21"/>
  <c r="H749" i="21"/>
  <c r="J749" i="21" s="1"/>
  <c r="M624" i="21"/>
  <c r="H624" i="21" s="1"/>
  <c r="J624" i="21" s="1"/>
  <c r="M620" i="21"/>
  <c r="H620" i="21" s="1"/>
  <c r="J620" i="21" s="1"/>
  <c r="M616" i="21"/>
  <c r="M612" i="21"/>
  <c r="H612" i="21" s="1"/>
  <c r="J612" i="21" s="1"/>
  <c r="M606" i="21"/>
  <c r="M448" i="21"/>
  <c r="H448" i="21" s="1"/>
  <c r="K448" i="21" s="1"/>
  <c r="L448" i="21" s="1"/>
  <c r="M443" i="21"/>
  <c r="M439" i="21"/>
  <c r="H439" i="21" s="1"/>
  <c r="K439" i="21" s="1"/>
  <c r="M435" i="21"/>
  <c r="M431" i="21"/>
  <c r="M427" i="21"/>
  <c r="I782" i="21"/>
  <c r="I772" i="21"/>
  <c r="M638" i="21"/>
  <c r="H638" i="21" s="1"/>
  <c r="J638" i="21" s="1"/>
  <c r="I170" i="21"/>
  <c r="I794" i="21"/>
  <c r="M607" i="21"/>
  <c r="H607" i="21" s="1"/>
  <c r="J607" i="21" s="1"/>
  <c r="M636" i="21"/>
  <c r="H636" i="21" s="1"/>
  <c r="J636" i="21" s="1"/>
  <c r="M519" i="21"/>
  <c r="H519" i="21" s="1"/>
  <c r="J519" i="21" s="1"/>
  <c r="M515" i="21"/>
  <c r="H515" i="21" s="1"/>
  <c r="J515" i="21" s="1"/>
  <c r="M511" i="21"/>
  <c r="M507" i="21"/>
  <c r="M503" i="21"/>
  <c r="M498" i="21"/>
  <c r="H498" i="21" s="1"/>
  <c r="K498" i="21" s="1"/>
  <c r="M493" i="21"/>
  <c r="H493" i="21" s="1"/>
  <c r="M424" i="21"/>
  <c r="M420" i="21"/>
  <c r="H420" i="21" s="1"/>
  <c r="J420" i="21" s="1"/>
  <c r="M416" i="21"/>
  <c r="M412" i="21"/>
  <c r="M408" i="21"/>
  <c r="M404" i="21"/>
  <c r="M400" i="21"/>
  <c r="H400" i="21" s="1"/>
  <c r="K400" i="21" s="1"/>
  <c r="M394" i="21"/>
  <c r="H394" i="21" s="1"/>
  <c r="J394" i="21" s="1"/>
  <c r="M389" i="21"/>
  <c r="M385" i="21"/>
  <c r="M381" i="21"/>
  <c r="H381" i="21" s="1"/>
  <c r="J381" i="21" s="1"/>
  <c r="M377" i="21"/>
  <c r="M373" i="21"/>
  <c r="H373" i="21" s="1"/>
  <c r="J373" i="21" s="1"/>
  <c r="M368" i="21"/>
  <c r="M364" i="21"/>
  <c r="H364" i="21" s="1"/>
  <c r="K364" i="21" s="1"/>
  <c r="M360" i="21"/>
  <c r="M356" i="21"/>
  <c r="M352" i="21"/>
  <c r="M348" i="21"/>
  <c r="M344" i="21"/>
  <c r="H344" i="21" s="1"/>
  <c r="K344" i="21" s="1"/>
  <c r="M340" i="21"/>
  <c r="M336" i="21"/>
  <c r="H336" i="21" s="1"/>
  <c r="M199" i="21"/>
  <c r="H199" i="21" s="1"/>
  <c r="K199" i="21" s="1"/>
  <c r="M743" i="21"/>
  <c r="H743" i="21" s="1"/>
  <c r="J743" i="21" s="1"/>
  <c r="M446" i="21"/>
  <c r="H446" i="21" s="1"/>
  <c r="K446" i="21" s="1"/>
  <c r="M323" i="21"/>
  <c r="M111" i="21"/>
  <c r="H111" i="21" s="1"/>
  <c r="J111" i="21" s="1"/>
  <c r="I54" i="21"/>
  <c r="I45" i="21"/>
  <c r="I814" i="21"/>
  <c r="I800" i="21"/>
  <c r="I751" i="21"/>
  <c r="I602" i="21"/>
  <c r="I721" i="21"/>
  <c r="I804" i="21"/>
  <c r="I762" i="21"/>
  <c r="I758" i="21"/>
  <c r="M628" i="21"/>
  <c r="M500" i="21"/>
  <c r="H500" i="21" s="1"/>
  <c r="K500" i="21" s="1"/>
  <c r="M495" i="21"/>
  <c r="M491" i="21"/>
  <c r="M465" i="21"/>
  <c r="H465" i="21" s="1"/>
  <c r="J465" i="21" s="1"/>
  <c r="M457" i="21"/>
  <c r="H457" i="21" s="1"/>
  <c r="J457" i="21" s="1"/>
  <c r="M452" i="21"/>
  <c r="M366" i="21"/>
  <c r="M362" i="21"/>
  <c r="H362" i="21" s="1"/>
  <c r="M358" i="21"/>
  <c r="M354" i="21"/>
  <c r="H354" i="21" s="1"/>
  <c r="J354" i="21" s="1"/>
  <c r="M350" i="21"/>
  <c r="M346" i="21"/>
  <c r="M342" i="21"/>
  <c r="H342" i="21" s="1"/>
  <c r="K342" i="21" s="1"/>
  <c r="M338" i="21"/>
  <c r="H338" i="21" s="1"/>
  <c r="K338" i="21" s="1"/>
  <c r="L338" i="21" s="1"/>
  <c r="M334" i="21"/>
  <c r="H334" i="21" s="1"/>
  <c r="J334" i="21" s="1"/>
  <c r="M325" i="21"/>
  <c r="M320" i="21"/>
  <c r="H320" i="21" s="1"/>
  <c r="J320" i="21" s="1"/>
  <c r="M316" i="21"/>
  <c r="H316" i="21" s="1"/>
  <c r="K316" i="21" s="1"/>
  <c r="M312" i="21"/>
  <c r="M308" i="21"/>
  <c r="H308" i="21" s="1"/>
  <c r="J308" i="21" s="1"/>
  <c r="M304" i="21"/>
  <c r="H304" i="21" s="1"/>
  <c r="J304" i="21" s="1"/>
  <c r="M300" i="21"/>
  <c r="M296" i="21"/>
  <c r="H296" i="21" s="1"/>
  <c r="K296" i="21" s="1"/>
  <c r="M292" i="21"/>
  <c r="H292" i="21" s="1"/>
  <c r="K292" i="21" s="1"/>
  <c r="M274" i="21"/>
  <c r="M270" i="21"/>
  <c r="M123" i="21"/>
  <c r="H123" i="21" s="1"/>
  <c r="M263" i="21"/>
  <c r="H263" i="21" s="1"/>
  <c r="J263" i="21" s="1"/>
  <c r="M259" i="21"/>
  <c r="M255" i="21"/>
  <c r="M251" i="21"/>
  <c r="M158" i="21"/>
  <c r="M154" i="21"/>
  <c r="M74" i="21"/>
  <c r="M70" i="21"/>
  <c r="H70" i="21" s="1"/>
  <c r="M65" i="21"/>
  <c r="M61" i="21"/>
  <c r="M497" i="21"/>
  <c r="M398" i="21"/>
  <c r="M285" i="21"/>
  <c r="M112" i="21"/>
  <c r="L135" i="21"/>
  <c r="L136" i="21"/>
  <c r="L461" i="21"/>
  <c r="L462" i="21"/>
  <c r="L543" i="21"/>
  <c r="L544" i="21"/>
  <c r="M623" i="21"/>
  <c r="H623" i="21" s="1"/>
  <c r="J623" i="21" s="1"/>
  <c r="M619" i="21"/>
  <c r="M615" i="21"/>
  <c r="H615" i="21" s="1"/>
  <c r="K615" i="21" s="1"/>
  <c r="M611" i="21"/>
  <c r="H611" i="21" s="1"/>
  <c r="J611" i="21" s="1"/>
  <c r="M605" i="21"/>
  <c r="H605" i="21" s="1"/>
  <c r="J605" i="21" s="1"/>
  <c r="M599" i="21"/>
  <c r="M595" i="21"/>
  <c r="H595" i="21" s="1"/>
  <c r="K595" i="21" s="1"/>
  <c r="M591" i="21"/>
  <c r="M587" i="21"/>
  <c r="H587" i="21" s="1"/>
  <c r="M583" i="21"/>
  <c r="H583" i="21" s="1"/>
  <c r="K583" i="21" s="1"/>
  <c r="M579" i="21"/>
  <c r="H579" i="21" s="1"/>
  <c r="K579" i="21" s="1"/>
  <c r="M575" i="21"/>
  <c r="H575" i="21" s="1"/>
  <c r="K575" i="21" s="1"/>
  <c r="M571" i="21"/>
  <c r="H571" i="21" s="1"/>
  <c r="K571" i="21" s="1"/>
  <c r="M567" i="21"/>
  <c r="M563" i="21"/>
  <c r="M559" i="21"/>
  <c r="M555" i="21"/>
  <c r="M551" i="21"/>
  <c r="M547" i="21"/>
  <c r="M536" i="21"/>
  <c r="M532" i="21"/>
  <c r="M528" i="21"/>
  <c r="M486" i="21"/>
  <c r="M482" i="21"/>
  <c r="M478" i="21"/>
  <c r="M474" i="21"/>
  <c r="M470" i="21"/>
  <c r="M447" i="21"/>
  <c r="M442" i="21"/>
  <c r="M438" i="21"/>
  <c r="H438" i="21" s="1"/>
  <c r="K438" i="21" s="1"/>
  <c r="M434" i="21"/>
  <c r="H434" i="21" s="1"/>
  <c r="K434" i="21" s="1"/>
  <c r="M430" i="21"/>
  <c r="M329" i="21"/>
  <c r="M287" i="21"/>
  <c r="M282" i="21"/>
  <c r="H282" i="21" s="1"/>
  <c r="K282" i="21" s="1"/>
  <c r="M278" i="21"/>
  <c r="M233" i="21"/>
  <c r="H233" i="21" s="1"/>
  <c r="K233" i="21" s="1"/>
  <c r="L233" i="21" s="1"/>
  <c r="M229" i="21"/>
  <c r="M225" i="21"/>
  <c r="H225" i="21" s="1"/>
  <c r="K225" i="21" s="1"/>
  <c r="M221" i="21"/>
  <c r="H221" i="21" s="1"/>
  <c r="K221" i="21" s="1"/>
  <c r="M217" i="21"/>
  <c r="M213" i="21"/>
  <c r="M209" i="21"/>
  <c r="M205" i="21"/>
  <c r="M191" i="21"/>
  <c r="M187" i="21"/>
  <c r="M183" i="21"/>
  <c r="M179" i="21"/>
  <c r="M175" i="21"/>
  <c r="M171" i="21"/>
  <c r="M166" i="21"/>
  <c r="H166" i="21" s="1"/>
  <c r="M162" i="21"/>
  <c r="M149" i="21"/>
  <c r="H149" i="21" s="1"/>
  <c r="J149" i="21" s="1"/>
  <c r="M145" i="21"/>
  <c r="M141" i="21"/>
  <c r="M136" i="21"/>
  <c r="M135" i="21"/>
  <c r="M137" i="21"/>
  <c r="M131" i="21"/>
  <c r="H131" i="21" s="1"/>
  <c r="J131" i="21" s="1"/>
  <c r="M127" i="21"/>
  <c r="H127" i="21" s="1"/>
  <c r="J127" i="21" s="1"/>
  <c r="M122" i="21"/>
  <c r="M117" i="21"/>
  <c r="M113" i="21"/>
  <c r="M102" i="21"/>
  <c r="M98" i="21"/>
  <c r="H98" i="21" s="1"/>
  <c r="K98" i="21" s="1"/>
  <c r="M94" i="21"/>
  <c r="H94" i="21" s="1"/>
  <c r="K94" i="21" s="1"/>
  <c r="M90" i="21"/>
  <c r="M86" i="21"/>
  <c r="M82" i="21"/>
  <c r="M78" i="21"/>
  <c r="M55" i="21"/>
  <c r="M51" i="21"/>
  <c r="H51" i="21" s="1"/>
  <c r="J51" i="21" s="1"/>
  <c r="M46" i="21"/>
  <c r="M36" i="21"/>
  <c r="M32" i="21"/>
  <c r="H32" i="21" s="1"/>
  <c r="J32" i="21" s="1"/>
  <c r="M28" i="21"/>
  <c r="M24" i="21"/>
  <c r="M20" i="21"/>
  <c r="M637" i="21"/>
  <c r="H637" i="21" s="1"/>
  <c r="K637" i="21" s="1"/>
  <c r="M632" i="21"/>
  <c r="H632" i="21" s="1"/>
  <c r="J632" i="21" s="1"/>
  <c r="M540" i="21"/>
  <c r="M516" i="21"/>
  <c r="H516" i="21" s="1"/>
  <c r="K516" i="21" s="1"/>
  <c r="M512" i="21"/>
  <c r="M508" i="21"/>
  <c r="M504" i="21"/>
  <c r="M499" i="21"/>
  <c r="M494" i="21"/>
  <c r="M490" i="21"/>
  <c r="M464" i="21"/>
  <c r="H464" i="21" s="1"/>
  <c r="K464" i="21" s="1"/>
  <c r="M460" i="21"/>
  <c r="H460" i="21" s="1"/>
  <c r="K460" i="21" s="1"/>
  <c r="M456" i="21"/>
  <c r="M451" i="21"/>
  <c r="M425" i="21"/>
  <c r="M421" i="21"/>
  <c r="M417" i="21"/>
  <c r="M413" i="21"/>
  <c r="M409" i="21"/>
  <c r="M405" i="21"/>
  <c r="M401" i="21"/>
  <c r="H401" i="21" s="1"/>
  <c r="J401" i="21" s="1"/>
  <c r="M395" i="21"/>
  <c r="M390" i="21"/>
  <c r="M386" i="21"/>
  <c r="M382" i="21"/>
  <c r="H382" i="21" s="1"/>
  <c r="J382" i="21" s="1"/>
  <c r="M378" i="21"/>
  <c r="H378" i="21" s="1"/>
  <c r="K378" i="21" s="1"/>
  <c r="M374" i="21"/>
  <c r="M365" i="21"/>
  <c r="H365" i="21" s="1"/>
  <c r="J365" i="21" s="1"/>
  <c r="M361" i="21"/>
  <c r="H361" i="21" s="1"/>
  <c r="J361" i="21" s="1"/>
  <c r="M357" i="21"/>
  <c r="M353" i="21"/>
  <c r="M349" i="21"/>
  <c r="M345" i="21"/>
  <c r="M341" i="21"/>
  <c r="M337" i="21"/>
  <c r="H337" i="21" s="1"/>
  <c r="J337" i="21" s="1"/>
  <c r="M333" i="21"/>
  <c r="H333" i="21" s="1"/>
  <c r="K333" i="21" s="1"/>
  <c r="M324" i="21"/>
  <c r="M319" i="21"/>
  <c r="H319" i="21" s="1"/>
  <c r="M315" i="21"/>
  <c r="M311" i="21"/>
  <c r="M307" i="21"/>
  <c r="M303" i="21"/>
  <c r="H303" i="21" s="1"/>
  <c r="J303" i="21" s="1"/>
  <c r="M299" i="21"/>
  <c r="H299" i="21" s="1"/>
  <c r="K299" i="21" s="1"/>
  <c r="M295" i="21"/>
  <c r="M291" i="21"/>
  <c r="H291" i="21" s="1"/>
  <c r="J291" i="21" s="1"/>
  <c r="M273" i="21"/>
  <c r="M269" i="21"/>
  <c r="H269" i="21" s="1"/>
  <c r="K269" i="21" s="1"/>
  <c r="M266" i="21"/>
  <c r="M64" i="21"/>
  <c r="M60" i="21"/>
  <c r="M626" i="21"/>
  <c r="H626" i="21" s="1"/>
  <c r="K626" i="21" s="1"/>
  <c r="M622" i="21"/>
  <c r="M618" i="21"/>
  <c r="M614" i="21"/>
  <c r="H614" i="21" s="1"/>
  <c r="K614" i="21" s="1"/>
  <c r="M610" i="21"/>
  <c r="H610" i="21" s="1"/>
  <c r="K610" i="21" s="1"/>
  <c r="M604" i="21"/>
  <c r="M598" i="21"/>
  <c r="H598" i="21" s="1"/>
  <c r="K598" i="21" s="1"/>
  <c r="M594" i="21"/>
  <c r="M590" i="21"/>
  <c r="M586" i="21"/>
  <c r="H586" i="21" s="1"/>
  <c r="J586" i="21" s="1"/>
  <c r="M582" i="21"/>
  <c r="M578" i="21"/>
  <c r="H578" i="21" s="1"/>
  <c r="M574" i="21"/>
  <c r="M570" i="21"/>
  <c r="H570" i="21" s="1"/>
  <c r="J570" i="21" s="1"/>
  <c r="M566" i="21"/>
  <c r="M562" i="21"/>
  <c r="M558" i="21"/>
  <c r="M554" i="21"/>
  <c r="M550" i="21"/>
  <c r="H550" i="21" s="1"/>
  <c r="J550" i="21" s="1"/>
  <c r="M546" i="21"/>
  <c r="M535" i="21"/>
  <c r="M531" i="21"/>
  <c r="H531" i="21" s="1"/>
  <c r="J531" i="21" s="1"/>
  <c r="M485" i="21"/>
  <c r="M481" i="21"/>
  <c r="M477" i="21"/>
  <c r="M473" i="21"/>
  <c r="H473" i="21" s="1"/>
  <c r="K473" i="21" s="1"/>
  <c r="M445" i="21"/>
  <c r="H445" i="21" s="1"/>
  <c r="J445" i="21" s="1"/>
  <c r="M441" i="21"/>
  <c r="H441" i="21" s="1"/>
  <c r="J441" i="21" s="1"/>
  <c r="M437" i="21"/>
  <c r="H437" i="21" s="1"/>
  <c r="J437" i="21" s="1"/>
  <c r="M433" i="21"/>
  <c r="H433" i="21" s="1"/>
  <c r="J433" i="21" s="1"/>
  <c r="M429" i="21"/>
  <c r="M328" i="21"/>
  <c r="H328" i="21" s="1"/>
  <c r="K328" i="21" s="1"/>
  <c r="L328" i="21" s="1"/>
  <c r="M286" i="21"/>
  <c r="M281" i="21"/>
  <c r="M277" i="21"/>
  <c r="H277" i="21" s="1"/>
  <c r="J277" i="21" s="1"/>
  <c r="M232" i="21"/>
  <c r="M228" i="21"/>
  <c r="M224" i="21"/>
  <c r="H224" i="21" s="1"/>
  <c r="J224" i="21" s="1"/>
  <c r="M220" i="21"/>
  <c r="M216" i="21"/>
  <c r="M212" i="21"/>
  <c r="M208" i="21"/>
  <c r="M204" i="21"/>
  <c r="M194" i="21"/>
  <c r="H194" i="21" s="1"/>
  <c r="K194" i="21" s="1"/>
  <c r="M190" i="21"/>
  <c r="H190" i="21" s="1"/>
  <c r="K190" i="21" s="1"/>
  <c r="M186" i="21"/>
  <c r="M182" i="21"/>
  <c r="M178" i="21"/>
  <c r="M174" i="21"/>
  <c r="M169" i="21"/>
  <c r="M165" i="21"/>
  <c r="H165" i="21" s="1"/>
  <c r="K165" i="21" s="1"/>
  <c r="M161" i="21"/>
  <c r="M148" i="21"/>
  <c r="M144" i="21"/>
  <c r="M140" i="21"/>
  <c r="M134" i="21"/>
  <c r="H134" i="21" s="1"/>
  <c r="K134" i="21" s="1"/>
  <c r="M130" i="21"/>
  <c r="H130" i="21" s="1"/>
  <c r="M126" i="21"/>
  <c r="H126" i="21" s="1"/>
  <c r="K126" i="21" s="1"/>
  <c r="M121" i="21"/>
  <c r="M116" i="21"/>
  <c r="M110" i="21"/>
  <c r="M105" i="21"/>
  <c r="H105" i="21" s="1"/>
  <c r="J105" i="21" s="1"/>
  <c r="M101" i="21"/>
  <c r="H101" i="21" s="1"/>
  <c r="J101" i="21" s="1"/>
  <c r="M97" i="21"/>
  <c r="H97" i="21" s="1"/>
  <c r="J97" i="21" s="1"/>
  <c r="M93" i="21"/>
  <c r="H93" i="21" s="1"/>
  <c r="J93" i="21" s="1"/>
  <c r="M89" i="21"/>
  <c r="M85" i="21"/>
  <c r="H85" i="21" s="1"/>
  <c r="K85" i="21" s="1"/>
  <c r="M81" i="21"/>
  <c r="M54" i="21"/>
  <c r="M44" i="21"/>
  <c r="H44" i="21" s="1"/>
  <c r="K44" i="21" s="1"/>
  <c r="M39" i="21"/>
  <c r="M35" i="21"/>
  <c r="H35" i="21" s="1"/>
  <c r="J35" i="21" s="1"/>
  <c r="M31" i="21"/>
  <c r="M27" i="21"/>
  <c r="M23" i="21"/>
  <c r="M19" i="21"/>
  <c r="H19" i="21" s="1"/>
  <c r="M467" i="21"/>
  <c r="M463" i="21"/>
  <c r="H463" i="21" s="1"/>
  <c r="K463" i="21" s="1"/>
  <c r="M459" i="21"/>
  <c r="M455" i="21"/>
  <c r="H455" i="21" s="1"/>
  <c r="K455" i="21" s="1"/>
  <c r="M450" i="21"/>
  <c r="M322" i="21"/>
  <c r="H322" i="21" s="1"/>
  <c r="K322" i="21" s="1"/>
  <c r="M318" i="21"/>
  <c r="H318" i="21" s="1"/>
  <c r="K318" i="21" s="1"/>
  <c r="M314" i="21"/>
  <c r="H314" i="21" s="1"/>
  <c r="K314" i="21" s="1"/>
  <c r="M310" i="21"/>
  <c r="H310" i="21" s="1"/>
  <c r="K310" i="21" s="1"/>
  <c r="M306" i="21"/>
  <c r="M302" i="21"/>
  <c r="M298" i="21"/>
  <c r="M294" i="21"/>
  <c r="M290" i="21"/>
  <c r="M272" i="21"/>
  <c r="M268" i="21"/>
  <c r="M265" i="21"/>
  <c r="H265" i="21" s="1"/>
  <c r="K265" i="21" s="1"/>
  <c r="M261" i="21"/>
  <c r="M257" i="21"/>
  <c r="M253" i="21"/>
  <c r="M244" i="21"/>
  <c r="H244" i="21" s="1"/>
  <c r="K244" i="21" s="1"/>
  <c r="L244" i="21" s="1"/>
  <c r="M240" i="21"/>
  <c r="M236" i="21"/>
  <c r="M156" i="21"/>
  <c r="H156" i="21" s="1"/>
  <c r="K156" i="21" s="1"/>
  <c r="M152" i="21"/>
  <c r="H152" i="21" s="1"/>
  <c r="K152" i="21" s="1"/>
  <c r="M76" i="21"/>
  <c r="M72" i="21"/>
  <c r="M67" i="21"/>
  <c r="H67" i="21" s="1"/>
  <c r="K67" i="21" s="1"/>
  <c r="M63" i="21"/>
  <c r="M18" i="21"/>
  <c r="H18" i="21" s="1"/>
  <c r="J18" i="21" s="1"/>
  <c r="M630" i="21"/>
  <c r="H630" i="21" s="1"/>
  <c r="K630" i="21" s="1"/>
  <c r="M625" i="21"/>
  <c r="M621" i="21"/>
  <c r="H621" i="21" s="1"/>
  <c r="K621" i="21" s="1"/>
  <c r="M617" i="21"/>
  <c r="H617" i="21" s="1"/>
  <c r="J617" i="21" s="1"/>
  <c r="M613" i="21"/>
  <c r="H613" i="21" s="1"/>
  <c r="J613" i="21" s="1"/>
  <c r="M608" i="21"/>
  <c r="H608" i="21" s="1"/>
  <c r="K608" i="21" s="1"/>
  <c r="M603" i="21"/>
  <c r="H603" i="21" s="1"/>
  <c r="K603" i="21" s="1"/>
  <c r="M597" i="21"/>
  <c r="M593" i="21"/>
  <c r="M589" i="21"/>
  <c r="H589" i="21" s="1"/>
  <c r="K589" i="21" s="1"/>
  <c r="M585" i="21"/>
  <c r="H585" i="21" s="1"/>
  <c r="K585" i="21" s="1"/>
  <c r="M581" i="21"/>
  <c r="H581" i="21" s="1"/>
  <c r="K581" i="21" s="1"/>
  <c r="M577" i="21"/>
  <c r="H577" i="21" s="1"/>
  <c r="K577" i="21" s="1"/>
  <c r="M573" i="21"/>
  <c r="H573" i="21" s="1"/>
  <c r="K573" i="21" s="1"/>
  <c r="M569" i="21"/>
  <c r="H569" i="21" s="1"/>
  <c r="M565" i="21"/>
  <c r="M561" i="21"/>
  <c r="M557" i="21"/>
  <c r="M553" i="21"/>
  <c r="H553" i="21" s="1"/>
  <c r="K553" i="21" s="1"/>
  <c r="M549" i="21"/>
  <c r="H549" i="21" s="1"/>
  <c r="J549" i="21" s="1"/>
  <c r="M534" i="21"/>
  <c r="H534" i="21" s="1"/>
  <c r="M530" i="21"/>
  <c r="H530" i="21" s="1"/>
  <c r="J530" i="21" s="1"/>
  <c r="M525" i="21"/>
  <c r="H525" i="21" s="1"/>
  <c r="K525" i="21" s="1"/>
  <c r="M488" i="21"/>
  <c r="M484" i="21"/>
  <c r="M480" i="21"/>
  <c r="H480" i="21" s="1"/>
  <c r="K480" i="21" s="1"/>
  <c r="L480" i="21" s="1"/>
  <c r="M476" i="21"/>
  <c r="M472" i="21"/>
  <c r="H472" i="21" s="1"/>
  <c r="K472" i="21" s="1"/>
  <c r="M444" i="21"/>
  <c r="H444" i="21" s="1"/>
  <c r="J444" i="21" s="1"/>
  <c r="M440" i="21"/>
  <c r="M436" i="21"/>
  <c r="H436" i="21" s="1"/>
  <c r="M432" i="21"/>
  <c r="H432" i="21" s="1"/>
  <c r="J432" i="21" s="1"/>
  <c r="M428" i="21"/>
  <c r="M331" i="21"/>
  <c r="M284" i="21"/>
  <c r="M280" i="21"/>
  <c r="M276" i="21"/>
  <c r="M231" i="21"/>
  <c r="M227" i="21"/>
  <c r="M223" i="21"/>
  <c r="H223" i="21" s="1"/>
  <c r="K223" i="21" s="1"/>
  <c r="M219" i="21"/>
  <c r="M215" i="21"/>
  <c r="H215" i="21" s="1"/>
  <c r="M211" i="21"/>
  <c r="M207" i="21"/>
  <c r="H207" i="21" s="1"/>
  <c r="K207" i="21" s="1"/>
  <c r="M193" i="21"/>
  <c r="H193" i="21" s="1"/>
  <c r="J193" i="21" s="1"/>
  <c r="M189" i="21"/>
  <c r="M185" i="21"/>
  <c r="M181" i="21"/>
  <c r="M177" i="21"/>
  <c r="M173" i="21"/>
  <c r="M168" i="21"/>
  <c r="H168" i="21" s="1"/>
  <c r="K168" i="21" s="1"/>
  <c r="M53" i="21"/>
  <c r="M48" i="21"/>
  <c r="M43" i="21"/>
  <c r="M38" i="21"/>
  <c r="M34" i="21"/>
  <c r="H34" i="21" s="1"/>
  <c r="K34" i="21" s="1"/>
  <c r="L34" i="21" s="1"/>
  <c r="M30" i="21"/>
  <c r="M26" i="21"/>
  <c r="M22" i="21"/>
  <c r="M639" i="21"/>
  <c r="H639" i="21" s="1"/>
  <c r="J639" i="21" s="1"/>
  <c r="M635" i="21"/>
  <c r="M518" i="21"/>
  <c r="H518" i="21" s="1"/>
  <c r="M514" i="21"/>
  <c r="M510" i="21"/>
  <c r="H510" i="21" s="1"/>
  <c r="J510" i="21" s="1"/>
  <c r="M506" i="21"/>
  <c r="M496" i="21"/>
  <c r="M492" i="21"/>
  <c r="H492" i="21" s="1"/>
  <c r="M466" i="21"/>
  <c r="M458" i="21"/>
  <c r="M423" i="21"/>
  <c r="H423" i="21" s="1"/>
  <c r="K423" i="21" s="1"/>
  <c r="M419" i="21"/>
  <c r="M415" i="21"/>
  <c r="H415" i="21" s="1"/>
  <c r="J415" i="21" s="1"/>
  <c r="M411" i="21"/>
  <c r="M407" i="21"/>
  <c r="M403" i="21"/>
  <c r="M397" i="21"/>
  <c r="M392" i="21"/>
  <c r="M388" i="21"/>
  <c r="M384" i="21"/>
  <c r="M380" i="21"/>
  <c r="M376" i="21"/>
  <c r="M372" i="21"/>
  <c r="H372" i="21" s="1"/>
  <c r="K372" i="21" s="1"/>
  <c r="M367" i="21"/>
  <c r="H367" i="21" s="1"/>
  <c r="J367" i="21" s="1"/>
  <c r="M363" i="21"/>
  <c r="H363" i="21" s="1"/>
  <c r="J363" i="21" s="1"/>
  <c r="M359" i="21"/>
  <c r="M355" i="21"/>
  <c r="H355" i="21" s="1"/>
  <c r="K355" i="21" s="1"/>
  <c r="M351" i="21"/>
  <c r="H351" i="21" s="1"/>
  <c r="K351" i="21" s="1"/>
  <c r="M347" i="21"/>
  <c r="M343" i="21"/>
  <c r="M339" i="21"/>
  <c r="H339" i="21" s="1"/>
  <c r="M335" i="21"/>
  <c r="H335" i="21" s="1"/>
  <c r="K335" i="21" s="1"/>
  <c r="M326" i="21"/>
  <c r="M321" i="21"/>
  <c r="M317" i="21"/>
  <c r="H317" i="21" s="1"/>
  <c r="J317" i="21" s="1"/>
  <c r="M313" i="21"/>
  <c r="M309" i="21"/>
  <c r="M305" i="21"/>
  <c r="M301" i="21"/>
  <c r="M297" i="21"/>
  <c r="H297" i="21" s="1"/>
  <c r="K297" i="21" s="1"/>
  <c r="M293" i="21"/>
  <c r="H293" i="21" s="1"/>
  <c r="K293" i="21" s="1"/>
  <c r="M271" i="21"/>
  <c r="M267" i="21"/>
  <c r="M264" i="21"/>
  <c r="M260" i="21"/>
  <c r="M256" i="21"/>
  <c r="M252" i="21"/>
  <c r="M247" i="21"/>
  <c r="M243" i="21"/>
  <c r="H243" i="21" s="1"/>
  <c r="K243" i="21" s="1"/>
  <c r="M239" i="21"/>
  <c r="H239" i="21" s="1"/>
  <c r="K239" i="21" s="1"/>
  <c r="M202" i="21"/>
  <c r="M198" i="21"/>
  <c r="M159" i="21"/>
  <c r="M155" i="21"/>
  <c r="M151" i="21"/>
  <c r="H151" i="21" s="1"/>
  <c r="K151" i="21" s="1"/>
  <c r="M108" i="21"/>
  <c r="M75" i="21"/>
  <c r="M71" i="21"/>
  <c r="H71" i="21" s="1"/>
  <c r="J71" i="21" s="1"/>
  <c r="M66" i="21"/>
  <c r="M62" i="21"/>
  <c r="M596" i="21"/>
  <c r="H596" i="21" s="1"/>
  <c r="K596" i="21" s="1"/>
  <c r="M592" i="21"/>
  <c r="M588" i="21"/>
  <c r="H588" i="21" s="1"/>
  <c r="J588" i="21" s="1"/>
  <c r="M584" i="21"/>
  <c r="M580" i="21"/>
  <c r="H580" i="21" s="1"/>
  <c r="J580" i="21" s="1"/>
  <c r="M576" i="21"/>
  <c r="M572" i="21"/>
  <c r="M568" i="21"/>
  <c r="M564" i="21"/>
  <c r="M560" i="21"/>
  <c r="M556" i="21"/>
  <c r="M552" i="21"/>
  <c r="H552" i="21" s="1"/>
  <c r="K552" i="21" s="1"/>
  <c r="M548" i="21"/>
  <c r="M537" i="21"/>
  <c r="M533" i="21"/>
  <c r="M529" i="21"/>
  <c r="H529" i="21" s="1"/>
  <c r="K529" i="21" s="1"/>
  <c r="M487" i="21"/>
  <c r="M483" i="21"/>
  <c r="H483" i="21" s="1"/>
  <c r="K483" i="21" s="1"/>
  <c r="M479" i="21"/>
  <c r="M475" i="21"/>
  <c r="M471" i="21"/>
  <c r="H471" i="21" s="1"/>
  <c r="K471" i="21" s="1"/>
  <c r="M330" i="21"/>
  <c r="M288" i="21"/>
  <c r="H288" i="21" s="1"/>
  <c r="K288" i="21" s="1"/>
  <c r="M283" i="21"/>
  <c r="H283" i="21" s="1"/>
  <c r="K283" i="21" s="1"/>
  <c r="M279" i="21"/>
  <c r="M234" i="21"/>
  <c r="H234" i="21" s="1"/>
  <c r="K234" i="21" s="1"/>
  <c r="M230" i="21"/>
  <c r="M226" i="21"/>
  <c r="H226" i="21" s="1"/>
  <c r="K226" i="21" s="1"/>
  <c r="L226" i="21" s="1"/>
  <c r="M222" i="21"/>
  <c r="H222" i="21" s="1"/>
  <c r="K222" i="21" s="1"/>
  <c r="M218" i="21"/>
  <c r="M214" i="21"/>
  <c r="H214" i="21" s="1"/>
  <c r="J214" i="21" s="1"/>
  <c r="M210" i="21"/>
  <c r="M206" i="21"/>
  <c r="M192" i="21"/>
  <c r="H192" i="21" s="1"/>
  <c r="K192" i="21" s="1"/>
  <c r="M188" i="21"/>
  <c r="M184" i="21"/>
  <c r="M180" i="21"/>
  <c r="H180" i="21" s="1"/>
  <c r="K180" i="21" s="1"/>
  <c r="M176" i="21"/>
  <c r="M172" i="21"/>
  <c r="M167" i="21"/>
  <c r="M163" i="21"/>
  <c r="H163" i="21" s="1"/>
  <c r="K163" i="21" s="1"/>
  <c r="M146" i="21"/>
  <c r="M142" i="21"/>
  <c r="M132" i="21"/>
  <c r="H132" i="21" s="1"/>
  <c r="J132" i="21" s="1"/>
  <c r="M128" i="21"/>
  <c r="M124" i="21"/>
  <c r="H124" i="21" s="1"/>
  <c r="K124" i="21" s="1"/>
  <c r="M118" i="21"/>
  <c r="H118" i="21" s="1"/>
  <c r="K118" i="21" s="1"/>
  <c r="M114" i="21"/>
  <c r="M103" i="21"/>
  <c r="M99" i="21"/>
  <c r="M95" i="21"/>
  <c r="M91" i="21"/>
  <c r="M87" i="21"/>
  <c r="M83" i="21"/>
  <c r="M79" i="21"/>
  <c r="M56" i="21"/>
  <c r="M52" i="21"/>
  <c r="M47" i="21"/>
  <c r="H47" i="21" s="1"/>
  <c r="J47" i="21" s="1"/>
  <c r="M42" i="21"/>
  <c r="M37" i="21"/>
  <c r="M33" i="21"/>
  <c r="M29" i="21"/>
  <c r="M25" i="21"/>
  <c r="H25" i="21" s="1"/>
  <c r="J25" i="21" s="1"/>
  <c r="M21" i="21"/>
  <c r="H21" i="21" s="1"/>
  <c r="J21" i="21" s="1"/>
  <c r="M517" i="21"/>
  <c r="M513" i="21"/>
  <c r="H513" i="21" s="1"/>
  <c r="K513" i="21" s="1"/>
  <c r="M509" i="21"/>
  <c r="H509" i="21" s="1"/>
  <c r="M505" i="21"/>
  <c r="M462" i="21"/>
  <c r="M461" i="21"/>
  <c r="M422" i="21"/>
  <c r="H422" i="21" s="1"/>
  <c r="K422" i="21" s="1"/>
  <c r="M418" i="21"/>
  <c r="M414" i="21"/>
  <c r="M410" i="21"/>
  <c r="M406" i="21"/>
  <c r="M402" i="21"/>
  <c r="M396" i="21"/>
  <c r="M391" i="21"/>
  <c r="H391" i="21" s="1"/>
  <c r="J391" i="21" s="1"/>
  <c r="M387" i="21"/>
  <c r="H387" i="21" s="1"/>
  <c r="J387" i="21" s="1"/>
  <c r="M383" i="21"/>
  <c r="H383" i="21" s="1"/>
  <c r="K383" i="21" s="1"/>
  <c r="M379" i="21"/>
  <c r="M375" i="21"/>
  <c r="M371" i="21"/>
  <c r="H371" i="21" s="1"/>
  <c r="M246" i="21"/>
  <c r="M242" i="21"/>
  <c r="M238" i="21"/>
  <c r="M201" i="21"/>
  <c r="H201" i="21" s="1"/>
  <c r="K201" i="21" s="1"/>
  <c r="M107" i="21"/>
  <c r="M119" i="21"/>
  <c r="M164" i="21"/>
  <c r="M147" i="21"/>
  <c r="M143" i="21"/>
  <c r="H143" i="21" s="1"/>
  <c r="J143" i="21" s="1"/>
  <c r="M133" i="21"/>
  <c r="H133" i="21" s="1"/>
  <c r="K133" i="21" s="1"/>
  <c r="M129" i="21"/>
  <c r="H129" i="21" s="1"/>
  <c r="J129" i="21" s="1"/>
  <c r="M125" i="21"/>
  <c r="M120" i="21"/>
  <c r="M115" i="21"/>
  <c r="M104" i="21"/>
  <c r="M100" i="21"/>
  <c r="H100" i="21" s="1"/>
  <c r="J100" i="21" s="1"/>
  <c r="M96" i="21"/>
  <c r="M92" i="21"/>
  <c r="H92" i="21" s="1"/>
  <c r="K92" i="21" s="1"/>
  <c r="M88" i="21"/>
  <c r="M84" i="21"/>
  <c r="M80" i="21"/>
  <c r="H80" i="21" s="1"/>
  <c r="J80" i="21" s="1"/>
  <c r="P136" i="21"/>
  <c r="P135" i="21"/>
  <c r="P462" i="21"/>
  <c r="P461" i="21"/>
  <c r="P137" i="21"/>
  <c r="M262" i="21"/>
  <c r="M258" i="21"/>
  <c r="H258" i="21" s="1"/>
  <c r="J258" i="21" s="1"/>
  <c r="M254" i="21"/>
  <c r="H254" i="21" s="1"/>
  <c r="K254" i="21" s="1"/>
  <c r="L254" i="21" s="1"/>
  <c r="M250" i="21"/>
  <c r="H250" i="21" s="1"/>
  <c r="K250" i="21" s="1"/>
  <c r="M245" i="21"/>
  <c r="M241" i="21"/>
  <c r="M237" i="21"/>
  <c r="M200" i="21"/>
  <c r="M157" i="21"/>
  <c r="M153" i="21"/>
  <c r="M73" i="21"/>
  <c r="H73" i="21" s="1"/>
  <c r="K73" i="21" s="1"/>
  <c r="H478" i="21"/>
  <c r="J478" i="21" s="1"/>
  <c r="H680" i="21"/>
  <c r="J680" i="21" s="1"/>
  <c r="H733" i="21"/>
  <c r="J733" i="21" s="1"/>
  <c r="H670" i="21"/>
  <c r="J670" i="21" s="1"/>
  <c r="H782" i="21"/>
  <c r="K782" i="21" s="1"/>
  <c r="H468" i="21"/>
  <c r="J468" i="21" s="1"/>
  <c r="H794" i="21"/>
  <c r="J794" i="21" s="1"/>
  <c r="H777" i="21"/>
  <c r="J777" i="21" s="1"/>
  <c r="H770" i="21"/>
  <c r="J770" i="21" s="1"/>
  <c r="I42" i="21"/>
  <c r="H758" i="21"/>
  <c r="K758" i="21" s="1"/>
  <c r="H325" i="21"/>
  <c r="K325" i="21" s="1"/>
  <c r="H658" i="21"/>
  <c r="J658" i="21" s="1"/>
  <c r="H774" i="21"/>
  <c r="J774" i="21" s="1"/>
  <c r="H734" i="21"/>
  <c r="J734" i="21" s="1"/>
  <c r="H644" i="21"/>
  <c r="J644" i="21" s="1"/>
  <c r="Y411" i="21"/>
  <c r="I312" i="21"/>
  <c r="Y312" i="21"/>
  <c r="X249" i="21"/>
  <c r="I249" i="21"/>
  <c r="Y203" i="21"/>
  <c r="I203" i="21"/>
  <c r="X375" i="21"/>
  <c r="I375" i="21"/>
  <c r="Y345" i="21"/>
  <c r="I345" i="21"/>
  <c r="Y343" i="21"/>
  <c r="I343" i="21"/>
  <c r="Y280" i="21"/>
  <c r="I280" i="21"/>
  <c r="Y274" i="21"/>
  <c r="Y272" i="21"/>
  <c r="I272" i="21"/>
  <c r="Y231" i="21"/>
  <c r="I231" i="21"/>
  <c r="X218" i="21"/>
  <c r="I218" i="21"/>
  <c r="Y212" i="21"/>
  <c r="I212" i="21"/>
  <c r="X86" i="21"/>
  <c r="I86" i="21"/>
  <c r="K724" i="21"/>
  <c r="X284" i="21"/>
  <c r="X235" i="21"/>
  <c r="I235" i="21"/>
  <c r="X356" i="21"/>
  <c r="Y295" i="21"/>
  <c r="I295" i="21"/>
  <c r="X290" i="21"/>
  <c r="I290" i="21"/>
  <c r="Y238" i="21"/>
  <c r="Y236" i="21"/>
  <c r="I236" i="21"/>
  <c r="Y176" i="21"/>
  <c r="I176" i="21"/>
  <c r="Y174" i="21"/>
  <c r="I174" i="21"/>
  <c r="Y172" i="21"/>
  <c r="I172" i="21"/>
  <c r="X121" i="21"/>
  <c r="I121" i="21"/>
  <c r="Y359" i="21"/>
  <c r="X242" i="21"/>
  <c r="I242" i="21"/>
  <c r="X240" i="21"/>
  <c r="I240" i="21"/>
  <c r="Y368" i="21"/>
  <c r="I368" i="21"/>
  <c r="X324" i="21"/>
  <c r="I324" i="21"/>
  <c r="Y302" i="21"/>
  <c r="K757" i="21"/>
  <c r="Y327" i="21"/>
  <c r="I327" i="21"/>
  <c r="Y307" i="21"/>
  <c r="Y305" i="21"/>
  <c r="I305" i="21"/>
  <c r="Y247" i="21"/>
  <c r="I247" i="21"/>
  <c r="X187" i="21"/>
  <c r="I187" i="21"/>
  <c r="Y144" i="21"/>
  <c r="I144" i="21"/>
  <c r="Y142" i="21"/>
  <c r="Y138" i="21"/>
  <c r="I138" i="21"/>
  <c r="I311" i="21"/>
  <c r="X311" i="21"/>
  <c r="X148" i="21"/>
  <c r="I148" i="21"/>
  <c r="J49" i="21"/>
  <c r="K49" i="21"/>
  <c r="K687" i="21"/>
  <c r="J687" i="21"/>
  <c r="K816" i="21"/>
  <c r="J816" i="21"/>
  <c r="K726" i="21"/>
  <c r="J726" i="21"/>
  <c r="K521" i="21"/>
  <c r="J521" i="21"/>
  <c r="K783" i="21"/>
  <c r="J783" i="21"/>
  <c r="K59" i="21"/>
  <c r="J59" i="21"/>
  <c r="K727" i="21"/>
  <c r="J727" i="21"/>
  <c r="J685" i="21"/>
  <c r="K685" i="21"/>
  <c r="J516" i="21"/>
  <c r="K524" i="21"/>
  <c r="J524" i="21"/>
  <c r="K501" i="21"/>
  <c r="J501" i="21"/>
  <c r="K195" i="21"/>
  <c r="J195" i="21"/>
  <c r="J683" i="21"/>
  <c r="J681" i="21"/>
  <c r="K370" i="21"/>
  <c r="L370" i="21" s="1"/>
  <c r="J370" i="21"/>
  <c r="K327" i="21"/>
  <c r="J327" i="21"/>
  <c r="K699" i="21"/>
  <c r="J454" i="21"/>
  <c r="K336" i="21"/>
  <c r="J336" i="21"/>
  <c r="K160" i="21"/>
  <c r="L160" i="21" s="1"/>
  <c r="J160" i="21"/>
  <c r="K354" i="21"/>
  <c r="J731" i="21"/>
  <c r="K748" i="21"/>
  <c r="J544" i="21"/>
  <c r="J543" i="21"/>
  <c r="J150" i="21"/>
  <c r="K150" i="21"/>
  <c r="K77" i="21"/>
  <c r="L77" i="21" s="1"/>
  <c r="J77" i="21"/>
  <c r="H443" i="21"/>
  <c r="X42" i="21"/>
  <c r="Y43" i="21"/>
  <c r="J50" i="21"/>
  <c r="K332" i="21"/>
  <c r="J332" i="21"/>
  <c r="J58" i="21"/>
  <c r="J713" i="21"/>
  <c r="J686" i="21"/>
  <c r="J520" i="21"/>
  <c r="J248" i="21"/>
  <c r="K426" i="21"/>
  <c r="J426" i="21"/>
  <c r="K249" i="21"/>
  <c r="J249" i="21"/>
  <c r="K721" i="21"/>
  <c r="K45" i="21"/>
  <c r="K793" i="21"/>
  <c r="J701" i="21"/>
  <c r="K676" i="21"/>
  <c r="K362" i="21"/>
  <c r="J362" i="21"/>
  <c r="J235" i="21"/>
  <c r="J196" i="21"/>
  <c r="J759" i="21"/>
  <c r="J722" i="21"/>
  <c r="K674" i="21"/>
  <c r="J579" i="21"/>
  <c r="J292" i="21"/>
  <c r="K197" i="21"/>
  <c r="L197" i="21" s="1"/>
  <c r="J197" i="21"/>
  <c r="J750" i="21"/>
  <c r="J690" i="21"/>
  <c r="J275" i="21"/>
  <c r="J139" i="21"/>
  <c r="J203" i="21"/>
  <c r="I55" i="21"/>
  <c r="J798" i="21"/>
  <c r="K798" i="21"/>
  <c r="J800" i="21"/>
  <c r="K800" i="21"/>
  <c r="J818" i="21"/>
  <c r="K818" i="21"/>
  <c r="J393" i="21"/>
  <c r="K393" i="21"/>
  <c r="J790" i="21"/>
  <c r="K790" i="21"/>
  <c r="K788" i="21"/>
  <c r="J788" i="21"/>
  <c r="J815" i="21"/>
  <c r="K815" i="21"/>
  <c r="K792" i="21"/>
  <c r="K780" i="21"/>
  <c r="J780" i="21"/>
  <c r="K778" i="21"/>
  <c r="J633" i="21"/>
  <c r="K633" i="21"/>
  <c r="J629" i="21"/>
  <c r="K629" i="21"/>
  <c r="K769" i="21"/>
  <c r="J684" i="21"/>
  <c r="K684" i="21"/>
  <c r="J682" i="21"/>
  <c r="K682" i="21"/>
  <c r="J667" i="21"/>
  <c r="K667" i="21"/>
  <c r="J665" i="21"/>
  <c r="K665" i="21"/>
  <c r="K654" i="21"/>
  <c r="J634" i="21"/>
  <c r="K634" i="21"/>
  <c r="K620" i="21"/>
  <c r="J763" i="21"/>
  <c r="J744" i="21"/>
  <c r="K744" i="21"/>
  <c r="K703" i="21"/>
  <c r="K668" i="21"/>
  <c r="J694" i="21"/>
  <c r="K694" i="21"/>
  <c r="J677" i="21"/>
  <c r="K677" i="21"/>
  <c r="J675" i="21"/>
  <c r="K675" i="21"/>
  <c r="J673" i="21"/>
  <c r="K673" i="21"/>
  <c r="J669" i="21"/>
  <c r="K669" i="21"/>
  <c r="J498" i="21"/>
  <c r="K602" i="21"/>
  <c r="K814" i="21"/>
  <c r="K802" i="21"/>
  <c r="K799" i="21"/>
  <c r="J718" i="21"/>
  <c r="K718" i="21"/>
  <c r="J691" i="21"/>
  <c r="K691" i="21"/>
  <c r="J671" i="21"/>
  <c r="K671" i="21"/>
  <c r="J615" i="21"/>
  <c r="K587" i="21"/>
  <c r="J587" i="21"/>
  <c r="J751" i="21"/>
  <c r="K751" i="21"/>
  <c r="K720" i="21"/>
  <c r="K601" i="21"/>
  <c r="J601" i="21"/>
  <c r="J723" i="21"/>
  <c r="K723" i="21"/>
  <c r="K719" i="21"/>
  <c r="J688" i="21"/>
  <c r="K688" i="21"/>
  <c r="J663" i="21"/>
  <c r="K663" i="21"/>
  <c r="J728" i="21"/>
  <c r="K728" i="21"/>
  <c r="J631" i="21"/>
  <c r="K631" i="21"/>
  <c r="K624" i="21"/>
  <c r="K623" i="21"/>
  <c r="L623" i="21" s="1"/>
  <c r="K627" i="21"/>
  <c r="J545" i="21"/>
  <c r="K545" i="21"/>
  <c r="L545" i="21" s="1"/>
  <c r="J369" i="21"/>
  <c r="K369" i="21"/>
  <c r="K600" i="21"/>
  <c r="L600" i="21" s="1"/>
  <c r="J541" i="21"/>
  <c r="K541" i="21"/>
  <c r="J526" i="21"/>
  <c r="K526" i="21"/>
  <c r="J493" i="21"/>
  <c r="K493" i="21"/>
  <c r="J316" i="21"/>
  <c r="J626" i="21"/>
  <c r="J469" i="21"/>
  <c r="K469" i="21"/>
  <c r="L469" i="21" s="1"/>
  <c r="K131" i="21"/>
  <c r="J538" i="21"/>
  <c r="K538" i="21"/>
  <c r="J522" i="21"/>
  <c r="K522" i="21"/>
  <c r="J489" i="21"/>
  <c r="K489" i="21"/>
  <c r="J464" i="21"/>
  <c r="K289" i="21"/>
  <c r="J289" i="21"/>
  <c r="J502" i="21"/>
  <c r="K502" i="21"/>
  <c r="J165" i="21"/>
  <c r="J106" i="21"/>
  <c r="K106" i="21"/>
  <c r="J69" i="21"/>
  <c r="J138" i="21"/>
  <c r="K138" i="21"/>
  <c r="J109" i="21"/>
  <c r="K109" i="21"/>
  <c r="L109" i="21" s="1"/>
  <c r="K542" i="21"/>
  <c r="K539" i="21"/>
  <c r="K527" i="21"/>
  <c r="K523" i="21"/>
  <c r="L523" i="21" s="1"/>
  <c r="K453" i="21"/>
  <c r="K449" i="21"/>
  <c r="K441" i="21"/>
  <c r="J85" i="21"/>
  <c r="J98" i="21"/>
  <c r="J68" i="21"/>
  <c r="K68" i="21"/>
  <c r="L68" i="21" s="1"/>
  <c r="J57" i="21"/>
  <c r="K57" i="21"/>
  <c r="J41" i="21"/>
  <c r="K41" i="21"/>
  <c r="J40" i="21"/>
  <c r="K40" i="21"/>
  <c r="Q695" i="31"/>
  <c r="Q554" i="31"/>
  <c r="Q538" i="31"/>
  <c r="Q474" i="31"/>
  <c r="Q338" i="31"/>
  <c r="Q330" i="31"/>
  <c r="Q258" i="31"/>
  <c r="Q250" i="31"/>
  <c r="Q242" i="31"/>
  <c r="Q234" i="31"/>
  <c r="Q210" i="31"/>
  <c r="Q170" i="31"/>
  <c r="Q138" i="31"/>
  <c r="C129" i="31"/>
  <c r="D119" i="21" s="1"/>
  <c r="P131" i="31"/>
  <c r="N323" i="21" s="1"/>
  <c r="C127" i="31"/>
  <c r="D111" i="21" s="1"/>
  <c r="F111" i="21" s="1"/>
  <c r="Q115" i="31"/>
  <c r="Q99" i="31"/>
  <c r="Q12" i="31"/>
  <c r="Q347" i="31"/>
  <c r="Q339" i="31"/>
  <c r="Q251" i="31"/>
  <c r="Q114" i="31"/>
  <c r="Q106" i="31"/>
  <c r="Q98" i="31"/>
  <c r="Q82" i="31"/>
  <c r="Q35" i="31"/>
  <c r="S132" i="31"/>
  <c r="S128" i="31"/>
  <c r="Q694" i="31"/>
  <c r="S135" i="31"/>
  <c r="P129" i="31"/>
  <c r="N119" i="21" s="1"/>
  <c r="S134" i="31"/>
  <c r="S133" i="31"/>
  <c r="S126" i="31"/>
  <c r="P130" i="31"/>
  <c r="N285" i="21" s="1"/>
  <c r="S127" i="31"/>
  <c r="Q804" i="31"/>
  <c r="Q788" i="31"/>
  <c r="Q764" i="31"/>
  <c r="Q756" i="31"/>
  <c r="Q700" i="31"/>
  <c r="Q631" i="31"/>
  <c r="Q583" i="31"/>
  <c r="Q495" i="31"/>
  <c r="Q487" i="31"/>
  <c r="Q479" i="31"/>
  <c r="Q471" i="31"/>
  <c r="Q200" i="31"/>
  <c r="Q176" i="31"/>
  <c r="Q168" i="31"/>
  <c r="Q160" i="31"/>
  <c r="Q152" i="31"/>
  <c r="Q136" i="31"/>
  <c r="Q41" i="31"/>
  <c r="Q25" i="31"/>
  <c r="Q17" i="31"/>
  <c r="C132" i="31"/>
  <c r="D398" i="21" s="1"/>
  <c r="Q790" i="31"/>
  <c r="Q758" i="31"/>
  <c r="Q742" i="31"/>
  <c r="P128" i="31"/>
  <c r="N112" i="21" s="1"/>
  <c r="P132" i="31"/>
  <c r="N398" i="21" s="1"/>
  <c r="Q132" i="31"/>
  <c r="Q131" i="31"/>
  <c r="C131" i="31"/>
  <c r="D323" i="21" s="1"/>
  <c r="Q789" i="31"/>
  <c r="Q741" i="31"/>
  <c r="Q701" i="31"/>
  <c r="Q693" i="31"/>
  <c r="Q337" i="31"/>
  <c r="Q329" i="31"/>
  <c r="Q249" i="31"/>
  <c r="Q177" i="31"/>
  <c r="Q153" i="31"/>
  <c r="Q145" i="31"/>
  <c r="Q137" i="31"/>
  <c r="Q113" i="31"/>
  <c r="Q89" i="31"/>
  <c r="Q73" i="31"/>
  <c r="Q26" i="31"/>
  <c r="Q18" i="31"/>
  <c r="Q10" i="31"/>
  <c r="S131" i="31"/>
  <c r="P127" i="31"/>
  <c r="N111" i="21" s="1"/>
  <c r="S130" i="31"/>
  <c r="C133" i="31"/>
  <c r="D446" i="21" s="1"/>
  <c r="G446" i="21" s="1"/>
  <c r="C134" i="31"/>
  <c r="D497" i="21" s="1"/>
  <c r="Q133" i="31"/>
  <c r="O134" i="31"/>
  <c r="O133" i="31"/>
  <c r="O126" i="31"/>
  <c r="O144" i="21" s="1"/>
  <c r="C130" i="31"/>
  <c r="D285" i="21" s="1"/>
  <c r="Q130" i="31"/>
  <c r="Q129" i="31"/>
  <c r="C128" i="31"/>
  <c r="D112" i="21" s="1"/>
  <c r="Q128" i="31"/>
  <c r="Q784" i="31"/>
  <c r="Q752" i="31"/>
  <c r="Q744" i="31"/>
  <c r="Q635" i="31"/>
  <c r="Q539" i="31"/>
  <c r="Q515" i="31"/>
  <c r="Q467" i="31"/>
  <c r="Q252" i="31"/>
  <c r="Q236" i="31"/>
  <c r="Q204" i="31"/>
  <c r="Q164" i="31"/>
  <c r="Q108" i="31"/>
  <c r="Q100" i="31"/>
  <c r="Q13" i="31"/>
  <c r="Q127" i="31"/>
  <c r="C135" i="31"/>
  <c r="D743" i="21" s="1"/>
  <c r="F743" i="21" s="1"/>
  <c r="Q134" i="31"/>
  <c r="O135" i="31"/>
  <c r="Q763" i="31"/>
  <c r="Q676" i="31"/>
  <c r="Q638" i="31"/>
  <c r="Q630" i="31"/>
  <c r="Q454" i="31"/>
  <c r="Q287" i="31"/>
  <c r="Q207" i="31"/>
  <c r="Q199" i="31"/>
  <c r="Q167" i="31"/>
  <c r="Q87" i="31"/>
  <c r="Q71" i="31"/>
  <c r="Q24" i="31"/>
  <c r="Q8" i="31"/>
  <c r="Q785" i="31"/>
  <c r="Q745" i="31"/>
  <c r="Q737" i="31"/>
  <c r="Q721" i="31"/>
  <c r="Q556" i="31"/>
  <c r="Q532" i="31"/>
  <c r="Q492" i="31"/>
  <c r="Q468" i="31"/>
  <c r="Q405" i="31"/>
  <c r="Q357" i="31"/>
  <c r="Q341" i="31"/>
  <c r="Q261" i="31"/>
  <c r="Q253" i="31"/>
  <c r="Q245" i="31"/>
  <c r="Q229" i="31"/>
  <c r="Q205" i="31"/>
  <c r="Q173" i="31"/>
  <c r="Q165" i="31"/>
  <c r="Q149" i="31"/>
  <c r="Q101" i="31"/>
  <c r="Q69" i="31"/>
  <c r="Q150" i="31"/>
  <c r="Q259" i="31"/>
  <c r="Q235" i="31"/>
  <c r="Q786" i="31"/>
  <c r="Q762" i="31"/>
  <c r="Q746" i="31"/>
  <c r="Q637" i="31"/>
  <c r="Q629" i="31"/>
  <c r="Q597" i="31"/>
  <c r="Q493" i="31"/>
  <c r="Q469" i="31"/>
  <c r="Q414" i="31"/>
  <c r="Q342" i="31"/>
  <c r="Q254" i="31"/>
  <c r="Q246" i="31"/>
  <c r="Q230" i="31"/>
  <c r="Q206" i="31"/>
  <c r="Q166" i="31"/>
  <c r="Q142" i="31"/>
  <c r="Q102" i="31"/>
  <c r="Q94" i="31"/>
  <c r="Q86" i="31"/>
  <c r="Q70" i="31"/>
  <c r="Q39" i="31"/>
  <c r="Q15" i="31"/>
  <c r="Q743" i="31"/>
  <c r="Q458" i="31"/>
  <c r="Q371" i="31"/>
  <c r="Q243" i="31"/>
  <c r="Q107" i="31"/>
  <c r="Q6" i="31"/>
  <c r="J659" i="21" l="1"/>
  <c r="K659" i="21"/>
  <c r="K642" i="21"/>
  <c r="J642" i="21"/>
  <c r="J737" i="21"/>
  <c r="K737" i="21"/>
  <c r="K586" i="21"/>
  <c r="K745" i="21"/>
  <c r="J439" i="21"/>
  <c r="H295" i="21"/>
  <c r="K295" i="21" s="1"/>
  <c r="H376" i="21"/>
  <c r="J376" i="21" s="1"/>
  <c r="H418" i="21"/>
  <c r="K418" i="21" s="1"/>
  <c r="H313" i="21"/>
  <c r="J313" i="21" s="1"/>
  <c r="H514" i="21"/>
  <c r="J514" i="21" s="1"/>
  <c r="H477" i="21"/>
  <c r="H46" i="21"/>
  <c r="J583" i="21"/>
  <c r="K749" i="21"/>
  <c r="H368" i="21"/>
  <c r="J368" i="21" s="1"/>
  <c r="H157" i="21"/>
  <c r="K157" i="21" s="1"/>
  <c r="H83" i="21"/>
  <c r="J83" i="21" s="1"/>
  <c r="H576" i="21"/>
  <c r="K576" i="21" s="1"/>
  <c r="H392" i="21"/>
  <c r="J392" i="21" s="1"/>
  <c r="H458" i="21"/>
  <c r="K458" i="21" s="1"/>
  <c r="H635" i="21"/>
  <c r="J635" i="21" s="1"/>
  <c r="H459" i="21"/>
  <c r="K459" i="21" s="1"/>
  <c r="H55" i="21"/>
  <c r="J55" i="21" s="1"/>
  <c r="H183" i="21"/>
  <c r="J183" i="21" s="1"/>
  <c r="H452" i="21"/>
  <c r="K452" i="21" s="1"/>
  <c r="H377" i="21"/>
  <c r="J377" i="21" s="1"/>
  <c r="K365" i="21"/>
  <c r="H33" i="21"/>
  <c r="K33" i="21" s="1"/>
  <c r="L33" i="21" s="1"/>
  <c r="H186" i="21"/>
  <c r="K186" i="21" s="1"/>
  <c r="H266" i="21"/>
  <c r="J266" i="21" s="1"/>
  <c r="K753" i="21"/>
  <c r="H584" i="21"/>
  <c r="K584" i="21" s="1"/>
  <c r="H191" i="21"/>
  <c r="J191" i="21" s="1"/>
  <c r="J473" i="21"/>
  <c r="J500" i="21"/>
  <c r="H496" i="21"/>
  <c r="K496" i="21" s="1"/>
  <c r="H81" i="21"/>
  <c r="H232" i="21"/>
  <c r="K232" i="21" s="1"/>
  <c r="H431" i="21"/>
  <c r="K431" i="21" s="1"/>
  <c r="J773" i="21"/>
  <c r="K773" i="21"/>
  <c r="J657" i="21"/>
  <c r="K657" i="21"/>
  <c r="J689" i="21"/>
  <c r="K689" i="21"/>
  <c r="K809" i="21"/>
  <c r="J809" i="21"/>
  <c r="J170" i="21"/>
  <c r="K170" i="21"/>
  <c r="K640" i="21"/>
  <c r="J640" i="21"/>
  <c r="J756" i="21"/>
  <c r="K756" i="21"/>
  <c r="J789" i="21"/>
  <c r="K789" i="21"/>
  <c r="J656" i="21"/>
  <c r="K656" i="21"/>
  <c r="J598" i="21"/>
  <c r="H153" i="21"/>
  <c r="J153" i="21" s="1"/>
  <c r="H79" i="21"/>
  <c r="K79" i="21" s="1"/>
  <c r="H202" i="21"/>
  <c r="J202" i="21" s="1"/>
  <c r="H189" i="21"/>
  <c r="K189" i="21" s="1"/>
  <c r="H216" i="21"/>
  <c r="J216" i="21" s="1"/>
  <c r="H366" i="21"/>
  <c r="J366" i="21" s="1"/>
  <c r="H466" i="21"/>
  <c r="K466" i="21" s="1"/>
  <c r="H306" i="21"/>
  <c r="J306" i="21" s="1"/>
  <c r="H78" i="21"/>
  <c r="K78" i="21" s="1"/>
  <c r="H528" i="21"/>
  <c r="J528" i="21" s="1"/>
  <c r="H416" i="21"/>
  <c r="J416" i="21" s="1"/>
  <c r="H475" i="21"/>
  <c r="K475" i="21" s="1"/>
  <c r="H467" i="21"/>
  <c r="K467" i="21" s="1"/>
  <c r="H54" i="21"/>
  <c r="H574" i="21"/>
  <c r="J574" i="21" s="1"/>
  <c r="H390" i="21"/>
  <c r="J390" i="21" s="1"/>
  <c r="H625" i="21"/>
  <c r="J625" i="21" s="1"/>
  <c r="H268" i="21"/>
  <c r="K268" i="21" s="1"/>
  <c r="H451" i="21"/>
  <c r="K451" i="21" s="1"/>
  <c r="H424" i="21"/>
  <c r="J595" i="21"/>
  <c r="H582" i="21"/>
  <c r="H512" i="21"/>
  <c r="K512" i="21" s="1"/>
  <c r="H209" i="21"/>
  <c r="H309" i="21"/>
  <c r="J309" i="21" s="1"/>
  <c r="H112" i="21"/>
  <c r="J112" i="21" s="1"/>
  <c r="J338" i="21"/>
  <c r="H120" i="21"/>
  <c r="J120" i="21" s="1"/>
  <c r="H56" i="21"/>
  <c r="J56" i="21" s="1"/>
  <c r="H264" i="21"/>
  <c r="J264" i="21" s="1"/>
  <c r="H374" i="21"/>
  <c r="K374" i="21" s="1"/>
  <c r="J715" i="21"/>
  <c r="K715" i="21"/>
  <c r="K761" i="21"/>
  <c r="J244" i="21"/>
  <c r="H42" i="21"/>
  <c r="J42" i="21" s="1"/>
  <c r="J730" i="21"/>
  <c r="J446" i="21"/>
  <c r="K655" i="21"/>
  <c r="J589" i="21"/>
  <c r="K747" i="21"/>
  <c r="K653" i="21"/>
  <c r="H312" i="21"/>
  <c r="J312" i="21" s="1"/>
  <c r="J705" i="21"/>
  <c r="K772" i="21"/>
  <c r="K741" i="21"/>
  <c r="J784" i="21"/>
  <c r="K636" i="21"/>
  <c r="J344" i="21"/>
  <c r="K661" i="21"/>
  <c r="K735" i="21"/>
  <c r="J641" i="21"/>
  <c r="K678" i="21"/>
  <c r="K382" i="21"/>
  <c r="J706" i="21"/>
  <c r="J434" i="21"/>
  <c r="J754" i="21"/>
  <c r="J637" i="21"/>
  <c r="J225" i="21"/>
  <c r="H345" i="21"/>
  <c r="K704" i="21"/>
  <c r="J480" i="21"/>
  <c r="K714" i="21"/>
  <c r="H144" i="21"/>
  <c r="J144" i="21" s="1"/>
  <c r="K645" i="21"/>
  <c r="G111" i="21"/>
  <c r="H311" i="21"/>
  <c r="K311" i="21" s="1"/>
  <c r="H187" i="21"/>
  <c r="J187" i="21" s="1"/>
  <c r="K519" i="21"/>
  <c r="J609" i="21"/>
  <c r="J805" i="21"/>
  <c r="K308" i="21"/>
  <c r="K605" i="21"/>
  <c r="J649" i="21"/>
  <c r="K643" i="21"/>
  <c r="J736" i="21"/>
  <c r="K660" i="21"/>
  <c r="K795" i="21"/>
  <c r="K764" i="21"/>
  <c r="J571" i="21"/>
  <c r="J233" i="21"/>
  <c r="J762" i="21"/>
  <c r="J269" i="21"/>
  <c r="K465" i="21"/>
  <c r="K752" i="21"/>
  <c r="K570" i="21"/>
  <c r="K732" i="21"/>
  <c r="K712" i="21"/>
  <c r="K111" i="21"/>
  <c r="K457" i="21"/>
  <c r="K515" i="21"/>
  <c r="K791" i="21"/>
  <c r="K797" i="21"/>
  <c r="K334" i="21"/>
  <c r="K672" i="21"/>
  <c r="K266" i="21"/>
  <c r="L266" i="21" s="1"/>
  <c r="K700" i="21"/>
  <c r="K612" i="21"/>
  <c r="K224" i="21"/>
  <c r="K804" i="21"/>
  <c r="K702" i="21"/>
  <c r="J342" i="21"/>
  <c r="K373" i="21"/>
  <c r="K729" i="21"/>
  <c r="K617" i="21"/>
  <c r="J466" i="21"/>
  <c r="J438" i="21"/>
  <c r="R129" i="31"/>
  <c r="J79" i="21"/>
  <c r="H343" i="21"/>
  <c r="K343" i="21" s="1"/>
  <c r="K433" i="21"/>
  <c r="K105" i="21"/>
  <c r="K531" i="21"/>
  <c r="H280" i="21"/>
  <c r="J280" i="21" s="1"/>
  <c r="K100" i="21"/>
  <c r="K574" i="21"/>
  <c r="J265" i="21"/>
  <c r="J467" i="21"/>
  <c r="J152" i="21"/>
  <c r="J621" i="21"/>
  <c r="H148" i="21"/>
  <c r="K148" i="21" s="1"/>
  <c r="J585" i="21"/>
  <c r="J610" i="21"/>
  <c r="K390" i="21"/>
  <c r="L390" i="21" s="1"/>
  <c r="K367" i="21"/>
  <c r="J168" i="21"/>
  <c r="J553" i="21"/>
  <c r="K755" i="21"/>
  <c r="K112" i="21"/>
  <c r="K56" i="21"/>
  <c r="L56" i="21" s="1"/>
  <c r="K320" i="21"/>
  <c r="L320" i="21" s="1"/>
  <c r="G112" i="21"/>
  <c r="K510" i="21"/>
  <c r="J817" i="21"/>
  <c r="K25" i="21"/>
  <c r="K432" i="21"/>
  <c r="K415" i="21"/>
  <c r="J422" i="21"/>
  <c r="J223" i="21"/>
  <c r="K666" i="21"/>
  <c r="J126" i="21"/>
  <c r="K258" i="21"/>
  <c r="K309" i="21"/>
  <c r="H240" i="21"/>
  <c r="K240" i="21" s="1"/>
  <c r="H290" i="21"/>
  <c r="J290" i="21" s="1"/>
  <c r="K214" i="21"/>
  <c r="J118" i="21"/>
  <c r="K387" i="21"/>
  <c r="H172" i="21"/>
  <c r="J172" i="21" s="1"/>
  <c r="J201" i="21"/>
  <c r="K216" i="21"/>
  <c r="K644" i="21"/>
  <c r="K376" i="21"/>
  <c r="J297" i="21"/>
  <c r="K277" i="21"/>
  <c r="J513" i="21"/>
  <c r="J282" i="21"/>
  <c r="J335" i="21"/>
  <c r="J512" i="21"/>
  <c r="K550" i="21"/>
  <c r="J630" i="21"/>
  <c r="H324" i="21"/>
  <c r="K324" i="21" s="1"/>
  <c r="H272" i="21"/>
  <c r="K272" i="21" s="1"/>
  <c r="K743" i="21"/>
  <c r="K607" i="21"/>
  <c r="G743" i="21"/>
  <c r="K401" i="21"/>
  <c r="J283" i="21"/>
  <c r="J529" i="21"/>
  <c r="H121" i="21"/>
  <c r="J121" i="21" s="1"/>
  <c r="H236" i="21"/>
  <c r="K236" i="21" s="1"/>
  <c r="J318" i="21"/>
  <c r="J222" i="21"/>
  <c r="J455" i="21"/>
  <c r="J472" i="21"/>
  <c r="K363" i="21"/>
  <c r="K306" i="21"/>
  <c r="J67" i="21"/>
  <c r="K588" i="21"/>
  <c r="K377" i="21"/>
  <c r="J192" i="21"/>
  <c r="J423" i="21"/>
  <c r="J573" i="21"/>
  <c r="K639" i="21"/>
  <c r="J33" i="21"/>
  <c r="K549" i="21"/>
  <c r="J483" i="21"/>
  <c r="J293" i="21"/>
  <c r="J463" i="21"/>
  <c r="J378" i="21"/>
  <c r="H305" i="21"/>
  <c r="J305" i="21" s="1"/>
  <c r="K304" i="21"/>
  <c r="K794" i="21"/>
  <c r="K313" i="21"/>
  <c r="J603" i="21"/>
  <c r="J351" i="21"/>
  <c r="H218" i="21"/>
  <c r="K218" i="21" s="1"/>
  <c r="K264" i="21"/>
  <c r="L264" i="21" s="1"/>
  <c r="K129" i="21"/>
  <c r="J157" i="21"/>
  <c r="K391" i="21"/>
  <c r="K93" i="21"/>
  <c r="J254" i="21"/>
  <c r="J374" i="21"/>
  <c r="K143" i="21"/>
  <c r="J299" i="21"/>
  <c r="K83" i="21"/>
  <c r="J186" i="21"/>
  <c r="H176" i="21"/>
  <c r="K176" i="21" s="1"/>
  <c r="J576" i="21"/>
  <c r="J400" i="21"/>
  <c r="K368" i="21"/>
  <c r="J78" i="21"/>
  <c r="K149" i="21"/>
  <c r="K725" i="21"/>
  <c r="J725" i="21"/>
  <c r="K518" i="21"/>
  <c r="J518" i="21"/>
  <c r="J345" i="21"/>
  <c r="K345" i="21"/>
  <c r="K35" i="21"/>
  <c r="L35" i="21" s="1"/>
  <c r="J190" i="21"/>
  <c r="K317" i="21"/>
  <c r="J221" i="21"/>
  <c r="K191" i="21"/>
  <c r="J608" i="21"/>
  <c r="K366" i="21"/>
  <c r="K303" i="21"/>
  <c r="K638" i="21"/>
  <c r="J471" i="21"/>
  <c r="J328" i="21"/>
  <c r="J180" i="21"/>
  <c r="K670" i="21"/>
  <c r="J448" i="21"/>
  <c r="H231" i="21"/>
  <c r="K231" i="21" s="1"/>
  <c r="J189" i="21"/>
  <c r="K774" i="21"/>
  <c r="J44" i="21"/>
  <c r="K202" i="21"/>
  <c r="L202" i="21" s="1"/>
  <c r="J133" i="21"/>
  <c r="J199" i="21"/>
  <c r="K580" i="21"/>
  <c r="L580" i="21" s="1"/>
  <c r="J92" i="21"/>
  <c r="J534" i="21"/>
  <c r="K534" i="21"/>
  <c r="J452" i="21"/>
  <c r="K635" i="21"/>
  <c r="J458" i="21"/>
  <c r="K193" i="21"/>
  <c r="K392" i="21"/>
  <c r="K132" i="21"/>
  <c r="J295" i="21"/>
  <c r="J475" i="21"/>
  <c r="J73" i="21"/>
  <c r="J226" i="21"/>
  <c r="K337" i="21"/>
  <c r="J459" i="21"/>
  <c r="J288" i="21"/>
  <c r="J584" i="21"/>
  <c r="J34" i="21"/>
  <c r="J577" i="21"/>
  <c r="J552" i="21"/>
  <c r="J310" i="21"/>
  <c r="J207" i="21"/>
  <c r="K71" i="21"/>
  <c r="L71" i="21" s="1"/>
  <c r="K312" i="21"/>
  <c r="J19" i="21"/>
  <c r="K19" i="21"/>
  <c r="J81" i="21"/>
  <c r="K81" i="21"/>
  <c r="J578" i="21"/>
  <c r="K578" i="21"/>
  <c r="J70" i="21"/>
  <c r="K70" i="21"/>
  <c r="K424" i="21"/>
  <c r="J424" i="21"/>
  <c r="K215" i="21"/>
  <c r="J215" i="21"/>
  <c r="K436" i="21"/>
  <c r="J436" i="21"/>
  <c r="K569" i="21"/>
  <c r="J569" i="21"/>
  <c r="J130" i="21"/>
  <c r="K130" i="21"/>
  <c r="K477" i="21"/>
  <c r="J477" i="21"/>
  <c r="K339" i="21"/>
  <c r="L339" i="21" s="1"/>
  <c r="J339" i="21"/>
  <c r="K444" i="21"/>
  <c r="K101" i="21"/>
  <c r="K611" i="21"/>
  <c r="K680" i="21"/>
  <c r="J314" i="21"/>
  <c r="J596" i="21"/>
  <c r="H174" i="21"/>
  <c r="J174" i="21" s="1"/>
  <c r="F446" i="21"/>
  <c r="K127" i="21"/>
  <c r="J325" i="21"/>
  <c r="K468" i="21"/>
  <c r="K625" i="21"/>
  <c r="J194" i="21"/>
  <c r="K514" i="21"/>
  <c r="J575" i="21"/>
  <c r="J151" i="21"/>
  <c r="J614" i="21"/>
  <c r="J232" i="21"/>
  <c r="J451" i="21"/>
  <c r="K361" i="21"/>
  <c r="J525" i="21"/>
  <c r="K658" i="21"/>
  <c r="J431" i="21"/>
  <c r="J156" i="21"/>
  <c r="H212" i="21"/>
  <c r="K212" i="21" s="1"/>
  <c r="H86" i="21"/>
  <c r="J86" i="21" s="1"/>
  <c r="K437" i="21"/>
  <c r="J124" i="21"/>
  <c r="J496" i="21"/>
  <c r="H247" i="21"/>
  <c r="K247" i="21" s="1"/>
  <c r="J163" i="21"/>
  <c r="J460" i="21"/>
  <c r="J234" i="21"/>
  <c r="K420" i="21"/>
  <c r="J239" i="21"/>
  <c r="J418" i="21"/>
  <c r="J372" i="21"/>
  <c r="K42" i="21"/>
  <c r="K97" i="21"/>
  <c r="J250" i="21"/>
  <c r="K80" i="21"/>
  <c r="K47" i="21"/>
  <c r="K51" i="21"/>
  <c r="J94" i="21"/>
  <c r="J134" i="21"/>
  <c r="J333" i="21"/>
  <c r="H375" i="21"/>
  <c r="J375" i="21" s="1"/>
  <c r="K632" i="21"/>
  <c r="K777" i="21"/>
  <c r="J322" i="21"/>
  <c r="J343" i="21"/>
  <c r="J782" i="21"/>
  <c r="K770" i="21"/>
  <c r="K55" i="21"/>
  <c r="K32" i="21"/>
  <c r="L32" i="21" s="1"/>
  <c r="K445" i="21"/>
  <c r="K613" i="21"/>
  <c r="K530" i="21"/>
  <c r="J243" i="21"/>
  <c r="K478" i="21"/>
  <c r="J311" i="21"/>
  <c r="J758" i="21"/>
  <c r="J383" i="21"/>
  <c r="K183" i="21"/>
  <c r="J581" i="21"/>
  <c r="J240" i="21"/>
  <c r="K263" i="21"/>
  <c r="L263" i="21" s="1"/>
  <c r="K123" i="21"/>
  <c r="J123" i="21"/>
  <c r="P134" i="31"/>
  <c r="N497" i="21" s="1"/>
  <c r="O497" i="21"/>
  <c r="K166" i="21"/>
  <c r="L166" i="21" s="1"/>
  <c r="J166" i="21"/>
  <c r="K46" i="21"/>
  <c r="J46" i="21"/>
  <c r="K319" i="21"/>
  <c r="J319" i="21"/>
  <c r="P135" i="31"/>
  <c r="O743" i="21"/>
  <c r="P133" i="31"/>
  <c r="N446" i="21" s="1"/>
  <c r="O446" i="21"/>
  <c r="K394" i="21"/>
  <c r="K381" i="21"/>
  <c r="J296" i="21"/>
  <c r="H242" i="21"/>
  <c r="K242" i="21" s="1"/>
  <c r="J355" i="21"/>
  <c r="K733" i="21"/>
  <c r="K734" i="21"/>
  <c r="J364" i="21"/>
  <c r="K291" i="21"/>
  <c r="K21" i="21"/>
  <c r="K153" i="21"/>
  <c r="K120" i="21"/>
  <c r="K492" i="21"/>
  <c r="J492" i="21"/>
  <c r="K371" i="21"/>
  <c r="J371" i="21"/>
  <c r="K443" i="21"/>
  <c r="J443" i="21"/>
  <c r="K509" i="21"/>
  <c r="J509" i="21"/>
  <c r="K18" i="21"/>
  <c r="K54" i="21"/>
  <c r="J54" i="21"/>
  <c r="R131" i="31"/>
  <c r="R130" i="31"/>
  <c r="R128" i="31"/>
  <c r="R132" i="31"/>
  <c r="R134" i="31"/>
  <c r="R127" i="31"/>
  <c r="K416" i="21" l="1"/>
  <c r="F112" i="21"/>
  <c r="K528" i="21"/>
  <c r="J209" i="21"/>
  <c r="K209" i="21"/>
  <c r="J268" i="21"/>
  <c r="K582" i="21"/>
  <c r="J582" i="21"/>
  <c r="K144" i="21"/>
  <c r="L144" i="21" s="1"/>
  <c r="J218" i="21"/>
  <c r="K172" i="21"/>
  <c r="K187" i="21"/>
  <c r="J272" i="21"/>
  <c r="J236" i="21"/>
  <c r="K375" i="21"/>
  <c r="J231" i="21"/>
  <c r="K280" i="21"/>
  <c r="J148" i="21"/>
  <c r="K290" i="21"/>
  <c r="K305" i="21"/>
  <c r="J324" i="21"/>
  <c r="K121" i="21"/>
  <c r="K86" i="21"/>
  <c r="J176" i="21"/>
  <c r="J247" i="21"/>
  <c r="J242" i="21"/>
  <c r="K174" i="21"/>
  <c r="J212" i="21"/>
  <c r="R133" i="31"/>
  <c r="R135" i="31"/>
  <c r="N743" i="21"/>
  <c r="D3" i="52" l="1"/>
  <c r="D4" i="52"/>
  <c r="D5" i="52"/>
  <c r="D6" i="52"/>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38" i="52"/>
  <c r="D39" i="52"/>
  <c r="D40" i="52"/>
  <c r="D41" i="52"/>
  <c r="D42" i="52"/>
  <c r="D43" i="52"/>
  <c r="D44" i="52"/>
  <c r="D45" i="52"/>
  <c r="D46" i="52"/>
  <c r="D47" i="52"/>
  <c r="D48" i="52"/>
  <c r="D49" i="52"/>
  <c r="D50" i="52"/>
  <c r="D51" i="52"/>
  <c r="D52" i="52"/>
  <c r="D53" i="52"/>
  <c r="D54" i="52"/>
  <c r="D55" i="52"/>
  <c r="D56" i="52"/>
  <c r="D57" i="52"/>
  <c r="D58" i="52"/>
  <c r="D59" i="52"/>
  <c r="D60" i="52"/>
  <c r="D61" i="52"/>
  <c r="D62" i="52"/>
  <c r="D63" i="52"/>
  <c r="D64" i="52"/>
  <c r="D65" i="52"/>
  <c r="D66" i="52"/>
  <c r="D67" i="52"/>
  <c r="D68" i="52"/>
  <c r="D69" i="52"/>
  <c r="D70" i="52"/>
  <c r="D71" i="52"/>
  <c r="D72" i="52"/>
  <c r="D73" i="52"/>
  <c r="D74" i="52"/>
  <c r="D75" i="52"/>
  <c r="D76" i="52"/>
  <c r="D77" i="52"/>
  <c r="D78" i="52"/>
  <c r="D79" i="52"/>
  <c r="D80" i="52"/>
  <c r="D81" i="52"/>
  <c r="D82" i="52"/>
  <c r="D83" i="52"/>
  <c r="D84" i="52"/>
  <c r="D85" i="52"/>
  <c r="D86" i="52"/>
  <c r="D87" i="52"/>
  <c r="D88" i="52"/>
  <c r="D89" i="52"/>
  <c r="D90" i="52"/>
  <c r="D91" i="52"/>
  <c r="D92" i="52"/>
  <c r="D93" i="52"/>
  <c r="D94" i="52"/>
  <c r="D95" i="52"/>
  <c r="D96" i="52"/>
  <c r="D97" i="52"/>
  <c r="D98" i="52"/>
  <c r="D99" i="52"/>
  <c r="D100" i="52"/>
  <c r="D101" i="52"/>
  <c r="D102" i="52"/>
  <c r="D103" i="52"/>
  <c r="D104" i="52"/>
  <c r="D105" i="52"/>
  <c r="D106" i="52"/>
  <c r="D107" i="52"/>
  <c r="D108" i="52"/>
  <c r="D109" i="52"/>
  <c r="D110" i="52"/>
  <c r="D111" i="52"/>
  <c r="D112" i="52"/>
  <c r="D113" i="52"/>
  <c r="D114" i="52"/>
  <c r="D115" i="52"/>
  <c r="D116" i="52"/>
  <c r="D117" i="52"/>
  <c r="D118" i="52"/>
  <c r="D119" i="52"/>
  <c r="D120" i="52"/>
  <c r="D121" i="52"/>
  <c r="D122" i="52"/>
  <c r="D123" i="52"/>
  <c r="D124" i="52"/>
  <c r="D125" i="52"/>
  <c r="D126" i="52"/>
  <c r="D127" i="52"/>
  <c r="D128" i="52"/>
  <c r="D129" i="52"/>
  <c r="D130" i="52"/>
  <c r="D131" i="52"/>
  <c r="D132" i="52"/>
  <c r="D133" i="52"/>
  <c r="D134" i="52"/>
  <c r="D135" i="52"/>
  <c r="D136" i="52"/>
  <c r="D137" i="52"/>
  <c r="D138" i="52"/>
  <c r="D139" i="52"/>
  <c r="D140" i="52"/>
  <c r="D141" i="52"/>
  <c r="D142" i="52"/>
  <c r="D143" i="52"/>
  <c r="D144" i="52"/>
  <c r="D145" i="52"/>
  <c r="D146" i="52"/>
  <c r="D147" i="52"/>
  <c r="D148" i="52"/>
  <c r="D149" i="52"/>
  <c r="D150" i="52"/>
  <c r="D151" i="52"/>
  <c r="D152" i="52"/>
  <c r="D153" i="52"/>
  <c r="D154" i="52"/>
  <c r="D155" i="52"/>
  <c r="D156" i="52"/>
  <c r="D157" i="52"/>
  <c r="D158" i="52"/>
  <c r="D159" i="52"/>
  <c r="D160" i="52"/>
  <c r="D161" i="52"/>
  <c r="D162" i="52"/>
  <c r="D163" i="52"/>
  <c r="D164" i="52"/>
  <c r="D165" i="52"/>
  <c r="D166" i="52"/>
  <c r="D167" i="52"/>
  <c r="D168" i="52"/>
  <c r="D169" i="52"/>
  <c r="D170" i="52"/>
  <c r="D171" i="52"/>
  <c r="D172" i="52"/>
  <c r="D173" i="52"/>
  <c r="D174" i="52"/>
  <c r="D175" i="52"/>
  <c r="D176" i="52"/>
  <c r="D177" i="52"/>
  <c r="D178" i="52"/>
  <c r="D179" i="52"/>
  <c r="D180" i="52"/>
  <c r="D181" i="52"/>
  <c r="D182" i="52"/>
  <c r="D684" i="52"/>
  <c r="D184" i="52"/>
  <c r="D185" i="52"/>
  <c r="D186" i="52"/>
  <c r="D187" i="52"/>
  <c r="D188" i="52"/>
  <c r="D189" i="52"/>
  <c r="D190" i="52"/>
  <c r="D191" i="52"/>
  <c r="D192" i="52"/>
  <c r="D193" i="52"/>
  <c r="D194" i="52"/>
  <c r="D195" i="52"/>
  <c r="D196" i="52"/>
  <c r="D197" i="52"/>
  <c r="D198" i="52"/>
  <c r="D199" i="52"/>
  <c r="D200" i="52"/>
  <c r="D201" i="52"/>
  <c r="D202" i="52"/>
  <c r="D203" i="52"/>
  <c r="D204" i="52"/>
  <c r="D205" i="52"/>
  <c r="D206" i="52"/>
  <c r="D207" i="52"/>
  <c r="D208" i="52"/>
  <c r="D209" i="52"/>
  <c r="D210" i="52"/>
  <c r="D211" i="52"/>
  <c r="D183" i="52"/>
  <c r="D213" i="52"/>
  <c r="D214" i="52"/>
  <c r="D215" i="52"/>
  <c r="D216" i="52"/>
  <c r="D217" i="52"/>
  <c r="D218" i="52"/>
  <c r="D219" i="52"/>
  <c r="D220" i="52"/>
  <c r="D221" i="52"/>
  <c r="D222" i="52"/>
  <c r="D223" i="52"/>
  <c r="D224" i="52"/>
  <c r="D225" i="52"/>
  <c r="D226" i="52"/>
  <c r="D227" i="52"/>
  <c r="D228" i="52"/>
  <c r="D229" i="52"/>
  <c r="D230" i="52"/>
  <c r="D231" i="52"/>
  <c r="D232" i="52"/>
  <c r="D233" i="52"/>
  <c r="D234" i="52"/>
  <c r="D235" i="52"/>
  <c r="D236" i="52"/>
  <c r="D237" i="52"/>
  <c r="D212" i="52"/>
  <c r="D239" i="52"/>
  <c r="D240" i="52"/>
  <c r="D241" i="52"/>
  <c r="D242" i="52"/>
  <c r="D243" i="52"/>
  <c r="D244" i="52"/>
  <c r="D245" i="52"/>
  <c r="D246" i="52"/>
  <c r="D247" i="52"/>
  <c r="D248" i="52"/>
  <c r="D249" i="52"/>
  <c r="D250" i="52"/>
  <c r="D251" i="52"/>
  <c r="D252" i="52"/>
  <c r="D253" i="52"/>
  <c r="D254" i="52"/>
  <c r="D255" i="52"/>
  <c r="D256" i="52"/>
  <c r="D257" i="52"/>
  <c r="D258" i="52"/>
  <c r="D259" i="52"/>
  <c r="D260" i="52"/>
  <c r="D261" i="52"/>
  <c r="D262" i="52"/>
  <c r="D263" i="52"/>
  <c r="D264" i="52"/>
  <c r="D265" i="52"/>
  <c r="D266" i="52"/>
  <c r="D267" i="52"/>
  <c r="D268" i="52"/>
  <c r="D269" i="52"/>
  <c r="D270" i="52"/>
  <c r="D271" i="52"/>
  <c r="D272" i="52"/>
  <c r="D238" i="52"/>
  <c r="D274" i="52"/>
  <c r="D275" i="52"/>
  <c r="D276" i="52"/>
  <c r="D277" i="52"/>
  <c r="D278" i="52"/>
  <c r="D279" i="52"/>
  <c r="D280" i="52"/>
  <c r="D281" i="52"/>
  <c r="D282" i="52"/>
  <c r="D283" i="52"/>
  <c r="D284" i="52"/>
  <c r="D285" i="52"/>
  <c r="D286" i="52"/>
  <c r="D287" i="52"/>
  <c r="D288" i="52"/>
  <c r="D289" i="52"/>
  <c r="D290" i="52"/>
  <c r="D291" i="52"/>
  <c r="D292" i="52"/>
  <c r="D293" i="52"/>
  <c r="D294" i="52"/>
  <c r="D295" i="52"/>
  <c r="D296" i="52"/>
  <c r="D297" i="52"/>
  <c r="D298" i="52"/>
  <c r="D299" i="52"/>
  <c r="D300" i="52"/>
  <c r="D301" i="52"/>
  <c r="D302" i="52"/>
  <c r="D303" i="52"/>
  <c r="D304" i="52"/>
  <c r="D305" i="52"/>
  <c r="D306" i="52"/>
  <c r="D307" i="52"/>
  <c r="D308" i="52"/>
  <c r="D309" i="52"/>
  <c r="D310" i="52"/>
  <c r="D311" i="52"/>
  <c r="D312" i="52"/>
  <c r="D313" i="52"/>
  <c r="D314" i="52"/>
  <c r="D315" i="52"/>
  <c r="D316" i="52"/>
  <c r="D317" i="52"/>
  <c r="D318" i="52"/>
  <c r="D319" i="52"/>
  <c r="D320" i="52"/>
  <c r="D321" i="52"/>
  <c r="D322" i="52"/>
  <c r="D323" i="52"/>
  <c r="D324" i="52"/>
  <c r="D325" i="52"/>
  <c r="D326" i="52"/>
  <c r="D327" i="52"/>
  <c r="D328" i="52"/>
  <c r="D329" i="52"/>
  <c r="D330" i="52"/>
  <c r="D331" i="52"/>
  <c r="D332" i="52"/>
  <c r="D333" i="52"/>
  <c r="D334" i="52"/>
  <c r="D335" i="52"/>
  <c r="D336" i="52"/>
  <c r="D337" i="52"/>
  <c r="D338" i="52"/>
  <c r="D339" i="52"/>
  <c r="D340" i="52"/>
  <c r="D341" i="52"/>
  <c r="D342" i="52"/>
  <c r="D343" i="52"/>
  <c r="D344" i="52"/>
  <c r="D345" i="52"/>
  <c r="D346" i="52"/>
  <c r="D347" i="52"/>
  <c r="D348" i="52"/>
  <c r="D349" i="52"/>
  <c r="D350" i="52"/>
  <c r="D351" i="52"/>
  <c r="D352" i="52"/>
  <c r="D353" i="52"/>
  <c r="D354" i="52"/>
  <c r="D355" i="52"/>
  <c r="D356" i="52"/>
  <c r="D357" i="52"/>
  <c r="D358" i="52"/>
  <c r="D359" i="52"/>
  <c r="D360" i="52"/>
  <c r="D361" i="52"/>
  <c r="D362" i="52"/>
  <c r="D363" i="52"/>
  <c r="D364" i="52"/>
  <c r="D365" i="52"/>
  <c r="D366" i="52"/>
  <c r="D367" i="52"/>
  <c r="D368" i="52"/>
  <c r="D369" i="52"/>
  <c r="D370" i="52"/>
  <c r="D371" i="52"/>
  <c r="D372" i="52"/>
  <c r="D373" i="52"/>
  <c r="D374" i="52"/>
  <c r="D375" i="52"/>
  <c r="D376" i="52"/>
  <c r="D377" i="52"/>
  <c r="D378" i="52"/>
  <c r="D379" i="52"/>
  <c r="D380" i="52"/>
  <c r="D381" i="52"/>
  <c r="D382" i="52"/>
  <c r="D383" i="52"/>
  <c r="D384" i="52"/>
  <c r="D385" i="52"/>
  <c r="D386" i="52"/>
  <c r="D387" i="52"/>
  <c r="D388" i="52"/>
  <c r="D389" i="52"/>
  <c r="D390" i="52"/>
  <c r="D391" i="52"/>
  <c r="D392" i="52"/>
  <c r="D393" i="52"/>
  <c r="D394" i="52"/>
  <c r="D395" i="52"/>
  <c r="D396" i="52"/>
  <c r="D397" i="52"/>
  <c r="D273" i="52"/>
  <c r="D399" i="52"/>
  <c r="D400" i="52"/>
  <c r="D401" i="52"/>
  <c r="D402" i="52"/>
  <c r="D403" i="52"/>
  <c r="D404" i="52"/>
  <c r="D405" i="52"/>
  <c r="D406" i="52"/>
  <c r="D407" i="52"/>
  <c r="D408" i="52"/>
  <c r="D409" i="52"/>
  <c r="D410" i="52"/>
  <c r="D411" i="52"/>
  <c r="D412" i="52"/>
  <c r="D413" i="52"/>
  <c r="D414" i="52"/>
  <c r="D415" i="52"/>
  <c r="D416" i="52"/>
  <c r="D417" i="52"/>
  <c r="D418" i="52"/>
  <c r="D419" i="52"/>
  <c r="D420" i="52"/>
  <c r="D421" i="52"/>
  <c r="D422" i="52"/>
  <c r="D423" i="52"/>
  <c r="D424" i="52"/>
  <c r="D425" i="52"/>
  <c r="D426" i="52"/>
  <c r="D427" i="52"/>
  <c r="D428" i="52"/>
  <c r="D429" i="52"/>
  <c r="D430" i="52"/>
  <c r="D431" i="52"/>
  <c r="D432" i="52"/>
  <c r="D433" i="52"/>
  <c r="D434" i="52"/>
  <c r="D435" i="52"/>
  <c r="D436" i="52"/>
  <c r="D437" i="52"/>
  <c r="D438" i="52"/>
  <c r="D439" i="52"/>
  <c r="D440" i="52"/>
  <c r="D441" i="52"/>
  <c r="D442" i="52"/>
  <c r="D443" i="52"/>
  <c r="D444" i="52"/>
  <c r="D445" i="52"/>
  <c r="D446" i="52"/>
  <c r="D447" i="52"/>
  <c r="D448" i="52"/>
  <c r="D449" i="52"/>
  <c r="D450" i="52"/>
  <c r="D451" i="52"/>
  <c r="D452" i="52"/>
  <c r="D453" i="52"/>
  <c r="D454" i="52"/>
  <c r="D455" i="52"/>
  <c r="D456" i="52"/>
  <c r="D457" i="52"/>
  <c r="D458" i="52"/>
  <c r="D459" i="52"/>
  <c r="D460" i="52"/>
  <c r="D461" i="52"/>
  <c r="D462" i="52"/>
  <c r="D463" i="52"/>
  <c r="D464" i="52"/>
  <c r="D465" i="52"/>
  <c r="D466" i="52"/>
  <c r="D467" i="52"/>
  <c r="D468" i="52"/>
  <c r="D469" i="52"/>
  <c r="D470" i="52"/>
  <c r="D471" i="52"/>
  <c r="D472" i="52"/>
  <c r="D473" i="52"/>
  <c r="D474" i="52"/>
  <c r="D475" i="52"/>
  <c r="D476" i="52"/>
  <c r="D477" i="52"/>
  <c r="D478" i="52"/>
  <c r="D479" i="52"/>
  <c r="D480" i="52"/>
  <c r="D481" i="52"/>
  <c r="D482" i="52"/>
  <c r="D483" i="52"/>
  <c r="D484" i="52"/>
  <c r="D485" i="52"/>
  <c r="D486" i="52"/>
  <c r="D487" i="52"/>
  <c r="D398" i="52"/>
  <c r="D489" i="52"/>
  <c r="D490" i="52"/>
  <c r="D491" i="52"/>
  <c r="D492" i="52"/>
  <c r="D488" i="52"/>
  <c r="D494" i="52"/>
  <c r="D495" i="52"/>
  <c r="D496" i="52"/>
  <c r="D497" i="52"/>
  <c r="D498" i="52"/>
  <c r="D499" i="52"/>
  <c r="D500" i="52"/>
  <c r="D501" i="52"/>
  <c r="D502" i="52"/>
  <c r="D503" i="52"/>
  <c r="D504" i="52"/>
  <c r="D505" i="52"/>
  <c r="D506" i="52"/>
  <c r="D507" i="52"/>
  <c r="D508" i="52"/>
  <c r="D509" i="52"/>
  <c r="D510" i="52"/>
  <c r="D511" i="52"/>
  <c r="D512" i="52"/>
  <c r="D513" i="52"/>
  <c r="D514" i="52"/>
  <c r="D515" i="52"/>
  <c r="D516" i="52"/>
  <c r="D517" i="52"/>
  <c r="D518" i="52"/>
  <c r="D519" i="52"/>
  <c r="D520" i="52"/>
  <c r="D521" i="52"/>
  <c r="D522" i="52"/>
  <c r="D523" i="52"/>
  <c r="D524" i="52"/>
  <c r="D525" i="52"/>
  <c r="D526" i="52"/>
  <c r="D527" i="52"/>
  <c r="D528" i="52"/>
  <c r="D529" i="52"/>
  <c r="D530" i="52"/>
  <c r="D531" i="52"/>
  <c r="D532" i="52"/>
  <c r="D533" i="52"/>
  <c r="D534" i="52"/>
  <c r="D535" i="52"/>
  <c r="D536" i="52"/>
  <c r="D537" i="52"/>
  <c r="D538" i="52"/>
  <c r="D539" i="52"/>
  <c r="D540" i="52"/>
  <c r="D541" i="52"/>
  <c r="D542" i="52"/>
  <c r="D543" i="52"/>
  <c r="D544" i="52"/>
  <c r="D545" i="52"/>
  <c r="D546" i="52"/>
  <c r="D547" i="52"/>
  <c r="D548" i="52"/>
  <c r="D549" i="52"/>
  <c r="D550" i="52"/>
  <c r="D551" i="52"/>
  <c r="D552" i="52"/>
  <c r="D553" i="52"/>
  <c r="D554" i="52"/>
  <c r="D555" i="52"/>
  <c r="D556" i="52"/>
  <c r="D557" i="52"/>
  <c r="D558" i="52"/>
  <c r="D559" i="52"/>
  <c r="D560" i="52"/>
  <c r="D561" i="52"/>
  <c r="D562" i="52"/>
  <c r="D563" i="52"/>
  <c r="D564" i="52"/>
  <c r="D565" i="52"/>
  <c r="D566" i="52"/>
  <c r="D567" i="52"/>
  <c r="D568" i="52"/>
  <c r="D569" i="52"/>
  <c r="D570" i="52"/>
  <c r="D571" i="52"/>
  <c r="D572" i="52"/>
  <c r="D573" i="52"/>
  <c r="D574" i="52"/>
  <c r="D575" i="52"/>
  <c r="D576" i="52"/>
  <c r="D577" i="52"/>
  <c r="D578" i="52"/>
  <c r="D579" i="52"/>
  <c r="D580" i="52"/>
  <c r="D581" i="52"/>
  <c r="D582" i="52"/>
  <c r="D583" i="52"/>
  <c r="D584" i="52"/>
  <c r="D585" i="52"/>
  <c r="D586" i="52"/>
  <c r="D587" i="52"/>
  <c r="D588" i="52"/>
  <c r="D589" i="52"/>
  <c r="D590" i="52"/>
  <c r="D591" i="52"/>
  <c r="D592" i="52"/>
  <c r="D593" i="52"/>
  <c r="D594" i="52"/>
  <c r="D595" i="52"/>
  <c r="D596" i="52"/>
  <c r="D597" i="52"/>
  <c r="D598" i="52"/>
  <c r="D599" i="52"/>
  <c r="D600" i="52"/>
  <c r="D601" i="52"/>
  <c r="D602" i="52"/>
  <c r="D603" i="52"/>
  <c r="D604" i="52"/>
  <c r="D605" i="52"/>
  <c r="D606" i="52"/>
  <c r="D607" i="52"/>
  <c r="D608" i="52"/>
  <c r="D609" i="52"/>
  <c r="D610" i="52"/>
  <c r="D611" i="52"/>
  <c r="D612" i="52"/>
  <c r="D613" i="52"/>
  <c r="D614" i="52"/>
  <c r="D615" i="52"/>
  <c r="D616" i="52"/>
  <c r="D617" i="52"/>
  <c r="D618" i="52"/>
  <c r="D619" i="52"/>
  <c r="D620" i="52"/>
  <c r="D621" i="52"/>
  <c r="D622" i="52"/>
  <c r="D623" i="52"/>
  <c r="D624" i="52"/>
  <c r="D625" i="52"/>
  <c r="D626" i="52"/>
  <c r="D627" i="52"/>
  <c r="D628" i="52"/>
  <c r="D629" i="52"/>
  <c r="D630" i="52"/>
  <c r="D631" i="52"/>
  <c r="D632" i="52"/>
  <c r="D633" i="52"/>
  <c r="D634" i="52"/>
  <c r="D635" i="52"/>
  <c r="D636" i="52"/>
  <c r="D637" i="52"/>
  <c r="D638" i="52"/>
  <c r="D639" i="52"/>
  <c r="D640" i="52"/>
  <c r="D641" i="52"/>
  <c r="D642" i="52"/>
  <c r="D643" i="52"/>
  <c r="D644" i="52"/>
  <c r="D645" i="52"/>
  <c r="D646" i="52"/>
  <c r="D647" i="52"/>
  <c r="D648" i="52"/>
  <c r="D649" i="52"/>
  <c r="D650" i="52"/>
  <c r="D651" i="52"/>
  <c r="D652" i="52"/>
  <c r="D653" i="52"/>
  <c r="D654" i="52"/>
  <c r="D655" i="52"/>
  <c r="D656" i="52"/>
  <c r="D657" i="52"/>
  <c r="D658" i="52"/>
  <c r="D659" i="52"/>
  <c r="D660" i="52"/>
  <c r="D661" i="52"/>
  <c r="D662" i="52"/>
  <c r="D663" i="52"/>
  <c r="D664" i="52"/>
  <c r="D665" i="52"/>
  <c r="D666" i="52"/>
  <c r="D667" i="52"/>
  <c r="D668" i="52"/>
  <c r="D669" i="52"/>
  <c r="D670" i="52"/>
  <c r="D671" i="52"/>
  <c r="D672" i="52"/>
  <c r="D673" i="52"/>
  <c r="D674" i="52"/>
  <c r="D675" i="52"/>
  <c r="D676" i="52"/>
  <c r="D677" i="52"/>
  <c r="D678" i="52"/>
  <c r="D679" i="52"/>
  <c r="D680" i="52"/>
  <c r="D681" i="52"/>
  <c r="D682" i="52"/>
  <c r="D683" i="52"/>
  <c r="D493" i="52"/>
  <c r="D685" i="52"/>
  <c r="D686" i="52"/>
  <c r="D687" i="52"/>
  <c r="D688" i="52"/>
  <c r="D689" i="52"/>
  <c r="D690" i="52"/>
  <c r="D691" i="52"/>
  <c r="D692" i="52"/>
  <c r="D693" i="52"/>
  <c r="D694" i="52"/>
  <c r="D695" i="52"/>
  <c r="D696" i="52"/>
  <c r="D697" i="52"/>
  <c r="D698" i="52"/>
  <c r="D699" i="52"/>
  <c r="D700" i="52"/>
  <c r="D701" i="52"/>
  <c r="D702" i="52"/>
  <c r="D703" i="52"/>
  <c r="D704" i="52"/>
  <c r="D705" i="52"/>
  <c r="D706" i="52"/>
  <c r="D707" i="52"/>
  <c r="D708" i="52"/>
  <c r="D709" i="52"/>
  <c r="D710" i="52"/>
  <c r="D711" i="52"/>
  <c r="D712" i="52"/>
  <c r="D713" i="52"/>
  <c r="D714" i="52"/>
  <c r="D715" i="52"/>
  <c r="D716" i="52"/>
  <c r="D717" i="52"/>
  <c r="D718" i="52"/>
  <c r="D719" i="52"/>
  <c r="D720" i="52"/>
  <c r="D721" i="52"/>
  <c r="D722" i="52"/>
  <c r="D723" i="52"/>
  <c r="D724" i="52"/>
  <c r="D725" i="52"/>
  <c r="D726" i="52"/>
  <c r="D727" i="52"/>
  <c r="D728" i="52"/>
  <c r="D729" i="52"/>
  <c r="D730" i="52"/>
  <c r="D731" i="52"/>
  <c r="D732" i="52"/>
  <c r="D733" i="52"/>
  <c r="D734" i="52"/>
  <c r="D735" i="52"/>
  <c r="D736" i="52"/>
  <c r="D737" i="52"/>
  <c r="D738" i="52"/>
  <c r="D739" i="52"/>
  <c r="D740" i="52"/>
  <c r="D741" i="52"/>
  <c r="D742" i="52"/>
  <c r="D743" i="52"/>
  <c r="D744" i="52"/>
  <c r="D745" i="52"/>
  <c r="D746" i="52"/>
  <c r="D747" i="52"/>
  <c r="D748" i="52"/>
  <c r="D749" i="52"/>
  <c r="D750" i="52"/>
  <c r="D751" i="52"/>
  <c r="D752" i="52"/>
  <c r="D753" i="52"/>
  <c r="D754" i="52"/>
  <c r="D755" i="52"/>
  <c r="D756" i="52"/>
  <c r="D757" i="52"/>
  <c r="D758" i="52"/>
  <c r="D759" i="52"/>
  <c r="D760" i="52"/>
  <c r="D761" i="52"/>
  <c r="D762" i="52"/>
  <c r="D763" i="52"/>
  <c r="D764" i="52"/>
  <c r="D765" i="52"/>
  <c r="D766" i="52"/>
  <c r="D767" i="52"/>
  <c r="D768" i="52"/>
  <c r="D769" i="52"/>
  <c r="D770" i="52"/>
  <c r="D771" i="52"/>
  <c r="D772" i="52"/>
  <c r="D773" i="52"/>
  <c r="D774" i="52"/>
  <c r="D775" i="52"/>
  <c r="D776" i="52"/>
  <c r="D777" i="52"/>
  <c r="D778" i="52"/>
  <c r="D779" i="52"/>
  <c r="D780" i="52"/>
  <c r="D781" i="52"/>
  <c r="D782" i="52"/>
  <c r="D783" i="52"/>
  <c r="D784" i="52"/>
  <c r="D785" i="52"/>
  <c r="D786" i="52"/>
  <c r="D787" i="52"/>
  <c r="D788" i="52"/>
  <c r="S7" i="31"/>
  <c r="S9" i="31"/>
  <c r="S11" i="31"/>
  <c r="S14" i="31"/>
  <c r="S16" i="31"/>
  <c r="S19" i="31"/>
  <c r="S20" i="31"/>
  <c r="S21" i="31"/>
  <c r="S22" i="31"/>
  <c r="S23" i="31"/>
  <c r="S27" i="31"/>
  <c r="S28" i="31"/>
  <c r="S29" i="31"/>
  <c r="S30" i="31"/>
  <c r="S31" i="31"/>
  <c r="S32" i="31"/>
  <c r="S33" i="31"/>
  <c r="S34" i="31"/>
  <c r="S36" i="31"/>
  <c r="S37" i="31"/>
  <c r="S38" i="31"/>
  <c r="S40" i="31"/>
  <c r="S42" i="31"/>
  <c r="S43" i="31"/>
  <c r="S44" i="31"/>
  <c r="S45" i="31"/>
  <c r="S46" i="31"/>
  <c r="S47" i="31"/>
  <c r="S48" i="31"/>
  <c r="S49" i="31"/>
  <c r="S50" i="31"/>
  <c r="S51" i="31"/>
  <c r="S52" i="31"/>
  <c r="S53" i="31"/>
  <c r="S54" i="31"/>
  <c r="S55" i="31"/>
  <c r="S57" i="31"/>
  <c r="S58" i="31"/>
  <c r="S59" i="31"/>
  <c r="S60" i="31"/>
  <c r="S61" i="31"/>
  <c r="S62" i="31"/>
  <c r="S63" i="31"/>
  <c r="S64" i="31"/>
  <c r="S65" i="31"/>
  <c r="S66" i="31"/>
  <c r="S67" i="31"/>
  <c r="S68" i="31"/>
  <c r="S72" i="31"/>
  <c r="S74" i="31"/>
  <c r="S75" i="31"/>
  <c r="S76" i="31"/>
  <c r="S77" i="31"/>
  <c r="S78" i="31"/>
  <c r="S79" i="31"/>
  <c r="S80" i="31"/>
  <c r="S81" i="31"/>
  <c r="S83" i="31"/>
  <c r="S84" i="31"/>
  <c r="S85" i="31"/>
  <c r="S88" i="31"/>
  <c r="S90" i="31"/>
  <c r="S91" i="31"/>
  <c r="S92" i="31"/>
  <c r="S93" i="31"/>
  <c r="S96" i="31"/>
  <c r="S103" i="31"/>
  <c r="S104" i="31"/>
  <c r="S105" i="31"/>
  <c r="S109" i="31"/>
  <c r="S110" i="31"/>
  <c r="S111" i="31"/>
  <c r="S112" i="31"/>
  <c r="S116" i="31"/>
  <c r="S117" i="31"/>
  <c r="S118" i="31"/>
  <c r="S119" i="31"/>
  <c r="S120" i="31"/>
  <c r="S121" i="31"/>
  <c r="S122" i="31"/>
  <c r="S123" i="31"/>
  <c r="S124" i="31"/>
  <c r="S125" i="31"/>
  <c r="S139" i="31"/>
  <c r="S140" i="31"/>
  <c r="S141" i="31"/>
  <c r="S143" i="31"/>
  <c r="S144" i="31"/>
  <c r="S146" i="31"/>
  <c r="S147" i="31"/>
  <c r="S148" i="31"/>
  <c r="S151" i="31"/>
  <c r="S154" i="31"/>
  <c r="S155" i="31"/>
  <c r="S156" i="31"/>
  <c r="S157" i="31"/>
  <c r="S158" i="31"/>
  <c r="S159" i="31"/>
  <c r="S161" i="31"/>
  <c r="S162" i="31"/>
  <c r="S163" i="31"/>
  <c r="S169" i="31"/>
  <c r="S171" i="31"/>
  <c r="S172" i="31"/>
  <c r="S174" i="31"/>
  <c r="S175" i="31"/>
  <c r="S178" i="31"/>
  <c r="S179" i="31"/>
  <c r="S180" i="31"/>
  <c r="S181" i="31"/>
  <c r="S182" i="31"/>
  <c r="S183" i="31"/>
  <c r="S184" i="31"/>
  <c r="S185" i="31"/>
  <c r="S186" i="31"/>
  <c r="S187" i="31"/>
  <c r="S188" i="31"/>
  <c r="S189" i="31"/>
  <c r="S191" i="31"/>
  <c r="S192" i="31"/>
  <c r="S193" i="31"/>
  <c r="S194" i="31"/>
  <c r="S195" i="31"/>
  <c r="S196" i="31"/>
  <c r="S197" i="31"/>
  <c r="S198" i="31"/>
  <c r="S201" i="31"/>
  <c r="S202" i="31"/>
  <c r="S203" i="31"/>
  <c r="S208" i="31"/>
  <c r="S212" i="31"/>
  <c r="S214" i="31"/>
  <c r="S215" i="31"/>
  <c r="S217" i="31"/>
  <c r="S225" i="31"/>
  <c r="S227" i="31"/>
  <c r="S228" i="31"/>
  <c r="S237" i="31"/>
  <c r="S238" i="31"/>
  <c r="S239" i="31"/>
  <c r="S240" i="31"/>
  <c r="S263" i="31"/>
  <c r="S266" i="31"/>
  <c r="S268" i="31"/>
  <c r="S272" i="31"/>
  <c r="S273" i="31"/>
  <c r="S274" i="31"/>
  <c r="S276" i="31"/>
  <c r="S277" i="31"/>
  <c r="S278" i="31"/>
  <c r="S279" i="31"/>
  <c r="S280" i="31"/>
  <c r="S284" i="31"/>
  <c r="S285" i="31"/>
  <c r="S288" i="31"/>
  <c r="S296" i="31"/>
  <c r="S297" i="31"/>
  <c r="S302" i="31"/>
  <c r="S303" i="31"/>
  <c r="R8" i="31"/>
  <c r="R10" i="31"/>
  <c r="R12" i="31"/>
  <c r="R13" i="31"/>
  <c r="R15" i="31"/>
  <c r="R17" i="31"/>
  <c r="R18" i="31"/>
  <c r="R24" i="31"/>
  <c r="R25" i="31"/>
  <c r="R26" i="31"/>
  <c r="R35" i="31"/>
  <c r="R39" i="31"/>
  <c r="R41" i="31"/>
  <c r="R69" i="31"/>
  <c r="R70" i="31"/>
  <c r="R71" i="31"/>
  <c r="R73" i="31"/>
  <c r="R82" i="31"/>
  <c r="R86" i="31"/>
  <c r="R87" i="31"/>
  <c r="R89" i="31"/>
  <c r="R94" i="31"/>
  <c r="R97" i="31"/>
  <c r="R98" i="31"/>
  <c r="R99" i="31"/>
  <c r="R100" i="31"/>
  <c r="R101" i="31"/>
  <c r="R102" i="31"/>
  <c r="R106" i="31"/>
  <c r="R107" i="31"/>
  <c r="R108" i="31"/>
  <c r="R113" i="31"/>
  <c r="R114" i="31"/>
  <c r="R115" i="31"/>
  <c r="R136" i="31"/>
  <c r="R137" i="31"/>
  <c r="R138" i="31"/>
  <c r="R142" i="31"/>
  <c r="R145" i="31"/>
  <c r="R149" i="31"/>
  <c r="R150" i="31"/>
  <c r="R152" i="31"/>
  <c r="R153" i="31"/>
  <c r="R160" i="31"/>
  <c r="R164" i="31"/>
  <c r="R165" i="31"/>
  <c r="R166" i="31"/>
  <c r="R167" i="31"/>
  <c r="R168" i="31"/>
  <c r="R170" i="31"/>
  <c r="R173" i="31"/>
  <c r="R176" i="31"/>
  <c r="R177" i="31"/>
  <c r="R199" i="31"/>
  <c r="R200" i="31"/>
  <c r="R6" i="31"/>
  <c r="O7" i="31"/>
  <c r="O8" i="31"/>
  <c r="O20" i="21" s="1"/>
  <c r="O9" i="31"/>
  <c r="O10" i="31"/>
  <c r="O22" i="21" s="1"/>
  <c r="O11" i="31"/>
  <c r="O12" i="31"/>
  <c r="O24" i="21" s="1"/>
  <c r="O13" i="31"/>
  <c r="O25" i="21" s="1"/>
  <c r="O14" i="31"/>
  <c r="O15" i="31"/>
  <c r="O27" i="21" s="1"/>
  <c r="O16" i="31"/>
  <c r="O17" i="31"/>
  <c r="O29" i="21" s="1"/>
  <c r="O18" i="31"/>
  <c r="O30" i="21" s="1"/>
  <c r="O19" i="31"/>
  <c r="O20" i="31"/>
  <c r="O21" i="31"/>
  <c r="O22" i="31"/>
  <c r="O23" i="31"/>
  <c r="O24" i="31"/>
  <c r="O36" i="21" s="1"/>
  <c r="O25" i="31"/>
  <c r="O37" i="21" s="1"/>
  <c r="O26" i="31"/>
  <c r="O38" i="21" s="1"/>
  <c r="O27" i="31"/>
  <c r="O28" i="31"/>
  <c r="O29" i="31"/>
  <c r="O30" i="31"/>
  <c r="O31" i="31"/>
  <c r="O32" i="31"/>
  <c r="O33" i="31"/>
  <c r="O34" i="31"/>
  <c r="O35" i="31"/>
  <c r="O48" i="21" s="1"/>
  <c r="O36" i="31"/>
  <c r="O37" i="31"/>
  <c r="O38" i="31"/>
  <c r="O39" i="31"/>
  <c r="O52" i="21" s="1"/>
  <c r="O40" i="31"/>
  <c r="O41" i="31"/>
  <c r="O54" i="21" s="1"/>
  <c r="O42" i="31"/>
  <c r="O43" i="31"/>
  <c r="O44" i="31"/>
  <c r="O45" i="31"/>
  <c r="O46" i="31"/>
  <c r="O47" i="31"/>
  <c r="O60" i="21" s="1"/>
  <c r="O48" i="31"/>
  <c r="O61" i="21" s="1"/>
  <c r="O49" i="31"/>
  <c r="O62" i="21" s="1"/>
  <c r="O50" i="31"/>
  <c r="O51" i="31"/>
  <c r="O52" i="31"/>
  <c r="O53" i="31"/>
  <c r="O54" i="31"/>
  <c r="O55" i="31"/>
  <c r="O57" i="31"/>
  <c r="O58" i="31"/>
  <c r="O59" i="31"/>
  <c r="O60" i="31"/>
  <c r="O61" i="31"/>
  <c r="O62" i="31"/>
  <c r="O63" i="31"/>
  <c r="O64" i="31"/>
  <c r="O65" i="31"/>
  <c r="O66" i="31"/>
  <c r="O67" i="31"/>
  <c r="O68" i="31"/>
  <c r="O69" i="31"/>
  <c r="O70" i="31"/>
  <c r="O83" i="21" s="1"/>
  <c r="O71" i="31"/>
  <c r="O84" i="21" s="1"/>
  <c r="O72" i="31"/>
  <c r="O73" i="31"/>
  <c r="O86" i="21" s="1"/>
  <c r="O74" i="31"/>
  <c r="O75" i="31"/>
  <c r="O76" i="31"/>
  <c r="O77" i="31"/>
  <c r="O78" i="31"/>
  <c r="O79" i="31"/>
  <c r="O80" i="31"/>
  <c r="O81" i="31"/>
  <c r="O82" i="31"/>
  <c r="O95" i="21" s="1"/>
  <c r="O83" i="31"/>
  <c r="O84" i="31"/>
  <c r="O85" i="31"/>
  <c r="O86" i="31"/>
  <c r="O99" i="21" s="1"/>
  <c r="O87" i="31"/>
  <c r="O100" i="21" s="1"/>
  <c r="O88" i="31"/>
  <c r="O89" i="31"/>
  <c r="O102" i="21" s="1"/>
  <c r="O90" i="31"/>
  <c r="O91" i="31"/>
  <c r="O92" i="31"/>
  <c r="O93" i="31"/>
  <c r="O94" i="31"/>
  <c r="O107" i="21" s="1"/>
  <c r="P95" i="31"/>
  <c r="O96" i="31"/>
  <c r="O97" i="31"/>
  <c r="O110" i="21" s="1"/>
  <c r="O98" i="31"/>
  <c r="O113" i="21" s="1"/>
  <c r="O99" i="31"/>
  <c r="O114" i="21" s="1"/>
  <c r="O100" i="31"/>
  <c r="O115" i="21" s="1"/>
  <c r="O101" i="31"/>
  <c r="O102" i="31"/>
  <c r="O117" i="21" s="1"/>
  <c r="O103" i="31"/>
  <c r="O104" i="31"/>
  <c r="O105" i="31"/>
  <c r="O106" i="31"/>
  <c r="O122" i="21" s="1"/>
  <c r="O107" i="31"/>
  <c r="O124" i="21" s="1"/>
  <c r="O108" i="31"/>
  <c r="O125" i="21" s="1"/>
  <c r="O109" i="31"/>
  <c r="O110" i="31"/>
  <c r="O111" i="31"/>
  <c r="O112" i="31"/>
  <c r="O113" i="31"/>
  <c r="O130" i="21" s="1"/>
  <c r="O114" i="31"/>
  <c r="O131" i="21" s="1"/>
  <c r="O115" i="31"/>
  <c r="O132" i="21" s="1"/>
  <c r="O116" i="31"/>
  <c r="O117" i="31"/>
  <c r="O118" i="31"/>
  <c r="O119" i="31"/>
  <c r="P119" i="31" s="1"/>
  <c r="R119" i="31" s="1"/>
  <c r="O120" i="31"/>
  <c r="O121" i="31"/>
  <c r="O122" i="31"/>
  <c r="O123" i="31"/>
  <c r="O124" i="31"/>
  <c r="O125" i="31"/>
  <c r="P126" i="31"/>
  <c r="N144" i="21" s="1"/>
  <c r="O136" i="31"/>
  <c r="O145" i="21" s="1"/>
  <c r="O137" i="31"/>
  <c r="O146" i="21" s="1"/>
  <c r="O138" i="31"/>
  <c r="O147" i="21" s="1"/>
  <c r="O139" i="31"/>
  <c r="O140" i="31"/>
  <c r="O141" i="31"/>
  <c r="O142" i="31"/>
  <c r="O151" i="21" s="1"/>
  <c r="O143" i="31"/>
  <c r="O144" i="31"/>
  <c r="O145" i="31"/>
  <c r="O154" i="21" s="1"/>
  <c r="O146" i="31"/>
  <c r="O147" i="31"/>
  <c r="O148" i="31"/>
  <c r="O149" i="31"/>
  <c r="O150" i="31"/>
  <c r="O159" i="21" s="1"/>
  <c r="O151" i="31"/>
  <c r="O152" i="31"/>
  <c r="O161" i="21" s="1"/>
  <c r="O153" i="31"/>
  <c r="O162" i="21" s="1"/>
  <c r="O154" i="31"/>
  <c r="O155" i="31"/>
  <c r="O156" i="31"/>
  <c r="O157" i="31"/>
  <c r="O158" i="31"/>
  <c r="O159" i="31"/>
  <c r="O160" i="31"/>
  <c r="O169" i="21" s="1"/>
  <c r="O161" i="31"/>
  <c r="O162" i="31"/>
  <c r="O163" i="31"/>
  <c r="O164" i="31"/>
  <c r="O174" i="21" s="1"/>
  <c r="O165" i="31"/>
  <c r="O166" i="31"/>
  <c r="O176" i="21" s="1"/>
  <c r="O167" i="31"/>
  <c r="O177" i="21" s="1"/>
  <c r="O168" i="31"/>
  <c r="O178" i="21" s="1"/>
  <c r="O169" i="31"/>
  <c r="O170" i="31"/>
  <c r="O180" i="21" s="1"/>
  <c r="O171" i="31"/>
  <c r="O172" i="31"/>
  <c r="O173" i="31"/>
  <c r="O174" i="31"/>
  <c r="O175" i="31"/>
  <c r="O176" i="31"/>
  <c r="O186" i="21" s="1"/>
  <c r="O177" i="31"/>
  <c r="O187" i="21" s="1"/>
  <c r="O178" i="31"/>
  <c r="O179" i="31"/>
  <c r="O180" i="31"/>
  <c r="O181" i="31"/>
  <c r="O182" i="31"/>
  <c r="O183" i="31"/>
  <c r="O184" i="31"/>
  <c r="O185" i="31"/>
  <c r="O186" i="31"/>
  <c r="O187" i="31"/>
  <c r="O188" i="31"/>
  <c r="O189" i="31"/>
  <c r="O191" i="31"/>
  <c r="O192" i="31"/>
  <c r="O193" i="31"/>
  <c r="O194" i="31"/>
  <c r="O195" i="31"/>
  <c r="O196" i="31"/>
  <c r="O197" i="31"/>
  <c r="O198" i="31"/>
  <c r="O199" i="31"/>
  <c r="O209" i="21" s="1"/>
  <c r="O200" i="31"/>
  <c r="O210" i="21" s="1"/>
  <c r="O201" i="31"/>
  <c r="O202" i="31"/>
  <c r="O203" i="31"/>
  <c r="O204" i="31"/>
  <c r="O214" i="21" s="1"/>
  <c r="O205" i="31"/>
  <c r="O206" i="31"/>
  <c r="O216" i="21" s="1"/>
  <c r="O207" i="31"/>
  <c r="O217" i="21" s="1"/>
  <c r="O208" i="31"/>
  <c r="O210" i="31"/>
  <c r="O220" i="21" s="1"/>
  <c r="O212" i="31"/>
  <c r="O214" i="31"/>
  <c r="O215" i="31"/>
  <c r="O217" i="31"/>
  <c r="O225" i="31"/>
  <c r="O227" i="31"/>
  <c r="O228" i="31"/>
  <c r="O229" i="31"/>
  <c r="O230" i="31"/>
  <c r="O240" i="21" s="1"/>
  <c r="O234" i="31"/>
  <c r="O244" i="21" s="1"/>
  <c r="O235" i="31"/>
  <c r="O245" i="21" s="1"/>
  <c r="O236" i="31"/>
  <c r="O246" i="21" s="1"/>
  <c r="O237" i="31"/>
  <c r="O238" i="31"/>
  <c r="O239" i="31"/>
  <c r="O240" i="31"/>
  <c r="O242" i="31"/>
  <c r="O252" i="21" s="1"/>
  <c r="O243" i="31"/>
  <c r="O253" i="21" s="1"/>
  <c r="O245" i="31"/>
  <c r="O246" i="31"/>
  <c r="O256" i="21" s="1"/>
  <c r="O249" i="31"/>
  <c r="O259" i="21" s="1"/>
  <c r="O250" i="31"/>
  <c r="O260" i="21" s="1"/>
  <c r="O251" i="31"/>
  <c r="O261" i="21" s="1"/>
  <c r="O252" i="31"/>
  <c r="O262" i="21" s="1"/>
  <c r="O253" i="31"/>
  <c r="O254" i="31"/>
  <c r="O264" i="21" s="1"/>
  <c r="O258" i="31"/>
  <c r="O267" i="21" s="1"/>
  <c r="O259" i="31"/>
  <c r="O268" i="21" s="1"/>
  <c r="O261" i="31"/>
  <c r="O263" i="31"/>
  <c r="O266" i="31"/>
  <c r="O268" i="31"/>
  <c r="O272" i="31"/>
  <c r="O273" i="31"/>
  <c r="O274" i="31"/>
  <c r="O276" i="31"/>
  <c r="O277" i="31"/>
  <c r="O278" i="31"/>
  <c r="O279" i="31"/>
  <c r="O280" i="31"/>
  <c r="O284" i="31"/>
  <c r="O285" i="31"/>
  <c r="O287" i="31"/>
  <c r="O297" i="21" s="1"/>
  <c r="O288" i="31"/>
  <c r="O296" i="31"/>
  <c r="O297" i="31"/>
  <c r="O302" i="31"/>
  <c r="O303" i="31"/>
  <c r="O304" i="31"/>
  <c r="O307" i="31"/>
  <c r="O308" i="31"/>
  <c r="O309" i="31"/>
  <c r="O312" i="31"/>
  <c r="O316" i="31"/>
  <c r="O317" i="31"/>
  <c r="O318" i="31"/>
  <c r="O319" i="31"/>
  <c r="O320" i="31"/>
  <c r="O321" i="31"/>
  <c r="O323" i="31"/>
  <c r="O324" i="31"/>
  <c r="O325" i="31"/>
  <c r="O327" i="31"/>
  <c r="O328" i="31"/>
  <c r="O329" i="31"/>
  <c r="O330" i="31"/>
  <c r="O331" i="31"/>
  <c r="O332" i="31"/>
  <c r="O337" i="31"/>
  <c r="O338" i="31"/>
  <c r="O339" i="31"/>
  <c r="O340" i="31"/>
  <c r="O341" i="31"/>
  <c r="O342" i="31"/>
  <c r="O347" i="31"/>
  <c r="O349" i="31"/>
  <c r="O350" i="31"/>
  <c r="O352" i="31"/>
  <c r="O353" i="31"/>
  <c r="O354" i="31"/>
  <c r="O355" i="31"/>
  <c r="O356" i="31"/>
  <c r="O357" i="31"/>
  <c r="O358" i="31"/>
  <c r="O360" i="31"/>
  <c r="O362" i="31"/>
  <c r="O363" i="31"/>
  <c r="O365" i="31"/>
  <c r="O366" i="31"/>
  <c r="O370" i="31"/>
  <c r="O371" i="31"/>
  <c r="O372" i="31"/>
  <c r="O374" i="31"/>
  <c r="O375" i="31"/>
  <c r="O376" i="31"/>
  <c r="O377" i="31"/>
  <c r="O379" i="31"/>
  <c r="O380" i="31"/>
  <c r="O381" i="31"/>
  <c r="O382" i="31"/>
  <c r="O386" i="31"/>
  <c r="O387" i="31"/>
  <c r="O394" i="31"/>
  <c r="O395" i="31"/>
  <c r="O396" i="31"/>
  <c r="O397" i="31"/>
  <c r="O399" i="31"/>
  <c r="O401" i="31"/>
  <c r="O402" i="31"/>
  <c r="O404" i="31"/>
  <c r="O405" i="31"/>
  <c r="O406" i="31"/>
  <c r="O408" i="31"/>
  <c r="O409" i="31"/>
  <c r="O410" i="31"/>
  <c r="O412" i="31"/>
  <c r="O414" i="31"/>
  <c r="O417" i="31"/>
  <c r="O418" i="31"/>
  <c r="O419" i="31"/>
  <c r="O420" i="31"/>
  <c r="O421" i="31"/>
  <c r="O423" i="31"/>
  <c r="O424" i="31"/>
  <c r="O426" i="31"/>
  <c r="O427" i="31"/>
  <c r="O429" i="31"/>
  <c r="O430" i="31"/>
  <c r="O431" i="31"/>
  <c r="O434" i="31"/>
  <c r="O435" i="31"/>
  <c r="O437" i="31"/>
  <c r="O439" i="31"/>
  <c r="O440" i="31"/>
  <c r="O441" i="31"/>
  <c r="O442" i="31"/>
  <c r="O443" i="31"/>
  <c r="O444" i="31"/>
  <c r="O445" i="31"/>
  <c r="O448" i="31"/>
  <c r="O449" i="31"/>
  <c r="O450" i="31"/>
  <c r="O451" i="31"/>
  <c r="O452" i="31"/>
  <c r="O454" i="31"/>
  <c r="O455" i="31"/>
  <c r="O456" i="31"/>
  <c r="O457" i="31"/>
  <c r="O458" i="31"/>
  <c r="O459" i="31"/>
  <c r="O461" i="31"/>
  <c r="O462" i="31"/>
  <c r="O463" i="31"/>
  <c r="O464" i="31"/>
  <c r="O467" i="31"/>
  <c r="O468" i="31"/>
  <c r="O469" i="31"/>
  <c r="O471" i="31"/>
  <c r="O472" i="31"/>
  <c r="O473" i="31"/>
  <c r="O474" i="31"/>
  <c r="O475" i="31"/>
  <c r="O476" i="31"/>
  <c r="O477" i="31"/>
  <c r="O479" i="31"/>
  <c r="O480" i="31"/>
  <c r="O481" i="31"/>
  <c r="O482" i="31"/>
  <c r="O483" i="31"/>
  <c r="O484" i="31"/>
  <c r="O485" i="31"/>
  <c r="O486" i="31"/>
  <c r="O487" i="31"/>
  <c r="O488" i="31"/>
  <c r="O489" i="31"/>
  <c r="O490" i="31"/>
  <c r="O491" i="31"/>
  <c r="O492" i="31"/>
  <c r="O493" i="31"/>
  <c r="O494" i="31"/>
  <c r="O495" i="31"/>
  <c r="O496" i="31"/>
  <c r="O497" i="31"/>
  <c r="O498" i="31"/>
  <c r="O499" i="31"/>
  <c r="O501" i="31"/>
  <c r="O503" i="31"/>
  <c r="O504" i="31"/>
  <c r="O505" i="31"/>
  <c r="O506" i="31"/>
  <c r="O507" i="31"/>
  <c r="O508" i="31"/>
  <c r="O509" i="31"/>
  <c r="O510" i="31"/>
  <c r="O511" i="31"/>
  <c r="O512" i="31"/>
  <c r="O513" i="31"/>
  <c r="O514" i="31"/>
  <c r="O515" i="31"/>
  <c r="O516" i="31"/>
  <c r="O517" i="31"/>
  <c r="O518" i="31"/>
  <c r="O519" i="31"/>
  <c r="O521" i="31"/>
  <c r="O522" i="31"/>
  <c r="O523" i="31"/>
  <c r="P523" i="31" s="1"/>
  <c r="O524" i="31"/>
  <c r="O525" i="31"/>
  <c r="O526" i="31"/>
  <c r="O527" i="31"/>
  <c r="O528" i="31"/>
  <c r="O529" i="31"/>
  <c r="O530" i="31"/>
  <c r="O531" i="31"/>
  <c r="O532" i="31"/>
  <c r="O533" i="31"/>
  <c r="O534" i="31"/>
  <c r="O535" i="31"/>
  <c r="O536" i="31"/>
  <c r="O537" i="31"/>
  <c r="O538" i="31"/>
  <c r="O539" i="31"/>
  <c r="O540" i="31"/>
  <c r="O541" i="31"/>
  <c r="O542" i="31"/>
  <c r="O545" i="31"/>
  <c r="O546"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9" i="31"/>
  <c r="O580" i="31"/>
  <c r="O581" i="31"/>
  <c r="O582" i="31"/>
  <c r="O583" i="31"/>
  <c r="O584" i="31"/>
  <c r="O585" i="31"/>
  <c r="O586" i="31"/>
  <c r="O587" i="31"/>
  <c r="O588" i="31"/>
  <c r="O589" i="31"/>
  <c r="O590" i="31"/>
  <c r="O591" i="31"/>
  <c r="O592" i="31"/>
  <c r="O593" i="31"/>
  <c r="O594" i="31"/>
  <c r="O595" i="31"/>
  <c r="O596" i="31"/>
  <c r="O597" i="31"/>
  <c r="O598" i="31"/>
  <c r="O600" i="31"/>
  <c r="O602" i="31"/>
  <c r="O603" i="31"/>
  <c r="O604" i="31"/>
  <c r="O605" i="31"/>
  <c r="O607" i="31"/>
  <c r="O608" i="31"/>
  <c r="O609" i="31"/>
  <c r="O610" i="31"/>
  <c r="O611" i="31"/>
  <c r="O612" i="31"/>
  <c r="O613" i="31"/>
  <c r="O614" i="31"/>
  <c r="O615" i="31"/>
  <c r="O616" i="31"/>
  <c r="O617" i="31"/>
  <c r="O618" i="31"/>
  <c r="O619" i="31"/>
  <c r="O620" i="31"/>
  <c r="O621" i="31"/>
  <c r="O6" i="31"/>
  <c r="O18" i="21" s="1"/>
  <c r="P555" i="31" l="1"/>
  <c r="N571" i="21" s="1"/>
  <c r="O571" i="21"/>
  <c r="P583" i="31"/>
  <c r="N599" i="21" s="1"/>
  <c r="O599" i="21"/>
  <c r="P535" i="31"/>
  <c r="N551" i="21" s="1"/>
  <c r="O551" i="21"/>
  <c r="P608" i="31"/>
  <c r="N627" i="21" s="1"/>
  <c r="O627" i="21"/>
  <c r="P615" i="31"/>
  <c r="N634" i="21" s="1"/>
  <c r="O634" i="21"/>
  <c r="P588" i="31"/>
  <c r="N605" i="21" s="1"/>
  <c r="O605" i="21"/>
  <c r="P551" i="31"/>
  <c r="N567" i="21" s="1"/>
  <c r="O567" i="21"/>
  <c r="P515" i="31"/>
  <c r="N532" i="21" s="1"/>
  <c r="O532" i="21"/>
  <c r="P497" i="31"/>
  <c r="N514" i="21" s="1"/>
  <c r="O514" i="21"/>
  <c r="P472" i="31"/>
  <c r="N488" i="21" s="1"/>
  <c r="O488" i="21"/>
  <c r="P451" i="31"/>
  <c r="N466" i="21" s="1"/>
  <c r="O466" i="21"/>
  <c r="P429" i="31"/>
  <c r="N443" i="21" s="1"/>
  <c r="O443" i="21"/>
  <c r="P405" i="31"/>
  <c r="N419" i="21" s="1"/>
  <c r="O419" i="21"/>
  <c r="P394" i="31"/>
  <c r="N408" i="21" s="1"/>
  <c r="O408" i="21"/>
  <c r="P376" i="31"/>
  <c r="N387" i="21" s="1"/>
  <c r="O387" i="21"/>
  <c r="P363" i="31"/>
  <c r="N374" i="21" s="1"/>
  <c r="O374" i="21"/>
  <c r="P353" i="31"/>
  <c r="N364" i="21" s="1"/>
  <c r="O364" i="21"/>
  <c r="P339" i="31"/>
  <c r="N350" i="21" s="1"/>
  <c r="O350" i="21"/>
  <c r="P327" i="31"/>
  <c r="N338" i="21" s="1"/>
  <c r="O338" i="21"/>
  <c r="P317" i="31"/>
  <c r="N328" i="21" s="1"/>
  <c r="O328" i="21"/>
  <c r="P302" i="31"/>
  <c r="N312" i="21" s="1"/>
  <c r="O312" i="21"/>
  <c r="P279" i="31"/>
  <c r="N289" i="21" s="1"/>
  <c r="O289" i="21"/>
  <c r="P266" i="31"/>
  <c r="N275" i="21" s="1"/>
  <c r="O275" i="21"/>
  <c r="P239" i="31"/>
  <c r="N249" i="21" s="1"/>
  <c r="O249" i="21"/>
  <c r="P228" i="31"/>
  <c r="N238" i="21" s="1"/>
  <c r="O238" i="21"/>
  <c r="P208" i="31"/>
  <c r="N218" i="21" s="1"/>
  <c r="O218" i="21"/>
  <c r="P192" i="31"/>
  <c r="O202" i="21"/>
  <c r="P183" i="31"/>
  <c r="O193" i="21"/>
  <c r="P175" i="31"/>
  <c r="O185" i="21"/>
  <c r="P159" i="31"/>
  <c r="O168" i="21"/>
  <c r="P151" i="31"/>
  <c r="O160" i="21"/>
  <c r="P143" i="31"/>
  <c r="N152" i="21" s="1"/>
  <c r="O152" i="21"/>
  <c r="P118" i="31"/>
  <c r="O135" i="21"/>
  <c r="O136" i="21"/>
  <c r="O137" i="21"/>
  <c r="P110" i="31"/>
  <c r="N127" i="21" s="1"/>
  <c r="O127" i="21"/>
  <c r="P78" i="31"/>
  <c r="N91" i="21" s="1"/>
  <c r="O91" i="21"/>
  <c r="P62" i="31"/>
  <c r="N75" i="21" s="1"/>
  <c r="O75" i="21"/>
  <c r="P53" i="31"/>
  <c r="N66" i="21" s="1"/>
  <c r="O66" i="21"/>
  <c r="P45" i="31"/>
  <c r="O58" i="21"/>
  <c r="P37" i="31"/>
  <c r="O50" i="21"/>
  <c r="P29" i="31"/>
  <c r="N41" i="21" s="1"/>
  <c r="O41" i="21"/>
  <c r="P21" i="31"/>
  <c r="N33" i="21" s="1"/>
  <c r="O33" i="21"/>
  <c r="P592" i="31"/>
  <c r="N611" i="21" s="1"/>
  <c r="O611" i="21"/>
  <c r="P519" i="31"/>
  <c r="O536" i="21"/>
  <c r="P618" i="31"/>
  <c r="N637" i="21" s="1"/>
  <c r="O637" i="21"/>
  <c r="P570" i="31"/>
  <c r="N586" i="21" s="1"/>
  <c r="O586" i="21"/>
  <c r="P518" i="31"/>
  <c r="O535" i="21"/>
  <c r="P589" i="31"/>
  <c r="N606" i="21" s="1"/>
  <c r="O606" i="21"/>
  <c r="P607" i="31"/>
  <c r="N626" i="21" s="1"/>
  <c r="O626" i="21"/>
  <c r="P580" i="31"/>
  <c r="N596" i="21" s="1"/>
  <c r="O596" i="21"/>
  <c r="P559" i="31"/>
  <c r="N575" i="21" s="1"/>
  <c r="O575" i="21"/>
  <c r="P540" i="31"/>
  <c r="N556" i="21" s="1"/>
  <c r="O556" i="21"/>
  <c r="P524" i="31"/>
  <c r="N540" i="21" s="1"/>
  <c r="O540" i="21"/>
  <c r="P489" i="31"/>
  <c r="N506" i="21" s="1"/>
  <c r="O506" i="21"/>
  <c r="P605" i="31"/>
  <c r="N624" i="21" s="1"/>
  <c r="O624" i="21"/>
  <c r="P595" i="31"/>
  <c r="N614" i="21" s="1"/>
  <c r="O614" i="21"/>
  <c r="P587" i="31"/>
  <c r="N604" i="21" s="1"/>
  <c r="O604" i="21"/>
  <c r="P579" i="31"/>
  <c r="N595" i="21" s="1"/>
  <c r="O595" i="21"/>
  <c r="P566" i="31"/>
  <c r="N582" i="21" s="1"/>
  <c r="O582" i="21"/>
  <c r="P558" i="31"/>
  <c r="N574" i="21" s="1"/>
  <c r="O574" i="21"/>
  <c r="P550" i="31"/>
  <c r="N566" i="21" s="1"/>
  <c r="O566" i="21"/>
  <c r="P539" i="31"/>
  <c r="N555" i="21" s="1"/>
  <c r="O555" i="21"/>
  <c r="P531" i="31"/>
  <c r="N547" i="21" s="1"/>
  <c r="O547" i="21"/>
  <c r="P514" i="31"/>
  <c r="N531" i="21" s="1"/>
  <c r="O531" i="21"/>
  <c r="P506" i="31"/>
  <c r="N523" i="21" s="1"/>
  <c r="O523" i="21"/>
  <c r="P496" i="31"/>
  <c r="N513" i="21" s="1"/>
  <c r="O513" i="21"/>
  <c r="P488" i="31"/>
  <c r="N505" i="21" s="1"/>
  <c r="O505" i="21"/>
  <c r="P480" i="31"/>
  <c r="N496" i="21" s="1"/>
  <c r="O496" i="21"/>
  <c r="P471" i="31"/>
  <c r="N487" i="21" s="1"/>
  <c r="O487" i="21"/>
  <c r="P459" i="31"/>
  <c r="N475" i="21" s="1"/>
  <c r="O475" i="21"/>
  <c r="P450" i="31"/>
  <c r="N465" i="21" s="1"/>
  <c r="O465" i="21"/>
  <c r="P440" i="31"/>
  <c r="N455" i="21" s="1"/>
  <c r="O455" i="21"/>
  <c r="P427" i="31"/>
  <c r="N441" i="21" s="1"/>
  <c r="O441" i="21"/>
  <c r="P417" i="31"/>
  <c r="N431" i="21" s="1"/>
  <c r="O431" i="21"/>
  <c r="P404" i="31"/>
  <c r="N418" i="21" s="1"/>
  <c r="O418" i="21"/>
  <c r="P387" i="31"/>
  <c r="O401" i="21"/>
  <c r="P375" i="31"/>
  <c r="N386" i="21" s="1"/>
  <c r="O386" i="21"/>
  <c r="P362" i="31"/>
  <c r="N373" i="21" s="1"/>
  <c r="O373" i="21"/>
  <c r="P352" i="31"/>
  <c r="N363" i="21" s="1"/>
  <c r="O363" i="21"/>
  <c r="P338" i="31"/>
  <c r="N349" i="21" s="1"/>
  <c r="O349" i="21"/>
  <c r="P325" i="31"/>
  <c r="N336" i="21" s="1"/>
  <c r="O336" i="21"/>
  <c r="P316" i="31"/>
  <c r="N327" i="21" s="1"/>
  <c r="O327" i="21"/>
  <c r="P297" i="31"/>
  <c r="N307" i="21" s="1"/>
  <c r="O307" i="21"/>
  <c r="P278" i="31"/>
  <c r="N288" i="21" s="1"/>
  <c r="O288" i="21"/>
  <c r="P263" i="31"/>
  <c r="N272" i="21" s="1"/>
  <c r="O272" i="21"/>
  <c r="P238" i="31"/>
  <c r="N248" i="21" s="1"/>
  <c r="O248" i="21"/>
  <c r="P227" i="31"/>
  <c r="N237" i="21" s="1"/>
  <c r="O237" i="21"/>
  <c r="P191" i="31"/>
  <c r="O201" i="21"/>
  <c r="P182" i="31"/>
  <c r="O192" i="21"/>
  <c r="P174" i="31"/>
  <c r="O184" i="21"/>
  <c r="P158" i="31"/>
  <c r="O167" i="21"/>
  <c r="P125" i="31"/>
  <c r="N143" i="21" s="1"/>
  <c r="O143" i="21"/>
  <c r="P117" i="31"/>
  <c r="N134" i="21" s="1"/>
  <c r="O134" i="21"/>
  <c r="P109" i="31"/>
  <c r="N126" i="21" s="1"/>
  <c r="O126" i="21"/>
  <c r="S101" i="31"/>
  <c r="O116" i="21"/>
  <c r="P93" i="31"/>
  <c r="N106" i="21" s="1"/>
  <c r="O106" i="21"/>
  <c r="P85" i="31"/>
  <c r="N98" i="21" s="1"/>
  <c r="O98" i="21"/>
  <c r="P77" i="31"/>
  <c r="N90" i="21" s="1"/>
  <c r="O90" i="21"/>
  <c r="S69" i="31"/>
  <c r="O82" i="21"/>
  <c r="P61" i="31"/>
  <c r="N74" i="21" s="1"/>
  <c r="O74" i="21"/>
  <c r="P52" i="31"/>
  <c r="N65" i="21" s="1"/>
  <c r="O65" i="21"/>
  <c r="P44" i="31"/>
  <c r="O57" i="21"/>
  <c r="P36" i="31"/>
  <c r="O49" i="21"/>
  <c r="P28" i="31"/>
  <c r="N40" i="21" s="1"/>
  <c r="O40" i="21"/>
  <c r="P20" i="31"/>
  <c r="N32" i="21" s="1"/>
  <c r="O32" i="21"/>
  <c r="P563" i="31"/>
  <c r="N579" i="21" s="1"/>
  <c r="O579" i="21"/>
  <c r="P511" i="31"/>
  <c r="N528" i="21" s="1"/>
  <c r="O528" i="21"/>
  <c r="P610" i="31"/>
  <c r="N629" i="21" s="1"/>
  <c r="O629" i="21"/>
  <c r="P545" i="31"/>
  <c r="N561" i="21" s="1"/>
  <c r="O561" i="21"/>
  <c r="P616" i="31"/>
  <c r="N635" i="21" s="1"/>
  <c r="O635" i="21"/>
  <c r="P581" i="31"/>
  <c r="N597" i="21" s="1"/>
  <c r="O597" i="21"/>
  <c r="P596" i="31"/>
  <c r="N615" i="21" s="1"/>
  <c r="O615" i="21"/>
  <c r="P567" i="31"/>
  <c r="N583" i="21" s="1"/>
  <c r="O583" i="21"/>
  <c r="P532" i="31"/>
  <c r="N548" i="21" s="1"/>
  <c r="O548" i="21"/>
  <c r="P507" i="31"/>
  <c r="N524" i="21" s="1"/>
  <c r="O524" i="21"/>
  <c r="P481" i="31"/>
  <c r="N498" i="21" s="1"/>
  <c r="O498" i="21"/>
  <c r="P461" i="31"/>
  <c r="N477" i="21" s="1"/>
  <c r="O477" i="21"/>
  <c r="P441" i="31"/>
  <c r="N456" i="21" s="1"/>
  <c r="O456" i="21"/>
  <c r="P418" i="31"/>
  <c r="N432" i="21" s="1"/>
  <c r="O432" i="21"/>
  <c r="P614" i="31"/>
  <c r="N633" i="21" s="1"/>
  <c r="O633" i="21"/>
  <c r="P621" i="31"/>
  <c r="N607" i="21" s="1"/>
  <c r="O607" i="21"/>
  <c r="P613" i="31"/>
  <c r="N632" i="21" s="1"/>
  <c r="O632" i="21"/>
  <c r="P604" i="31"/>
  <c r="N623" i="21" s="1"/>
  <c r="O623" i="21"/>
  <c r="P594" i="31"/>
  <c r="N613" i="21" s="1"/>
  <c r="O613" i="21"/>
  <c r="P586" i="31"/>
  <c r="N603" i="21" s="1"/>
  <c r="O603" i="21"/>
  <c r="P573" i="31"/>
  <c r="N589" i="21" s="1"/>
  <c r="O589" i="21"/>
  <c r="P565" i="31"/>
  <c r="N581" i="21" s="1"/>
  <c r="O581" i="21"/>
  <c r="P557" i="31"/>
  <c r="N573" i="21" s="1"/>
  <c r="O573" i="21"/>
  <c r="P549" i="31"/>
  <c r="N565" i="21" s="1"/>
  <c r="O565" i="21"/>
  <c r="P538" i="31"/>
  <c r="N554" i="21" s="1"/>
  <c r="O554" i="21"/>
  <c r="P530" i="31"/>
  <c r="N546" i="21" s="1"/>
  <c r="O546" i="21"/>
  <c r="P522" i="31"/>
  <c r="N539" i="21" s="1"/>
  <c r="O539" i="21"/>
  <c r="P513" i="31"/>
  <c r="N530" i="21" s="1"/>
  <c r="O530" i="21"/>
  <c r="P505" i="31"/>
  <c r="N522" i="21" s="1"/>
  <c r="O522" i="21"/>
  <c r="P495" i="31"/>
  <c r="N512" i="21" s="1"/>
  <c r="O512" i="21"/>
  <c r="P487" i="31"/>
  <c r="N504" i="21" s="1"/>
  <c r="O504" i="21"/>
  <c r="P479" i="31"/>
  <c r="N495" i="21" s="1"/>
  <c r="O495" i="21"/>
  <c r="P469" i="31"/>
  <c r="N485" i="21" s="1"/>
  <c r="O485" i="21"/>
  <c r="P458" i="31"/>
  <c r="N474" i="21" s="1"/>
  <c r="O474" i="21"/>
  <c r="P449" i="31"/>
  <c r="N464" i="21" s="1"/>
  <c r="O464" i="21"/>
  <c r="P439" i="31"/>
  <c r="O454" i="21"/>
  <c r="P426" i="31"/>
  <c r="N440" i="21" s="1"/>
  <c r="O440" i="21"/>
  <c r="P414" i="31"/>
  <c r="N428" i="21" s="1"/>
  <c r="O428" i="21"/>
  <c r="P402" i="31"/>
  <c r="N416" i="21" s="1"/>
  <c r="O416" i="21"/>
  <c r="P386" i="31"/>
  <c r="N400" i="21" s="1"/>
  <c r="O400" i="21"/>
  <c r="P374" i="31"/>
  <c r="N385" i="21" s="1"/>
  <c r="O385" i="21"/>
  <c r="P360" i="31"/>
  <c r="N371" i="21" s="1"/>
  <c r="O371" i="21"/>
  <c r="P350" i="31"/>
  <c r="N361" i="21" s="1"/>
  <c r="O361" i="21"/>
  <c r="P337" i="31"/>
  <c r="N348" i="21" s="1"/>
  <c r="O348" i="21"/>
  <c r="P324" i="31"/>
  <c r="N335" i="21" s="1"/>
  <c r="O335" i="21"/>
  <c r="P312" i="31"/>
  <c r="N322" i="21" s="1"/>
  <c r="O322" i="21"/>
  <c r="P296" i="31"/>
  <c r="N306" i="21" s="1"/>
  <c r="O306" i="21"/>
  <c r="P277" i="31"/>
  <c r="N287" i="21" s="1"/>
  <c r="O287" i="21"/>
  <c r="S261" i="31"/>
  <c r="O270" i="21"/>
  <c r="P237" i="31"/>
  <c r="N247" i="21" s="1"/>
  <c r="O247" i="21"/>
  <c r="P225" i="31"/>
  <c r="N235" i="21" s="1"/>
  <c r="O235" i="21"/>
  <c r="P198" i="31"/>
  <c r="N208" i="21" s="1"/>
  <c r="O208" i="21"/>
  <c r="P189" i="31"/>
  <c r="N199" i="21" s="1"/>
  <c r="O199" i="21"/>
  <c r="P181" i="31"/>
  <c r="N191" i="21" s="1"/>
  <c r="O191" i="21"/>
  <c r="S173" i="31"/>
  <c r="O183" i="21"/>
  <c r="S165" i="31"/>
  <c r="O175" i="21"/>
  <c r="P157" i="31"/>
  <c r="N166" i="21" s="1"/>
  <c r="O166" i="21"/>
  <c r="S149" i="31"/>
  <c r="O158" i="21"/>
  <c r="P141" i="31"/>
  <c r="N150" i="21" s="1"/>
  <c r="O150" i="21"/>
  <c r="P124" i="31"/>
  <c r="N142" i="21" s="1"/>
  <c r="O142" i="21"/>
  <c r="P116" i="31"/>
  <c r="N133" i="21" s="1"/>
  <c r="O133" i="21"/>
  <c r="P92" i="31"/>
  <c r="N105" i="21" s="1"/>
  <c r="O105" i="21"/>
  <c r="P84" i="31"/>
  <c r="N97" i="21" s="1"/>
  <c r="O97" i="21"/>
  <c r="P76" i="31"/>
  <c r="O89" i="21"/>
  <c r="P68" i="31"/>
  <c r="N81" i="21" s="1"/>
  <c r="O81" i="21"/>
  <c r="P60" i="31"/>
  <c r="N73" i="21" s="1"/>
  <c r="O73" i="21"/>
  <c r="P51" i="31"/>
  <c r="N64" i="21" s="1"/>
  <c r="O64" i="21"/>
  <c r="P43" i="31"/>
  <c r="O56" i="21"/>
  <c r="P27" i="31"/>
  <c r="N39" i="21" s="1"/>
  <c r="O39" i="21"/>
  <c r="P19" i="31"/>
  <c r="N31" i="21" s="1"/>
  <c r="O31" i="21"/>
  <c r="P11" i="31"/>
  <c r="N23" i="21" s="1"/>
  <c r="O23" i="21"/>
  <c r="P611" i="31"/>
  <c r="O630" i="21"/>
  <c r="P620" i="31"/>
  <c r="N639" i="21" s="1"/>
  <c r="O639" i="21"/>
  <c r="P612" i="31"/>
  <c r="O631" i="21"/>
  <c r="P603" i="31"/>
  <c r="N622" i="21" s="1"/>
  <c r="O622" i="21"/>
  <c r="P593" i="31"/>
  <c r="N612" i="21" s="1"/>
  <c r="O612" i="21"/>
  <c r="P585" i="31"/>
  <c r="O601" i="21"/>
  <c r="P572" i="31"/>
  <c r="N588" i="21" s="1"/>
  <c r="O588" i="21"/>
  <c r="P564" i="31"/>
  <c r="N580" i="21" s="1"/>
  <c r="O580" i="21"/>
  <c r="P556" i="31"/>
  <c r="N572" i="21" s="1"/>
  <c r="O572" i="21"/>
  <c r="P548" i="31"/>
  <c r="N564" i="21" s="1"/>
  <c r="O564" i="21"/>
  <c r="P537" i="31"/>
  <c r="N553" i="21" s="1"/>
  <c r="O553" i="21"/>
  <c r="P529" i="31"/>
  <c r="N545" i="21" s="1"/>
  <c r="O545" i="21"/>
  <c r="P521" i="31"/>
  <c r="N538" i="21" s="1"/>
  <c r="O538" i="21"/>
  <c r="P512" i="31"/>
  <c r="N529" i="21" s="1"/>
  <c r="O529" i="21"/>
  <c r="P504" i="31"/>
  <c r="N521" i="21" s="1"/>
  <c r="O521" i="21"/>
  <c r="P494" i="31"/>
  <c r="N511" i="21" s="1"/>
  <c r="O511" i="21"/>
  <c r="P486" i="31"/>
  <c r="N503" i="21" s="1"/>
  <c r="O503" i="21"/>
  <c r="P477" i="31"/>
  <c r="N493" i="21" s="1"/>
  <c r="O493" i="21"/>
  <c r="P468" i="31"/>
  <c r="N484" i="21" s="1"/>
  <c r="O484" i="21"/>
  <c r="P457" i="31"/>
  <c r="N473" i="21" s="1"/>
  <c r="O473" i="21"/>
  <c r="P448" i="31"/>
  <c r="N463" i="21" s="1"/>
  <c r="O463" i="21"/>
  <c r="P437" i="31"/>
  <c r="N452" i="21" s="1"/>
  <c r="O452" i="21"/>
  <c r="P424" i="31"/>
  <c r="N438" i="21" s="1"/>
  <c r="O438" i="21"/>
  <c r="P412" i="31"/>
  <c r="O426" i="21"/>
  <c r="P401" i="31"/>
  <c r="N415" i="21" s="1"/>
  <c r="O415" i="21"/>
  <c r="P382" i="31"/>
  <c r="N394" i="21" s="1"/>
  <c r="O394" i="21"/>
  <c r="P372" i="31"/>
  <c r="N383" i="21" s="1"/>
  <c r="O383" i="21"/>
  <c r="P358" i="31"/>
  <c r="O369" i="21"/>
  <c r="P349" i="31"/>
  <c r="N360" i="21" s="1"/>
  <c r="O360" i="21"/>
  <c r="P332" i="31"/>
  <c r="N343" i="21" s="1"/>
  <c r="O343" i="21"/>
  <c r="P323" i="31"/>
  <c r="N334" i="21" s="1"/>
  <c r="O334" i="21"/>
  <c r="P309" i="31"/>
  <c r="N319" i="21" s="1"/>
  <c r="O319" i="21"/>
  <c r="P288" i="31"/>
  <c r="N298" i="21" s="1"/>
  <c r="O298" i="21"/>
  <c r="P276" i="31"/>
  <c r="N286" i="21" s="1"/>
  <c r="O286" i="21"/>
  <c r="P217" i="31"/>
  <c r="N227" i="21" s="1"/>
  <c r="O227" i="21"/>
  <c r="S205" i="31"/>
  <c r="O215" i="21"/>
  <c r="P197" i="31"/>
  <c r="N207" i="21" s="1"/>
  <c r="O207" i="21"/>
  <c r="P188" i="31"/>
  <c r="N198" i="21" s="1"/>
  <c r="O198" i="21"/>
  <c r="P180" i="31"/>
  <c r="O190" i="21"/>
  <c r="P172" i="31"/>
  <c r="O182" i="21"/>
  <c r="P156" i="31"/>
  <c r="O165" i="21"/>
  <c r="P148" i="31"/>
  <c r="O157" i="21"/>
  <c r="P140" i="31"/>
  <c r="O149" i="21"/>
  <c r="P123" i="31"/>
  <c r="N141" i="21" s="1"/>
  <c r="O141" i="21"/>
  <c r="P91" i="31"/>
  <c r="N104" i="21" s="1"/>
  <c r="O104" i="21"/>
  <c r="P83" i="31"/>
  <c r="O96" i="21"/>
  <c r="P75" i="31"/>
  <c r="N88" i="21" s="1"/>
  <c r="O88" i="21"/>
  <c r="P67" i="31"/>
  <c r="N80" i="21" s="1"/>
  <c r="O80" i="21"/>
  <c r="P59" i="31"/>
  <c r="N72" i="21" s="1"/>
  <c r="O72" i="21"/>
  <c r="P50" i="31"/>
  <c r="N63" i="21" s="1"/>
  <c r="O63" i="21"/>
  <c r="P42" i="31"/>
  <c r="N55" i="21" s="1"/>
  <c r="O55" i="21"/>
  <c r="P34" i="31"/>
  <c r="N47" i="21" s="1"/>
  <c r="O47" i="21"/>
  <c r="P619" i="31"/>
  <c r="N638" i="21" s="1"/>
  <c r="O638" i="21"/>
  <c r="P546" i="31"/>
  <c r="N562" i="21" s="1"/>
  <c r="O562" i="21"/>
  <c r="P493" i="31"/>
  <c r="N510" i="21" s="1"/>
  <c r="O510" i="21"/>
  <c r="P485" i="31"/>
  <c r="N502" i="21" s="1"/>
  <c r="O502" i="21"/>
  <c r="P476" i="31"/>
  <c r="N492" i="21" s="1"/>
  <c r="O492" i="21"/>
  <c r="P467" i="31"/>
  <c r="N483" i="21" s="1"/>
  <c r="O483" i="21"/>
  <c r="P456" i="31"/>
  <c r="N472" i="21" s="1"/>
  <c r="O472" i="21"/>
  <c r="P445" i="31"/>
  <c r="N460" i="21" s="1"/>
  <c r="O460" i="21"/>
  <c r="P435" i="31"/>
  <c r="O450" i="21"/>
  <c r="P423" i="31"/>
  <c r="N437" i="21" s="1"/>
  <c r="O437" i="21"/>
  <c r="P410" i="31"/>
  <c r="N424" i="21" s="1"/>
  <c r="O424" i="21"/>
  <c r="P399" i="31"/>
  <c r="N413" i="21" s="1"/>
  <c r="O413" i="21"/>
  <c r="P381" i="31"/>
  <c r="N392" i="21" s="1"/>
  <c r="O392" i="21"/>
  <c r="P371" i="31"/>
  <c r="N382" i="21" s="1"/>
  <c r="O382" i="21"/>
  <c r="P357" i="31"/>
  <c r="N368" i="21" s="1"/>
  <c r="O368" i="21"/>
  <c r="P347" i="31"/>
  <c r="N358" i="21" s="1"/>
  <c r="O358" i="21"/>
  <c r="P331" i="31"/>
  <c r="N342" i="21" s="1"/>
  <c r="O342" i="21"/>
  <c r="P321" i="31"/>
  <c r="N332" i="21" s="1"/>
  <c r="O332" i="21"/>
  <c r="P308" i="31"/>
  <c r="N318" i="21" s="1"/>
  <c r="O318" i="21"/>
  <c r="P274" i="31"/>
  <c r="N283" i="21" s="1"/>
  <c r="O283" i="21"/>
  <c r="S245" i="31"/>
  <c r="O255" i="21"/>
  <c r="P215" i="31"/>
  <c r="N225" i="21" s="1"/>
  <c r="O225" i="21"/>
  <c r="P196" i="31"/>
  <c r="N206" i="21" s="1"/>
  <c r="O206" i="21"/>
  <c r="P187" i="31"/>
  <c r="N197" i="21" s="1"/>
  <c r="O197" i="21"/>
  <c r="P179" i="31"/>
  <c r="N189" i="21" s="1"/>
  <c r="O189" i="21"/>
  <c r="P171" i="31"/>
  <c r="N181" i="21" s="1"/>
  <c r="O181" i="21"/>
  <c r="P163" i="31"/>
  <c r="N173" i="21" s="1"/>
  <c r="O173" i="21"/>
  <c r="P155" i="31"/>
  <c r="O164" i="21"/>
  <c r="P147" i="31"/>
  <c r="O156" i="21"/>
  <c r="P139" i="31"/>
  <c r="O148" i="21"/>
  <c r="P122" i="31"/>
  <c r="O140" i="21"/>
  <c r="P90" i="31"/>
  <c r="N103" i="21" s="1"/>
  <c r="O103" i="21"/>
  <c r="P74" i="31"/>
  <c r="N87" i="21" s="1"/>
  <c r="O87" i="21"/>
  <c r="P66" i="31"/>
  <c r="N79" i="21" s="1"/>
  <c r="O79" i="21"/>
  <c r="P58" i="31"/>
  <c r="N71" i="21" s="1"/>
  <c r="O71" i="21"/>
  <c r="P33" i="31"/>
  <c r="N46" i="21" s="1"/>
  <c r="O46" i="21"/>
  <c r="P9" i="31"/>
  <c r="N21" i="21" s="1"/>
  <c r="O21" i="21"/>
  <c r="P584" i="31"/>
  <c r="O600" i="21"/>
  <c r="P528" i="31"/>
  <c r="N544" i="21" s="1"/>
  <c r="O544" i="21"/>
  <c r="P554" i="31"/>
  <c r="N570" i="21" s="1"/>
  <c r="O570" i="21"/>
  <c r="P527" i="31"/>
  <c r="N543" i="21" s="1"/>
  <c r="O543" i="21"/>
  <c r="P492" i="31"/>
  <c r="N509" i="21" s="1"/>
  <c r="O509" i="21"/>
  <c r="P475" i="31"/>
  <c r="N491" i="21" s="1"/>
  <c r="O491" i="21"/>
  <c r="P464" i="31"/>
  <c r="N480" i="21" s="1"/>
  <c r="O480" i="21"/>
  <c r="P455" i="31"/>
  <c r="N471" i="21" s="1"/>
  <c r="O471" i="21"/>
  <c r="P444" i="31"/>
  <c r="N459" i="21" s="1"/>
  <c r="O459" i="21"/>
  <c r="P434" i="31"/>
  <c r="O449" i="21"/>
  <c r="P421" i="31"/>
  <c r="N435" i="21" s="1"/>
  <c r="O435" i="21"/>
  <c r="P409" i="31"/>
  <c r="N423" i="21" s="1"/>
  <c r="O423" i="21"/>
  <c r="P397" i="31"/>
  <c r="N411" i="21" s="1"/>
  <c r="O411" i="21"/>
  <c r="P380" i="31"/>
  <c r="N391" i="21" s="1"/>
  <c r="O391" i="21"/>
  <c r="P370" i="31"/>
  <c r="N381" i="21" s="1"/>
  <c r="O381" i="21"/>
  <c r="P356" i="31"/>
  <c r="N367" i="21" s="1"/>
  <c r="O367" i="21"/>
  <c r="P342" i="31"/>
  <c r="N353" i="21" s="1"/>
  <c r="O353" i="21"/>
  <c r="P330" i="31"/>
  <c r="N341" i="21" s="1"/>
  <c r="O341" i="21"/>
  <c r="P320" i="31"/>
  <c r="O331" i="21"/>
  <c r="P307" i="31"/>
  <c r="N317" i="21" s="1"/>
  <c r="O317" i="21"/>
  <c r="P285" i="31"/>
  <c r="N295" i="21" s="1"/>
  <c r="O295" i="21"/>
  <c r="P273" i="31"/>
  <c r="O282" i="21"/>
  <c r="P214" i="31"/>
  <c r="N224" i="21" s="1"/>
  <c r="O224" i="21"/>
  <c r="P203" i="31"/>
  <c r="N213" i="21" s="1"/>
  <c r="O213" i="21"/>
  <c r="P195" i="31"/>
  <c r="O205" i="21"/>
  <c r="P186" i="31"/>
  <c r="O196" i="21"/>
  <c r="P178" i="31"/>
  <c r="N188" i="21" s="1"/>
  <c r="O188" i="21"/>
  <c r="P162" i="31"/>
  <c r="N172" i="21" s="1"/>
  <c r="O172" i="21"/>
  <c r="P154" i="31"/>
  <c r="O163" i="21"/>
  <c r="P146" i="31"/>
  <c r="N155" i="21" s="1"/>
  <c r="O155" i="21"/>
  <c r="P121" i="31"/>
  <c r="O139" i="21"/>
  <c r="P105" i="31"/>
  <c r="O121" i="21"/>
  <c r="P81" i="31"/>
  <c r="N94" i="21" s="1"/>
  <c r="O94" i="21"/>
  <c r="P65" i="31"/>
  <c r="N78" i="21" s="1"/>
  <c r="O78" i="21"/>
  <c r="P57" i="31"/>
  <c r="N70" i="21" s="1"/>
  <c r="O70" i="21"/>
  <c r="P40" i="31"/>
  <c r="N53" i="21" s="1"/>
  <c r="O53" i="21"/>
  <c r="P32" i="31"/>
  <c r="N44" i="21" s="1"/>
  <c r="O44" i="21"/>
  <c r="P16" i="31"/>
  <c r="N28" i="21" s="1"/>
  <c r="O28" i="21"/>
  <c r="P571" i="31"/>
  <c r="N587" i="21" s="1"/>
  <c r="O587" i="21"/>
  <c r="P503" i="31"/>
  <c r="N520" i="21" s="1"/>
  <c r="O520" i="21"/>
  <c r="P591" i="31"/>
  <c r="N610" i="21" s="1"/>
  <c r="O610" i="21"/>
  <c r="P562" i="31"/>
  <c r="N578" i="21" s="1"/>
  <c r="O578" i="21"/>
  <c r="P510" i="31"/>
  <c r="O527" i="21"/>
  <c r="P501" i="31"/>
  <c r="N518" i="21" s="1"/>
  <c r="O518" i="21"/>
  <c r="P484" i="31"/>
  <c r="N501" i="21" s="1"/>
  <c r="O501" i="21"/>
  <c r="P617" i="31"/>
  <c r="N636" i="21" s="1"/>
  <c r="O636" i="21"/>
  <c r="P609" i="31"/>
  <c r="N628" i="21" s="1"/>
  <c r="O628" i="21"/>
  <c r="P598" i="31"/>
  <c r="N617" i="21" s="1"/>
  <c r="O617" i="21"/>
  <c r="P590" i="31"/>
  <c r="N608" i="21" s="1"/>
  <c r="O608" i="21"/>
  <c r="P582" i="31"/>
  <c r="N598" i="21" s="1"/>
  <c r="O598" i="21"/>
  <c r="P569" i="31"/>
  <c r="N585" i="21" s="1"/>
  <c r="O585" i="21"/>
  <c r="P561" i="31"/>
  <c r="N577" i="21" s="1"/>
  <c r="O577" i="21"/>
  <c r="P553" i="31"/>
  <c r="N569" i="21" s="1"/>
  <c r="O569" i="21"/>
  <c r="P542" i="31"/>
  <c r="N558" i="21" s="1"/>
  <c r="O558" i="21"/>
  <c r="P534" i="31"/>
  <c r="N550" i="21" s="1"/>
  <c r="O550" i="21"/>
  <c r="P526" i="31"/>
  <c r="N542" i="21" s="1"/>
  <c r="O542" i="21"/>
  <c r="P517" i="31"/>
  <c r="N534" i="21" s="1"/>
  <c r="O534" i="21"/>
  <c r="P509" i="31"/>
  <c r="N526" i="21" s="1"/>
  <c r="O526" i="21"/>
  <c r="P499" i="31"/>
  <c r="N516" i="21" s="1"/>
  <c r="O516" i="21"/>
  <c r="P491" i="31"/>
  <c r="N508" i="21" s="1"/>
  <c r="O508" i="21"/>
  <c r="P483" i="31"/>
  <c r="O500" i="21"/>
  <c r="P474" i="31"/>
  <c r="N490" i="21" s="1"/>
  <c r="O490" i="21"/>
  <c r="P463" i="31"/>
  <c r="N479" i="21" s="1"/>
  <c r="O479" i="21"/>
  <c r="P454" i="31"/>
  <c r="N470" i="21" s="1"/>
  <c r="O470" i="21"/>
  <c r="P443" i="31"/>
  <c r="N458" i="21" s="1"/>
  <c r="O458" i="21"/>
  <c r="P431" i="31"/>
  <c r="N445" i="21" s="1"/>
  <c r="O445" i="21"/>
  <c r="P420" i="31"/>
  <c r="N434" i="21" s="1"/>
  <c r="O434" i="21"/>
  <c r="P408" i="31"/>
  <c r="N422" i="21" s="1"/>
  <c r="O422" i="21"/>
  <c r="P396" i="31"/>
  <c r="N410" i="21" s="1"/>
  <c r="O410" i="21"/>
  <c r="P379" i="31"/>
  <c r="N390" i="21" s="1"/>
  <c r="O390" i="21"/>
  <c r="P366" i="31"/>
  <c r="N377" i="21" s="1"/>
  <c r="O377" i="21"/>
  <c r="P355" i="31"/>
  <c r="N366" i="21" s="1"/>
  <c r="O366" i="21"/>
  <c r="P341" i="31"/>
  <c r="N352" i="21" s="1"/>
  <c r="O352" i="21"/>
  <c r="P329" i="31"/>
  <c r="N340" i="21" s="1"/>
  <c r="O340" i="21"/>
  <c r="P319" i="31"/>
  <c r="N330" i="21" s="1"/>
  <c r="O330" i="21"/>
  <c r="P304" i="31"/>
  <c r="N314" i="21" s="1"/>
  <c r="O314" i="21"/>
  <c r="P284" i="31"/>
  <c r="N294" i="21" s="1"/>
  <c r="O294" i="21"/>
  <c r="P272" i="31"/>
  <c r="N281" i="21" s="1"/>
  <c r="O281" i="21"/>
  <c r="S253" i="31"/>
  <c r="O263" i="21"/>
  <c r="P212" i="31"/>
  <c r="N222" i="21" s="1"/>
  <c r="O222" i="21"/>
  <c r="P202" i="31"/>
  <c r="O212" i="21"/>
  <c r="P194" i="31"/>
  <c r="O204" i="21"/>
  <c r="P185" i="31"/>
  <c r="O195" i="21"/>
  <c r="P169" i="31"/>
  <c r="N179" i="21" s="1"/>
  <c r="O179" i="21"/>
  <c r="P161" i="31"/>
  <c r="N171" i="21" s="1"/>
  <c r="O171" i="21"/>
  <c r="P120" i="31"/>
  <c r="O138" i="21"/>
  <c r="P112" i="31"/>
  <c r="O129" i="21"/>
  <c r="P104" i="31"/>
  <c r="O120" i="21"/>
  <c r="P96" i="31"/>
  <c r="O109" i="21"/>
  <c r="P88" i="31"/>
  <c r="N101" i="21" s="1"/>
  <c r="O101" i="21"/>
  <c r="P80" i="31"/>
  <c r="N93" i="21" s="1"/>
  <c r="O93" i="21"/>
  <c r="P72" i="31"/>
  <c r="N85" i="21" s="1"/>
  <c r="O85" i="21"/>
  <c r="P64" i="31"/>
  <c r="N77" i="21" s="1"/>
  <c r="O77" i="21"/>
  <c r="P55" i="31"/>
  <c r="N68" i="21" s="1"/>
  <c r="O68" i="21"/>
  <c r="P31" i="31"/>
  <c r="N43" i="21" s="1"/>
  <c r="O43" i="21"/>
  <c r="P23" i="31"/>
  <c r="N35" i="21" s="1"/>
  <c r="O35" i="21"/>
  <c r="P7" i="31"/>
  <c r="N19" i="21" s="1"/>
  <c r="O19" i="21"/>
  <c r="P602" i="31"/>
  <c r="N621" i="21" s="1"/>
  <c r="O621" i="21"/>
  <c r="P536" i="31"/>
  <c r="N552" i="21" s="1"/>
  <c r="O552" i="21"/>
  <c r="P600" i="31"/>
  <c r="O619" i="21"/>
  <c r="P597" i="31"/>
  <c r="N616" i="21" s="1"/>
  <c r="O616" i="21"/>
  <c r="P568" i="31"/>
  <c r="N584" i="21" s="1"/>
  <c r="O584" i="21"/>
  <c r="P560" i="31"/>
  <c r="N576" i="21" s="1"/>
  <c r="O576" i="21"/>
  <c r="P552" i="31"/>
  <c r="N568" i="21" s="1"/>
  <c r="O568" i="21"/>
  <c r="P541" i="31"/>
  <c r="N557" i="21" s="1"/>
  <c r="O557" i="21"/>
  <c r="P533" i="31"/>
  <c r="N549" i="21" s="1"/>
  <c r="O549" i="21"/>
  <c r="P525" i="31"/>
  <c r="N541" i="21" s="1"/>
  <c r="O541" i="21"/>
  <c r="P516" i="31"/>
  <c r="N533" i="21" s="1"/>
  <c r="O533" i="21"/>
  <c r="P508" i="31"/>
  <c r="N525" i="21" s="1"/>
  <c r="O525" i="21"/>
  <c r="P498" i="31"/>
  <c r="N515" i="21" s="1"/>
  <c r="O515" i="21"/>
  <c r="P490" i="31"/>
  <c r="N507" i="21" s="1"/>
  <c r="O507" i="21"/>
  <c r="P482" i="31"/>
  <c r="N499" i="21" s="1"/>
  <c r="O499" i="21"/>
  <c r="P473" i="31"/>
  <c r="N489" i="21" s="1"/>
  <c r="O489" i="21"/>
  <c r="P462" i="31"/>
  <c r="N478" i="21" s="1"/>
  <c r="O478" i="21"/>
  <c r="P452" i="31"/>
  <c r="N467" i="21" s="1"/>
  <c r="O467" i="21"/>
  <c r="P442" i="31"/>
  <c r="N457" i="21" s="1"/>
  <c r="O457" i="21"/>
  <c r="P430" i="31"/>
  <c r="N444" i="21" s="1"/>
  <c r="O444" i="21"/>
  <c r="P419" i="31"/>
  <c r="N433" i="21" s="1"/>
  <c r="O433" i="21"/>
  <c r="P406" i="31"/>
  <c r="N420" i="21" s="1"/>
  <c r="O420" i="21"/>
  <c r="P395" i="31"/>
  <c r="N409" i="21" s="1"/>
  <c r="O409" i="21"/>
  <c r="P377" i="31"/>
  <c r="N388" i="21" s="1"/>
  <c r="O388" i="21"/>
  <c r="P365" i="31"/>
  <c r="N376" i="21" s="1"/>
  <c r="O376" i="21"/>
  <c r="P354" i="31"/>
  <c r="N365" i="21" s="1"/>
  <c r="O365" i="21"/>
  <c r="P340" i="31"/>
  <c r="N351" i="21" s="1"/>
  <c r="O351" i="21"/>
  <c r="P328" i="31"/>
  <c r="N339" i="21" s="1"/>
  <c r="O339" i="21"/>
  <c r="P318" i="31"/>
  <c r="N329" i="21" s="1"/>
  <c r="O329" i="21"/>
  <c r="P303" i="31"/>
  <c r="N313" i="21" s="1"/>
  <c r="O313" i="21"/>
  <c r="P280" i="31"/>
  <c r="N290" i="21" s="1"/>
  <c r="O290" i="21"/>
  <c r="P268" i="31"/>
  <c r="N277" i="21" s="1"/>
  <c r="O277" i="21"/>
  <c r="P240" i="31"/>
  <c r="N250" i="21" s="1"/>
  <c r="O250" i="21"/>
  <c r="S229" i="31"/>
  <c r="O239" i="21"/>
  <c r="P201" i="31"/>
  <c r="O211" i="21"/>
  <c r="P193" i="31"/>
  <c r="O203" i="21"/>
  <c r="P184" i="31"/>
  <c r="O194" i="21"/>
  <c r="P144" i="31"/>
  <c r="N153" i="21" s="1"/>
  <c r="O153" i="21"/>
  <c r="P111" i="31"/>
  <c r="N128" i="21" s="1"/>
  <c r="O128" i="21"/>
  <c r="P103" i="31"/>
  <c r="O118" i="21"/>
  <c r="R95" i="31"/>
  <c r="P79" i="31"/>
  <c r="N92" i="21" s="1"/>
  <c r="O92" i="21"/>
  <c r="P63" i="31"/>
  <c r="N76" i="21" s="1"/>
  <c r="O76" i="21"/>
  <c r="P54" i="31"/>
  <c r="N67" i="21" s="1"/>
  <c r="O67" i="21"/>
  <c r="P46" i="31"/>
  <c r="O59" i="21"/>
  <c r="P38" i="31"/>
  <c r="O51" i="21"/>
  <c r="P30" i="31"/>
  <c r="N42" i="21" s="1"/>
  <c r="O42" i="21"/>
  <c r="P22" i="31"/>
  <c r="N34" i="21" s="1"/>
  <c r="O34" i="21"/>
  <c r="P14" i="31"/>
  <c r="N26" i="21" s="1"/>
  <c r="O26" i="21"/>
  <c r="P48" i="31"/>
  <c r="N61" i="21" s="1"/>
  <c r="P47" i="31"/>
  <c r="N60" i="21" s="1"/>
  <c r="P49" i="31"/>
  <c r="N62" i="21" s="1"/>
  <c r="S95" i="31"/>
  <c r="P205" i="31"/>
  <c r="N215" i="21" s="1"/>
  <c r="R21" i="31"/>
  <c r="P69" i="31"/>
  <c r="N82" i="21" s="1"/>
  <c r="S250" i="31"/>
  <c r="P250" i="31"/>
  <c r="N260" i="21" s="1"/>
  <c r="S170" i="31"/>
  <c r="P170" i="31"/>
  <c r="N180" i="21" s="1"/>
  <c r="S114" i="31"/>
  <c r="P114" i="31"/>
  <c r="N131" i="21" s="1"/>
  <c r="S249" i="31"/>
  <c r="P249" i="31"/>
  <c r="N259" i="21" s="1"/>
  <c r="S177" i="31"/>
  <c r="P177" i="31"/>
  <c r="N187" i="21" s="1"/>
  <c r="S153" i="31"/>
  <c r="P153" i="31"/>
  <c r="N162" i="21" s="1"/>
  <c r="S145" i="31"/>
  <c r="P145" i="31"/>
  <c r="N154" i="21" s="1"/>
  <c r="S137" i="31"/>
  <c r="P137" i="31"/>
  <c r="N146" i="21" s="1"/>
  <c r="S113" i="31"/>
  <c r="P113" i="31"/>
  <c r="N130" i="21" s="1"/>
  <c r="S97" i="31"/>
  <c r="P97" i="31"/>
  <c r="N110" i="21" s="1"/>
  <c r="S89" i="31"/>
  <c r="P89" i="31"/>
  <c r="N102" i="21" s="1"/>
  <c r="S73" i="31"/>
  <c r="P73" i="31"/>
  <c r="N86" i="21" s="1"/>
  <c r="S26" i="31"/>
  <c r="P26" i="31"/>
  <c r="N38" i="21" s="1"/>
  <c r="S18" i="31"/>
  <c r="P18" i="31"/>
  <c r="N30" i="21" s="1"/>
  <c r="S10" i="31"/>
  <c r="P10" i="31"/>
  <c r="N22" i="21" s="1"/>
  <c r="R110" i="31"/>
  <c r="P261" i="31"/>
  <c r="N270" i="21" s="1"/>
  <c r="S200" i="31"/>
  <c r="P200" i="31"/>
  <c r="N210" i="21" s="1"/>
  <c r="S176" i="31"/>
  <c r="P176" i="31"/>
  <c r="N186" i="21" s="1"/>
  <c r="S168" i="31"/>
  <c r="P168" i="31"/>
  <c r="N178" i="21" s="1"/>
  <c r="S160" i="31"/>
  <c r="P160" i="31"/>
  <c r="N169" i="21" s="1"/>
  <c r="S152" i="31"/>
  <c r="P152" i="31"/>
  <c r="N161" i="21" s="1"/>
  <c r="S136" i="31"/>
  <c r="P136" i="31"/>
  <c r="N145" i="21" s="1"/>
  <c r="S41" i="31"/>
  <c r="P41" i="31"/>
  <c r="N54" i="21" s="1"/>
  <c r="S25" i="31"/>
  <c r="P25" i="31"/>
  <c r="N37" i="21" s="1"/>
  <c r="S17" i="31"/>
  <c r="P17" i="31"/>
  <c r="N29" i="21" s="1"/>
  <c r="R126" i="31"/>
  <c r="R118" i="31"/>
  <c r="R29" i="31"/>
  <c r="R20" i="31"/>
  <c r="P253" i="31"/>
  <c r="N263" i="21" s="1"/>
  <c r="S234" i="31"/>
  <c r="P234" i="31"/>
  <c r="N244" i="21" s="1"/>
  <c r="S106" i="31"/>
  <c r="P106" i="31"/>
  <c r="N122" i="21" s="1"/>
  <c r="S82" i="31"/>
  <c r="P82" i="31"/>
  <c r="N95" i="21" s="1"/>
  <c r="S287" i="31"/>
  <c r="P287" i="31"/>
  <c r="N297" i="21" s="1"/>
  <c r="S207" i="31"/>
  <c r="P207" i="31"/>
  <c r="N217" i="21" s="1"/>
  <c r="S199" i="31"/>
  <c r="P199" i="31"/>
  <c r="N209" i="21" s="1"/>
  <c r="S167" i="31"/>
  <c r="P167" i="31"/>
  <c r="N177" i="21" s="1"/>
  <c r="S87" i="31"/>
  <c r="P87" i="31"/>
  <c r="N100" i="21" s="1"/>
  <c r="S71" i="31"/>
  <c r="P71" i="31"/>
  <c r="N84" i="21" s="1"/>
  <c r="S24" i="31"/>
  <c r="P24" i="31"/>
  <c r="N36" i="21" s="1"/>
  <c r="P8" i="31"/>
  <c r="N20" i="21" s="1"/>
  <c r="R151" i="31"/>
  <c r="R143" i="31"/>
  <c r="R37" i="31"/>
  <c r="P245" i="31"/>
  <c r="N255" i="21" s="1"/>
  <c r="S254" i="31"/>
  <c r="P254" i="31"/>
  <c r="N264" i="21" s="1"/>
  <c r="S246" i="31"/>
  <c r="P246" i="31"/>
  <c r="N256" i="21" s="1"/>
  <c r="S230" i="31"/>
  <c r="P230" i="31"/>
  <c r="N240" i="21" s="1"/>
  <c r="S206" i="31"/>
  <c r="P206" i="31"/>
  <c r="N216" i="21" s="1"/>
  <c r="S166" i="31"/>
  <c r="P166" i="31"/>
  <c r="N176" i="21" s="1"/>
  <c r="S150" i="31"/>
  <c r="P150" i="31"/>
  <c r="N159" i="21" s="1"/>
  <c r="S142" i="31"/>
  <c r="P142" i="31"/>
  <c r="N151" i="21" s="1"/>
  <c r="S102" i="31"/>
  <c r="P102" i="31"/>
  <c r="N117" i="21" s="1"/>
  <c r="S94" i="31"/>
  <c r="P94" i="31"/>
  <c r="N107" i="21" s="1"/>
  <c r="S86" i="31"/>
  <c r="P86" i="31"/>
  <c r="N99" i="21" s="1"/>
  <c r="S70" i="31"/>
  <c r="P70" i="31"/>
  <c r="N83" i="21" s="1"/>
  <c r="S39" i="31"/>
  <c r="P39" i="31"/>
  <c r="N52" i="21" s="1"/>
  <c r="S15" i="31"/>
  <c r="P15" i="31"/>
  <c r="N27" i="21" s="1"/>
  <c r="R45" i="31"/>
  <c r="R36" i="31"/>
  <c r="P173" i="31"/>
  <c r="N183" i="21" s="1"/>
  <c r="P101" i="31"/>
  <c r="N116" i="21" s="1"/>
  <c r="S6" i="31"/>
  <c r="P6" i="31"/>
  <c r="N18" i="21" s="1"/>
  <c r="R53" i="31"/>
  <c r="R44" i="31"/>
  <c r="P229" i="31"/>
  <c r="N239" i="21" s="1"/>
  <c r="P165" i="31"/>
  <c r="N175" i="21" s="1"/>
  <c r="S242" i="31"/>
  <c r="P242" i="31"/>
  <c r="N252" i="21" s="1"/>
  <c r="S35" i="31"/>
  <c r="P35" i="31"/>
  <c r="N48" i="21" s="1"/>
  <c r="S252" i="31"/>
  <c r="P252" i="31"/>
  <c r="N262" i="21" s="1"/>
  <c r="S236" i="31"/>
  <c r="P236" i="31"/>
  <c r="N246" i="21" s="1"/>
  <c r="S204" i="31"/>
  <c r="P204" i="31"/>
  <c r="N214" i="21" s="1"/>
  <c r="S164" i="31"/>
  <c r="P164" i="31"/>
  <c r="N174" i="21" s="1"/>
  <c r="S108" i="31"/>
  <c r="P108" i="31"/>
  <c r="N125" i="21" s="1"/>
  <c r="S100" i="31"/>
  <c r="P100" i="31"/>
  <c r="N115" i="21" s="1"/>
  <c r="S13" i="31"/>
  <c r="P13" i="31"/>
  <c r="N25" i="21" s="1"/>
  <c r="R78" i="31"/>
  <c r="R52" i="31"/>
  <c r="S258" i="31"/>
  <c r="P258" i="31"/>
  <c r="N267" i="21" s="1"/>
  <c r="S210" i="31"/>
  <c r="P210" i="31"/>
  <c r="N220" i="21" s="1"/>
  <c r="S138" i="31"/>
  <c r="P138" i="31"/>
  <c r="N147" i="21" s="1"/>
  <c r="S98" i="31"/>
  <c r="P98" i="31"/>
  <c r="N113" i="21" s="1"/>
  <c r="S259" i="31"/>
  <c r="P259" i="31"/>
  <c r="N268" i="21" s="1"/>
  <c r="S251" i="31"/>
  <c r="P251" i="31"/>
  <c r="N261" i="21" s="1"/>
  <c r="S243" i="31"/>
  <c r="P243" i="31"/>
  <c r="N253" i="21" s="1"/>
  <c r="S235" i="31"/>
  <c r="P235" i="31"/>
  <c r="N245" i="21" s="1"/>
  <c r="S115" i="31"/>
  <c r="P115" i="31"/>
  <c r="N132" i="21" s="1"/>
  <c r="S107" i="31"/>
  <c r="P107" i="31"/>
  <c r="N124" i="21" s="1"/>
  <c r="S99" i="31"/>
  <c r="P99" i="31"/>
  <c r="N114" i="21" s="1"/>
  <c r="S12" i="31"/>
  <c r="P12" i="31"/>
  <c r="N24" i="21" s="1"/>
  <c r="P149" i="31"/>
  <c r="N158" i="21" s="1"/>
  <c r="R117" i="31"/>
  <c r="R109" i="31"/>
  <c r="R85" i="31"/>
  <c r="R62" i="31"/>
  <c r="S8" i="31"/>
  <c r="R61" i="31" l="1"/>
  <c r="R57" i="31"/>
  <c r="R40" i="31"/>
  <c r="R47" i="31"/>
  <c r="R181" i="31"/>
  <c r="R51" i="31"/>
  <c r="R90" i="31"/>
  <c r="R125" i="31"/>
  <c r="R77" i="31"/>
  <c r="R75" i="31"/>
  <c r="R93" i="31"/>
  <c r="R28" i="31"/>
  <c r="R84" i="31"/>
  <c r="R196" i="31"/>
  <c r="R54" i="31"/>
  <c r="R161" i="31"/>
  <c r="R16" i="31"/>
  <c r="R64" i="31"/>
  <c r="R31" i="31"/>
  <c r="R66" i="31"/>
  <c r="R197" i="31"/>
  <c r="R63" i="31"/>
  <c r="R88" i="31"/>
  <c r="R33" i="31"/>
  <c r="R123" i="31"/>
  <c r="R72" i="31"/>
  <c r="R91" i="31"/>
  <c r="R83" i="31"/>
  <c r="R67" i="31"/>
  <c r="R68" i="31"/>
  <c r="R178" i="31"/>
  <c r="R32" i="31"/>
  <c r="R22" i="31"/>
  <c r="R141" i="31"/>
  <c r="R43" i="31"/>
  <c r="R27" i="31"/>
  <c r="R19" i="31"/>
  <c r="R59" i="31"/>
  <c r="R11" i="31"/>
  <c r="R163" i="31"/>
  <c r="R38" i="31"/>
  <c r="R105" i="31"/>
  <c r="N121" i="21"/>
  <c r="R76" i="31"/>
  <c r="N89" i="21"/>
  <c r="R46" i="31"/>
  <c r="R124" i="31"/>
  <c r="R42" i="31"/>
  <c r="R9" i="31"/>
  <c r="R81" i="31"/>
  <c r="R48" i="31"/>
  <c r="R169" i="31"/>
  <c r="R92" i="31"/>
  <c r="R23" i="31"/>
  <c r="R188" i="31"/>
  <c r="R191" i="31"/>
  <c r="N201" i="21"/>
  <c r="R183" i="31"/>
  <c r="N193" i="21"/>
  <c r="R185" i="31"/>
  <c r="N195" i="21"/>
  <c r="R121" i="31"/>
  <c r="N139" i="21"/>
  <c r="R155" i="31"/>
  <c r="N164" i="21"/>
  <c r="R172" i="31"/>
  <c r="N182" i="21"/>
  <c r="R157" i="31"/>
  <c r="R60" i="31"/>
  <c r="R79" i="31"/>
  <c r="R116" i="31"/>
  <c r="R65" i="31"/>
  <c r="R162" i="31"/>
  <c r="R111" i="31"/>
  <c r="R198" i="31"/>
  <c r="R184" i="31"/>
  <c r="N194" i="21"/>
  <c r="R140" i="31"/>
  <c r="N149" i="21"/>
  <c r="R180" i="31"/>
  <c r="N190" i="21"/>
  <c r="R158" i="31"/>
  <c r="N167" i="21"/>
  <c r="R192" i="31"/>
  <c r="N202" i="21"/>
  <c r="R120" i="31"/>
  <c r="N138" i="21"/>
  <c r="R194" i="31"/>
  <c r="N204" i="21"/>
  <c r="R186" i="31"/>
  <c r="R122" i="31"/>
  <c r="N140" i="21"/>
  <c r="R14" i="31"/>
  <c r="R189" i="31"/>
  <c r="R7" i="31"/>
  <c r="R55" i="31"/>
  <c r="R58" i="31"/>
  <c r="R187" i="31"/>
  <c r="R146" i="31"/>
  <c r="R50" i="31"/>
  <c r="R171" i="31"/>
  <c r="R103" i="31"/>
  <c r="N118" i="21"/>
  <c r="R193" i="31"/>
  <c r="N203" i="21"/>
  <c r="R202" i="31"/>
  <c r="N212" i="21"/>
  <c r="R174" i="31"/>
  <c r="N184" i="21"/>
  <c r="R159" i="31"/>
  <c r="N168" i="21"/>
  <c r="R112" i="31"/>
  <c r="N129" i="21"/>
  <c r="R96" i="31"/>
  <c r="N109" i="21"/>
  <c r="R154" i="31"/>
  <c r="N163" i="21"/>
  <c r="R195" i="31"/>
  <c r="N205" i="21"/>
  <c r="R139" i="31"/>
  <c r="N148" i="21"/>
  <c r="R148" i="31"/>
  <c r="N157" i="21"/>
  <c r="R30" i="31"/>
  <c r="R34" i="31"/>
  <c r="R80" i="31"/>
  <c r="R144" i="31"/>
  <c r="R74" i="31"/>
  <c r="R179" i="31"/>
  <c r="R201" i="31"/>
  <c r="N211" i="21"/>
  <c r="R104" i="31"/>
  <c r="N120" i="21"/>
  <c r="R147" i="31"/>
  <c r="N156" i="21"/>
  <c r="R156" i="31"/>
  <c r="N165" i="21"/>
  <c r="R182" i="31"/>
  <c r="N192" i="21"/>
  <c r="N135" i="21"/>
  <c r="N136" i="21"/>
  <c r="R175" i="31"/>
  <c r="N185" i="21"/>
  <c r="R49" i="31"/>
  <c r="S53" i="21"/>
  <c r="T53" i="21"/>
  <c r="U53" i="21"/>
  <c r="V53" i="21"/>
  <c r="E53" i="21" l="1"/>
  <c r="O791" i="31"/>
  <c r="O45" i="21" s="1"/>
  <c r="S791" i="31"/>
  <c r="S792" i="31"/>
  <c r="S793" i="31"/>
  <c r="S794" i="31"/>
  <c r="S795" i="31"/>
  <c r="S796" i="31"/>
  <c r="S797" i="31"/>
  <c r="S798" i="31"/>
  <c r="S799" i="31"/>
  <c r="S800" i="31"/>
  <c r="S801" i="31"/>
  <c r="S802" i="31"/>
  <c r="S803" i="31"/>
  <c r="P791" i="31" l="1"/>
  <c r="N45" i="21" s="1"/>
  <c r="O792" i="31"/>
  <c r="O793" i="31"/>
  <c r="O170" i="21" s="1"/>
  <c r="O794" i="31"/>
  <c r="O393" i="21" s="1"/>
  <c r="O795" i="31"/>
  <c r="O399" i="21" s="1"/>
  <c r="O796" i="31"/>
  <c r="O468" i="21" s="1"/>
  <c r="O797" i="31"/>
  <c r="O602" i="21" s="1"/>
  <c r="O798" i="31"/>
  <c r="O609" i="21" s="1"/>
  <c r="O799" i="31"/>
  <c r="O721" i="21" s="1"/>
  <c r="O800" i="31"/>
  <c r="O727" i="21" s="1"/>
  <c r="O801" i="31"/>
  <c r="O740" i="21" s="1"/>
  <c r="O802" i="31"/>
  <c r="O742" i="21" s="1"/>
  <c r="O803" i="31"/>
  <c r="O755" i="21" s="1"/>
  <c r="K791" i="31"/>
  <c r="L45" i="21" s="1"/>
  <c r="K792" i="31"/>
  <c r="L137" i="21" s="1"/>
  <c r="K793" i="31"/>
  <c r="L170" i="21" s="1"/>
  <c r="K794" i="31"/>
  <c r="L393" i="21" s="1"/>
  <c r="K795" i="31"/>
  <c r="L399" i="21" s="1"/>
  <c r="K796" i="31"/>
  <c r="L468" i="21" s="1"/>
  <c r="K797" i="31"/>
  <c r="L602" i="21" s="1"/>
  <c r="K798" i="31"/>
  <c r="L609" i="21" s="1"/>
  <c r="K799" i="31"/>
  <c r="L721" i="21" s="1"/>
  <c r="K800" i="31"/>
  <c r="L727" i="21" s="1"/>
  <c r="K801" i="31"/>
  <c r="L740" i="21" s="1"/>
  <c r="K802" i="31"/>
  <c r="L742" i="21" s="1"/>
  <c r="K803" i="31"/>
  <c r="L755" i="21" s="1"/>
  <c r="D798" i="31"/>
  <c r="C791" i="31"/>
  <c r="D45" i="21" s="1"/>
  <c r="F45" i="21" s="1"/>
  <c r="D791" i="31"/>
  <c r="C792" i="31"/>
  <c r="D792" i="31"/>
  <c r="C793" i="31"/>
  <c r="D170" i="21" s="1"/>
  <c r="G170" i="21" s="1"/>
  <c r="D793" i="31"/>
  <c r="C794" i="31"/>
  <c r="D393" i="21" s="1"/>
  <c r="F393" i="21" s="1"/>
  <c r="D794" i="31"/>
  <c r="C795" i="31"/>
  <c r="D399" i="21" s="1"/>
  <c r="D795" i="31"/>
  <c r="C796" i="31"/>
  <c r="D468" i="21" s="1"/>
  <c r="F468" i="21" s="1"/>
  <c r="D796" i="31"/>
  <c r="C797" i="31"/>
  <c r="D602" i="21" s="1"/>
  <c r="F602" i="21" s="1"/>
  <c r="D797" i="31"/>
  <c r="C798" i="31"/>
  <c r="D609" i="21" s="1"/>
  <c r="C799" i="31"/>
  <c r="D721" i="21" s="1"/>
  <c r="F721" i="21" s="1"/>
  <c r="D799" i="31"/>
  <c r="C800" i="31"/>
  <c r="D727" i="21" s="1"/>
  <c r="F727" i="21" s="1"/>
  <c r="D800" i="31"/>
  <c r="C801" i="31"/>
  <c r="D740" i="21" s="1"/>
  <c r="D801" i="31"/>
  <c r="C802" i="31"/>
  <c r="D742" i="21" s="1"/>
  <c r="D802" i="31"/>
  <c r="C803" i="31"/>
  <c r="D755" i="21" s="1"/>
  <c r="D803" i="31"/>
  <c r="F755" i="21" l="1"/>
  <c r="G721" i="21"/>
  <c r="F170" i="21"/>
  <c r="G602" i="21"/>
  <c r="G468" i="21"/>
  <c r="G393" i="21"/>
  <c r="G755" i="21"/>
  <c r="G45" i="21"/>
  <c r="G727" i="21"/>
  <c r="G609" i="21"/>
  <c r="F609" i="21"/>
  <c r="P796" i="31"/>
  <c r="N468" i="21" s="1"/>
  <c r="P799" i="31"/>
  <c r="N721" i="21" s="1"/>
  <c r="P802" i="31"/>
  <c r="N742" i="21" s="1"/>
  <c r="P798" i="31"/>
  <c r="N609" i="21" s="1"/>
  <c r="P794" i="31"/>
  <c r="N393" i="21" s="1"/>
  <c r="P801" i="31"/>
  <c r="N740" i="21" s="1"/>
  <c r="P793" i="31"/>
  <c r="N170" i="21" s="1"/>
  <c r="P803" i="31"/>
  <c r="N755" i="21" s="1"/>
  <c r="P795" i="31"/>
  <c r="N399" i="21" s="1"/>
  <c r="R791" i="31"/>
  <c r="P800" i="31"/>
  <c r="N727" i="21" s="1"/>
  <c r="P797" i="31"/>
  <c r="P792" i="31"/>
  <c r="N137" i="21" s="1"/>
  <c r="R799" i="31" l="1"/>
  <c r="R794" i="31"/>
  <c r="R796" i="31"/>
  <c r="R802" i="31"/>
  <c r="R798" i="31"/>
  <c r="R792" i="31"/>
  <c r="R803" i="31"/>
  <c r="R797" i="31"/>
  <c r="R801" i="31"/>
  <c r="R793" i="31"/>
  <c r="R800" i="31"/>
  <c r="R795" i="31"/>
  <c r="D744" i="21"/>
  <c r="L42" i="57" l="1"/>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97"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2" i="57"/>
  <c r="L153" i="57"/>
  <c r="L154" i="57"/>
  <c r="L155" i="57"/>
  <c r="L156" i="57"/>
  <c r="L157" i="57"/>
  <c r="L158" i="57"/>
  <c r="L159" i="57"/>
  <c r="L160" i="57"/>
  <c r="L161" i="57"/>
  <c r="L162" i="57"/>
  <c r="L163" i="57"/>
  <c r="L164" i="57"/>
  <c r="L165" i="57"/>
  <c r="L166" i="57"/>
  <c r="L167" i="57"/>
  <c r="L168" i="57"/>
  <c r="L169" i="57"/>
  <c r="L170" i="57"/>
  <c r="L171" i="57"/>
  <c r="L172" i="57"/>
  <c r="L173" i="57"/>
  <c r="L174" i="57"/>
  <c r="L175" i="57"/>
  <c r="L176" i="57"/>
  <c r="L177" i="57"/>
  <c r="L178" i="57"/>
  <c r="L179" i="57"/>
  <c r="L180" i="57"/>
  <c r="L181" i="57"/>
  <c r="L182" i="57"/>
  <c r="L183" i="57"/>
  <c r="L184" i="57"/>
  <c r="L185" i="57"/>
  <c r="L186" i="57"/>
  <c r="L187" i="57"/>
  <c r="L188" i="57"/>
  <c r="L189" i="57"/>
  <c r="L190" i="57"/>
  <c r="L191" i="57"/>
  <c r="L192" i="57"/>
  <c r="L193" i="57"/>
  <c r="L194" i="57"/>
  <c r="L195" i="57"/>
  <c r="L196" i="57"/>
  <c r="L197" i="57"/>
  <c r="L198" i="57"/>
  <c r="L199" i="57"/>
  <c r="L14" i="57"/>
  <c r="L23" i="57"/>
  <c r="L24" i="57"/>
  <c r="L25" i="57"/>
  <c r="L26" i="57"/>
  <c r="L27" i="57"/>
  <c r="L28" i="57"/>
  <c r="L29" i="57"/>
  <c r="L30" i="57"/>
  <c r="L31" i="57"/>
  <c r="L32" i="57"/>
  <c r="L33" i="57"/>
  <c r="L34" i="57"/>
  <c r="L35" i="57"/>
  <c r="L36" i="57"/>
  <c r="L37" i="57"/>
  <c r="L38" i="57"/>
  <c r="L39" i="57"/>
  <c r="L40" i="57"/>
  <c r="L41" i="57"/>
  <c r="L13" i="57"/>
  <c r="M39" i="56"/>
  <c r="M40" i="56"/>
  <c r="M41" i="56"/>
  <c r="M42" i="56"/>
  <c r="M43" i="56"/>
  <c r="M44" i="56"/>
  <c r="M45" i="56"/>
  <c r="M46" i="56"/>
  <c r="M47" i="56"/>
  <c r="M48" i="56"/>
  <c r="M49" i="56"/>
  <c r="M50" i="56"/>
  <c r="M51" i="56"/>
  <c r="M52" i="56"/>
  <c r="M53" i="56"/>
  <c r="M54" i="56"/>
  <c r="M55" i="56"/>
  <c r="M56" i="56"/>
  <c r="M57" i="56"/>
  <c r="M58" i="56"/>
  <c r="M59" i="56"/>
  <c r="M60" i="56"/>
  <c r="M61" i="56"/>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111" i="56"/>
  <c r="M112" i="56"/>
  <c r="M113" i="56"/>
  <c r="M114" i="56"/>
  <c r="M115" i="56"/>
  <c r="M116" i="56"/>
  <c r="M117" i="56"/>
  <c r="M118" i="56"/>
  <c r="M119" i="56"/>
  <c r="M120" i="56"/>
  <c r="M121" i="56"/>
  <c r="M122" i="56"/>
  <c r="M123" i="56"/>
  <c r="M124" i="56"/>
  <c r="M125" i="56"/>
  <c r="M126" i="56"/>
  <c r="M127" i="56"/>
  <c r="M128" i="56"/>
  <c r="M129" i="56"/>
  <c r="M130" i="56"/>
  <c r="M131" i="56"/>
  <c r="M132" i="56"/>
  <c r="M133" i="56"/>
  <c r="M134" i="56"/>
  <c r="M135" i="56"/>
  <c r="M136" i="56"/>
  <c r="M137" i="56"/>
  <c r="M138" i="56"/>
  <c r="M139" i="56"/>
  <c r="M140" i="56"/>
  <c r="M141" i="56"/>
  <c r="M142" i="56"/>
  <c r="M143" i="56"/>
  <c r="M144" i="56"/>
  <c r="M145" i="56"/>
  <c r="M146" i="56"/>
  <c r="M147" i="56"/>
  <c r="M148" i="56"/>
  <c r="M149" i="56"/>
  <c r="M150" i="56"/>
  <c r="M151" i="56"/>
  <c r="M152" i="56"/>
  <c r="M153" i="56"/>
  <c r="M154" i="56"/>
  <c r="M155" i="56"/>
  <c r="M156" i="56"/>
  <c r="M157" i="56"/>
  <c r="M158" i="56"/>
  <c r="M159" i="56"/>
  <c r="M160" i="56"/>
  <c r="M161" i="56"/>
  <c r="M162" i="56"/>
  <c r="M163" i="56"/>
  <c r="M164" i="56"/>
  <c r="M165" i="56"/>
  <c r="M166" i="56"/>
  <c r="M167" i="56"/>
  <c r="M168" i="56"/>
  <c r="M169" i="56"/>
  <c r="M170" i="56"/>
  <c r="M171" i="56"/>
  <c r="M172" i="56"/>
  <c r="M173" i="56"/>
  <c r="M174" i="56"/>
  <c r="M175" i="56"/>
  <c r="M176" i="56"/>
  <c r="M177" i="56"/>
  <c r="M178" i="56"/>
  <c r="M179" i="56"/>
  <c r="M180" i="56"/>
  <c r="M181" i="56"/>
  <c r="M182" i="56"/>
  <c r="M183" i="56"/>
  <c r="M184" i="56"/>
  <c r="M185" i="56"/>
  <c r="M186" i="56"/>
  <c r="M187" i="56"/>
  <c r="M188" i="56"/>
  <c r="M189" i="56"/>
  <c r="M190" i="56"/>
  <c r="M191" i="56"/>
  <c r="M192" i="56"/>
  <c r="M193" i="56"/>
  <c r="M194" i="56"/>
  <c r="M195" i="56"/>
  <c r="M196" i="56"/>
  <c r="M197" i="56"/>
  <c r="M198" i="56"/>
  <c r="M199" i="56"/>
  <c r="M14" i="56"/>
  <c r="M15" i="56"/>
  <c r="M22" i="56"/>
  <c r="M23" i="56"/>
  <c r="M24" i="56"/>
  <c r="M25" i="56"/>
  <c r="M26" i="56"/>
  <c r="M27" i="56"/>
  <c r="M28" i="56"/>
  <c r="M29" i="56"/>
  <c r="M30" i="56"/>
  <c r="M31" i="56"/>
  <c r="M32" i="56"/>
  <c r="M33" i="56"/>
  <c r="M34" i="56"/>
  <c r="M35" i="56"/>
  <c r="M36" i="56"/>
  <c r="M37" i="56"/>
  <c r="M38" i="56"/>
  <c r="M13" i="56"/>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107" i="58"/>
  <c r="M108" i="58"/>
  <c r="M109" i="58"/>
  <c r="M110" i="58"/>
  <c r="M111" i="58"/>
  <c r="M112" i="58"/>
  <c r="M113" i="58"/>
  <c r="M114" i="58"/>
  <c r="M115" i="58"/>
  <c r="M116" i="58"/>
  <c r="M117" i="58"/>
  <c r="M118" i="58"/>
  <c r="M119" i="58"/>
  <c r="M120" i="58"/>
  <c r="M121" i="58"/>
  <c r="M122" i="58"/>
  <c r="M123" i="58"/>
  <c r="M124" i="58"/>
  <c r="M125" i="58"/>
  <c r="M126" i="58"/>
  <c r="M127" i="58"/>
  <c r="M128" i="58"/>
  <c r="M129" i="58"/>
  <c r="M130" i="58"/>
  <c r="M131" i="58"/>
  <c r="M132" i="58"/>
  <c r="M133" i="58"/>
  <c r="M134" i="58"/>
  <c r="M135" i="58"/>
  <c r="M136" i="58"/>
  <c r="M137" i="58"/>
  <c r="M138" i="58"/>
  <c r="M139" i="58"/>
  <c r="M140" i="58"/>
  <c r="M141" i="58"/>
  <c r="M142" i="58"/>
  <c r="M143" i="58"/>
  <c r="M144" i="58"/>
  <c r="M145" i="58"/>
  <c r="M146" i="58"/>
  <c r="M147" i="58"/>
  <c r="M148" i="58"/>
  <c r="M149" i="58"/>
  <c r="M150" i="58"/>
  <c r="M151" i="58"/>
  <c r="M152" i="58"/>
  <c r="M153" i="58"/>
  <c r="M154" i="58"/>
  <c r="M155" i="58"/>
  <c r="M156" i="58"/>
  <c r="M157" i="58"/>
  <c r="M158" i="58"/>
  <c r="M159" i="58"/>
  <c r="M160" i="58"/>
  <c r="M161" i="58"/>
  <c r="M162" i="58"/>
  <c r="M163" i="58"/>
  <c r="M164" i="58"/>
  <c r="M165" i="58"/>
  <c r="M166" i="58"/>
  <c r="M167" i="58"/>
  <c r="M168" i="58"/>
  <c r="M169" i="58"/>
  <c r="M170" i="58"/>
  <c r="M171" i="58"/>
  <c r="M172" i="58"/>
  <c r="M173" i="58"/>
  <c r="M174" i="58"/>
  <c r="M175" i="58"/>
  <c r="M176" i="58"/>
  <c r="M177" i="58"/>
  <c r="M178" i="58"/>
  <c r="M179" i="58"/>
  <c r="M180" i="58"/>
  <c r="M181" i="58"/>
  <c r="M182" i="58"/>
  <c r="M183" i="58"/>
  <c r="M184" i="58"/>
  <c r="M185" i="58"/>
  <c r="M186" i="58"/>
  <c r="M187" i="58"/>
  <c r="M188" i="58"/>
  <c r="M189" i="58"/>
  <c r="M190" i="58"/>
  <c r="M191" i="58"/>
  <c r="M192" i="58"/>
  <c r="M193" i="58"/>
  <c r="M194" i="58"/>
  <c r="M195" i="58"/>
  <c r="M196" i="58"/>
  <c r="M197" i="58"/>
  <c r="M198" i="58"/>
  <c r="M199" i="58"/>
  <c r="M36" i="58"/>
  <c r="M37" i="58"/>
  <c r="M38" i="58"/>
  <c r="M39" i="58"/>
  <c r="M40" i="58"/>
  <c r="M41" i="58"/>
  <c r="M42" i="58"/>
  <c r="M14" i="58"/>
  <c r="M25" i="58"/>
  <c r="M26" i="58"/>
  <c r="M27" i="58"/>
  <c r="M28" i="58"/>
  <c r="M29" i="58"/>
  <c r="M30" i="58"/>
  <c r="M31" i="58"/>
  <c r="M32" i="58"/>
  <c r="M33" i="58"/>
  <c r="M34" i="58"/>
  <c r="M35" i="58"/>
  <c r="M13" i="58"/>
  <c r="O822" i="21" l="1"/>
  <c r="P824" i="21"/>
  <c r="P825" i="21"/>
  <c r="P826" i="21"/>
  <c r="P827" i="21"/>
  <c r="P828" i="21"/>
  <c r="O830" i="21"/>
  <c r="P832" i="21"/>
  <c r="P833" i="21"/>
  <c r="O840" i="21"/>
  <c r="P842" i="21"/>
  <c r="P843" i="21"/>
  <c r="I854" i="21"/>
  <c r="X115" i="21" l="1"/>
  <c r="X294" i="21"/>
  <c r="X491" i="21"/>
  <c r="X171" i="21"/>
  <c r="X450" i="21"/>
  <c r="X271" i="21"/>
  <c r="X567" i="21"/>
  <c r="X541" i="21"/>
  <c r="X505" i="21"/>
  <c r="X405" i="21"/>
  <c r="X200" i="21"/>
  <c r="X89" i="21"/>
  <c r="X270" i="21"/>
  <c r="X227" i="21"/>
  <c r="X592" i="21"/>
  <c r="X556" i="21"/>
  <c r="X506" i="21"/>
  <c r="X410" i="21"/>
  <c r="X359" i="21"/>
  <c r="X329" i="21"/>
  <c r="X72" i="21"/>
  <c r="X479" i="21"/>
  <c r="X164" i="21"/>
  <c r="X435" i="21"/>
  <c r="X267" i="21"/>
  <c r="X744" i="21"/>
  <c r="I744" i="21" s="1"/>
  <c r="X565" i="21"/>
  <c r="X539" i="21"/>
  <c r="X503" i="21"/>
  <c r="X403" i="21"/>
  <c r="X198" i="21"/>
  <c r="X87" i="21"/>
  <c r="X710" i="21"/>
  <c r="X261" i="21"/>
  <c r="X211" i="21"/>
  <c r="X590" i="21"/>
  <c r="X554" i="21"/>
  <c r="X504" i="21"/>
  <c r="X408" i="21"/>
  <c r="X353" i="21"/>
  <c r="X116" i="21"/>
  <c r="X302" i="21"/>
  <c r="X110" i="21"/>
  <c r="X68" i="21"/>
  <c r="X251" i="21"/>
  <c r="X742" i="21"/>
  <c r="X162" i="21"/>
  <c r="X298" i="21"/>
  <c r="X260" i="21"/>
  <c r="X563" i="21"/>
  <c r="X537" i="21"/>
  <c r="X499" i="21"/>
  <c r="X425" i="21"/>
  <c r="X397" i="21"/>
  <c r="X196" i="21"/>
  <c r="X188" i="21"/>
  <c r="X75" i="21"/>
  <c r="X708" i="21"/>
  <c r="X771" i="21"/>
  <c r="X257" i="21"/>
  <c r="X568" i="21"/>
  <c r="X548" i="21"/>
  <c r="X495" i="21"/>
  <c r="X406" i="21"/>
  <c r="X201" i="21"/>
  <c r="I201" i="21" s="1"/>
  <c r="X104" i="21"/>
  <c r="X66" i="21"/>
  <c r="X137" i="21"/>
  <c r="X711" i="21"/>
  <c r="X154" i="21"/>
  <c r="X740" i="21"/>
  <c r="X256" i="21"/>
  <c r="X146" i="21"/>
  <c r="X561" i="21"/>
  <c r="X535" i="21"/>
  <c r="X395" i="21"/>
  <c r="X330" i="21"/>
  <c r="X65" i="21"/>
  <c r="X698" i="21"/>
  <c r="X155" i="21"/>
  <c r="X767" i="21"/>
  <c r="X253" i="21"/>
  <c r="X141" i="21"/>
  <c r="X30" i="21"/>
  <c r="X566" i="21"/>
  <c r="X542" i="21"/>
  <c r="X404" i="21"/>
  <c r="X96" i="21"/>
  <c r="X64" i="21"/>
  <c r="X807" i="21"/>
  <c r="X709" i="21"/>
  <c r="X746" i="21"/>
  <c r="X808" i="21"/>
  <c r="X252" i="21"/>
  <c r="X142" i="21"/>
  <c r="X559" i="21"/>
  <c r="X413" i="21"/>
  <c r="X326" i="21"/>
  <c r="X63" i="21"/>
  <c r="X38" i="21"/>
  <c r="X627" i="21"/>
  <c r="I627" i="21" s="1"/>
  <c r="X245" i="21"/>
  <c r="X136" i="21"/>
  <c r="X564" i="21"/>
  <c r="X540" i="21"/>
  <c r="X402" i="21"/>
  <c r="X28" i="21"/>
  <c r="X90" i="21"/>
  <c r="X62" i="21"/>
  <c r="X803" i="21"/>
  <c r="X707" i="21"/>
  <c r="X796" i="21"/>
  <c r="X286" i="21"/>
  <c r="X238" i="21"/>
  <c r="X135" i="21"/>
  <c r="X597" i="21"/>
  <c r="X557" i="21"/>
  <c r="X517" i="21"/>
  <c r="X411" i="21"/>
  <c r="X386" i="21"/>
  <c r="X321" i="21"/>
  <c r="X103" i="21"/>
  <c r="X61" i="21"/>
  <c r="X662" i="21"/>
  <c r="X486" i="21"/>
  <c r="X36" i="21"/>
  <c r="X449" i="21"/>
  <c r="I449" i="21" s="1"/>
  <c r="X241" i="21"/>
  <c r="X128" i="21"/>
  <c r="X562" i="21"/>
  <c r="X538" i="21"/>
  <c r="X396" i="21"/>
  <c r="X26" i="21"/>
  <c r="X185" i="21"/>
  <c r="X88" i="21"/>
  <c r="X60" i="21"/>
  <c r="X801" i="21"/>
  <c r="X697" i="21"/>
  <c r="X768" i="21"/>
  <c r="X281" i="21"/>
  <c r="X230" i="21"/>
  <c r="X593" i="21"/>
  <c r="X555" i="21"/>
  <c r="X511" i="21"/>
  <c r="X409" i="21"/>
  <c r="X360" i="21"/>
  <c r="X122" i="21"/>
  <c r="X315" i="21"/>
  <c r="X95" i="21"/>
  <c r="X652" i="21"/>
  <c r="X447" i="21"/>
  <c r="X237" i="21"/>
  <c r="X560" i="21"/>
  <c r="X536" i="21"/>
  <c r="X426" i="21"/>
  <c r="I426" i="21" s="1"/>
  <c r="X385" i="21"/>
  <c r="X179" i="21"/>
  <c r="X84" i="21"/>
  <c r="X340" i="21"/>
  <c r="X43" i="21"/>
  <c r="X331" i="21"/>
  <c r="X594" i="21"/>
  <c r="X177" i="21"/>
  <c r="X591" i="21"/>
  <c r="X558" i="21"/>
  <c r="X551" i="21"/>
  <c r="X307" i="21"/>
  <c r="X532" i="21"/>
  <c r="X82" i="21"/>
  <c r="X604" i="21"/>
  <c r="X507" i="21"/>
  <c r="X274" i="21"/>
  <c r="X414" i="21"/>
  <c r="X20" i="21"/>
  <c r="X275" i="21"/>
  <c r="X91" i="21"/>
  <c r="X229" i="21"/>
  <c r="X379" i="21"/>
  <c r="X228" i="21"/>
  <c r="X407" i="21"/>
  <c r="X358" i="21"/>
  <c r="X102" i="21"/>
  <c r="Y494" i="21"/>
  <c r="Y403" i="21"/>
  <c r="Y352" i="21"/>
  <c r="Y399" i="21"/>
  <c r="Y768" i="21"/>
  <c r="Y591" i="21"/>
  <c r="Y539" i="21"/>
  <c r="Y196" i="21"/>
  <c r="Y107" i="21"/>
  <c r="Y119" i="21"/>
  <c r="Y664" i="21"/>
  <c r="Y476" i="21"/>
  <c r="Y742" i="21"/>
  <c r="Y785" i="21"/>
  <c r="Y461" i="21"/>
  <c r="Y287" i="21"/>
  <c r="Y217" i="21"/>
  <c r="Y592" i="21"/>
  <c r="Y538" i="21"/>
  <c r="Y414" i="21"/>
  <c r="Y353" i="21"/>
  <c r="Y22" i="21"/>
  <c r="Y106" i="21"/>
  <c r="I106" i="21" s="1"/>
  <c r="Y285" i="21"/>
  <c r="Y695" i="21"/>
  <c r="Y150" i="21"/>
  <c r="I150" i="21" s="1"/>
  <c r="Y618" i="21"/>
  <c r="Y256" i="21"/>
  <c r="Y135" i="21"/>
  <c r="Y167" i="21"/>
  <c r="Y429" i="21"/>
  <c r="Y397" i="21"/>
  <c r="Y350" i="21"/>
  <c r="Y812" i="21"/>
  <c r="Y766" i="21"/>
  <c r="Y559" i="21"/>
  <c r="Y537" i="21"/>
  <c r="Y738" i="21"/>
  <c r="Y184" i="21"/>
  <c r="Y99" i="21"/>
  <c r="Y652" i="21"/>
  <c r="Y474" i="21"/>
  <c r="Y137" i="21"/>
  <c r="Y781" i="21"/>
  <c r="Y442" i="21"/>
  <c r="Y284" i="21"/>
  <c r="Y213" i="21"/>
  <c r="Y590" i="21"/>
  <c r="Y532" i="21"/>
  <c r="Y412" i="21"/>
  <c r="Y349" i="21"/>
  <c r="Y96" i="21"/>
  <c r="Y52" i="21"/>
  <c r="Y693" i="21"/>
  <c r="Y616" i="21"/>
  <c r="Y246" i="21"/>
  <c r="Y427" i="21"/>
  <c r="Y388" i="21"/>
  <c r="Y348" i="21"/>
  <c r="Y810" i="21"/>
  <c r="Y760" i="21"/>
  <c r="Y125" i="21"/>
  <c r="Y535" i="21"/>
  <c r="Y340" i="21"/>
  <c r="Y182" i="21"/>
  <c r="Y95" i="21"/>
  <c r="Y650" i="21"/>
  <c r="Y813" i="21"/>
  <c r="Y779" i="21"/>
  <c r="Y440" i="21"/>
  <c r="Y270" i="21"/>
  <c r="Y572" i="21"/>
  <c r="Y508" i="21"/>
  <c r="Y406" i="21"/>
  <c r="Y347" i="21"/>
  <c r="Y181" i="21"/>
  <c r="Y84" i="21"/>
  <c r="Y48" i="21"/>
  <c r="Y679" i="21"/>
  <c r="Y39" i="21"/>
  <c r="Y606" i="21"/>
  <c r="Y279" i="21"/>
  <c r="Y220" i="21"/>
  <c r="Y425" i="21"/>
  <c r="Y384" i="21"/>
  <c r="Y346" i="21"/>
  <c r="Y808" i="21"/>
  <c r="Y122" i="21"/>
  <c r="Y531" i="21"/>
  <c r="I531" i="21" s="1"/>
  <c r="Y321" i="21"/>
  <c r="Y89" i="21"/>
  <c r="Y716" i="21"/>
  <c r="Y648" i="21"/>
  <c r="Y490" i="21"/>
  <c r="Y178" i="21"/>
  <c r="Y811" i="21"/>
  <c r="Y775" i="21"/>
  <c r="Y261" i="21"/>
  <c r="Y147" i="21"/>
  <c r="Y554" i="21"/>
  <c r="Y504" i="21"/>
  <c r="Y404" i="21"/>
  <c r="Y76" i="21"/>
  <c r="Y667" i="21"/>
  <c r="I667" i="21" s="1"/>
  <c r="Y487" i="21"/>
  <c r="Y177" i="21"/>
  <c r="Y37" i="21"/>
  <c r="Y599" i="21"/>
  <c r="Y275" i="21"/>
  <c r="Y210" i="21"/>
  <c r="Y140" i="21"/>
  <c r="Y421" i="21"/>
  <c r="Y380" i="21"/>
  <c r="Y29" i="21"/>
  <c r="Y806" i="21"/>
  <c r="Y117" i="21"/>
  <c r="Y301" i="21"/>
  <c r="Y77" i="21"/>
  <c r="I77" i="21" s="1"/>
  <c r="Y708" i="21"/>
  <c r="Y646" i="21"/>
  <c r="Y488" i="21"/>
  <c r="Y161" i="21"/>
  <c r="Y807" i="21"/>
  <c r="Y767" i="21"/>
  <c r="Y259" i="21"/>
  <c r="Y145" i="21"/>
  <c r="Y548" i="21"/>
  <c r="Y495" i="21"/>
  <c r="Y389" i="21"/>
  <c r="Y74" i="21"/>
  <c r="Y20" i="21"/>
  <c r="Y665" i="21"/>
  <c r="I665" i="21" s="1"/>
  <c r="Y485" i="21"/>
  <c r="Y175" i="21"/>
  <c r="Y469" i="21"/>
  <c r="I469" i="21" s="1"/>
  <c r="Y273" i="21"/>
  <c r="Y208" i="21"/>
  <c r="Y205" i="21"/>
  <c r="Y278" i="21"/>
  <c r="Y300" i="21"/>
  <c r="Y419" i="21"/>
  <c r="Y370" i="21"/>
  <c r="I370" i="21" s="1"/>
  <c r="Y27" i="21"/>
  <c r="Y802" i="21"/>
  <c r="I802" i="21" s="1"/>
  <c r="Y555" i="21"/>
  <c r="Y507" i="21"/>
  <c r="Y206" i="21"/>
  <c r="Y69" i="21"/>
  <c r="I69" i="21" s="1"/>
  <c r="Y698" i="21"/>
  <c r="Y486" i="21"/>
  <c r="Y159" i="21"/>
  <c r="Y803" i="21"/>
  <c r="Y765" i="21"/>
  <c r="Y255" i="21"/>
  <c r="Y546" i="21"/>
  <c r="Y379" i="21"/>
  <c r="Y68" i="21"/>
  <c r="Y717" i="21"/>
  <c r="Y651" i="21"/>
  <c r="Y481" i="21"/>
  <c r="Y173" i="21"/>
  <c r="Y462" i="21"/>
  <c r="Y271" i="21"/>
  <c r="Y417" i="21"/>
  <c r="Y358" i="21"/>
  <c r="Y23" i="21"/>
  <c r="Y786" i="21"/>
  <c r="Y547" i="21"/>
  <c r="Y341" i="21"/>
  <c r="Y204" i="21"/>
  <c r="Y59" i="21"/>
  <c r="I59" i="21" s="1"/>
  <c r="Y696" i="21"/>
  <c r="Y484" i="21"/>
  <c r="Y619" i="21"/>
  <c r="Y241" i="21"/>
  <c r="Y30" i="21"/>
  <c r="Y542" i="21"/>
  <c r="Y430" i="21"/>
  <c r="Y369" i="21"/>
  <c r="I369" i="21" s="1"/>
  <c r="Y28" i="21"/>
  <c r="Y114" i="21"/>
  <c r="Y497" i="21"/>
  <c r="Y711" i="21"/>
  <c r="Y647" i="21"/>
  <c r="Y162" i="21"/>
  <c r="Y628" i="21"/>
  <c r="Y456" i="21"/>
  <c r="Y267" i="21"/>
  <c r="Y31" i="21"/>
  <c r="Y136" i="21"/>
  <c r="Y323" i="21"/>
  <c r="Y38" i="21"/>
  <c r="Y540" i="21"/>
  <c r="Y707" i="21"/>
  <c r="Y158" i="21"/>
  <c r="Y536" i="21"/>
  <c r="H536" i="21" s="1"/>
  <c r="Y541" i="21"/>
  <c r="Y692" i="21"/>
  <c r="Y787" i="21"/>
  <c r="Y428" i="21"/>
  <c r="Y262" i="21"/>
  <c r="Y470" i="21"/>
  <c r="Y357" i="21"/>
  <c r="Y146" i="21"/>
  <c r="Y405" i="21"/>
  <c r="Y200" i="21"/>
  <c r="Y24" i="21"/>
  <c r="Y276" i="21"/>
  <c r="Y169" i="21"/>
  <c r="Y356" i="21"/>
  <c r="Y219" i="21"/>
  <c r="Y740" i="21"/>
  <c r="Y482" i="21"/>
  <c r="Y776" i="21"/>
  <c r="Y739" i="21"/>
  <c r="Y108" i="21"/>
  <c r="Y154" i="21"/>
  <c r="Y593" i="21"/>
  <c r="Y113" i="21"/>
  <c r="Y594" i="21"/>
  <c r="Y398" i="21"/>
  <c r="Y622" i="21"/>
  <c r="Y245" i="21"/>
  <c r="I245" i="21" s="1"/>
  <c r="X53" i="21"/>
  <c r="Y53" i="21"/>
  <c r="I486" i="21" l="1"/>
  <c r="H136" i="21"/>
  <c r="I787" i="21"/>
  <c r="H787" i="21"/>
  <c r="I169" i="21"/>
  <c r="H169" i="21"/>
  <c r="I262" i="21"/>
  <c r="H262" i="21"/>
  <c r="I341" i="21"/>
  <c r="H341" i="21"/>
  <c r="I173" i="21"/>
  <c r="H173" i="21"/>
  <c r="I765" i="21"/>
  <c r="H765" i="21"/>
  <c r="I208" i="21"/>
  <c r="H208" i="21"/>
  <c r="I389" i="21"/>
  <c r="H389" i="21"/>
  <c r="I488" i="21"/>
  <c r="H488" i="21"/>
  <c r="I380" i="21"/>
  <c r="H380" i="21"/>
  <c r="I487" i="21"/>
  <c r="H487" i="21"/>
  <c r="I775" i="21"/>
  <c r="H775" i="21"/>
  <c r="I606" i="21"/>
  <c r="H606" i="21"/>
  <c r="I508" i="21"/>
  <c r="H508" i="21"/>
  <c r="I182" i="21"/>
  <c r="H182" i="21"/>
  <c r="I427" i="21"/>
  <c r="H427" i="21"/>
  <c r="I350" i="21"/>
  <c r="H350" i="21"/>
  <c r="I695" i="21"/>
  <c r="H695" i="21"/>
  <c r="I217" i="21"/>
  <c r="H217" i="21"/>
  <c r="I107" i="21"/>
  <c r="H107" i="21"/>
  <c r="I494" i="21"/>
  <c r="H494" i="21"/>
  <c r="I275" i="21"/>
  <c r="I307" i="21"/>
  <c r="H307" i="21"/>
  <c r="H340" i="21"/>
  <c r="I340" i="21"/>
  <c r="I447" i="21"/>
  <c r="H447" i="21"/>
  <c r="I555" i="21"/>
  <c r="H555" i="21"/>
  <c r="I88" i="21"/>
  <c r="H88" i="21"/>
  <c r="H411" i="21"/>
  <c r="I411" i="21"/>
  <c r="I707" i="21"/>
  <c r="H707" i="21"/>
  <c r="I136" i="21"/>
  <c r="I559" i="21"/>
  <c r="H559" i="21"/>
  <c r="I96" i="21"/>
  <c r="H96" i="21"/>
  <c r="I155" i="21"/>
  <c r="H155" i="21"/>
  <c r="I256" i="21"/>
  <c r="H256" i="21"/>
  <c r="I406" i="21"/>
  <c r="H406" i="21"/>
  <c r="I188" i="21"/>
  <c r="H188" i="21"/>
  <c r="I298" i="21"/>
  <c r="H298" i="21"/>
  <c r="I353" i="21"/>
  <c r="H353" i="21"/>
  <c r="I87" i="21"/>
  <c r="H87" i="21"/>
  <c r="I435" i="21"/>
  <c r="H435" i="21"/>
  <c r="I556" i="21"/>
  <c r="H556" i="21"/>
  <c r="I541" i="21"/>
  <c r="I776" i="21"/>
  <c r="H776" i="21"/>
  <c r="I108" i="21"/>
  <c r="H108" i="21"/>
  <c r="I276" i="21"/>
  <c r="H276" i="21"/>
  <c r="I428" i="21"/>
  <c r="H428" i="21"/>
  <c r="I647" i="21"/>
  <c r="H647" i="21"/>
  <c r="I547" i="21"/>
  <c r="H547" i="21"/>
  <c r="H481" i="21"/>
  <c r="I481" i="21"/>
  <c r="I273" i="21"/>
  <c r="H273" i="21"/>
  <c r="I646" i="21"/>
  <c r="H646" i="21"/>
  <c r="I421" i="21"/>
  <c r="H421" i="21"/>
  <c r="I811" i="21"/>
  <c r="H811" i="21"/>
  <c r="I39" i="21"/>
  <c r="H39" i="21"/>
  <c r="I572" i="21"/>
  <c r="H572" i="21"/>
  <c r="I246" i="21"/>
  <c r="H246" i="21"/>
  <c r="I99" i="21"/>
  <c r="H99" i="21"/>
  <c r="I285" i="21"/>
  <c r="H285" i="21"/>
  <c r="H287" i="21"/>
  <c r="I287" i="21"/>
  <c r="H102" i="21"/>
  <c r="I102" i="21"/>
  <c r="H20" i="21"/>
  <c r="I20" i="21"/>
  <c r="I551" i="21"/>
  <c r="H551" i="21"/>
  <c r="I84" i="21"/>
  <c r="H84" i="21"/>
  <c r="I652" i="21"/>
  <c r="H652" i="21"/>
  <c r="I593" i="21"/>
  <c r="H593" i="21"/>
  <c r="I185" i="21"/>
  <c r="H185" i="21"/>
  <c r="I36" i="21"/>
  <c r="H36" i="21"/>
  <c r="H517" i="21"/>
  <c r="I517" i="21"/>
  <c r="I803" i="21"/>
  <c r="H803" i="21"/>
  <c r="H245" i="21"/>
  <c r="H142" i="21"/>
  <c r="I142" i="21"/>
  <c r="H404" i="21"/>
  <c r="I404" i="21"/>
  <c r="I698" i="21"/>
  <c r="H698" i="21"/>
  <c r="I740" i="21"/>
  <c r="H740" i="21"/>
  <c r="I495" i="21"/>
  <c r="H495" i="21"/>
  <c r="I196" i="21"/>
  <c r="I162" i="21"/>
  <c r="H162" i="21"/>
  <c r="H408" i="21"/>
  <c r="I408" i="21"/>
  <c r="I198" i="21"/>
  <c r="H198" i="21"/>
  <c r="I164" i="21"/>
  <c r="H164" i="21"/>
  <c r="I592" i="21"/>
  <c r="H592" i="21"/>
  <c r="I567" i="21"/>
  <c r="H567" i="21"/>
  <c r="I739" i="21"/>
  <c r="H739" i="21"/>
  <c r="I323" i="21"/>
  <c r="H323" i="21"/>
  <c r="H786" i="21"/>
  <c r="I786" i="21"/>
  <c r="I651" i="21"/>
  <c r="H651" i="21"/>
  <c r="I159" i="21"/>
  <c r="H159" i="21"/>
  <c r="I27" i="21"/>
  <c r="H27" i="21"/>
  <c r="I140" i="21"/>
  <c r="H140" i="21"/>
  <c r="I76" i="21"/>
  <c r="H76" i="21"/>
  <c r="I178" i="21"/>
  <c r="H178" i="21"/>
  <c r="I679" i="21"/>
  <c r="H679" i="21"/>
  <c r="I616" i="21"/>
  <c r="H616" i="21"/>
  <c r="I213" i="21"/>
  <c r="H213" i="21"/>
  <c r="I184" i="21"/>
  <c r="H184" i="21"/>
  <c r="I429" i="21"/>
  <c r="H429" i="21"/>
  <c r="I461" i="21"/>
  <c r="H461" i="21"/>
  <c r="I358" i="21"/>
  <c r="H358" i="21"/>
  <c r="I414" i="21"/>
  <c r="H414" i="21"/>
  <c r="I558" i="21"/>
  <c r="H558" i="21"/>
  <c r="I179" i="21"/>
  <c r="H179" i="21"/>
  <c r="I95" i="21"/>
  <c r="H95" i="21"/>
  <c r="H230" i="21"/>
  <c r="I230" i="21"/>
  <c r="I26" i="21"/>
  <c r="H26" i="21"/>
  <c r="H486" i="21"/>
  <c r="I557" i="21"/>
  <c r="H557" i="21"/>
  <c r="I62" i="21"/>
  <c r="H62" i="21"/>
  <c r="I252" i="21"/>
  <c r="H252" i="21"/>
  <c r="I542" i="21"/>
  <c r="I65" i="21"/>
  <c r="H65" i="21"/>
  <c r="I154" i="21"/>
  <c r="H154" i="21"/>
  <c r="I548" i="21"/>
  <c r="H548" i="21"/>
  <c r="I397" i="21"/>
  <c r="H397" i="21"/>
  <c r="I742" i="21"/>
  <c r="H742" i="21"/>
  <c r="I504" i="21"/>
  <c r="H504" i="21"/>
  <c r="I403" i="21"/>
  <c r="H403" i="21"/>
  <c r="I479" i="21"/>
  <c r="H479" i="21"/>
  <c r="I227" i="21"/>
  <c r="H227" i="21"/>
  <c r="I271" i="21"/>
  <c r="H271" i="21"/>
  <c r="I622" i="21"/>
  <c r="H622" i="21"/>
  <c r="K136" i="21"/>
  <c r="J136" i="21"/>
  <c r="I497" i="21"/>
  <c r="H497" i="21"/>
  <c r="H619" i="21"/>
  <c r="I619" i="21"/>
  <c r="H23" i="21"/>
  <c r="I23" i="21"/>
  <c r="I717" i="21"/>
  <c r="H717" i="21"/>
  <c r="I175" i="21"/>
  <c r="H175" i="21"/>
  <c r="I145" i="21"/>
  <c r="H145" i="21"/>
  <c r="I210" i="21"/>
  <c r="H210" i="21"/>
  <c r="I490" i="21"/>
  <c r="H490" i="21"/>
  <c r="I346" i="21"/>
  <c r="H346" i="21"/>
  <c r="H48" i="21"/>
  <c r="I48" i="21"/>
  <c r="I440" i="21"/>
  <c r="H440" i="21"/>
  <c r="I125" i="21"/>
  <c r="H125" i="21"/>
  <c r="I693" i="21"/>
  <c r="H693" i="21"/>
  <c r="I284" i="21"/>
  <c r="H284" i="21"/>
  <c r="I738" i="21"/>
  <c r="H738" i="21"/>
  <c r="I167" i="21"/>
  <c r="H167" i="21"/>
  <c r="I22" i="21"/>
  <c r="H22" i="21"/>
  <c r="I785" i="21"/>
  <c r="H785" i="21"/>
  <c r="I407" i="21"/>
  <c r="H407" i="21"/>
  <c r="H274" i="21"/>
  <c r="I274" i="21"/>
  <c r="I591" i="21"/>
  <c r="H591" i="21"/>
  <c r="I385" i="21"/>
  <c r="H385" i="21"/>
  <c r="I315" i="21"/>
  <c r="H315" i="21"/>
  <c r="H281" i="21"/>
  <c r="I281" i="21"/>
  <c r="I396" i="21"/>
  <c r="H396" i="21"/>
  <c r="I662" i="21"/>
  <c r="H662" i="21"/>
  <c r="I597" i="21"/>
  <c r="H597" i="21"/>
  <c r="I90" i="21"/>
  <c r="H90" i="21"/>
  <c r="I38" i="21"/>
  <c r="H38" i="21"/>
  <c r="I808" i="21"/>
  <c r="H808" i="21"/>
  <c r="I566" i="21"/>
  <c r="H566" i="21"/>
  <c r="I330" i="21"/>
  <c r="H330" i="21"/>
  <c r="I711" i="21"/>
  <c r="H711" i="21"/>
  <c r="I568" i="21"/>
  <c r="H568" i="21"/>
  <c r="I425" i="21"/>
  <c r="H425" i="21"/>
  <c r="I251" i="21"/>
  <c r="H251" i="21"/>
  <c r="I554" i="21"/>
  <c r="H554" i="21"/>
  <c r="I503" i="21"/>
  <c r="H503" i="21"/>
  <c r="I72" i="21"/>
  <c r="H72" i="21"/>
  <c r="H270" i="21"/>
  <c r="I270" i="21"/>
  <c r="I450" i="21"/>
  <c r="H450" i="21"/>
  <c r="I692" i="21"/>
  <c r="H692" i="21"/>
  <c r="I398" i="21"/>
  <c r="H398" i="21"/>
  <c r="I482" i="21"/>
  <c r="H482" i="21"/>
  <c r="H31" i="21"/>
  <c r="I31" i="21"/>
  <c r="I114" i="21"/>
  <c r="H114" i="21"/>
  <c r="H484" i="21"/>
  <c r="I484" i="21"/>
  <c r="I419" i="21"/>
  <c r="H419" i="21"/>
  <c r="I485" i="21"/>
  <c r="H485" i="21"/>
  <c r="I259" i="21"/>
  <c r="H259" i="21"/>
  <c r="I301" i="21"/>
  <c r="H301" i="21"/>
  <c r="I648" i="21"/>
  <c r="H648" i="21"/>
  <c r="I384" i="21"/>
  <c r="H384" i="21"/>
  <c r="I779" i="21"/>
  <c r="H779" i="21"/>
  <c r="I760" i="21"/>
  <c r="H760" i="21"/>
  <c r="H52" i="21"/>
  <c r="I52" i="21"/>
  <c r="I442" i="21"/>
  <c r="H442" i="21"/>
  <c r="I507" i="21"/>
  <c r="H507" i="21"/>
  <c r="I177" i="21"/>
  <c r="H177" i="21"/>
  <c r="I122" i="21"/>
  <c r="H122" i="21"/>
  <c r="I768" i="21"/>
  <c r="H768" i="21"/>
  <c r="I538" i="21"/>
  <c r="I61" i="21"/>
  <c r="H61" i="21"/>
  <c r="I135" i="21"/>
  <c r="H135" i="21"/>
  <c r="H28" i="21"/>
  <c r="I28" i="21"/>
  <c r="I63" i="21"/>
  <c r="H63" i="21"/>
  <c r="I746" i="21"/>
  <c r="H746" i="21"/>
  <c r="I30" i="21"/>
  <c r="H30" i="21"/>
  <c r="I395" i="21"/>
  <c r="H395" i="21"/>
  <c r="I137" i="21"/>
  <c r="H137" i="21"/>
  <c r="I257" i="21"/>
  <c r="H257" i="21"/>
  <c r="I499" i="21"/>
  <c r="H499" i="21"/>
  <c r="I68" i="21"/>
  <c r="I590" i="21"/>
  <c r="H590" i="21"/>
  <c r="I539" i="21"/>
  <c r="I329" i="21"/>
  <c r="H329" i="21"/>
  <c r="H89" i="21"/>
  <c r="I89" i="21"/>
  <c r="I171" i="21"/>
  <c r="H171" i="21"/>
  <c r="I24" i="21"/>
  <c r="H24" i="21"/>
  <c r="H696" i="21"/>
  <c r="I696" i="21"/>
  <c r="I417" i="21"/>
  <c r="H417" i="21"/>
  <c r="H300" i="21"/>
  <c r="I300" i="21"/>
  <c r="I117" i="21"/>
  <c r="H117" i="21"/>
  <c r="I599" i="21"/>
  <c r="H599" i="21"/>
  <c r="I716" i="21"/>
  <c r="H716" i="21"/>
  <c r="I181" i="21"/>
  <c r="H181" i="21"/>
  <c r="I813" i="21"/>
  <c r="H813" i="21"/>
  <c r="I810" i="21"/>
  <c r="H810" i="21"/>
  <c r="I781" i="21"/>
  <c r="H781" i="21"/>
  <c r="I476" i="21"/>
  <c r="H476" i="21"/>
  <c r="H399" i="21"/>
  <c r="I399" i="21"/>
  <c r="I379" i="21"/>
  <c r="H379" i="21"/>
  <c r="I604" i="21"/>
  <c r="H604" i="21"/>
  <c r="I594" i="21"/>
  <c r="H594" i="21"/>
  <c r="I536" i="21"/>
  <c r="I360" i="21"/>
  <c r="H360" i="21"/>
  <c r="I697" i="21"/>
  <c r="H697" i="21"/>
  <c r="I562" i="21"/>
  <c r="H562" i="21"/>
  <c r="I103" i="21"/>
  <c r="H103" i="21"/>
  <c r="I238" i="21"/>
  <c r="H238" i="21"/>
  <c r="I402" i="21"/>
  <c r="H402" i="21"/>
  <c r="I326" i="21"/>
  <c r="H326" i="21"/>
  <c r="I709" i="21"/>
  <c r="H709" i="21"/>
  <c r="I141" i="21"/>
  <c r="H141" i="21"/>
  <c r="H535" i="21"/>
  <c r="I535" i="21"/>
  <c r="I66" i="21"/>
  <c r="H66" i="21"/>
  <c r="I771" i="21"/>
  <c r="H771" i="21"/>
  <c r="I537" i="21"/>
  <c r="H537" i="21"/>
  <c r="I110" i="21"/>
  <c r="H110" i="21"/>
  <c r="I211" i="21"/>
  <c r="H211" i="21"/>
  <c r="I565" i="21"/>
  <c r="H565" i="21"/>
  <c r="H359" i="21"/>
  <c r="I359" i="21"/>
  <c r="I200" i="21"/>
  <c r="H200" i="21"/>
  <c r="I491" i="21"/>
  <c r="H491" i="21"/>
  <c r="I113" i="21"/>
  <c r="H113" i="21"/>
  <c r="I219" i="21"/>
  <c r="H219" i="21"/>
  <c r="H357" i="21"/>
  <c r="I357" i="21"/>
  <c r="I158" i="21"/>
  <c r="H158" i="21"/>
  <c r="I456" i="21"/>
  <c r="H456" i="21"/>
  <c r="H546" i="21"/>
  <c r="I546" i="21"/>
  <c r="I206" i="21"/>
  <c r="H206" i="21"/>
  <c r="I278" i="21"/>
  <c r="H278" i="21"/>
  <c r="I806" i="21"/>
  <c r="H806" i="21"/>
  <c r="I37" i="21"/>
  <c r="H37" i="21"/>
  <c r="I147" i="21"/>
  <c r="H147" i="21"/>
  <c r="I220" i="21"/>
  <c r="H220" i="21"/>
  <c r="I347" i="21"/>
  <c r="H347" i="21"/>
  <c r="I650" i="21"/>
  <c r="H650" i="21"/>
  <c r="H348" i="21"/>
  <c r="I348" i="21"/>
  <c r="H349" i="21"/>
  <c r="I349" i="21"/>
  <c r="I766" i="21"/>
  <c r="H766" i="21"/>
  <c r="I618" i="21"/>
  <c r="H618" i="21"/>
  <c r="I664" i="21"/>
  <c r="H664" i="21"/>
  <c r="I352" i="21"/>
  <c r="H352" i="21"/>
  <c r="I229" i="21"/>
  <c r="H229" i="21"/>
  <c r="I82" i="21"/>
  <c r="H82" i="21"/>
  <c r="I331" i="21"/>
  <c r="H331" i="21"/>
  <c r="I560" i="21"/>
  <c r="H560" i="21"/>
  <c r="I409" i="21"/>
  <c r="H409" i="21"/>
  <c r="H801" i="21"/>
  <c r="I801" i="21"/>
  <c r="I128" i="21"/>
  <c r="H128" i="21"/>
  <c r="I321" i="21"/>
  <c r="H321" i="21"/>
  <c r="I286" i="21"/>
  <c r="H286" i="21"/>
  <c r="H540" i="21"/>
  <c r="I540" i="21"/>
  <c r="H413" i="21"/>
  <c r="I413" i="21"/>
  <c r="I807" i="21"/>
  <c r="H807" i="21"/>
  <c r="I253" i="21"/>
  <c r="H253" i="21"/>
  <c r="I561" i="21"/>
  <c r="H561" i="21"/>
  <c r="I104" i="21"/>
  <c r="H104" i="21"/>
  <c r="I708" i="21"/>
  <c r="H708" i="21"/>
  <c r="I563" i="21"/>
  <c r="H563" i="21"/>
  <c r="I302" i="21"/>
  <c r="H302" i="21"/>
  <c r="I261" i="21"/>
  <c r="H261" i="21"/>
  <c r="I410" i="21"/>
  <c r="H410" i="21"/>
  <c r="H405" i="21"/>
  <c r="I405" i="21"/>
  <c r="I294" i="21"/>
  <c r="H294" i="21"/>
  <c r="K536" i="21"/>
  <c r="J536" i="21"/>
  <c r="I356" i="21"/>
  <c r="H356" i="21"/>
  <c r="I470" i="21"/>
  <c r="H470" i="21"/>
  <c r="I628" i="21"/>
  <c r="H628" i="21"/>
  <c r="I430" i="21"/>
  <c r="H430" i="21"/>
  <c r="I204" i="21"/>
  <c r="H204" i="21"/>
  <c r="I462" i="21"/>
  <c r="H462" i="21"/>
  <c r="I255" i="21"/>
  <c r="H255" i="21"/>
  <c r="I205" i="21"/>
  <c r="H205" i="21"/>
  <c r="H74" i="21"/>
  <c r="I74" i="21"/>
  <c r="I161" i="21"/>
  <c r="H161" i="21"/>
  <c r="I29" i="21"/>
  <c r="H29" i="21"/>
  <c r="I279" i="21"/>
  <c r="H279" i="21"/>
  <c r="H388" i="21"/>
  <c r="I388" i="21"/>
  <c r="H412" i="21"/>
  <c r="I412" i="21"/>
  <c r="I474" i="21"/>
  <c r="H474" i="21"/>
  <c r="I812" i="21"/>
  <c r="H812" i="21"/>
  <c r="I119" i="21"/>
  <c r="H119" i="21"/>
  <c r="I91" i="21"/>
  <c r="H91" i="21"/>
  <c r="I532" i="21"/>
  <c r="H532" i="21"/>
  <c r="I43" i="21"/>
  <c r="H43" i="21"/>
  <c r="I237" i="21"/>
  <c r="H237" i="21"/>
  <c r="H511" i="21"/>
  <c r="I511" i="21"/>
  <c r="I60" i="21"/>
  <c r="H60" i="21"/>
  <c r="I241" i="21"/>
  <c r="H241" i="21"/>
  <c r="I386" i="21"/>
  <c r="H386" i="21"/>
  <c r="I796" i="21"/>
  <c r="H796" i="21"/>
  <c r="I564" i="21"/>
  <c r="H564" i="21"/>
  <c r="I64" i="21"/>
  <c r="H64" i="21"/>
  <c r="I767" i="21"/>
  <c r="H767" i="21"/>
  <c r="I146" i="21"/>
  <c r="H146" i="21"/>
  <c r="I75" i="21"/>
  <c r="H75" i="21"/>
  <c r="I260" i="21"/>
  <c r="H260" i="21"/>
  <c r="I116" i="21"/>
  <c r="H116" i="21"/>
  <c r="I710" i="21"/>
  <c r="H710" i="21"/>
  <c r="I267" i="21"/>
  <c r="H267" i="21"/>
  <c r="I506" i="21"/>
  <c r="H506" i="21"/>
  <c r="I505" i="21"/>
  <c r="H505" i="21"/>
  <c r="H115" i="21"/>
  <c r="I115" i="21"/>
  <c r="H53" i="21"/>
  <c r="I53" i="21"/>
  <c r="J767" i="21" l="1"/>
  <c r="J470" i="21"/>
  <c r="K470" i="21"/>
  <c r="L470" i="21" s="1"/>
  <c r="J766" i="21"/>
  <c r="K103" i="21"/>
  <c r="L103" i="21" s="1"/>
  <c r="J103" i="21"/>
  <c r="J768" i="21"/>
  <c r="K568" i="21"/>
  <c r="J568" i="21"/>
  <c r="J154" i="21"/>
  <c r="K154" i="21"/>
  <c r="L154" i="21" s="1"/>
  <c r="K115" i="21"/>
  <c r="L115" i="21" s="1"/>
  <c r="J115" i="21"/>
  <c r="K540" i="21"/>
  <c r="J540" i="21"/>
  <c r="J801" i="21"/>
  <c r="J546" i="21"/>
  <c r="K546" i="21"/>
  <c r="J359" i="21"/>
  <c r="J813" i="21"/>
  <c r="J117" i="21"/>
  <c r="K117" i="21"/>
  <c r="J24" i="21"/>
  <c r="K24" i="21"/>
  <c r="K137" i="21"/>
  <c r="J137" i="21"/>
  <c r="J63" i="21"/>
  <c r="K63" i="21"/>
  <c r="J484" i="21"/>
  <c r="K484" i="21"/>
  <c r="J23" i="21"/>
  <c r="K23" i="21"/>
  <c r="K62" i="21"/>
  <c r="J62" i="21"/>
  <c r="J230" i="21"/>
  <c r="J740" i="21"/>
  <c r="K740" i="21"/>
  <c r="J245" i="21"/>
  <c r="K245" i="21"/>
  <c r="L245" i="21" s="1"/>
  <c r="J556" i="21"/>
  <c r="K556" i="21"/>
  <c r="K298" i="21"/>
  <c r="J298" i="21"/>
  <c r="K155" i="21"/>
  <c r="J155" i="21"/>
  <c r="J107" i="21"/>
  <c r="K107" i="21"/>
  <c r="J427" i="21"/>
  <c r="J775" i="21"/>
  <c r="J389" i="21"/>
  <c r="J341" i="21"/>
  <c r="K341" i="21"/>
  <c r="K253" i="21"/>
  <c r="J253" i="21"/>
  <c r="J113" i="21"/>
  <c r="K113" i="21"/>
  <c r="J662" i="21"/>
  <c r="J145" i="21"/>
  <c r="K145" i="21"/>
  <c r="K95" i="21"/>
  <c r="J95" i="21"/>
  <c r="J811" i="21"/>
  <c r="J511" i="21"/>
  <c r="K511" i="21"/>
  <c r="J412" i="21"/>
  <c r="J405" i="21"/>
  <c r="J594" i="21"/>
  <c r="J476" i="21"/>
  <c r="J181" i="21"/>
  <c r="K181" i="21"/>
  <c r="J171" i="21"/>
  <c r="K171" i="21"/>
  <c r="J395" i="21"/>
  <c r="J48" i="21"/>
  <c r="K48" i="21"/>
  <c r="K619" i="21"/>
  <c r="J619" i="21"/>
  <c r="K557" i="21"/>
  <c r="J557" i="21"/>
  <c r="K408" i="21"/>
  <c r="J408" i="21"/>
  <c r="J698" i="21"/>
  <c r="K20" i="21"/>
  <c r="J20" i="21"/>
  <c r="J481" i="21"/>
  <c r="K435" i="21"/>
  <c r="J435" i="21"/>
  <c r="K188" i="21"/>
  <c r="J188" i="21"/>
  <c r="J96" i="21"/>
  <c r="K96" i="21"/>
  <c r="L96" i="21" s="1"/>
  <c r="K411" i="21"/>
  <c r="J411" i="21"/>
  <c r="J340" i="21"/>
  <c r="K340" i="21"/>
  <c r="J217" i="21"/>
  <c r="K217" i="21"/>
  <c r="J182" i="21"/>
  <c r="K182" i="21"/>
  <c r="J487" i="21"/>
  <c r="K487" i="21"/>
  <c r="K208" i="21"/>
  <c r="J208" i="21"/>
  <c r="J262" i="21"/>
  <c r="K262" i="21"/>
  <c r="L262" i="21" s="1"/>
  <c r="J796" i="21"/>
  <c r="J347" i="21"/>
  <c r="J709" i="21"/>
  <c r="J590" i="21"/>
  <c r="K114" i="21"/>
  <c r="J114" i="21"/>
  <c r="J785" i="21"/>
  <c r="K504" i="21"/>
  <c r="L504" i="21" s="1"/>
  <c r="J504" i="21"/>
  <c r="J651" i="21"/>
  <c r="J506" i="21"/>
  <c r="K506" i="21"/>
  <c r="K260" i="21"/>
  <c r="J260" i="21"/>
  <c r="J64" i="21"/>
  <c r="K64" i="21"/>
  <c r="J386" i="21"/>
  <c r="K386" i="21"/>
  <c r="K237" i="21"/>
  <c r="J237" i="21"/>
  <c r="K119" i="21"/>
  <c r="J119" i="21"/>
  <c r="G119" i="21"/>
  <c r="F119" i="21"/>
  <c r="K204" i="21"/>
  <c r="J204" i="21"/>
  <c r="J356" i="21"/>
  <c r="J410" i="21"/>
  <c r="K410" i="21"/>
  <c r="L410" i="21" s="1"/>
  <c r="J708" i="21"/>
  <c r="J807" i="21"/>
  <c r="J321" i="21"/>
  <c r="J560" i="21"/>
  <c r="K352" i="21"/>
  <c r="J352" i="21"/>
  <c r="K220" i="21"/>
  <c r="J220" i="21"/>
  <c r="J278" i="21"/>
  <c r="J158" i="21"/>
  <c r="K158" i="21"/>
  <c r="K491" i="21"/>
  <c r="J491" i="21"/>
  <c r="J211" i="21"/>
  <c r="K211" i="21"/>
  <c r="J66" i="21"/>
  <c r="K66" i="21"/>
  <c r="J326" i="21"/>
  <c r="J562" i="21"/>
  <c r="K562" i="21"/>
  <c r="J300" i="21"/>
  <c r="K28" i="21"/>
  <c r="J28" i="21"/>
  <c r="K122" i="21"/>
  <c r="J122" i="21"/>
  <c r="J442" i="21"/>
  <c r="J384" i="21"/>
  <c r="J485" i="21"/>
  <c r="K485" i="21"/>
  <c r="K450" i="21"/>
  <c r="J450" i="21"/>
  <c r="J554" i="21"/>
  <c r="K554" i="21"/>
  <c r="J711" i="21"/>
  <c r="K38" i="21"/>
  <c r="J38" i="21"/>
  <c r="J396" i="21"/>
  <c r="J591" i="21"/>
  <c r="J22" i="21"/>
  <c r="K22" i="21"/>
  <c r="J693" i="21"/>
  <c r="J346" i="21"/>
  <c r="J175" i="21"/>
  <c r="K175" i="21"/>
  <c r="J497" i="21"/>
  <c r="K497" i="21"/>
  <c r="F497" i="21"/>
  <c r="G497" i="21"/>
  <c r="K227" i="21"/>
  <c r="J227" i="21"/>
  <c r="J742" i="21"/>
  <c r="K742" i="21"/>
  <c r="J65" i="21"/>
  <c r="K65" i="21"/>
  <c r="J179" i="21"/>
  <c r="K179" i="21"/>
  <c r="J461" i="21"/>
  <c r="K461" i="21"/>
  <c r="K616" i="21"/>
  <c r="J616" i="21"/>
  <c r="K140" i="21"/>
  <c r="J140" i="21"/>
  <c r="J592" i="21"/>
  <c r="J162" i="21"/>
  <c r="K162" i="21"/>
  <c r="J652" i="21"/>
  <c r="J246" i="21"/>
  <c r="K246" i="21"/>
  <c r="J421" i="21"/>
  <c r="J547" i="21"/>
  <c r="K547" i="21"/>
  <c r="K108" i="21"/>
  <c r="J108" i="21"/>
  <c r="J88" i="21"/>
  <c r="K88" i="21"/>
  <c r="K307" i="21"/>
  <c r="J307" i="21"/>
  <c r="J505" i="21"/>
  <c r="K505" i="21"/>
  <c r="K161" i="21"/>
  <c r="J161" i="21"/>
  <c r="K286" i="21"/>
  <c r="J286" i="21"/>
  <c r="J456" i="21"/>
  <c r="K456" i="21"/>
  <c r="J692" i="21"/>
  <c r="J284" i="21"/>
  <c r="K567" i="21"/>
  <c r="J567" i="21"/>
  <c r="J99" i="21"/>
  <c r="K99" i="21"/>
  <c r="J388" i="21"/>
  <c r="K388" i="21"/>
  <c r="J74" i="21"/>
  <c r="K74" i="21"/>
  <c r="J349" i="21"/>
  <c r="K349" i="21"/>
  <c r="K604" i="21"/>
  <c r="J604" i="21"/>
  <c r="J781" i="21"/>
  <c r="J716" i="21"/>
  <c r="J417" i="21"/>
  <c r="J499" i="21"/>
  <c r="K499" i="21"/>
  <c r="J30" i="21"/>
  <c r="K30" i="21"/>
  <c r="J135" i="21"/>
  <c r="K135" i="21"/>
  <c r="J31" i="21"/>
  <c r="K31" i="21"/>
  <c r="J486" i="21"/>
  <c r="J786" i="21"/>
  <c r="J517" i="21"/>
  <c r="K102" i="21"/>
  <c r="J102" i="21"/>
  <c r="K87" i="21"/>
  <c r="J87" i="21"/>
  <c r="J406" i="21"/>
  <c r="J559" i="21"/>
  <c r="J695" i="21"/>
  <c r="K508" i="21"/>
  <c r="J508" i="21"/>
  <c r="J380" i="21"/>
  <c r="J765" i="21"/>
  <c r="J169" i="21"/>
  <c r="K169" i="21"/>
  <c r="L169" i="21" s="1"/>
  <c r="J116" i="21"/>
  <c r="K116" i="21"/>
  <c r="L116" i="21" s="1"/>
  <c r="K462" i="21"/>
  <c r="J462" i="21"/>
  <c r="J229" i="21"/>
  <c r="K565" i="21"/>
  <c r="J565" i="21"/>
  <c r="J779" i="21"/>
  <c r="J808" i="21"/>
  <c r="J358" i="21"/>
  <c r="K358" i="21"/>
  <c r="K267" i="21"/>
  <c r="L267" i="21" s="1"/>
  <c r="J267" i="21"/>
  <c r="J75" i="21"/>
  <c r="K75" i="21"/>
  <c r="J241" i="21"/>
  <c r="K43" i="21"/>
  <c r="J43" i="21"/>
  <c r="J812" i="21"/>
  <c r="J279" i="21"/>
  <c r="K205" i="21"/>
  <c r="J205" i="21"/>
  <c r="J430" i="21"/>
  <c r="K261" i="21"/>
  <c r="L261" i="21" s="1"/>
  <c r="J261" i="21"/>
  <c r="K104" i="21"/>
  <c r="J104" i="21"/>
  <c r="J128" i="21"/>
  <c r="K128" i="21"/>
  <c r="K331" i="21"/>
  <c r="J331" i="21"/>
  <c r="J664" i="21"/>
  <c r="K664" i="21"/>
  <c r="K147" i="21"/>
  <c r="J147" i="21"/>
  <c r="J206" i="21"/>
  <c r="K206" i="21"/>
  <c r="K200" i="21"/>
  <c r="J200" i="21"/>
  <c r="J110" i="21"/>
  <c r="K110" i="21"/>
  <c r="J402" i="21"/>
  <c r="J697" i="21"/>
  <c r="J89" i="21"/>
  <c r="K89" i="21"/>
  <c r="L89" i="21" s="1"/>
  <c r="K177" i="21"/>
  <c r="L177" i="21" s="1"/>
  <c r="J177" i="21"/>
  <c r="J648" i="21"/>
  <c r="J419" i="21"/>
  <c r="K419" i="21"/>
  <c r="J482" i="21"/>
  <c r="J251" i="21"/>
  <c r="K330" i="21"/>
  <c r="J330" i="21"/>
  <c r="K90" i="21"/>
  <c r="J90" i="21"/>
  <c r="J167" i="21"/>
  <c r="K167" i="21"/>
  <c r="J125" i="21"/>
  <c r="K125" i="21"/>
  <c r="J490" i="21"/>
  <c r="K490" i="21"/>
  <c r="J717" i="21"/>
  <c r="K479" i="21"/>
  <c r="J479" i="21"/>
  <c r="J397" i="21"/>
  <c r="J26" i="21"/>
  <c r="K26" i="21"/>
  <c r="J558" i="21"/>
  <c r="K558" i="21"/>
  <c r="J429" i="21"/>
  <c r="J679" i="21"/>
  <c r="K679" i="21"/>
  <c r="J27" i="21"/>
  <c r="K27" i="21"/>
  <c r="G323" i="21"/>
  <c r="J323" i="21"/>
  <c r="K323" i="21"/>
  <c r="F323" i="21"/>
  <c r="K164" i="21"/>
  <c r="J164" i="21"/>
  <c r="J404" i="21"/>
  <c r="K36" i="21"/>
  <c r="J36" i="21"/>
  <c r="J84" i="21"/>
  <c r="K84" i="21"/>
  <c r="L84" i="21" s="1"/>
  <c r="K572" i="21"/>
  <c r="J572" i="21"/>
  <c r="J646" i="21"/>
  <c r="J647" i="21"/>
  <c r="J776" i="21"/>
  <c r="J555" i="21"/>
  <c r="K555" i="21"/>
  <c r="J409" i="21"/>
  <c r="K409" i="21"/>
  <c r="J771" i="21"/>
  <c r="J259" i="21"/>
  <c r="K259" i="21"/>
  <c r="J385" i="21"/>
  <c r="K385" i="21"/>
  <c r="J271" i="21"/>
  <c r="J213" i="21"/>
  <c r="K213" i="21"/>
  <c r="L213" i="21" s="1"/>
  <c r="J803" i="21"/>
  <c r="K803" i="21"/>
  <c r="J276" i="21"/>
  <c r="J413" i="21"/>
  <c r="K413" i="21"/>
  <c r="K348" i="21"/>
  <c r="J348" i="21"/>
  <c r="J357" i="21"/>
  <c r="J535" i="21"/>
  <c r="K535" i="21"/>
  <c r="J379" i="21"/>
  <c r="J810" i="21"/>
  <c r="K599" i="21"/>
  <c r="J599" i="21"/>
  <c r="J329" i="21"/>
  <c r="K329" i="21"/>
  <c r="J257" i="21"/>
  <c r="J746" i="21"/>
  <c r="K61" i="21"/>
  <c r="J61" i="21"/>
  <c r="K52" i="21"/>
  <c r="J52" i="21"/>
  <c r="K270" i="21"/>
  <c r="J270" i="21"/>
  <c r="J281" i="21"/>
  <c r="K281" i="21"/>
  <c r="J274" i="21"/>
  <c r="K252" i="21"/>
  <c r="J252" i="21"/>
  <c r="J495" i="21"/>
  <c r="K495" i="21"/>
  <c r="J287" i="21"/>
  <c r="K287" i="21"/>
  <c r="J353" i="21"/>
  <c r="K353" i="21"/>
  <c r="L353" i="21" s="1"/>
  <c r="J256" i="21"/>
  <c r="K256" i="21"/>
  <c r="L256" i="21" s="1"/>
  <c r="J494" i="21"/>
  <c r="J350" i="21"/>
  <c r="K350" i="21"/>
  <c r="J606" i="21"/>
  <c r="K606" i="21"/>
  <c r="K488" i="21"/>
  <c r="J488" i="21"/>
  <c r="J173" i="21"/>
  <c r="K173" i="21"/>
  <c r="J787" i="21"/>
  <c r="K91" i="21"/>
  <c r="J91" i="21"/>
  <c r="J563" i="21"/>
  <c r="J806" i="21"/>
  <c r="J399" i="21"/>
  <c r="K399" i="21"/>
  <c r="J503" i="21"/>
  <c r="K503" i="21"/>
  <c r="J76" i="21"/>
  <c r="K76" i="21"/>
  <c r="J593" i="21"/>
  <c r="J710" i="21"/>
  <c r="K146" i="21"/>
  <c r="L146" i="21" s="1"/>
  <c r="J146" i="21"/>
  <c r="K564" i="21"/>
  <c r="J564" i="21"/>
  <c r="J60" i="21"/>
  <c r="K60" i="21"/>
  <c r="K532" i="21"/>
  <c r="J532" i="21"/>
  <c r="J474" i="21"/>
  <c r="K474" i="21"/>
  <c r="J29" i="21"/>
  <c r="K29" i="21"/>
  <c r="K255" i="21"/>
  <c r="L255" i="21" s="1"/>
  <c r="J255" i="21"/>
  <c r="K628" i="21"/>
  <c r="J628" i="21"/>
  <c r="J294" i="21"/>
  <c r="K294" i="21"/>
  <c r="J302" i="21"/>
  <c r="K561" i="21"/>
  <c r="J561" i="21"/>
  <c r="J82" i="21"/>
  <c r="K82" i="21"/>
  <c r="J618" i="21"/>
  <c r="J650" i="21"/>
  <c r="J37" i="21"/>
  <c r="K37" i="21"/>
  <c r="J219" i="21"/>
  <c r="J537" i="21"/>
  <c r="J141" i="21"/>
  <c r="K141" i="21"/>
  <c r="K238" i="21"/>
  <c r="J238" i="21"/>
  <c r="J360" i="21"/>
  <c r="K360" i="21"/>
  <c r="J696" i="21"/>
  <c r="J507" i="21"/>
  <c r="K507" i="21"/>
  <c r="J760" i="21"/>
  <c r="J301" i="21"/>
  <c r="J398" i="21"/>
  <c r="K398" i="21"/>
  <c r="F398" i="21"/>
  <c r="G398" i="21"/>
  <c r="J72" i="21"/>
  <c r="K72" i="21"/>
  <c r="J425" i="21"/>
  <c r="J566" i="21"/>
  <c r="K566" i="21"/>
  <c r="J597" i="21"/>
  <c r="K597" i="21"/>
  <c r="L597" i="21" s="1"/>
  <c r="J315" i="21"/>
  <c r="J407" i="21"/>
  <c r="J738" i="21"/>
  <c r="K440" i="21"/>
  <c r="J440" i="21"/>
  <c r="J210" i="21"/>
  <c r="K210" i="21"/>
  <c r="K622" i="21"/>
  <c r="J622" i="21"/>
  <c r="J403" i="21"/>
  <c r="J548" i="21"/>
  <c r="K548" i="21"/>
  <c r="J414" i="21"/>
  <c r="J184" i="21"/>
  <c r="K184" i="21"/>
  <c r="J178" i="21"/>
  <c r="K178" i="21"/>
  <c r="J159" i="21"/>
  <c r="K159" i="21"/>
  <c r="J739" i="21"/>
  <c r="J198" i="21"/>
  <c r="K198" i="21"/>
  <c r="J142" i="21"/>
  <c r="K142" i="21"/>
  <c r="J185" i="21"/>
  <c r="K185" i="21"/>
  <c r="K551" i="21"/>
  <c r="J551" i="21"/>
  <c r="K285" i="21"/>
  <c r="J285" i="21"/>
  <c r="F285" i="21"/>
  <c r="G285" i="21"/>
  <c r="K39" i="21"/>
  <c r="J39" i="21"/>
  <c r="J273" i="21"/>
  <c r="J428" i="21"/>
  <c r="K428" i="21"/>
  <c r="J707" i="21"/>
  <c r="J447" i="21"/>
  <c r="J53" i="21"/>
  <c r="K53" i="21"/>
  <c r="F740" i="21"/>
  <c r="G740" i="21"/>
  <c r="F399" i="21"/>
  <c r="G399" i="21"/>
  <c r="F742" i="21"/>
  <c r="G742" i="21"/>
  <c r="O707" i="31" l="1"/>
  <c r="D788" i="31"/>
  <c r="C7" i="31"/>
  <c r="C8" i="31"/>
  <c r="C9" i="31"/>
  <c r="C10" i="31"/>
  <c r="C11" i="31"/>
  <c r="C12" i="31"/>
  <c r="C13" i="31"/>
  <c r="C14" i="31"/>
  <c r="C15" i="31"/>
  <c r="C16" i="31"/>
  <c r="C17" i="31"/>
  <c r="C18" i="31"/>
  <c r="C19" i="31"/>
  <c r="C20" i="31"/>
  <c r="C21" i="31"/>
  <c r="C22" i="31"/>
  <c r="C23" i="31"/>
  <c r="C24" i="31"/>
  <c r="D36" i="21" s="1"/>
  <c r="C25" i="31"/>
  <c r="C26" i="31"/>
  <c r="C27" i="31"/>
  <c r="C28" i="31"/>
  <c r="C29" i="31"/>
  <c r="C30" i="31"/>
  <c r="C31" i="31"/>
  <c r="C32" i="31"/>
  <c r="C33" i="31"/>
  <c r="C34" i="31"/>
  <c r="C35" i="31"/>
  <c r="C36" i="31"/>
  <c r="C37" i="31"/>
  <c r="C38" i="31"/>
  <c r="C39" i="31"/>
  <c r="C40" i="31"/>
  <c r="C41" i="31"/>
  <c r="D54" i="21" s="1"/>
  <c r="C42" i="31"/>
  <c r="D55" i="21" s="1"/>
  <c r="C43" i="31"/>
  <c r="D56" i="21" s="1"/>
  <c r="C44" i="31"/>
  <c r="D57" i="21" s="1"/>
  <c r="C45" i="31"/>
  <c r="D58" i="21" s="1"/>
  <c r="C46" i="31"/>
  <c r="D59" i="21" s="1"/>
  <c r="C47" i="31"/>
  <c r="D60" i="21" s="1"/>
  <c r="C48" i="31"/>
  <c r="D61" i="21" s="1"/>
  <c r="C49" i="31"/>
  <c r="D62" i="21" s="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D137" i="21" s="1"/>
  <c r="C119" i="31"/>
  <c r="C120" i="31"/>
  <c r="C121" i="31"/>
  <c r="C122" i="31"/>
  <c r="C123" i="31"/>
  <c r="C124" i="31"/>
  <c r="C125" i="31"/>
  <c r="C126"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54" i="31"/>
  <c r="C555" i="31"/>
  <c r="C556" i="31"/>
  <c r="C557" i="31"/>
  <c r="C558" i="31"/>
  <c r="C559" i="31"/>
  <c r="C560" i="31"/>
  <c r="C561" i="31"/>
  <c r="C562" i="31"/>
  <c r="C563" i="31"/>
  <c r="C564" i="31"/>
  <c r="C565" i="31"/>
  <c r="C566" i="31"/>
  <c r="C567" i="31"/>
  <c r="C568" i="31"/>
  <c r="C569" i="31"/>
  <c r="C570" i="31"/>
  <c r="C571" i="31"/>
  <c r="C572" i="31"/>
  <c r="C573" i="31"/>
  <c r="C574" i="31"/>
  <c r="C575" i="31"/>
  <c r="C576" i="31"/>
  <c r="C577" i="31"/>
  <c r="C578" i="31"/>
  <c r="C579" i="31"/>
  <c r="C580" i="31"/>
  <c r="C581" i="31"/>
  <c r="C582" i="31"/>
  <c r="C583" i="31"/>
  <c r="C584" i="31"/>
  <c r="C585" i="31"/>
  <c r="C586" i="31"/>
  <c r="C587" i="31"/>
  <c r="C588" i="31"/>
  <c r="C589" i="31"/>
  <c r="C590" i="31"/>
  <c r="C591" i="31"/>
  <c r="C592" i="31"/>
  <c r="C593" i="31"/>
  <c r="C594" i="31"/>
  <c r="C595" i="31"/>
  <c r="C596" i="31"/>
  <c r="C597" i="31"/>
  <c r="C598" i="31"/>
  <c r="C599" i="31"/>
  <c r="C600" i="31"/>
  <c r="C601" i="31"/>
  <c r="C602" i="31"/>
  <c r="C603" i="31"/>
  <c r="C604" i="31"/>
  <c r="C605" i="31"/>
  <c r="C606" i="31"/>
  <c r="C607" i="31"/>
  <c r="C608" i="31"/>
  <c r="C609" i="31"/>
  <c r="C610" i="31"/>
  <c r="C611" i="31"/>
  <c r="C612" i="31"/>
  <c r="C613" i="31"/>
  <c r="C614" i="31"/>
  <c r="C615" i="31"/>
  <c r="C616" i="31"/>
  <c r="C617" i="31"/>
  <c r="C618" i="31"/>
  <c r="C619" i="31"/>
  <c r="C620" i="31"/>
  <c r="C621" i="31"/>
  <c r="C623" i="31"/>
  <c r="C624" i="31"/>
  <c r="C625" i="31"/>
  <c r="C626" i="31"/>
  <c r="C627" i="31"/>
  <c r="C628" i="31"/>
  <c r="C629" i="31"/>
  <c r="C630" i="31"/>
  <c r="C631" i="31"/>
  <c r="C632" i="31"/>
  <c r="C633" i="31"/>
  <c r="C634" i="31"/>
  <c r="C635" i="31"/>
  <c r="C636" i="31"/>
  <c r="C637" i="31"/>
  <c r="C638" i="31"/>
  <c r="C639" i="31"/>
  <c r="C640" i="31"/>
  <c r="C641" i="31"/>
  <c r="C642" i="31"/>
  <c r="C643" i="31"/>
  <c r="C644" i="31"/>
  <c r="C645" i="31"/>
  <c r="C646" i="31"/>
  <c r="C647" i="31"/>
  <c r="C648" i="31"/>
  <c r="C649" i="31"/>
  <c r="C650" i="31"/>
  <c r="C651" i="31"/>
  <c r="C652" i="31"/>
  <c r="C653" i="31"/>
  <c r="C654" i="31"/>
  <c r="C655" i="31"/>
  <c r="C656" i="31"/>
  <c r="C657" i="31"/>
  <c r="C658" i="31"/>
  <c r="C659" i="31"/>
  <c r="C660" i="31"/>
  <c r="C661" i="31"/>
  <c r="C662" i="31"/>
  <c r="C663" i="31"/>
  <c r="C664" i="31"/>
  <c r="C665" i="31"/>
  <c r="C666" i="31"/>
  <c r="C667" i="31"/>
  <c r="C668" i="31"/>
  <c r="C669" i="31"/>
  <c r="C670" i="31"/>
  <c r="C671" i="31"/>
  <c r="C672" i="31"/>
  <c r="C673" i="31"/>
  <c r="C674" i="31"/>
  <c r="C675" i="31"/>
  <c r="C676" i="31"/>
  <c r="C677" i="31"/>
  <c r="C678" i="31"/>
  <c r="C679" i="31"/>
  <c r="C680" i="31"/>
  <c r="C681" i="31"/>
  <c r="C682" i="31"/>
  <c r="C683" i="31"/>
  <c r="C684" i="31"/>
  <c r="C685" i="31"/>
  <c r="C686" i="31"/>
  <c r="C687" i="31"/>
  <c r="C688" i="31"/>
  <c r="C689" i="31"/>
  <c r="C690" i="31"/>
  <c r="C691" i="31"/>
  <c r="C692" i="31"/>
  <c r="C693" i="31"/>
  <c r="C694" i="31"/>
  <c r="C695" i="31"/>
  <c r="C696" i="31"/>
  <c r="C697" i="31"/>
  <c r="C698" i="31"/>
  <c r="C699" i="31"/>
  <c r="C700" i="31"/>
  <c r="C701" i="31"/>
  <c r="C702" i="31"/>
  <c r="C703" i="31"/>
  <c r="C704" i="31"/>
  <c r="C705" i="31"/>
  <c r="C706" i="31"/>
  <c r="C707" i="31"/>
  <c r="C708" i="31"/>
  <c r="C709" i="31"/>
  <c r="C710" i="31"/>
  <c r="C711" i="31"/>
  <c r="C712" i="31"/>
  <c r="C713" i="31"/>
  <c r="C714" i="31"/>
  <c r="C715" i="31"/>
  <c r="C716" i="31"/>
  <c r="C717" i="31"/>
  <c r="C718" i="31"/>
  <c r="C719" i="31"/>
  <c r="C720" i="31"/>
  <c r="C721" i="31"/>
  <c r="C722" i="31"/>
  <c r="C723" i="31"/>
  <c r="C724" i="31"/>
  <c r="C725" i="31"/>
  <c r="C726" i="31"/>
  <c r="C727" i="31"/>
  <c r="C728" i="31"/>
  <c r="C729" i="31"/>
  <c r="C730" i="31"/>
  <c r="C731" i="31"/>
  <c r="C732" i="31"/>
  <c r="C733" i="31"/>
  <c r="C734" i="31"/>
  <c r="C735" i="31"/>
  <c r="C736" i="31"/>
  <c r="C737" i="31"/>
  <c r="C738" i="31"/>
  <c r="C739" i="31"/>
  <c r="C740" i="31"/>
  <c r="C741" i="31"/>
  <c r="C742" i="31"/>
  <c r="C743" i="31"/>
  <c r="C744" i="31"/>
  <c r="C745" i="31"/>
  <c r="C746" i="31"/>
  <c r="C747" i="31"/>
  <c r="C748" i="31"/>
  <c r="C749" i="31"/>
  <c r="C750" i="31"/>
  <c r="C751" i="31"/>
  <c r="C752" i="31"/>
  <c r="C753" i="31"/>
  <c r="C754" i="31"/>
  <c r="C755" i="31"/>
  <c r="C756" i="31"/>
  <c r="C757" i="31"/>
  <c r="C758" i="31"/>
  <c r="C759" i="31"/>
  <c r="C760" i="31"/>
  <c r="C761" i="31"/>
  <c r="C762" i="31"/>
  <c r="C763" i="31"/>
  <c r="C764" i="31"/>
  <c r="C765" i="31"/>
  <c r="C766" i="31"/>
  <c r="C767" i="31"/>
  <c r="C768" i="31"/>
  <c r="C769" i="31"/>
  <c r="C770" i="31"/>
  <c r="C771" i="31"/>
  <c r="C772" i="31"/>
  <c r="C773" i="31"/>
  <c r="C774" i="31"/>
  <c r="C775" i="31"/>
  <c r="C776" i="31"/>
  <c r="C777" i="31"/>
  <c r="C778" i="31"/>
  <c r="C779" i="31"/>
  <c r="C780" i="31"/>
  <c r="C781" i="31"/>
  <c r="C782" i="31"/>
  <c r="C783" i="31"/>
  <c r="C784" i="31"/>
  <c r="C785" i="31"/>
  <c r="C786" i="31"/>
  <c r="C787" i="31"/>
  <c r="D809" i="21" s="1"/>
  <c r="G809" i="21" s="1"/>
  <c r="C788" i="31"/>
  <c r="D810" i="21" s="1"/>
  <c r="C789" i="31"/>
  <c r="D811" i="21" s="1"/>
  <c r="C790" i="31"/>
  <c r="D812" i="21" s="1"/>
  <c r="C804" i="31"/>
  <c r="D813" i="21" s="1"/>
  <c r="C805" i="31"/>
  <c r="D814" i="21" s="1"/>
  <c r="G814" i="21" s="1"/>
  <c r="C806" i="31"/>
  <c r="D815" i="21" s="1"/>
  <c r="F815" i="21" s="1"/>
  <c r="C807" i="31"/>
  <c r="D816" i="21" s="1"/>
  <c r="C808" i="31"/>
  <c r="D817" i="21" s="1"/>
  <c r="G817" i="21" s="1"/>
  <c r="C809" i="31"/>
  <c r="D818" i="21" s="1"/>
  <c r="G818" i="21" s="1"/>
  <c r="K642" i="31"/>
  <c r="K734" i="31"/>
  <c r="L757" i="21" s="1"/>
  <c r="K778" i="31"/>
  <c r="K671" i="31"/>
  <c r="L687" i="21" s="1"/>
  <c r="K672" i="31"/>
  <c r="L688" i="21" s="1"/>
  <c r="K758" i="31"/>
  <c r="L781" i="21" s="1"/>
  <c r="K765" i="31"/>
  <c r="L788" i="21" s="1"/>
  <c r="K773" i="31"/>
  <c r="L796" i="21" s="1"/>
  <c r="K777" i="31"/>
  <c r="L800" i="21" s="1"/>
  <c r="K629" i="31"/>
  <c r="L646" i="21" s="1"/>
  <c r="K630" i="31"/>
  <c r="L647" i="21" s="1"/>
  <c r="K631" i="31"/>
  <c r="L648" i="21" s="1"/>
  <c r="K634" i="31"/>
  <c r="L651" i="21" s="1"/>
  <c r="K635" i="31"/>
  <c r="L652" i="21" s="1"/>
  <c r="K646" i="31"/>
  <c r="L662" i="21" s="1"/>
  <c r="K676" i="31"/>
  <c r="K682" i="31"/>
  <c r="K691" i="31"/>
  <c r="L707" i="21" s="1"/>
  <c r="K692" i="31"/>
  <c r="L708" i="21" s="1"/>
  <c r="K693" i="31"/>
  <c r="L709" i="21" s="1"/>
  <c r="K694" i="31"/>
  <c r="L710" i="21" s="1"/>
  <c r="K695" i="31"/>
  <c r="K700" i="31"/>
  <c r="L716" i="21" s="1"/>
  <c r="K701" i="31"/>
  <c r="L717" i="21" s="1"/>
  <c r="K721" i="31"/>
  <c r="K737" i="31"/>
  <c r="L760" i="21" s="1"/>
  <c r="K742" i="31"/>
  <c r="K743" i="31"/>
  <c r="K744" i="31"/>
  <c r="K745" i="31"/>
  <c r="K746" i="31"/>
  <c r="L769" i="21" s="1"/>
  <c r="K752" i="31"/>
  <c r="L775" i="21" s="1"/>
  <c r="K753" i="31"/>
  <c r="L776" i="21" s="1"/>
  <c r="K756" i="31"/>
  <c r="L779" i="21" s="1"/>
  <c r="K763" i="31"/>
  <c r="L786" i="21" s="1"/>
  <c r="K784" i="31"/>
  <c r="L806" i="21" s="1"/>
  <c r="K785" i="31"/>
  <c r="L807" i="21" s="1"/>
  <c r="K786" i="31"/>
  <c r="K788" i="31"/>
  <c r="L810" i="21" s="1"/>
  <c r="K789" i="31"/>
  <c r="L811" i="21" s="1"/>
  <c r="K790" i="31"/>
  <c r="L812" i="21" s="1"/>
  <c r="K804" i="31"/>
  <c r="K637" i="31"/>
  <c r="L654" i="21" s="1"/>
  <c r="K638" i="31"/>
  <c r="L655" i="21" s="1"/>
  <c r="K741" i="31"/>
  <c r="L764" i="21" s="1"/>
  <c r="K751" i="31"/>
  <c r="L774" i="21" s="1"/>
  <c r="K764" i="31"/>
  <c r="L787" i="21" s="1"/>
  <c r="K648" i="31"/>
  <c r="L664" i="21" s="1"/>
  <c r="K762" i="31"/>
  <c r="L785" i="21" s="1"/>
  <c r="K720" i="31"/>
  <c r="L738" i="21" s="1"/>
  <c r="K681" i="31"/>
  <c r="L697" i="21" s="1"/>
  <c r="K641" i="31"/>
  <c r="L658" i="21" s="1"/>
  <c r="K727" i="31"/>
  <c r="L749" i="21" s="1"/>
  <c r="K731" i="31"/>
  <c r="L753" i="21" s="1"/>
  <c r="K711" i="31"/>
  <c r="L729" i="21" s="1"/>
  <c r="K636" i="31"/>
  <c r="L653" i="21" s="1"/>
  <c r="K699" i="31"/>
  <c r="L715" i="21" s="1"/>
  <c r="K623" i="31"/>
  <c r="L640" i="21" s="1"/>
  <c r="K624" i="31"/>
  <c r="L641" i="21" s="1"/>
  <c r="K625" i="31"/>
  <c r="L642" i="21" s="1"/>
  <c r="K626" i="31"/>
  <c r="L643" i="21" s="1"/>
  <c r="K627" i="31"/>
  <c r="L644" i="21" s="1"/>
  <c r="K628" i="31"/>
  <c r="L645" i="21" s="1"/>
  <c r="K632" i="31"/>
  <c r="L649" i="21" s="1"/>
  <c r="K633" i="31"/>
  <c r="L650" i="21" s="1"/>
  <c r="K639" i="31"/>
  <c r="L656" i="21" s="1"/>
  <c r="K640" i="31"/>
  <c r="L657" i="21" s="1"/>
  <c r="K643" i="31"/>
  <c r="L659" i="21" s="1"/>
  <c r="K644" i="31"/>
  <c r="L660" i="21" s="1"/>
  <c r="K645" i="31"/>
  <c r="L661" i="21" s="1"/>
  <c r="K650" i="31"/>
  <c r="L666" i="21" s="1"/>
  <c r="K654" i="31"/>
  <c r="L670" i="21" s="1"/>
  <c r="K656" i="31"/>
  <c r="L672" i="21" s="1"/>
  <c r="K664" i="31"/>
  <c r="L680" i="21" s="1"/>
  <c r="K673" i="31"/>
  <c r="L689" i="21" s="1"/>
  <c r="K675" i="31"/>
  <c r="L691" i="21" s="1"/>
  <c r="K677" i="31"/>
  <c r="L693" i="21" s="1"/>
  <c r="K678" i="31"/>
  <c r="L694" i="21" s="1"/>
  <c r="K683" i="31"/>
  <c r="L699" i="21" s="1"/>
  <c r="K684" i="31"/>
  <c r="L700" i="21" s="1"/>
  <c r="K685" i="31"/>
  <c r="L701" i="21" s="1"/>
  <c r="K686" i="31"/>
  <c r="L702" i="21" s="1"/>
  <c r="K687" i="31"/>
  <c r="L703" i="21" s="1"/>
  <c r="K688" i="31"/>
  <c r="L704" i="21" s="1"/>
  <c r="K689" i="31"/>
  <c r="L705" i="21" s="1"/>
  <c r="K690" i="31"/>
  <c r="L706" i="21" s="1"/>
  <c r="K696" i="31"/>
  <c r="L712" i="21" s="1"/>
  <c r="K697" i="31"/>
  <c r="L713" i="21" s="1"/>
  <c r="K698" i="31"/>
  <c r="L714" i="21" s="1"/>
  <c r="K704" i="31"/>
  <c r="L720" i="21" s="1"/>
  <c r="K712" i="31"/>
  <c r="L730" i="21" s="1"/>
  <c r="K715" i="31"/>
  <c r="L733" i="21" s="1"/>
  <c r="K716" i="31"/>
  <c r="L734" i="21" s="1"/>
  <c r="K717" i="31"/>
  <c r="L735" i="21" s="1"/>
  <c r="K718" i="31"/>
  <c r="L736" i="21" s="1"/>
  <c r="K722" i="31"/>
  <c r="L741" i="21" s="1"/>
  <c r="K723" i="31"/>
  <c r="L745" i="21" s="1"/>
  <c r="K724" i="31"/>
  <c r="K725" i="31"/>
  <c r="L747" i="21" s="1"/>
  <c r="K766" i="31"/>
  <c r="L789" i="21" s="1"/>
  <c r="K726" i="31"/>
  <c r="L748" i="21" s="1"/>
  <c r="K728" i="31"/>
  <c r="L750" i="21" s="1"/>
  <c r="K730" i="31"/>
  <c r="L752" i="21" s="1"/>
  <c r="K732" i="31"/>
  <c r="L754" i="21" s="1"/>
  <c r="K733" i="31"/>
  <c r="L756" i="21" s="1"/>
  <c r="K735" i="31"/>
  <c r="L758" i="21" s="1"/>
  <c r="K738" i="31"/>
  <c r="L761" i="21" s="1"/>
  <c r="K739" i="31"/>
  <c r="L762" i="21" s="1"/>
  <c r="K740" i="31"/>
  <c r="L763" i="21" s="1"/>
  <c r="K747" i="31"/>
  <c r="L770" i="21" s="1"/>
  <c r="K748" i="31"/>
  <c r="L771" i="21" s="1"/>
  <c r="K749" i="31"/>
  <c r="L772" i="21" s="1"/>
  <c r="K750" i="31"/>
  <c r="L773" i="21" s="1"/>
  <c r="K754" i="31"/>
  <c r="L777" i="21" s="1"/>
  <c r="K755" i="31"/>
  <c r="L778" i="21" s="1"/>
  <c r="K757" i="31"/>
  <c r="L780" i="21" s="1"/>
  <c r="K759" i="31"/>
  <c r="L782" i="21" s="1"/>
  <c r="K761" i="31"/>
  <c r="L784" i="21" s="1"/>
  <c r="K767" i="31"/>
  <c r="L790" i="21" s="1"/>
  <c r="K768" i="31"/>
  <c r="L791" i="21" s="1"/>
  <c r="K769" i="31"/>
  <c r="L792" i="21" s="1"/>
  <c r="K771" i="31"/>
  <c r="L794" i="21" s="1"/>
  <c r="K772" i="31"/>
  <c r="L795" i="21" s="1"/>
  <c r="K774" i="31"/>
  <c r="L797" i="21" s="1"/>
  <c r="K775" i="31"/>
  <c r="L798" i="21" s="1"/>
  <c r="K779" i="31"/>
  <c r="L801" i="21" s="1"/>
  <c r="K782" i="31"/>
  <c r="L804" i="21" s="1"/>
  <c r="K783" i="31"/>
  <c r="L805" i="21" s="1"/>
  <c r="K787" i="31"/>
  <c r="L809" i="21" s="1"/>
  <c r="K808" i="31"/>
  <c r="K703" i="31"/>
  <c r="L719" i="21" s="1"/>
  <c r="K776" i="31"/>
  <c r="L799" i="21" s="1"/>
  <c r="K652" i="31"/>
  <c r="L668" i="21" s="1"/>
  <c r="K663" i="31"/>
  <c r="L679" i="21" s="1"/>
  <c r="K674" i="31"/>
  <c r="L690" i="21" s="1"/>
  <c r="K680" i="31"/>
  <c r="L696" i="21" s="1"/>
  <c r="K706" i="31"/>
  <c r="L723" i="21" s="1"/>
  <c r="K805" i="31"/>
  <c r="L814" i="21" s="1"/>
  <c r="K653" i="31"/>
  <c r="L669" i="21" s="1"/>
  <c r="K661" i="31"/>
  <c r="L677" i="21" s="1"/>
  <c r="K714" i="31"/>
  <c r="L732" i="21" s="1"/>
  <c r="K806" i="31"/>
  <c r="L815" i="21" s="1"/>
  <c r="K667" i="31"/>
  <c r="L683" i="21" s="1"/>
  <c r="K655" i="31"/>
  <c r="L671" i="21" s="1"/>
  <c r="K657" i="31"/>
  <c r="L673" i="21" s="1"/>
  <c r="K658" i="31"/>
  <c r="L674" i="21" s="1"/>
  <c r="K659" i="31"/>
  <c r="L675" i="21" s="1"/>
  <c r="K665" i="31"/>
  <c r="L681" i="21" s="1"/>
  <c r="K668" i="31"/>
  <c r="L684" i="21" s="1"/>
  <c r="K669" i="31"/>
  <c r="L685" i="21" s="1"/>
  <c r="K670" i="31"/>
  <c r="L686" i="21" s="1"/>
  <c r="K702" i="31"/>
  <c r="L718" i="21" s="1"/>
  <c r="K729" i="31"/>
  <c r="L751" i="21" s="1"/>
  <c r="K736" i="31"/>
  <c r="L759" i="21" s="1"/>
  <c r="K760" i="31"/>
  <c r="L783" i="21" s="1"/>
  <c r="K770" i="31"/>
  <c r="L793" i="21" s="1"/>
  <c r="K647" i="31"/>
  <c r="L663" i="21" s="1"/>
  <c r="K649" i="31"/>
  <c r="L665" i="21" s="1"/>
  <c r="K651" i="31"/>
  <c r="L667" i="21" s="1"/>
  <c r="K660" i="31"/>
  <c r="L676" i="21" s="1"/>
  <c r="K662" i="31"/>
  <c r="L678" i="21" s="1"/>
  <c r="K666" i="31"/>
  <c r="L682" i="21" s="1"/>
  <c r="K679" i="31"/>
  <c r="L695" i="21" s="1"/>
  <c r="K705" i="31"/>
  <c r="L722" i="21" s="1"/>
  <c r="K707" i="31"/>
  <c r="L724" i="21" s="1"/>
  <c r="K708" i="31"/>
  <c r="L725" i="21" s="1"/>
  <c r="K709" i="31"/>
  <c r="L726" i="21" s="1"/>
  <c r="K710" i="31"/>
  <c r="L728" i="21" s="1"/>
  <c r="K719" i="31"/>
  <c r="L737" i="21" s="1"/>
  <c r="K781" i="31"/>
  <c r="L803" i="21" s="1"/>
  <c r="K780" i="31"/>
  <c r="L802" i="21" s="1"/>
  <c r="K807" i="31"/>
  <c r="K809" i="31"/>
  <c r="K713" i="31"/>
  <c r="L731" i="21" s="1"/>
  <c r="R207" i="31"/>
  <c r="R210" i="31"/>
  <c r="R234" i="31"/>
  <c r="R235" i="31"/>
  <c r="R236" i="31"/>
  <c r="R242" i="31"/>
  <c r="R243" i="31"/>
  <c r="R245" i="31"/>
  <c r="R246" i="31"/>
  <c r="R249" i="31"/>
  <c r="R250" i="31"/>
  <c r="R251" i="31"/>
  <c r="R252" i="31"/>
  <c r="R258" i="31"/>
  <c r="R261" i="31"/>
  <c r="R329" i="31"/>
  <c r="R330" i="31"/>
  <c r="R337" i="31"/>
  <c r="R339" i="31"/>
  <c r="R341" i="31"/>
  <c r="R342" i="31"/>
  <c r="R347" i="31"/>
  <c r="R405" i="31"/>
  <c r="R414" i="31"/>
  <c r="R454" i="31"/>
  <c r="R458" i="31"/>
  <c r="R468" i="31"/>
  <c r="R469" i="31"/>
  <c r="R471" i="31"/>
  <c r="R474" i="31"/>
  <c r="R479" i="31"/>
  <c r="R487" i="31"/>
  <c r="R515" i="31"/>
  <c r="R532" i="31"/>
  <c r="R538" i="31"/>
  <c r="R539" i="31"/>
  <c r="R556" i="31"/>
  <c r="R583" i="31"/>
  <c r="R597" i="31"/>
  <c r="R204" i="31"/>
  <c r="R206" i="31"/>
  <c r="R229" i="31"/>
  <c r="R230" i="31"/>
  <c r="R253" i="31"/>
  <c r="R254" i="31"/>
  <c r="R259" i="31"/>
  <c r="R287" i="31"/>
  <c r="R338" i="31"/>
  <c r="R357" i="31"/>
  <c r="R371" i="31"/>
  <c r="R467" i="31"/>
  <c r="R492" i="31"/>
  <c r="R493" i="31"/>
  <c r="R495" i="31"/>
  <c r="R554" i="31"/>
  <c r="R205" i="31"/>
  <c r="O751" i="31"/>
  <c r="O727" i="31"/>
  <c r="O749" i="21" s="1"/>
  <c r="O699" i="31"/>
  <c r="O625" i="31"/>
  <c r="O644" i="31"/>
  <c r="O660" i="21" s="1"/>
  <c r="O675" i="31"/>
  <c r="O691" i="21" s="1"/>
  <c r="O687" i="31"/>
  <c r="O703" i="21" s="1"/>
  <c r="O703" i="31"/>
  <c r="O776" i="31"/>
  <c r="O653" i="31"/>
  <c r="O669" i="21" s="1"/>
  <c r="O661" i="31"/>
  <c r="O677" i="21" s="1"/>
  <c r="O714" i="31"/>
  <c r="O732" i="21" s="1"/>
  <c r="O806" i="31"/>
  <c r="O815" i="21" s="1"/>
  <c r="O667" i="31"/>
  <c r="O655" i="31"/>
  <c r="O657" i="31"/>
  <c r="O658" i="31"/>
  <c r="O659" i="31"/>
  <c r="O665" i="31"/>
  <c r="O668" i="31"/>
  <c r="O669" i="31"/>
  <c r="O685" i="21" s="1"/>
  <c r="O670" i="31"/>
  <c r="O686" i="21" s="1"/>
  <c r="O702" i="31"/>
  <c r="O729" i="31"/>
  <c r="O736" i="31"/>
  <c r="O760" i="31"/>
  <c r="O770" i="31"/>
  <c r="O793" i="21" s="1"/>
  <c r="O647" i="31"/>
  <c r="O663" i="21" s="1"/>
  <c r="O649" i="31"/>
  <c r="O651" i="31"/>
  <c r="O660" i="31"/>
  <c r="O662" i="31"/>
  <c r="O666" i="31"/>
  <c r="O679" i="31"/>
  <c r="O695" i="21" s="1"/>
  <c r="O705" i="31"/>
  <c r="O708" i="31"/>
  <c r="O710" i="31"/>
  <c r="O719" i="31"/>
  <c r="O737" i="21" s="1"/>
  <c r="O781" i="31"/>
  <c r="O780" i="31"/>
  <c r="O802" i="21" s="1"/>
  <c r="O807" i="31"/>
  <c r="O816" i="21" s="1"/>
  <c r="O809" i="31"/>
  <c r="O818" i="21" s="1"/>
  <c r="O713" i="31"/>
  <c r="O642" i="31"/>
  <c r="P642" i="31" s="1"/>
  <c r="O734" i="31"/>
  <c r="O778" i="31"/>
  <c r="P778" i="31" s="1"/>
  <c r="O671" i="31"/>
  <c r="O672" i="31"/>
  <c r="O777" i="31"/>
  <c r="Z606" i="31"/>
  <c r="Q606" i="31" s="1"/>
  <c r="Z436" i="31"/>
  <c r="Z709" i="31"/>
  <c r="Z438" i="31"/>
  <c r="Z432" i="31"/>
  <c r="Q432" i="31" s="1"/>
  <c r="Z805" i="31"/>
  <c r="Z706" i="31"/>
  <c r="Z674" i="31"/>
  <c r="Q674" i="31" s="1"/>
  <c r="Z663" i="31"/>
  <c r="Z652" i="31"/>
  <c r="Q652" i="31" s="1"/>
  <c r="Z601" i="31"/>
  <c r="Q601" i="31" s="1"/>
  <c r="Z453" i="31"/>
  <c r="Z447" i="31"/>
  <c r="Q447" i="31" s="1"/>
  <c r="Z446" i="31"/>
  <c r="Z422" i="31"/>
  <c r="Z222" i="31"/>
  <c r="Q222" i="31" s="1"/>
  <c r="Z783" i="31"/>
  <c r="Q783" i="31" s="1"/>
  <c r="Z782" i="31"/>
  <c r="Q782" i="31" s="1"/>
  <c r="Z779" i="31"/>
  <c r="Q779" i="31" s="1"/>
  <c r="Z775" i="31"/>
  <c r="Q775" i="31" s="1"/>
  <c r="Z774" i="31"/>
  <c r="Q774" i="31" s="1"/>
  <c r="Z772" i="31"/>
  <c r="Q772" i="31" s="1"/>
  <c r="Z769" i="31"/>
  <c r="Q769" i="31" s="1"/>
  <c r="Z767" i="31"/>
  <c r="Q767" i="31" s="1"/>
  <c r="Z761" i="31"/>
  <c r="Q761" i="31" s="1"/>
  <c r="Z757" i="31"/>
  <c r="Z754" i="31"/>
  <c r="Q754" i="31" s="1"/>
  <c r="Z748" i="31"/>
  <c r="Q748" i="31" s="1"/>
  <c r="Z747" i="31"/>
  <c r="Q747" i="31" s="1"/>
  <c r="Z740" i="31"/>
  <c r="Q740" i="31" s="1"/>
  <c r="Z738" i="31"/>
  <c r="Z735" i="31"/>
  <c r="Q735" i="31" s="1"/>
  <c r="Z733" i="31"/>
  <c r="Q733" i="31" s="1"/>
  <c r="Z732" i="31"/>
  <c r="Q732" i="31" s="1"/>
  <c r="Z728" i="31"/>
  <c r="Q728" i="31" s="1"/>
  <c r="Z726" i="31"/>
  <c r="Q726" i="31" s="1"/>
  <c r="Z766" i="31"/>
  <c r="Q766" i="31" s="1"/>
  <c r="Z723" i="31"/>
  <c r="Q723" i="31" s="1"/>
  <c r="Z722" i="31"/>
  <c r="Q722" i="31" s="1"/>
  <c r="Z718" i="31"/>
  <c r="Q718" i="31" s="1"/>
  <c r="Z715" i="31"/>
  <c r="Q715" i="31" s="1"/>
  <c r="Z712" i="31"/>
  <c r="Z698" i="31"/>
  <c r="Q698" i="31" s="1"/>
  <c r="Z697" i="31"/>
  <c r="Q697" i="31" s="1"/>
  <c r="Z696" i="31"/>
  <c r="Q696" i="31" s="1"/>
  <c r="Z690" i="31"/>
  <c r="Z367" i="31"/>
  <c r="Q367" i="31" s="1"/>
  <c r="Z364" i="31"/>
  <c r="Q364" i="31" s="1"/>
  <c r="Z361" i="31"/>
  <c r="Q361" i="31" s="1"/>
  <c r="Z348" i="31"/>
  <c r="Q348" i="31" s="1"/>
  <c r="Z346" i="31"/>
  <c r="Q346" i="31" s="1"/>
  <c r="Z345" i="31"/>
  <c r="Q345" i="31" s="1"/>
  <c r="Z344" i="31"/>
  <c r="Q344" i="31" s="1"/>
  <c r="Z343" i="31"/>
  <c r="Q343" i="31" s="1"/>
  <c r="Z351" i="31"/>
  <c r="Q351" i="31" s="1"/>
  <c r="Z334" i="31"/>
  <c r="Q334" i="31" s="1"/>
  <c r="Z315" i="31"/>
  <c r="Z314" i="31"/>
  <c r="Q314" i="31" s="1"/>
  <c r="Z313" i="31"/>
  <c r="Q313" i="31" s="1"/>
  <c r="Z310" i="31"/>
  <c r="Q310" i="31" s="1"/>
  <c r="Z306" i="31"/>
  <c r="Q306" i="31" s="1"/>
  <c r="Z305" i="31"/>
  <c r="Q305" i="31" s="1"/>
  <c r="Z300" i="31"/>
  <c r="Q300" i="31" s="1"/>
  <c r="Z299" i="31"/>
  <c r="Q299" i="31" s="1"/>
  <c r="Z298" i="31"/>
  <c r="Q298" i="31" s="1"/>
  <c r="Z301" i="31"/>
  <c r="Q301" i="31" s="1"/>
  <c r="Z295" i="31"/>
  <c r="Q295" i="31" s="1"/>
  <c r="Z294" i="31"/>
  <c r="Q294" i="31" s="1"/>
  <c r="Z293" i="31"/>
  <c r="Q293" i="31" s="1"/>
  <c r="Z289" i="31"/>
  <c r="Q289" i="31" s="1"/>
  <c r="Z286" i="31"/>
  <c r="Q286" i="31" s="1"/>
  <c r="Z283" i="31"/>
  <c r="Q283" i="31" s="1"/>
  <c r="Z282" i="31"/>
  <c r="Q282" i="31" s="1"/>
  <c r="Z281" i="31"/>
  <c r="Q281" i="31" s="1"/>
  <c r="Z271" i="31"/>
  <c r="Q271" i="31" s="1"/>
  <c r="Z270" i="31"/>
  <c r="Q270" i="31" s="1"/>
  <c r="Z269" i="31"/>
  <c r="Q269" i="31" s="1"/>
  <c r="Z267" i="31"/>
  <c r="Q267" i="31" s="1"/>
  <c r="Z262" i="31"/>
  <c r="Q262" i="31" s="1"/>
  <c r="Z260" i="31"/>
  <c r="Q260" i="31" s="1"/>
  <c r="Z257" i="31"/>
  <c r="Q257" i="31" s="1"/>
  <c r="Z256" i="31"/>
  <c r="Q256" i="31" s="1"/>
  <c r="Z255" i="31"/>
  <c r="Q255" i="31" s="1"/>
  <c r="Z248" i="31"/>
  <c r="Q248" i="31" s="1"/>
  <c r="Z247" i="31"/>
  <c r="Q247" i="31" s="1"/>
  <c r="Z244" i="31"/>
  <c r="Q244" i="31" s="1"/>
  <c r="Z233" i="31"/>
  <c r="Q233" i="31" s="1"/>
  <c r="Z232" i="31"/>
  <c r="Q232" i="31" s="1"/>
  <c r="Z226" i="31"/>
  <c r="Q226" i="31" s="1"/>
  <c r="Z224" i="31"/>
  <c r="Q224" i="31" s="1"/>
  <c r="Z223" i="31"/>
  <c r="Q223" i="31" s="1"/>
  <c r="Z221" i="31"/>
  <c r="Q221" i="31" s="1"/>
  <c r="Z216" i="31"/>
  <c r="Q216" i="31" s="1"/>
  <c r="Z220" i="31"/>
  <c r="Q220" i="31" s="1"/>
  <c r="Z218" i="31"/>
  <c r="Q218" i="31" s="1"/>
  <c r="Z211" i="31"/>
  <c r="Q211" i="31" s="1"/>
  <c r="Z641" i="31"/>
  <c r="Q641" i="31" s="1"/>
  <c r="Z681" i="31"/>
  <c r="B819" i="31"/>
  <c r="L228" i="21" s="1"/>
  <c r="O627" i="31"/>
  <c r="O650" i="31"/>
  <c r="O656" i="31"/>
  <c r="O664" i="31"/>
  <c r="O683" i="31"/>
  <c r="O684" i="31"/>
  <c r="O685" i="31"/>
  <c r="O724" i="31"/>
  <c r="O808" i="31"/>
  <c r="O817" i="21" s="1"/>
  <c r="O758" i="31"/>
  <c r="O781" i="21" s="1"/>
  <c r="O773" i="31"/>
  <c r="O796" i="21" s="1"/>
  <c r="S727" i="31"/>
  <c r="S455" i="31"/>
  <c r="S513" i="31"/>
  <c r="S617" i="31"/>
  <c r="S625" i="31"/>
  <c r="S644" i="31"/>
  <c r="S614" i="31"/>
  <c r="S653" i="31"/>
  <c r="S434" i="31"/>
  <c r="S485" i="31"/>
  <c r="S506" i="31"/>
  <c r="S521" i="31"/>
  <c r="S584" i="31"/>
  <c r="S507" i="31"/>
  <c r="S610" i="31"/>
  <c r="S669" i="31"/>
  <c r="S702" i="31"/>
  <c r="S649" i="31"/>
  <c r="S705" i="31"/>
  <c r="S349" i="31"/>
  <c r="S323" i="31"/>
  <c r="S331" i="31"/>
  <c r="S498" i="31"/>
  <c r="S410" i="31"/>
  <c r="S621" i="31"/>
  <c r="S380" i="31"/>
  <c r="S386" i="31"/>
  <c r="S427" i="31"/>
  <c r="S579" i="31"/>
  <c r="S580" i="31"/>
  <c r="S585" i="31"/>
  <c r="S687" i="31"/>
  <c r="S703" i="31"/>
  <c r="S776" i="31"/>
  <c r="S611" i="31"/>
  <c r="S714" i="31"/>
  <c r="S806" i="31"/>
  <c r="S320" i="31"/>
  <c r="S358" i="31"/>
  <c r="S412" i="31"/>
  <c r="S435" i="31"/>
  <c r="S483" i="31"/>
  <c r="S484" i="31"/>
  <c r="S519" i="31"/>
  <c r="S522" i="31"/>
  <c r="S525" i="31"/>
  <c r="S529" i="31"/>
  <c r="S612" i="31"/>
  <c r="S667" i="31"/>
  <c r="S316" i="31"/>
  <c r="S321" i="31"/>
  <c r="S504" i="31"/>
  <c r="S505" i="31"/>
  <c r="S615" i="31"/>
  <c r="S655" i="31"/>
  <c r="S658" i="31"/>
  <c r="S659" i="31"/>
  <c r="S665" i="31"/>
  <c r="S670" i="31"/>
  <c r="S736" i="31"/>
  <c r="S760" i="31"/>
  <c r="S770" i="31"/>
  <c r="S647" i="31"/>
  <c r="S660" i="31"/>
  <c r="S662" i="31"/>
  <c r="S666" i="31"/>
  <c r="S679" i="31"/>
  <c r="S710" i="31"/>
  <c r="S780" i="31"/>
  <c r="S807" i="31"/>
  <c r="S424" i="31"/>
  <c r="S600" i="31"/>
  <c r="S518" i="31"/>
  <c r="G56" i="21" l="1"/>
  <c r="F56" i="21"/>
  <c r="G55" i="21"/>
  <c r="F55" i="21"/>
  <c r="F62" i="21"/>
  <c r="G62" i="21"/>
  <c r="G54" i="21"/>
  <c r="F54" i="21"/>
  <c r="F61" i="21"/>
  <c r="G61" i="21"/>
  <c r="F60" i="21"/>
  <c r="G60" i="21"/>
  <c r="F59" i="21"/>
  <c r="G59" i="21"/>
  <c r="F58" i="21"/>
  <c r="G58" i="21"/>
  <c r="G57" i="21"/>
  <c r="F57" i="21"/>
  <c r="P760" i="31"/>
  <c r="N783" i="21" s="1"/>
  <c r="O783" i="21"/>
  <c r="P666" i="31"/>
  <c r="O682" i="21"/>
  <c r="P736" i="31"/>
  <c r="N759" i="21" s="1"/>
  <c r="O759" i="21"/>
  <c r="P658" i="31"/>
  <c r="N674" i="21" s="1"/>
  <c r="O674" i="21"/>
  <c r="P776" i="31"/>
  <c r="N799" i="21" s="1"/>
  <c r="O799" i="21"/>
  <c r="P751" i="31"/>
  <c r="N774" i="21" s="1"/>
  <c r="O774" i="21"/>
  <c r="P659" i="31"/>
  <c r="N675" i="21" s="1"/>
  <c r="O675" i="21"/>
  <c r="P683" i="31"/>
  <c r="N699" i="21" s="1"/>
  <c r="O699" i="21"/>
  <c r="P777" i="31"/>
  <c r="N800" i="21" s="1"/>
  <c r="O800" i="21"/>
  <c r="P664" i="31"/>
  <c r="N680" i="21" s="1"/>
  <c r="O680" i="21"/>
  <c r="P672" i="31"/>
  <c r="R672" i="31" s="1"/>
  <c r="O688" i="21"/>
  <c r="P662" i="31"/>
  <c r="O678" i="21"/>
  <c r="P729" i="31"/>
  <c r="N751" i="21" s="1"/>
  <c r="O751" i="21"/>
  <c r="P657" i="31"/>
  <c r="N673" i="21" s="1"/>
  <c r="O673" i="21"/>
  <c r="P703" i="31"/>
  <c r="R703" i="31" s="1"/>
  <c r="O719" i="21"/>
  <c r="P656" i="31"/>
  <c r="N672" i="21" s="1"/>
  <c r="O672" i="21"/>
  <c r="P671" i="31"/>
  <c r="O687" i="21"/>
  <c r="P781" i="31"/>
  <c r="O803" i="21"/>
  <c r="P660" i="31"/>
  <c r="R660" i="31" s="1"/>
  <c r="O676" i="21"/>
  <c r="P702" i="31"/>
  <c r="N718" i="21" s="1"/>
  <c r="O718" i="21"/>
  <c r="P655" i="31"/>
  <c r="N671" i="21" s="1"/>
  <c r="O671" i="21"/>
  <c r="P651" i="31"/>
  <c r="N667" i="21" s="1"/>
  <c r="O667" i="21"/>
  <c r="P667" i="31"/>
  <c r="R667" i="31" s="1"/>
  <c r="O683" i="21"/>
  <c r="P650" i="31"/>
  <c r="N666" i="21" s="1"/>
  <c r="O666" i="21"/>
  <c r="P627" i="31"/>
  <c r="N644" i="21" s="1"/>
  <c r="O644" i="21"/>
  <c r="P710" i="31"/>
  <c r="O728" i="21"/>
  <c r="P724" i="31"/>
  <c r="N746" i="21" s="1"/>
  <c r="K746" i="21" s="1"/>
  <c r="L746" i="21" s="1"/>
  <c r="O746" i="21"/>
  <c r="P708" i="31"/>
  <c r="O725" i="21"/>
  <c r="P668" i="31"/>
  <c r="N684" i="21" s="1"/>
  <c r="O684" i="21"/>
  <c r="P625" i="31"/>
  <c r="N642" i="21" s="1"/>
  <c r="O642" i="21"/>
  <c r="P734" i="31"/>
  <c r="N757" i="21" s="1"/>
  <c r="O757" i="21"/>
  <c r="P649" i="31"/>
  <c r="N665" i="21" s="1"/>
  <c r="O665" i="21"/>
  <c r="P685" i="31"/>
  <c r="N701" i="21" s="1"/>
  <c r="O701" i="21"/>
  <c r="P713" i="31"/>
  <c r="N731" i="21" s="1"/>
  <c r="O731" i="21"/>
  <c r="P705" i="31"/>
  <c r="R705" i="31" s="1"/>
  <c r="O722" i="21"/>
  <c r="P665" i="31"/>
  <c r="N681" i="21" s="1"/>
  <c r="O681" i="21"/>
  <c r="P699" i="31"/>
  <c r="N715" i="21" s="1"/>
  <c r="O715" i="21"/>
  <c r="P684" i="31"/>
  <c r="N700" i="21" s="1"/>
  <c r="O700" i="21"/>
  <c r="P707" i="31"/>
  <c r="R707" i="31" s="1"/>
  <c r="O724" i="21"/>
  <c r="O738" i="31"/>
  <c r="O761" i="21" s="1"/>
  <c r="Q738" i="31"/>
  <c r="O422" i="31"/>
  <c r="Q422" i="31"/>
  <c r="O706" i="31"/>
  <c r="Q706" i="31"/>
  <c r="O690" i="31"/>
  <c r="O706" i="21" s="1"/>
  <c r="Q690" i="31"/>
  <c r="O446" i="31"/>
  <c r="Q446" i="31"/>
  <c r="S805" i="31"/>
  <c r="Q805" i="31"/>
  <c r="O709" i="31"/>
  <c r="Q709" i="31"/>
  <c r="S681" i="31"/>
  <c r="Q681" i="31"/>
  <c r="O712" i="31"/>
  <c r="O730" i="21" s="1"/>
  <c r="Q712" i="31"/>
  <c r="O757" i="31"/>
  <c r="O780" i="21" s="1"/>
  <c r="Q757" i="31"/>
  <c r="O436" i="31"/>
  <c r="Q436" i="31"/>
  <c r="O315" i="31"/>
  <c r="Q315" i="31"/>
  <c r="S663" i="31"/>
  <c r="Q663" i="31"/>
  <c r="S218" i="31"/>
  <c r="O218" i="31"/>
  <c r="O233" i="31"/>
  <c r="S233" i="31"/>
  <c r="S262" i="31"/>
  <c r="O262" i="31"/>
  <c r="S286" i="31"/>
  <c r="O286" i="31"/>
  <c r="S300" i="31"/>
  <c r="O300" i="31"/>
  <c r="O351" i="31"/>
  <c r="O367" i="31"/>
  <c r="S220" i="31"/>
  <c r="O220" i="31"/>
  <c r="S244" i="31"/>
  <c r="O244" i="31"/>
  <c r="O267" i="31"/>
  <c r="S267" i="31"/>
  <c r="O289" i="31"/>
  <c r="S289" i="31"/>
  <c r="O305" i="31"/>
  <c r="O343" i="31"/>
  <c r="R211" i="31"/>
  <c r="O211" i="31"/>
  <c r="S216" i="31"/>
  <c r="O216" i="31"/>
  <c r="S247" i="31"/>
  <c r="O247" i="31"/>
  <c r="O269" i="31"/>
  <c r="S269" i="31"/>
  <c r="O293" i="31"/>
  <c r="S293" i="31"/>
  <c r="O306" i="31"/>
  <c r="R344" i="31"/>
  <c r="O344" i="31"/>
  <c r="O447" i="31"/>
  <c r="P447" i="31" s="1"/>
  <c r="R447" i="31" s="1"/>
  <c r="O432" i="31"/>
  <c r="S260" i="31"/>
  <c r="O260" i="31"/>
  <c r="S221" i="31"/>
  <c r="O221" i="31"/>
  <c r="S248" i="31"/>
  <c r="O248" i="31"/>
  <c r="S270" i="31"/>
  <c r="O270" i="31"/>
  <c r="S294" i="31"/>
  <c r="O294" i="31"/>
  <c r="O310" i="31"/>
  <c r="O345" i="31"/>
  <c r="S232" i="31"/>
  <c r="O232" i="31"/>
  <c r="O283" i="31"/>
  <c r="S283" i="31"/>
  <c r="O299" i="31"/>
  <c r="S299" i="31"/>
  <c r="O334" i="31"/>
  <c r="O364" i="31"/>
  <c r="S222" i="31"/>
  <c r="O222" i="31"/>
  <c r="O224" i="31"/>
  <c r="S224" i="31"/>
  <c r="S256" i="31"/>
  <c r="O256" i="31"/>
  <c r="O281" i="31"/>
  <c r="S281" i="31"/>
  <c r="O301" i="31"/>
  <c r="S301" i="31"/>
  <c r="O314" i="31"/>
  <c r="O348" i="31"/>
  <c r="C3" i="52"/>
  <c r="C7" i="52"/>
  <c r="C11" i="52"/>
  <c r="C15" i="52"/>
  <c r="C19" i="52"/>
  <c r="C23" i="52"/>
  <c r="C27" i="52"/>
  <c r="C31" i="52"/>
  <c r="C35" i="52"/>
  <c r="C39" i="52"/>
  <c r="C47" i="52"/>
  <c r="C55" i="52"/>
  <c r="C63" i="52"/>
  <c r="C71" i="52"/>
  <c r="C79" i="52"/>
  <c r="C87" i="52"/>
  <c r="C95" i="52"/>
  <c r="C103" i="52"/>
  <c r="C111" i="52"/>
  <c r="C119" i="52"/>
  <c r="C127" i="52"/>
  <c r="C135" i="52"/>
  <c r="C143" i="52"/>
  <c r="C151" i="52"/>
  <c r="C159" i="52"/>
  <c r="C167" i="52"/>
  <c r="C175" i="52"/>
  <c r="C684" i="52"/>
  <c r="C191" i="52"/>
  <c r="C199" i="52"/>
  <c r="C207" i="52"/>
  <c r="C215" i="52"/>
  <c r="C223" i="52"/>
  <c r="C231" i="52"/>
  <c r="C239" i="52"/>
  <c r="C247" i="52"/>
  <c r="C255" i="52"/>
  <c r="C263" i="52"/>
  <c r="C271" i="52"/>
  <c r="C279" i="52"/>
  <c r="C287" i="52"/>
  <c r="C295" i="52"/>
  <c r="C303" i="52"/>
  <c r="C311" i="52"/>
  <c r="C319" i="52"/>
  <c r="C327" i="52"/>
  <c r="C335" i="52"/>
  <c r="C343" i="52"/>
  <c r="C351" i="52"/>
  <c r="C359" i="52"/>
  <c r="C367" i="52"/>
  <c r="C375" i="52"/>
  <c r="C383" i="52"/>
  <c r="C391" i="52"/>
  <c r="C399" i="52"/>
  <c r="C407" i="52"/>
  <c r="C415" i="52"/>
  <c r="C423" i="52"/>
  <c r="C431" i="52"/>
  <c r="C40" i="52"/>
  <c r="C48" i="52"/>
  <c r="C56" i="52"/>
  <c r="C68" i="52"/>
  <c r="C76" i="52"/>
  <c r="C84" i="52"/>
  <c r="C92" i="52"/>
  <c r="C100" i="52"/>
  <c r="C108" i="52"/>
  <c r="C116" i="52"/>
  <c r="C124" i="52"/>
  <c r="C132" i="52"/>
  <c r="C140" i="52"/>
  <c r="C148" i="52"/>
  <c r="C156" i="52"/>
  <c r="C164" i="52"/>
  <c r="C172" i="52"/>
  <c r="C180" i="52"/>
  <c r="C188" i="52"/>
  <c r="C196" i="52"/>
  <c r="C204" i="52"/>
  <c r="C183" i="52"/>
  <c r="C220" i="52"/>
  <c r="C228" i="52"/>
  <c r="C236" i="52"/>
  <c r="C244" i="52"/>
  <c r="C252" i="52"/>
  <c r="C260" i="52"/>
  <c r="C268" i="52"/>
  <c r="C276" i="52"/>
  <c r="C284" i="52"/>
  <c r="C292" i="52"/>
  <c r="C300" i="52"/>
  <c r="C308" i="52"/>
  <c r="C316" i="52"/>
  <c r="C324" i="52"/>
  <c r="C332" i="52"/>
  <c r="C340" i="52"/>
  <c r="C348" i="52"/>
  <c r="C356" i="52"/>
  <c r="C364" i="52"/>
  <c r="C372" i="52"/>
  <c r="C380" i="52"/>
  <c r="C388" i="52"/>
  <c r="C396" i="52"/>
  <c r="C404" i="52"/>
  <c r="C412" i="52"/>
  <c r="C420" i="52"/>
  <c r="C428" i="52"/>
  <c r="C4" i="52"/>
  <c r="C8" i="52"/>
  <c r="C12" i="52"/>
  <c r="C16" i="52"/>
  <c r="C20" i="52"/>
  <c r="C24" i="52"/>
  <c r="C28" i="52"/>
  <c r="C32" i="52"/>
  <c r="C36" i="52"/>
  <c r="C44" i="52"/>
  <c r="C52" i="52"/>
  <c r="C60" i="52"/>
  <c r="C64" i="52"/>
  <c r="C72" i="52"/>
  <c r="C80" i="52"/>
  <c r="C88" i="52"/>
  <c r="C96" i="52"/>
  <c r="C104" i="52"/>
  <c r="C112" i="52"/>
  <c r="C120" i="52"/>
  <c r="C128" i="52"/>
  <c r="C136" i="52"/>
  <c r="C144" i="52"/>
  <c r="C152" i="52"/>
  <c r="C160" i="52"/>
  <c r="C168" i="52"/>
  <c r="C176" i="52"/>
  <c r="C184" i="52"/>
  <c r="C192" i="52"/>
  <c r="C200" i="52"/>
  <c r="C208" i="52"/>
  <c r="C216" i="52"/>
  <c r="C224" i="52"/>
  <c r="C232" i="52"/>
  <c r="C240" i="52"/>
  <c r="C248" i="52"/>
  <c r="C256" i="52"/>
  <c r="C264" i="52"/>
  <c r="C272" i="52"/>
  <c r="C280" i="52"/>
  <c r="C288" i="52"/>
  <c r="C296" i="52"/>
  <c r="C304" i="52"/>
  <c r="C312" i="52"/>
  <c r="C320" i="52"/>
  <c r="C328" i="52"/>
  <c r="C336" i="52"/>
  <c r="C344" i="52"/>
  <c r="C352" i="52"/>
  <c r="C360" i="52"/>
  <c r="C368" i="52"/>
  <c r="C376" i="52"/>
  <c r="C384" i="52"/>
  <c r="C392" i="52"/>
  <c r="C400" i="52"/>
  <c r="C408" i="52"/>
  <c r="C416" i="52"/>
  <c r="C424" i="52"/>
  <c r="C432" i="52"/>
  <c r="C53" i="52"/>
  <c r="C61" i="52"/>
  <c r="C69" i="52"/>
  <c r="C81" i="52"/>
  <c r="C85" i="52"/>
  <c r="C97" i="52"/>
  <c r="C105" i="52"/>
  <c r="C113" i="52"/>
  <c r="C121" i="52"/>
  <c r="C129" i="52"/>
  <c r="C133" i="52"/>
  <c r="C141" i="52"/>
  <c r="C149" i="52"/>
  <c r="C157" i="52"/>
  <c r="C165" i="52"/>
  <c r="C173" i="52"/>
  <c r="C181" i="52"/>
  <c r="C189" i="52"/>
  <c r="C197" i="52"/>
  <c r="C205" i="52"/>
  <c r="C217" i="52"/>
  <c r="C225" i="52"/>
  <c r="C233" i="52"/>
  <c r="C241" i="52"/>
  <c r="C249" i="52"/>
  <c r="C257" i="52"/>
  <c r="C265" i="52"/>
  <c r="C238" i="52"/>
  <c r="C281" i="52"/>
  <c r="C289" i="52"/>
  <c r="C297" i="52"/>
  <c r="C305" i="52"/>
  <c r="C313" i="52"/>
  <c r="C321" i="52"/>
  <c r="C329" i="52"/>
  <c r="C337" i="52"/>
  <c r="C345" i="52"/>
  <c r="C353" i="52"/>
  <c r="C361" i="52"/>
  <c r="C369" i="52"/>
  <c r="C377" i="52"/>
  <c r="C385" i="52"/>
  <c r="C393" i="52"/>
  <c r="C401" i="52"/>
  <c r="C409" i="52"/>
  <c r="C417" i="52"/>
  <c r="C425" i="52"/>
  <c r="C5" i="52"/>
  <c r="C9" i="52"/>
  <c r="C13" i="52"/>
  <c r="C17" i="52"/>
  <c r="C21" i="52"/>
  <c r="C25" i="52"/>
  <c r="C29" i="52"/>
  <c r="C33" i="52"/>
  <c r="C37" i="52"/>
  <c r="C41" i="52"/>
  <c r="C45" i="52"/>
  <c r="C49" i="52"/>
  <c r="C57" i="52"/>
  <c r="C65" i="52"/>
  <c r="C73" i="52"/>
  <c r="C77" i="52"/>
  <c r="C89" i="52"/>
  <c r="C93" i="52"/>
  <c r="C101" i="52"/>
  <c r="C109" i="52"/>
  <c r="C117" i="52"/>
  <c r="C125" i="52"/>
  <c r="C137" i="52"/>
  <c r="C145" i="52"/>
  <c r="C153" i="52"/>
  <c r="C161" i="52"/>
  <c r="C169" i="52"/>
  <c r="C177" i="52"/>
  <c r="C185" i="52"/>
  <c r="C193" i="52"/>
  <c r="C201" i="52"/>
  <c r="C209" i="52"/>
  <c r="C213" i="52"/>
  <c r="C221" i="52"/>
  <c r="C229" i="52"/>
  <c r="C237" i="52"/>
  <c r="C245" i="52"/>
  <c r="C253" i="52"/>
  <c r="C261" i="52"/>
  <c r="C269" i="52"/>
  <c r="C277" i="52"/>
  <c r="C285" i="52"/>
  <c r="C293" i="52"/>
  <c r="C301" i="52"/>
  <c r="C309" i="52"/>
  <c r="C317" i="52"/>
  <c r="C325" i="52"/>
  <c r="C333" i="52"/>
  <c r="C341" i="52"/>
  <c r="C349" i="52"/>
  <c r="C357" i="52"/>
  <c r="C365" i="52"/>
  <c r="C373" i="52"/>
  <c r="C381" i="52"/>
  <c r="C389" i="52"/>
  <c r="C397" i="52"/>
  <c r="C405" i="52"/>
  <c r="C413" i="52"/>
  <c r="C421" i="52"/>
  <c r="C62" i="52"/>
  <c r="C70" i="52"/>
  <c r="C82" i="52"/>
  <c r="C86" i="52"/>
  <c r="C98" i="52"/>
  <c r="C102" i="52"/>
  <c r="C110" i="52"/>
  <c r="C118" i="52"/>
  <c r="C126" i="52"/>
  <c r="C134" i="52"/>
  <c r="C142" i="52"/>
  <c r="C150" i="52"/>
  <c r="C158" i="52"/>
  <c r="C166" i="52"/>
  <c r="C174" i="52"/>
  <c r="C186" i="52"/>
  <c r="C190" i="52"/>
  <c r="C202" i="52"/>
  <c r="C210" i="52"/>
  <c r="C218" i="52"/>
  <c r="C226" i="52"/>
  <c r="C234" i="52"/>
  <c r="C242" i="52"/>
  <c r="C250" i="52"/>
  <c r="C258" i="52"/>
  <c r="C266" i="52"/>
  <c r="C274" i="52"/>
  <c r="C282" i="52"/>
  <c r="C290" i="52"/>
  <c r="C298" i="52"/>
  <c r="C306" i="52"/>
  <c r="C314" i="52"/>
  <c r="C322" i="52"/>
  <c r="C330" i="52"/>
  <c r="C338" i="52"/>
  <c r="C346" i="52"/>
  <c r="C354" i="52"/>
  <c r="C362" i="52"/>
  <c r="C366" i="52"/>
  <c r="C378" i="52"/>
  <c r="C382" i="52"/>
  <c r="C394" i="52"/>
  <c r="C402" i="52"/>
  <c r="C410" i="52"/>
  <c r="C414" i="52"/>
  <c r="C6" i="52"/>
  <c r="C10" i="52"/>
  <c r="C14" i="52"/>
  <c r="C18" i="52"/>
  <c r="C22" i="52"/>
  <c r="C26" i="52"/>
  <c r="C30" i="52"/>
  <c r="C34" i="52"/>
  <c r="C38" i="52"/>
  <c r="C42" i="52"/>
  <c r="C46" i="52"/>
  <c r="C50" i="52"/>
  <c r="C54" i="52"/>
  <c r="C58" i="52"/>
  <c r="C66" i="52"/>
  <c r="C74" i="52"/>
  <c r="C78" i="52"/>
  <c r="C90" i="52"/>
  <c r="C94" i="52"/>
  <c r="C106" i="52"/>
  <c r="C114" i="52"/>
  <c r="C122" i="52"/>
  <c r="C130" i="52"/>
  <c r="C138" i="52"/>
  <c r="C146" i="52"/>
  <c r="C154" i="52"/>
  <c r="C162" i="52"/>
  <c r="C170" i="52"/>
  <c r="C178" i="52"/>
  <c r="C182" i="52"/>
  <c r="C194" i="52"/>
  <c r="C198" i="52"/>
  <c r="C206" i="52"/>
  <c r="C214" i="52"/>
  <c r="C222" i="52"/>
  <c r="C230" i="52"/>
  <c r="C212" i="52"/>
  <c r="C246" i="52"/>
  <c r="C254" i="52"/>
  <c r="C262" i="52"/>
  <c r="C270" i="52"/>
  <c r="C278" i="52"/>
  <c r="C286" i="52"/>
  <c r="C294" i="52"/>
  <c r="C302" i="52"/>
  <c r="C310" i="52"/>
  <c r="C318" i="52"/>
  <c r="C326" i="52"/>
  <c r="C334" i="52"/>
  <c r="C342" i="52"/>
  <c r="C350" i="52"/>
  <c r="C358" i="52"/>
  <c r="C370" i="52"/>
  <c r="C374" i="52"/>
  <c r="C386" i="52"/>
  <c r="C390" i="52"/>
  <c r="C273" i="52"/>
  <c r="C406" i="52"/>
  <c r="C418" i="52"/>
  <c r="C43" i="52"/>
  <c r="C51" i="52"/>
  <c r="C59" i="52"/>
  <c r="C67" i="52"/>
  <c r="C75" i="52"/>
  <c r="C83" i="52"/>
  <c r="C91" i="52"/>
  <c r="C99" i="52"/>
  <c r="C107" i="52"/>
  <c r="C115" i="52"/>
  <c r="C123" i="52"/>
  <c r="C131" i="52"/>
  <c r="C139" i="52"/>
  <c r="C147" i="52"/>
  <c r="C155" i="52"/>
  <c r="C163" i="52"/>
  <c r="C171" i="52"/>
  <c r="C179" i="52"/>
  <c r="C187" i="52"/>
  <c r="C195" i="52"/>
  <c r="C203" i="52"/>
  <c r="C211" i="52"/>
  <c r="C219" i="52"/>
  <c r="C227" i="52"/>
  <c r="C235" i="52"/>
  <c r="C243" i="52"/>
  <c r="C251" i="52"/>
  <c r="C259" i="52"/>
  <c r="C267" i="52"/>
  <c r="C275" i="52"/>
  <c r="C283" i="52"/>
  <c r="C291" i="52"/>
  <c r="C299" i="52"/>
  <c r="C307" i="52"/>
  <c r="C315" i="52"/>
  <c r="C323" i="52"/>
  <c r="C331" i="52"/>
  <c r="C339" i="52"/>
  <c r="C347" i="52"/>
  <c r="C355" i="52"/>
  <c r="C363" i="52"/>
  <c r="C371" i="52"/>
  <c r="C379" i="52"/>
  <c r="C387" i="52"/>
  <c r="C395" i="52"/>
  <c r="C403" i="52"/>
  <c r="C411" i="52"/>
  <c r="C419" i="52"/>
  <c r="C427" i="52"/>
  <c r="C426" i="52"/>
  <c r="C436" i="52"/>
  <c r="C444" i="52"/>
  <c r="C452" i="52"/>
  <c r="C460" i="52"/>
  <c r="C468" i="52"/>
  <c r="C472" i="52"/>
  <c r="C480" i="52"/>
  <c r="C398" i="52"/>
  <c r="C496" i="52"/>
  <c r="C504" i="52"/>
  <c r="C512" i="52"/>
  <c r="C520" i="52"/>
  <c r="C528" i="52"/>
  <c r="C536" i="52"/>
  <c r="C544" i="52"/>
  <c r="C552" i="52"/>
  <c r="C560" i="52"/>
  <c r="C568" i="52"/>
  <c r="C576" i="52"/>
  <c r="C584" i="52"/>
  <c r="C592" i="52"/>
  <c r="C600" i="52"/>
  <c r="C608" i="52"/>
  <c r="C616" i="52"/>
  <c r="C624" i="52"/>
  <c r="C632" i="52"/>
  <c r="C640" i="52"/>
  <c r="C648" i="52"/>
  <c r="C656" i="52"/>
  <c r="C664" i="52"/>
  <c r="C672" i="52"/>
  <c r="C680" i="52"/>
  <c r="C688" i="52"/>
  <c r="C696" i="52"/>
  <c r="C704" i="52"/>
  <c r="C712" i="52"/>
  <c r="C720" i="52"/>
  <c r="C728" i="52"/>
  <c r="C736" i="52"/>
  <c r="C744" i="52"/>
  <c r="C752" i="52"/>
  <c r="C760" i="52"/>
  <c r="C768" i="52"/>
  <c r="C776" i="52"/>
  <c r="C784" i="52"/>
  <c r="C441" i="52"/>
  <c r="C453" i="52"/>
  <c r="C461" i="52"/>
  <c r="C469" i="52"/>
  <c r="C477" i="52"/>
  <c r="C485" i="52"/>
  <c r="C488" i="52"/>
  <c r="C501" i="52"/>
  <c r="C509" i="52"/>
  <c r="C517" i="52"/>
  <c r="C525" i="52"/>
  <c r="C533" i="52"/>
  <c r="C541" i="52"/>
  <c r="C549" i="52"/>
  <c r="C557" i="52"/>
  <c r="C565" i="52"/>
  <c r="C573" i="52"/>
  <c r="C581" i="52"/>
  <c r="C589" i="52"/>
  <c r="C597" i="52"/>
  <c r="C605" i="52"/>
  <c r="C613" i="52"/>
  <c r="C621" i="52"/>
  <c r="C625" i="52"/>
  <c r="C633" i="52"/>
  <c r="C641" i="52"/>
  <c r="C649" i="52"/>
  <c r="C657" i="52"/>
  <c r="C665" i="52"/>
  <c r="C673" i="52"/>
  <c r="C681" i="52"/>
  <c r="C689" i="52"/>
  <c r="C697" i="52"/>
  <c r="C705" i="52"/>
  <c r="C713" i="52"/>
  <c r="C721" i="52"/>
  <c r="C729" i="52"/>
  <c r="C737" i="52"/>
  <c r="C745" i="52"/>
  <c r="C753" i="52"/>
  <c r="C761" i="52"/>
  <c r="C773" i="52"/>
  <c r="C781" i="52"/>
  <c r="C433" i="52"/>
  <c r="C437" i="52"/>
  <c r="C445" i="52"/>
  <c r="C449" i="52"/>
  <c r="C457" i="52"/>
  <c r="C465" i="52"/>
  <c r="C473" i="52"/>
  <c r="C481" i="52"/>
  <c r="C489" i="52"/>
  <c r="C497" i="52"/>
  <c r="C505" i="52"/>
  <c r="C513" i="52"/>
  <c r="C521" i="52"/>
  <c r="C529" i="52"/>
  <c r="C537" i="52"/>
  <c r="C545" i="52"/>
  <c r="C553" i="52"/>
  <c r="C561" i="52"/>
  <c r="C569" i="52"/>
  <c r="C577" i="52"/>
  <c r="C585" i="52"/>
  <c r="C593" i="52"/>
  <c r="C601" i="52"/>
  <c r="C609" i="52"/>
  <c r="C617" i="52"/>
  <c r="C629" i="52"/>
  <c r="C637" i="52"/>
  <c r="C645" i="52"/>
  <c r="C653" i="52"/>
  <c r="C661" i="52"/>
  <c r="C669" i="52"/>
  <c r="C677" i="52"/>
  <c r="C685" i="52"/>
  <c r="C693" i="52"/>
  <c r="C701" i="52"/>
  <c r="C709" i="52"/>
  <c r="C717" i="52"/>
  <c r="C725" i="52"/>
  <c r="C733" i="52"/>
  <c r="C741" i="52"/>
  <c r="C749" i="52"/>
  <c r="C757" i="52"/>
  <c r="C765" i="52"/>
  <c r="C769" i="52"/>
  <c r="C777" i="52"/>
  <c r="C785" i="52"/>
  <c r="C422" i="52"/>
  <c r="C442" i="52"/>
  <c r="C454" i="52"/>
  <c r="C462" i="52"/>
  <c r="C470" i="52"/>
  <c r="C478" i="52"/>
  <c r="C486" i="52"/>
  <c r="C494" i="52"/>
  <c r="C502" i="52"/>
  <c r="C510" i="52"/>
  <c r="C518" i="52"/>
  <c r="C526" i="52"/>
  <c r="C534" i="52"/>
  <c r="C542" i="52"/>
  <c r="C550" i="52"/>
  <c r="C558" i="52"/>
  <c r="C566" i="52"/>
  <c r="C574" i="52"/>
  <c r="C582" i="52"/>
  <c r="C590" i="52"/>
  <c r="C598" i="52"/>
  <c r="C606" i="52"/>
  <c r="C614" i="52"/>
  <c r="C622" i="52"/>
  <c r="C630" i="52"/>
  <c r="C638" i="52"/>
  <c r="C646" i="52"/>
  <c r="C654" i="52"/>
  <c r="C662" i="52"/>
  <c r="C670" i="52"/>
  <c r="C678" i="52"/>
  <c r="C686" i="52"/>
  <c r="C694" i="52"/>
  <c r="C702" i="52"/>
  <c r="C710" i="52"/>
  <c r="C718" i="52"/>
  <c r="C726" i="52"/>
  <c r="C734" i="52"/>
  <c r="C742" i="52"/>
  <c r="C750" i="52"/>
  <c r="C758" i="52"/>
  <c r="C766" i="52"/>
  <c r="C774" i="52"/>
  <c r="C782" i="52"/>
  <c r="C429" i="52"/>
  <c r="C434" i="52"/>
  <c r="C438" i="52"/>
  <c r="C446" i="52"/>
  <c r="C450" i="52"/>
  <c r="C458" i="52"/>
  <c r="C466" i="52"/>
  <c r="C474" i="52"/>
  <c r="C482" i="52"/>
  <c r="C490" i="52"/>
  <c r="C498" i="52"/>
  <c r="C506" i="52"/>
  <c r="C514" i="52"/>
  <c r="C522" i="52"/>
  <c r="C530" i="52"/>
  <c r="C538" i="52"/>
  <c r="C546" i="52"/>
  <c r="C554" i="52"/>
  <c r="C562" i="52"/>
  <c r="C570" i="52"/>
  <c r="C578" i="52"/>
  <c r="C586" i="52"/>
  <c r="C594" i="52"/>
  <c r="C602" i="52"/>
  <c r="C610" i="52"/>
  <c r="C618" i="52"/>
  <c r="C626" i="52"/>
  <c r="C634" i="52"/>
  <c r="C642" i="52"/>
  <c r="C650" i="52"/>
  <c r="C658" i="52"/>
  <c r="C666" i="52"/>
  <c r="C674" i="52"/>
  <c r="C682" i="52"/>
  <c r="C690" i="52"/>
  <c r="C698" i="52"/>
  <c r="C706" i="52"/>
  <c r="C714" i="52"/>
  <c r="C722" i="52"/>
  <c r="C730" i="52"/>
  <c r="C738" i="52"/>
  <c r="C746" i="52"/>
  <c r="C754" i="52"/>
  <c r="C762" i="52"/>
  <c r="C770" i="52"/>
  <c r="C778" i="52"/>
  <c r="C786" i="52"/>
  <c r="C430" i="52"/>
  <c r="C435" i="52"/>
  <c r="C443" i="52"/>
  <c r="C451" i="52"/>
  <c r="C459" i="52"/>
  <c r="C467" i="52"/>
  <c r="C475" i="52"/>
  <c r="C483" i="52"/>
  <c r="C491" i="52"/>
  <c r="C499" i="52"/>
  <c r="C507" i="52"/>
  <c r="C515" i="52"/>
  <c r="C523" i="52"/>
  <c r="C535" i="52"/>
  <c r="C543" i="52"/>
  <c r="C551" i="52"/>
  <c r="C559" i="52"/>
  <c r="C567" i="52"/>
  <c r="C571" i="52"/>
  <c r="C583" i="52"/>
  <c r="C591" i="52"/>
  <c r="C599" i="52"/>
  <c r="C603" i="52"/>
  <c r="C615" i="52"/>
  <c r="C623" i="52"/>
  <c r="C631" i="52"/>
  <c r="C639" i="52"/>
  <c r="C647" i="52"/>
  <c r="C655" i="52"/>
  <c r="C663" i="52"/>
  <c r="C671" i="52"/>
  <c r="C679" i="52"/>
  <c r="C683" i="52"/>
  <c r="C695" i="52"/>
  <c r="C703" i="52"/>
  <c r="C711" i="52"/>
  <c r="C719" i="52"/>
  <c r="C727" i="52"/>
  <c r="C731" i="52"/>
  <c r="C743" i="52"/>
  <c r="C751" i="52"/>
  <c r="C755" i="52"/>
  <c r="C763" i="52"/>
  <c r="C771" i="52"/>
  <c r="C779" i="52"/>
  <c r="C439" i="52"/>
  <c r="C447" i="52"/>
  <c r="C455" i="52"/>
  <c r="C463" i="52"/>
  <c r="C471" i="52"/>
  <c r="C479" i="52"/>
  <c r="C487" i="52"/>
  <c r="C495" i="52"/>
  <c r="C503" i="52"/>
  <c r="C511" i="52"/>
  <c r="C519" i="52"/>
  <c r="C527" i="52"/>
  <c r="C531" i="52"/>
  <c r="C539" i="52"/>
  <c r="C547" i="52"/>
  <c r="C555" i="52"/>
  <c r="C563" i="52"/>
  <c r="C575" i="52"/>
  <c r="C579" i="52"/>
  <c r="C587" i="52"/>
  <c r="C595" i="52"/>
  <c r="C607" i="52"/>
  <c r="C611" i="52"/>
  <c r="C619" i="52"/>
  <c r="C627" i="52"/>
  <c r="C635" i="52"/>
  <c r="C643" i="52"/>
  <c r="C651" i="52"/>
  <c r="C659" i="52"/>
  <c r="C667" i="52"/>
  <c r="C675" i="52"/>
  <c r="C687" i="52"/>
  <c r="C691" i="52"/>
  <c r="C699" i="52"/>
  <c r="C707" i="52"/>
  <c r="C715" i="52"/>
  <c r="C723" i="52"/>
  <c r="C735" i="52"/>
  <c r="C739" i="52"/>
  <c r="C747" i="52"/>
  <c r="C759" i="52"/>
  <c r="C767" i="52"/>
  <c r="C775" i="52"/>
  <c r="C783" i="52"/>
  <c r="C787" i="52"/>
  <c r="C440" i="52"/>
  <c r="C448" i="52"/>
  <c r="C456" i="52"/>
  <c r="C464" i="52"/>
  <c r="C476" i="52"/>
  <c r="C484" i="52"/>
  <c r="C492" i="52"/>
  <c r="C500" i="52"/>
  <c r="C508" i="52"/>
  <c r="C516" i="52"/>
  <c r="C524" i="52"/>
  <c r="C532" i="52"/>
  <c r="C540" i="52"/>
  <c r="C548" i="52"/>
  <c r="C556" i="52"/>
  <c r="C564" i="52"/>
  <c r="C572" i="52"/>
  <c r="C580" i="52"/>
  <c r="C588" i="52"/>
  <c r="C596" i="52"/>
  <c r="C604" i="52"/>
  <c r="C612" i="52"/>
  <c r="C620" i="52"/>
  <c r="C628" i="52"/>
  <c r="C636" i="52"/>
  <c r="C644" i="52"/>
  <c r="C652" i="52"/>
  <c r="C660" i="52"/>
  <c r="C668" i="52"/>
  <c r="C676" i="52"/>
  <c r="C493" i="52"/>
  <c r="C692" i="52"/>
  <c r="C700" i="52"/>
  <c r="C708" i="52"/>
  <c r="C716" i="52"/>
  <c r="C724" i="52"/>
  <c r="C732" i="52"/>
  <c r="C740" i="52"/>
  <c r="C748" i="52"/>
  <c r="C756" i="52"/>
  <c r="C764" i="52"/>
  <c r="C772" i="52"/>
  <c r="C780" i="52"/>
  <c r="C788" i="52"/>
  <c r="S223" i="31"/>
  <c r="O223" i="31"/>
  <c r="S255" i="31"/>
  <c r="O255" i="31"/>
  <c r="R271" i="31"/>
  <c r="O271" i="31"/>
  <c r="S295" i="31"/>
  <c r="O295" i="31"/>
  <c r="O313" i="31"/>
  <c r="O346" i="31"/>
  <c r="O601" i="31"/>
  <c r="S226" i="31"/>
  <c r="O226" i="31"/>
  <c r="O257" i="31"/>
  <c r="S257" i="31"/>
  <c r="S282" i="31"/>
  <c r="O282" i="31"/>
  <c r="S298" i="31"/>
  <c r="O298" i="31"/>
  <c r="O361" i="31"/>
  <c r="O606" i="31"/>
  <c r="R592" i="31"/>
  <c r="R537" i="31"/>
  <c r="R372" i="31"/>
  <c r="R503" i="31"/>
  <c r="R526" i="31"/>
  <c r="R434" i="31"/>
  <c r="R611" i="31"/>
  <c r="R427" i="31"/>
  <c r="R499" i="31"/>
  <c r="R321" i="31"/>
  <c r="R525" i="31"/>
  <c r="R358" i="31"/>
  <c r="R600" i="31"/>
  <c r="R386" i="31"/>
  <c r="R340" i="31"/>
  <c r="R620" i="31"/>
  <c r="R588" i="31"/>
  <c r="R517" i="31"/>
  <c r="R619" i="31"/>
  <c r="R571" i="31"/>
  <c r="R475" i="31"/>
  <c r="R528" i="31"/>
  <c r="R239" i="31"/>
  <c r="R519" i="31"/>
  <c r="R320" i="31"/>
  <c r="R617" i="31"/>
  <c r="R565" i="31"/>
  <c r="R296" i="31"/>
  <c r="R225" i="31"/>
  <c r="R518" i="31"/>
  <c r="R273" i="31"/>
  <c r="R585" i="31"/>
  <c r="R263" i="31"/>
  <c r="R278" i="31"/>
  <c r="R506" i="31"/>
  <c r="R424" i="31"/>
  <c r="R579" i="31"/>
  <c r="R616" i="31"/>
  <c r="R564" i="31"/>
  <c r="R476" i="31"/>
  <c r="R238" i="31"/>
  <c r="R304" i="31"/>
  <c r="R509" i="31"/>
  <c r="R439" i="31"/>
  <c r="R485" i="31"/>
  <c r="R573" i="31"/>
  <c r="R498" i="31"/>
  <c r="R266" i="31"/>
  <c r="R399" i="31"/>
  <c r="R607" i="31"/>
  <c r="R555" i="31"/>
  <c r="R441" i="31"/>
  <c r="R370" i="31"/>
  <c r="R505" i="31"/>
  <c r="R529" i="31"/>
  <c r="R484" i="31"/>
  <c r="R511" i="31"/>
  <c r="R217" i="31"/>
  <c r="R562" i="31"/>
  <c r="R456" i="31"/>
  <c r="R605" i="31"/>
  <c r="R552" i="31"/>
  <c r="R402" i="31"/>
  <c r="R354" i="31"/>
  <c r="R598" i="31"/>
  <c r="R550" i="31"/>
  <c r="R401" i="31"/>
  <c r="R608" i="31"/>
  <c r="R504" i="31"/>
  <c r="R527" i="31"/>
  <c r="R435" i="31"/>
  <c r="R430" i="31"/>
  <c r="P808" i="31"/>
  <c r="N817" i="21" s="1"/>
  <c r="F137" i="21"/>
  <c r="G137" i="21"/>
  <c r="P809" i="31"/>
  <c r="N818" i="21" s="1"/>
  <c r="P807" i="31"/>
  <c r="N816" i="21" s="1"/>
  <c r="P806" i="31"/>
  <c r="D804" i="31"/>
  <c r="D789" i="31"/>
  <c r="F813" i="21"/>
  <c r="F810" i="21"/>
  <c r="F816" i="21"/>
  <c r="G816" i="21"/>
  <c r="F812" i="21"/>
  <c r="P773" i="31"/>
  <c r="N796" i="21" s="1"/>
  <c r="K796" i="21" s="1"/>
  <c r="F811" i="21"/>
  <c r="P758" i="31"/>
  <c r="N781" i="21" s="1"/>
  <c r="K781" i="21" s="1"/>
  <c r="F818" i="21"/>
  <c r="F809" i="21"/>
  <c r="F817" i="21"/>
  <c r="F814" i="21"/>
  <c r="G815" i="21"/>
  <c r="S709" i="31"/>
  <c r="S422" i="31"/>
  <c r="P780" i="31"/>
  <c r="N802" i="21" s="1"/>
  <c r="P669" i="31"/>
  <c r="N685" i="21" s="1"/>
  <c r="P714" i="31"/>
  <c r="N732" i="21" s="1"/>
  <c r="P719" i="31"/>
  <c r="N737" i="21" s="1"/>
  <c r="P770" i="31"/>
  <c r="N793" i="21" s="1"/>
  <c r="P661" i="31"/>
  <c r="P675" i="31"/>
  <c r="N691" i="21" s="1"/>
  <c r="O728" i="31"/>
  <c r="S728" i="31"/>
  <c r="O652" i="31"/>
  <c r="P679" i="31"/>
  <c r="N695" i="21" s="1"/>
  <c r="K695" i="21" s="1"/>
  <c r="P647" i="31"/>
  <c r="P670" i="31"/>
  <c r="N686" i="21" s="1"/>
  <c r="P757" i="31"/>
  <c r="N780" i="21" s="1"/>
  <c r="P653" i="31"/>
  <c r="P687" i="31"/>
  <c r="N703" i="21" s="1"/>
  <c r="P644" i="31"/>
  <c r="N660" i="21" s="1"/>
  <c r="P727" i="31"/>
  <c r="N749" i="21" s="1"/>
  <c r="O722" i="31"/>
  <c r="R776" i="31"/>
  <c r="R685" i="31"/>
  <c r="R699" i="31"/>
  <c r="R666" i="31"/>
  <c r="O717" i="31"/>
  <c r="O623" i="31"/>
  <c r="R789" i="31"/>
  <c r="O789" i="31"/>
  <c r="O811" i="21" s="1"/>
  <c r="O752" i="31"/>
  <c r="O775" i="21" s="1"/>
  <c r="R752" i="31"/>
  <c r="O701" i="31"/>
  <c r="O717" i="21" s="1"/>
  <c r="R701" i="31"/>
  <c r="O676" i="31"/>
  <c r="O692" i="21" s="1"/>
  <c r="R676" i="31"/>
  <c r="O641" i="31"/>
  <c r="O697" i="31"/>
  <c r="O748" i="31"/>
  <c r="O775" i="31"/>
  <c r="R671" i="31"/>
  <c r="O772" i="31"/>
  <c r="O795" i="21" s="1"/>
  <c r="R683" i="31"/>
  <c r="R756" i="31"/>
  <c r="O756" i="31"/>
  <c r="O779" i="21" s="1"/>
  <c r="R629" i="31"/>
  <c r="O629" i="31"/>
  <c r="O646" i="21" s="1"/>
  <c r="O721" i="31"/>
  <c r="O739" i="21" s="1"/>
  <c r="R721" i="31"/>
  <c r="O639" i="31"/>
  <c r="O656" i="21" s="1"/>
  <c r="O716" i="31"/>
  <c r="O689" i="31"/>
  <c r="O633" i="31"/>
  <c r="O788" i="31"/>
  <c r="O810" i="21" s="1"/>
  <c r="R788" i="31"/>
  <c r="O746" i="31"/>
  <c r="R746" i="31"/>
  <c r="O700" i="31"/>
  <c r="O716" i="21" s="1"/>
  <c r="R700" i="31"/>
  <c r="O698" i="31"/>
  <c r="O754" i="31"/>
  <c r="O779" i="31"/>
  <c r="O749" i="31"/>
  <c r="O772" i="21" s="1"/>
  <c r="O730" i="31"/>
  <c r="O752" i="21" s="1"/>
  <c r="O739" i="31"/>
  <c r="O677" i="31"/>
  <c r="O632" i="31"/>
  <c r="O786" i="31"/>
  <c r="O808" i="21" s="1"/>
  <c r="R786" i="31"/>
  <c r="O745" i="31"/>
  <c r="O768" i="21" s="1"/>
  <c r="R745" i="31"/>
  <c r="R695" i="31"/>
  <c r="O695" i="31"/>
  <c r="O711" i="21" s="1"/>
  <c r="O635" i="31"/>
  <c r="O652" i="21" s="1"/>
  <c r="R635" i="31"/>
  <c r="O732" i="31"/>
  <c r="O782" i="31"/>
  <c r="O663" i="31"/>
  <c r="R713" i="31"/>
  <c r="R655" i="31"/>
  <c r="O688" i="31"/>
  <c r="O704" i="21" s="1"/>
  <c r="O678" i="31"/>
  <c r="O694" i="21" s="1"/>
  <c r="R804" i="31"/>
  <c r="O804" i="31"/>
  <c r="O813" i="21" s="1"/>
  <c r="O624" i="31"/>
  <c r="R637" i="31"/>
  <c r="O637" i="31"/>
  <c r="S337" i="31"/>
  <c r="O755" i="31"/>
  <c r="O725" i="31"/>
  <c r="O636" i="31"/>
  <c r="R764" i="31"/>
  <c r="O764" i="31"/>
  <c r="R785" i="31"/>
  <c r="O785" i="31"/>
  <c r="O807" i="21" s="1"/>
  <c r="R744" i="31"/>
  <c r="O744" i="31"/>
  <c r="O767" i="21" s="1"/>
  <c r="R694" i="31"/>
  <c r="O694" i="31"/>
  <c r="O710" i="21" s="1"/>
  <c r="O715" i="31"/>
  <c r="O733" i="31"/>
  <c r="O756" i="21" s="1"/>
  <c r="O761" i="31"/>
  <c r="O784" i="21" s="1"/>
  <c r="O783" i="31"/>
  <c r="O674" i="31"/>
  <c r="R758" i="31"/>
  <c r="R642" i="31"/>
  <c r="O747" i="31"/>
  <c r="O770" i="21" s="1"/>
  <c r="O726" i="31"/>
  <c r="O768" i="31"/>
  <c r="R737" i="31"/>
  <c r="O737" i="31"/>
  <c r="O760" i="21" s="1"/>
  <c r="O654" i="31"/>
  <c r="O790" i="31"/>
  <c r="O812" i="21" s="1"/>
  <c r="R790" i="31"/>
  <c r="R684" i="31"/>
  <c r="O765" i="31"/>
  <c r="O704" i="31"/>
  <c r="O686" i="31"/>
  <c r="O673" i="31"/>
  <c r="O643" i="31"/>
  <c r="R762" i="31"/>
  <c r="O762" i="31"/>
  <c r="O785" i="21" s="1"/>
  <c r="R784" i="31"/>
  <c r="O784" i="31"/>
  <c r="O806" i="21" s="1"/>
  <c r="R743" i="31"/>
  <c r="O743" i="31"/>
  <c r="O766" i="21" s="1"/>
  <c r="R693" i="31"/>
  <c r="O693" i="31"/>
  <c r="O709" i="21" s="1"/>
  <c r="R631" i="31"/>
  <c r="O631" i="31"/>
  <c r="O648" i="21" s="1"/>
  <c r="O718" i="31"/>
  <c r="O736" i="21" s="1"/>
  <c r="O735" i="31"/>
  <c r="O767" i="31"/>
  <c r="R736" i="31"/>
  <c r="O766" i="31"/>
  <c r="O789" i="21" s="1"/>
  <c r="R627" i="31"/>
  <c r="R638" i="31"/>
  <c r="O638" i="31"/>
  <c r="O723" i="31"/>
  <c r="O740" i="31"/>
  <c r="O681" i="31"/>
  <c r="O696" i="31"/>
  <c r="O774" i="31"/>
  <c r="O787" i="31"/>
  <c r="O750" i="31"/>
  <c r="O640" i="31"/>
  <c r="O626" i="31"/>
  <c r="O731" i="31"/>
  <c r="R741" i="31"/>
  <c r="O741" i="31"/>
  <c r="R763" i="31"/>
  <c r="O763" i="31"/>
  <c r="O786" i="21" s="1"/>
  <c r="R742" i="31"/>
  <c r="O742" i="31"/>
  <c r="O765" i="21" s="1"/>
  <c r="R630" i="31"/>
  <c r="O630" i="31"/>
  <c r="O647" i="21" s="1"/>
  <c r="O769" i="31"/>
  <c r="R777" i="31"/>
  <c r="R651" i="31"/>
  <c r="R729" i="31"/>
  <c r="R657" i="31"/>
  <c r="R664" i="31"/>
  <c r="O711" i="31"/>
  <c r="O729" i="21" s="1"/>
  <c r="R778" i="31"/>
  <c r="R710" i="31"/>
  <c r="R760" i="31"/>
  <c r="R781" i="31"/>
  <c r="R668" i="31"/>
  <c r="R625" i="31"/>
  <c r="O805" i="31"/>
  <c r="O814" i="21" s="1"/>
  <c r="R751" i="31"/>
  <c r="S706" i="31"/>
  <c r="S690" i="31"/>
  <c r="S447" i="31"/>
  <c r="S674" i="31"/>
  <c r="S651" i="31"/>
  <c r="S699" i="31"/>
  <c r="S472" i="31"/>
  <c r="S707" i="31"/>
  <c r="S668" i="31"/>
  <c r="S439" i="31"/>
  <c r="S432" i="31"/>
  <c r="S510" i="31"/>
  <c r="S809" i="31"/>
  <c r="S509" i="31"/>
  <c r="S387" i="31"/>
  <c r="S751" i="31"/>
  <c r="S340" i="31"/>
  <c r="S729" i="31"/>
  <c r="S446" i="31"/>
  <c r="S503" i="31"/>
  <c r="S719" i="31"/>
  <c r="S526" i="31"/>
  <c r="S608" i="31"/>
  <c r="S569" i="31"/>
  <c r="S473" i="31"/>
  <c r="S573" i="31"/>
  <c r="S641" i="31"/>
  <c r="S601" i="31"/>
  <c r="S657" i="31"/>
  <c r="S448" i="31"/>
  <c r="S781" i="31"/>
  <c r="S708" i="31"/>
  <c r="S613" i="31"/>
  <c r="S640" i="31"/>
  <c r="S524" i="31"/>
  <c r="S499" i="31"/>
  <c r="S671" i="31"/>
  <c r="S661" i="31"/>
  <c r="S527" i="31"/>
  <c r="S652" i="31"/>
  <c r="S750" i="31"/>
  <c r="S773" i="31"/>
  <c r="S632" i="31"/>
  <c r="S619" i="31"/>
  <c r="S546" i="31"/>
  <c r="S535" i="31"/>
  <c r="S725" i="31"/>
  <c r="S712" i="31"/>
  <c r="S675" i="31"/>
  <c r="S441" i="31"/>
  <c r="S431" i="31"/>
  <c r="S397" i="31"/>
  <c r="S372" i="31"/>
  <c r="S717" i="31"/>
  <c r="S650" i="31"/>
  <c r="S607" i="31"/>
  <c r="S542" i="31"/>
  <c r="S758" i="31"/>
  <c r="S572" i="31"/>
  <c r="S724" i="31"/>
  <c r="S704" i="31"/>
  <c r="S673" i="31"/>
  <c r="S571" i="31"/>
  <c r="S534" i="31"/>
  <c r="S491" i="31"/>
  <c r="S312" i="31"/>
  <c r="S777" i="31"/>
  <c r="S696" i="31"/>
  <c r="S765" i="31"/>
  <c r="S672" i="31"/>
  <c r="R659" i="31" l="1"/>
  <c r="R724" i="31"/>
  <c r="R734" i="31"/>
  <c r="P690" i="31"/>
  <c r="N706" i="21" s="1"/>
  <c r="R656" i="31"/>
  <c r="R665" i="31"/>
  <c r="R658" i="31"/>
  <c r="P738" i="31"/>
  <c r="N761" i="21" s="1"/>
  <c r="R650" i="31"/>
  <c r="R708" i="31"/>
  <c r="R702" i="31"/>
  <c r="R662" i="31"/>
  <c r="R649" i="31"/>
  <c r="P712" i="31"/>
  <c r="N730" i="21" s="1"/>
  <c r="P725" i="31"/>
  <c r="N747" i="21" s="1"/>
  <c r="O747" i="21"/>
  <c r="P779" i="31"/>
  <c r="N801" i="21" s="1"/>
  <c r="K801" i="21" s="1"/>
  <c r="O801" i="21"/>
  <c r="P298" i="31"/>
  <c r="N308" i="21" s="1"/>
  <c r="O308" i="21"/>
  <c r="P601" i="31"/>
  <c r="N620" i="21" s="1"/>
  <c r="O620" i="21"/>
  <c r="P731" i="31"/>
  <c r="N753" i="21" s="1"/>
  <c r="O753" i="21"/>
  <c r="P681" i="31"/>
  <c r="N697" i="21" s="1"/>
  <c r="K697" i="21" s="1"/>
  <c r="O697" i="21"/>
  <c r="P755" i="31"/>
  <c r="N778" i="21" s="1"/>
  <c r="O778" i="21"/>
  <c r="P652" i="31"/>
  <c r="N668" i="21" s="1"/>
  <c r="O668" i="21"/>
  <c r="P626" i="31"/>
  <c r="N643" i="21" s="1"/>
  <c r="O643" i="21"/>
  <c r="P643" i="31"/>
  <c r="N659" i="21" s="1"/>
  <c r="O659" i="21"/>
  <c r="P654" i="31"/>
  <c r="N670" i="21" s="1"/>
  <c r="O670" i="21"/>
  <c r="P674" i="31"/>
  <c r="N690" i="21" s="1"/>
  <c r="O690" i="21"/>
  <c r="P732" i="31"/>
  <c r="N754" i="21" s="1"/>
  <c r="O754" i="21"/>
  <c r="P698" i="31"/>
  <c r="N714" i="21" s="1"/>
  <c r="O714" i="21"/>
  <c r="P689" i="31"/>
  <c r="N705" i="21" s="1"/>
  <c r="O705" i="21"/>
  <c r="P641" i="31"/>
  <c r="N658" i="21" s="1"/>
  <c r="O658" i="21"/>
  <c r="P282" i="31"/>
  <c r="N292" i="21" s="1"/>
  <c r="O292" i="21"/>
  <c r="P313" i="31"/>
  <c r="N324" i="21" s="1"/>
  <c r="O324" i="21"/>
  <c r="P281" i="31"/>
  <c r="N291" i="21" s="1"/>
  <c r="O291" i="21"/>
  <c r="P334" i="31"/>
  <c r="N345" i="21" s="1"/>
  <c r="O345" i="21"/>
  <c r="P310" i="31"/>
  <c r="N320" i="21" s="1"/>
  <c r="O320" i="21"/>
  <c r="P211" i="31"/>
  <c r="N221" i="21" s="1"/>
  <c r="O221" i="21"/>
  <c r="P244" i="31"/>
  <c r="N254" i="21" s="1"/>
  <c r="O254" i="21"/>
  <c r="P286" i="31"/>
  <c r="N296" i="21" s="1"/>
  <c r="O296" i="21"/>
  <c r="P255" i="31"/>
  <c r="N265" i="21" s="1"/>
  <c r="O265" i="21"/>
  <c r="P640" i="31"/>
  <c r="N657" i="21" s="1"/>
  <c r="O657" i="21"/>
  <c r="P740" i="31"/>
  <c r="N763" i="21" s="1"/>
  <c r="O763" i="21"/>
  <c r="P673" i="31"/>
  <c r="N689" i="21" s="1"/>
  <c r="O689" i="21"/>
  <c r="P783" i="31"/>
  <c r="N805" i="21" s="1"/>
  <c r="O805" i="21"/>
  <c r="P637" i="31"/>
  <c r="N654" i="21" s="1"/>
  <c r="O654" i="21"/>
  <c r="P632" i="31"/>
  <c r="N649" i="21" s="1"/>
  <c r="O649" i="21"/>
  <c r="P256" i="31"/>
  <c r="N266" i="21" s="1"/>
  <c r="O266" i="21"/>
  <c r="P716" i="31"/>
  <c r="N734" i="21" s="1"/>
  <c r="O734" i="21"/>
  <c r="P623" i="31"/>
  <c r="N640" i="21" s="1"/>
  <c r="O640" i="21"/>
  <c r="P728" i="31"/>
  <c r="N750" i="21" s="1"/>
  <c r="O750" i="21"/>
  <c r="P294" i="31"/>
  <c r="N304" i="21" s="1"/>
  <c r="O304" i="21"/>
  <c r="P260" i="31"/>
  <c r="N269" i="21" s="1"/>
  <c r="O269" i="21"/>
  <c r="P293" i="31"/>
  <c r="N303" i="21" s="1"/>
  <c r="O303" i="21"/>
  <c r="P446" i="31"/>
  <c r="O462" i="21"/>
  <c r="O461" i="21"/>
  <c r="P750" i="31"/>
  <c r="N773" i="21" s="1"/>
  <c r="O773" i="21"/>
  <c r="P723" i="31"/>
  <c r="N745" i="21" s="1"/>
  <c r="O745" i="21"/>
  <c r="P686" i="31"/>
  <c r="N702" i="21" s="1"/>
  <c r="O702" i="21"/>
  <c r="P677" i="31"/>
  <c r="N693" i="21" s="1"/>
  <c r="K693" i="21" s="1"/>
  <c r="O693" i="21"/>
  <c r="P717" i="31"/>
  <c r="N735" i="21" s="1"/>
  <c r="O735" i="21"/>
  <c r="P299" i="31"/>
  <c r="N309" i="21" s="1"/>
  <c r="O309" i="21"/>
  <c r="P343" i="31"/>
  <c r="N354" i="21" s="1"/>
  <c r="O354" i="21"/>
  <c r="P220" i="31"/>
  <c r="N230" i="21" s="1"/>
  <c r="K230" i="21" s="1"/>
  <c r="O230" i="21"/>
  <c r="P262" i="31"/>
  <c r="N271" i="21" s="1"/>
  <c r="K271" i="21" s="1"/>
  <c r="O271" i="21"/>
  <c r="P636" i="31"/>
  <c r="N653" i="21" s="1"/>
  <c r="O653" i="21"/>
  <c r="P775" i="31"/>
  <c r="N798" i="21" s="1"/>
  <c r="O798" i="21"/>
  <c r="P787" i="31"/>
  <c r="N809" i="21" s="1"/>
  <c r="O809" i="21"/>
  <c r="P767" i="31"/>
  <c r="N790" i="21" s="1"/>
  <c r="O790" i="21"/>
  <c r="P704" i="31"/>
  <c r="N720" i="21" s="1"/>
  <c r="O720" i="21"/>
  <c r="P764" i="31"/>
  <c r="N787" i="21" s="1"/>
  <c r="K787" i="21" s="1"/>
  <c r="O787" i="21"/>
  <c r="P624" i="31"/>
  <c r="N641" i="21" s="1"/>
  <c r="O641" i="21"/>
  <c r="P739" i="31"/>
  <c r="N762" i="21" s="1"/>
  <c r="O762" i="21"/>
  <c r="P722" i="31"/>
  <c r="N741" i="21" s="1"/>
  <c r="O741" i="21"/>
  <c r="P257" i="31"/>
  <c r="N123" i="21" s="1"/>
  <c r="O123" i="21"/>
  <c r="P271" i="31"/>
  <c r="N280" i="21" s="1"/>
  <c r="O280" i="21"/>
  <c r="P348" i="31"/>
  <c r="N359" i="21" s="1"/>
  <c r="K359" i="21" s="1"/>
  <c r="O359" i="21"/>
  <c r="P270" i="31"/>
  <c r="N279" i="21" s="1"/>
  <c r="K279" i="21" s="1"/>
  <c r="O279" i="21"/>
  <c r="P432" i="31"/>
  <c r="O447" i="21"/>
  <c r="P269" i="31"/>
  <c r="N278" i="21" s="1"/>
  <c r="K278" i="21" s="1"/>
  <c r="O278" i="21"/>
  <c r="P305" i="31"/>
  <c r="N315" i="21" s="1"/>
  <c r="K315" i="21" s="1"/>
  <c r="O315" i="21"/>
  <c r="P315" i="31"/>
  <c r="O326" i="21"/>
  <c r="P741" i="31"/>
  <c r="N764" i="21" s="1"/>
  <c r="O764" i="21"/>
  <c r="P774" i="31"/>
  <c r="N797" i="21" s="1"/>
  <c r="O797" i="21"/>
  <c r="P295" i="31"/>
  <c r="N305" i="21" s="1"/>
  <c r="O305" i="21"/>
  <c r="P638" i="31"/>
  <c r="N655" i="21" s="1"/>
  <c r="O655" i="21"/>
  <c r="P768" i="31"/>
  <c r="N791" i="21" s="1"/>
  <c r="O791" i="21"/>
  <c r="P735" i="31"/>
  <c r="N758" i="21" s="1"/>
  <c r="O758" i="21"/>
  <c r="P765" i="31"/>
  <c r="N788" i="21" s="1"/>
  <c r="O788" i="21"/>
  <c r="P726" i="31"/>
  <c r="N748" i="21" s="1"/>
  <c r="O748" i="21"/>
  <c r="P715" i="31"/>
  <c r="N733" i="21" s="1"/>
  <c r="O733" i="21"/>
  <c r="P746" i="31"/>
  <c r="N769" i="21" s="1"/>
  <c r="O769" i="21"/>
  <c r="P606" i="31"/>
  <c r="N625" i="21" s="1"/>
  <c r="O625" i="21"/>
  <c r="P226" i="31"/>
  <c r="N236" i="21" s="1"/>
  <c r="O236" i="21"/>
  <c r="P314" i="31"/>
  <c r="N325" i="21" s="1"/>
  <c r="O325" i="21"/>
  <c r="P224" i="31"/>
  <c r="O234" i="21"/>
  <c r="P283" i="31"/>
  <c r="N293" i="21" s="1"/>
  <c r="O293" i="21"/>
  <c r="P247" i="31"/>
  <c r="N257" i="21" s="1"/>
  <c r="K257" i="21" s="1"/>
  <c r="O257" i="21"/>
  <c r="P367" i="31"/>
  <c r="N378" i="21" s="1"/>
  <c r="O378" i="21"/>
  <c r="P222" i="31"/>
  <c r="N232" i="21" s="1"/>
  <c r="O232" i="21"/>
  <c r="P232" i="31"/>
  <c r="N242" i="21" s="1"/>
  <c r="O242" i="21"/>
  <c r="P248" i="31"/>
  <c r="N258" i="21" s="1"/>
  <c r="O258" i="21"/>
  <c r="P344" i="31"/>
  <c r="N355" i="21" s="1"/>
  <c r="O355" i="21"/>
  <c r="P289" i="31"/>
  <c r="N299" i="21" s="1"/>
  <c r="O299" i="21"/>
  <c r="P351" i="31"/>
  <c r="N362" i="21" s="1"/>
  <c r="O362" i="21"/>
  <c r="P233" i="31"/>
  <c r="N243" i="21" s="1"/>
  <c r="O243" i="21"/>
  <c r="P436" i="31"/>
  <c r="N451" i="21" s="1"/>
  <c r="O451" i="21"/>
  <c r="P709" i="31"/>
  <c r="O726" i="21"/>
  <c r="P706" i="31"/>
  <c r="N723" i="21" s="1"/>
  <c r="O723" i="21"/>
  <c r="P301" i="31"/>
  <c r="N311" i="21" s="1"/>
  <c r="O311" i="21"/>
  <c r="P216" i="31"/>
  <c r="N226" i="21" s="1"/>
  <c r="O226" i="21"/>
  <c r="P300" i="31"/>
  <c r="N310" i="21" s="1"/>
  <c r="O310" i="21"/>
  <c r="P218" i="31"/>
  <c r="N228" i="21" s="1"/>
  <c r="O228" i="21"/>
  <c r="P361" i="31"/>
  <c r="N372" i="21" s="1"/>
  <c r="O372" i="21"/>
  <c r="P769" i="31"/>
  <c r="N792" i="21" s="1"/>
  <c r="O792" i="21"/>
  <c r="P696" i="31"/>
  <c r="N712" i="21" s="1"/>
  <c r="O712" i="21"/>
  <c r="P663" i="31"/>
  <c r="O679" i="21"/>
  <c r="P748" i="31"/>
  <c r="N771" i="21" s="1"/>
  <c r="K771" i="21" s="1"/>
  <c r="O771" i="21"/>
  <c r="P782" i="31"/>
  <c r="N804" i="21" s="1"/>
  <c r="O804" i="21"/>
  <c r="P754" i="31"/>
  <c r="N777" i="21" s="1"/>
  <c r="O777" i="21"/>
  <c r="P633" i="31"/>
  <c r="N650" i="21" s="1"/>
  <c r="K650" i="21" s="1"/>
  <c r="O650" i="21"/>
  <c r="P697" i="31"/>
  <c r="N713" i="21" s="1"/>
  <c r="O713" i="21"/>
  <c r="P346" i="31"/>
  <c r="N357" i="21" s="1"/>
  <c r="K357" i="21" s="1"/>
  <c r="O357" i="21"/>
  <c r="P223" i="31"/>
  <c r="N233" i="21" s="1"/>
  <c r="O233" i="21"/>
  <c r="P364" i="31"/>
  <c r="N375" i="21" s="1"/>
  <c r="O375" i="21"/>
  <c r="P345" i="31"/>
  <c r="N356" i="21" s="1"/>
  <c r="K356" i="21" s="1"/>
  <c r="O356" i="21"/>
  <c r="P221" i="31"/>
  <c r="N231" i="21" s="1"/>
  <c r="O231" i="21"/>
  <c r="P306" i="31"/>
  <c r="N316" i="21" s="1"/>
  <c r="O316" i="21"/>
  <c r="P267" i="31"/>
  <c r="N276" i="21" s="1"/>
  <c r="K276" i="21" s="1"/>
  <c r="O276" i="21"/>
  <c r="P422" i="31"/>
  <c r="O436" i="21"/>
  <c r="R226" i="31"/>
  <c r="R809" i="31"/>
  <c r="S211" i="31"/>
  <c r="S271" i="31"/>
  <c r="R404" i="31"/>
  <c r="R305" i="31"/>
  <c r="R501" i="31"/>
  <c r="R309" i="31"/>
  <c r="R451" i="31"/>
  <c r="R636" i="31"/>
  <c r="R567" i="31"/>
  <c r="R262" i="31"/>
  <c r="R379" i="31"/>
  <c r="R604" i="31"/>
  <c r="R563" i="31"/>
  <c r="R283" i="31"/>
  <c r="R352" i="31"/>
  <c r="R557" i="31"/>
  <c r="R406" i="31"/>
  <c r="R274" i="31"/>
  <c r="R464" i="31"/>
  <c r="R227" i="31"/>
  <c r="R426" i="31"/>
  <c r="R355" i="31"/>
  <c r="R591" i="31"/>
  <c r="R409" i="31"/>
  <c r="R313" i="31"/>
  <c r="R489" i="31"/>
  <c r="R363" i="31"/>
  <c r="R540" i="31"/>
  <c r="R443" i="31"/>
  <c r="R623" i="31"/>
  <c r="R524" i="31"/>
  <c r="R455" i="31"/>
  <c r="R473" i="31"/>
  <c r="R675" i="31"/>
  <c r="R380" i="31"/>
  <c r="R610" i="31"/>
  <c r="R394" i="31"/>
  <c r="R626" i="31"/>
  <c r="R603" i="31"/>
  <c r="R366" i="31"/>
  <c r="R566" i="31"/>
  <c r="R461" i="31"/>
  <c r="R312" i="31"/>
  <c r="R486" i="31"/>
  <c r="R618" i="31"/>
  <c r="R375" i="31"/>
  <c r="R381" i="31"/>
  <c r="R237" i="31"/>
  <c r="R536" i="31"/>
  <c r="R376" i="31"/>
  <c r="R490" i="31"/>
  <c r="R420" i="31"/>
  <c r="R687" i="31"/>
  <c r="R522" i="31"/>
  <c r="R661" i="31"/>
  <c r="R569" i="31"/>
  <c r="R669" i="31"/>
  <c r="R228" i="31"/>
  <c r="R480" i="31"/>
  <c r="R494" i="31"/>
  <c r="R516" i="31"/>
  <c r="R286" i="31"/>
  <c r="R212" i="31"/>
  <c r="R612" i="31"/>
  <c r="R714" i="31"/>
  <c r="R613" i="31"/>
  <c r="R450" i="31"/>
  <c r="R328" i="31"/>
  <c r="R282" i="31"/>
  <c r="R353" i="31"/>
  <c r="R534" i="31"/>
  <c r="R419" i="31"/>
  <c r="R360" i="31"/>
  <c r="R559" i="31"/>
  <c r="R595" i="31"/>
  <c r="R284" i="31"/>
  <c r="R551" i="31"/>
  <c r="R323" i="31"/>
  <c r="R513" i="31"/>
  <c r="R316" i="31"/>
  <c r="R483" i="31"/>
  <c r="R523" i="31"/>
  <c r="R408" i="31"/>
  <c r="R452" i="31"/>
  <c r="R214" i="31"/>
  <c r="R396" i="31"/>
  <c r="R542" i="31"/>
  <c r="R481" i="31"/>
  <c r="R374" i="31"/>
  <c r="R582" i="31"/>
  <c r="R318" i="31"/>
  <c r="R310" i="31"/>
  <c r="R208" i="31"/>
  <c r="R560" i="31"/>
  <c r="R614" i="31"/>
  <c r="R644" i="31"/>
  <c r="R653" i="31"/>
  <c r="R615" i="31"/>
  <c r="R331" i="31"/>
  <c r="R507" i="31"/>
  <c r="R387" i="31"/>
  <c r="R780" i="31"/>
  <c r="R448" i="31"/>
  <c r="R417" i="31"/>
  <c r="R589" i="31"/>
  <c r="R572" i="31"/>
  <c r="R324" i="31"/>
  <c r="R508" i="31"/>
  <c r="R725" i="31"/>
  <c r="R397" i="31"/>
  <c r="R240" i="31"/>
  <c r="R548" i="31"/>
  <c r="R429" i="31"/>
  <c r="R750" i="31"/>
  <c r="R488" i="31"/>
  <c r="R319" i="31"/>
  <c r="R462" i="31"/>
  <c r="R350" i="31"/>
  <c r="R491" i="31"/>
  <c r="R482" i="31"/>
  <c r="R545" i="31"/>
  <c r="R783" i="31"/>
  <c r="R418" i="31"/>
  <c r="R362" i="31"/>
  <c r="R587" i="31"/>
  <c r="R280" i="31"/>
  <c r="R546" i="31"/>
  <c r="R423" i="31"/>
  <c r="R268" i="31"/>
  <c r="R445" i="31"/>
  <c r="R327" i="31"/>
  <c r="R570" i="31"/>
  <c r="R510" i="31"/>
  <c r="R670" i="31"/>
  <c r="R255" i="31"/>
  <c r="R770" i="31"/>
  <c r="R521" i="31"/>
  <c r="R767" i="31"/>
  <c r="R442" i="31"/>
  <c r="R609" i="31"/>
  <c r="R535" i="31"/>
  <c r="R459" i="31"/>
  <c r="R497" i="31"/>
  <c r="R586" i="31"/>
  <c r="R377" i="31"/>
  <c r="R334" i="31"/>
  <c r="R533" i="31"/>
  <c r="R704" i="31"/>
  <c r="R348" i="31"/>
  <c r="R303" i="31"/>
  <c r="R558" i="31"/>
  <c r="R549" i="31"/>
  <c r="R698" i="31"/>
  <c r="R496" i="31"/>
  <c r="R270" i="31"/>
  <c r="R382" i="31"/>
  <c r="R593" i="31"/>
  <c r="R410" i="31"/>
  <c r="R647" i="31"/>
  <c r="R719" i="31"/>
  <c r="R584" i="31"/>
  <c r="R807" i="31"/>
  <c r="R365" i="31"/>
  <c r="R531" i="31"/>
  <c r="R247" i="31"/>
  <c r="R602" i="31"/>
  <c r="R530" i="31"/>
  <c r="R299" i="31"/>
  <c r="R215" i="31"/>
  <c r="R541" i="31"/>
  <c r="R765" i="31"/>
  <c r="R594" i="31"/>
  <c r="R590" i="31"/>
  <c r="R317" i="31"/>
  <c r="R325" i="31"/>
  <c r="R568" i="31"/>
  <c r="R421" i="31"/>
  <c r="R477" i="31"/>
  <c r="R288" i="31"/>
  <c r="R307" i="31"/>
  <c r="R553" i="31"/>
  <c r="R601" i="31"/>
  <c r="R437" i="31"/>
  <c r="R356" i="31"/>
  <c r="R727" i="31"/>
  <c r="R412" i="31"/>
  <c r="R580" i="31"/>
  <c r="R621" i="31"/>
  <c r="R279" i="31"/>
  <c r="R349" i="31"/>
  <c r="R203" i="31"/>
  <c r="R472" i="31"/>
  <c r="R277" i="31"/>
  <c r="R276" i="31"/>
  <c r="R297" i="31"/>
  <c r="R808" i="31"/>
  <c r="R806" i="31"/>
  <c r="R773" i="31"/>
  <c r="R690" i="31"/>
  <c r="R679" i="31"/>
  <c r="P693" i="31"/>
  <c r="N709" i="21" s="1"/>
  <c r="K709" i="21" s="1"/>
  <c r="P785" i="31"/>
  <c r="N807" i="21" s="1"/>
  <c r="K807" i="21" s="1"/>
  <c r="P786" i="31"/>
  <c r="N808" i="21" s="1"/>
  <c r="K808" i="21" s="1"/>
  <c r="L808" i="21" s="1"/>
  <c r="P701" i="31"/>
  <c r="N717" i="21" s="1"/>
  <c r="K717" i="21" s="1"/>
  <c r="P742" i="31"/>
  <c r="N765" i="21" s="1"/>
  <c r="K765" i="21" s="1"/>
  <c r="L765" i="21" s="1"/>
  <c r="P743" i="31"/>
  <c r="N766" i="21" s="1"/>
  <c r="K766" i="21" s="1"/>
  <c r="L766" i="21" s="1"/>
  <c r="P804" i="31"/>
  <c r="N813" i="21" s="1"/>
  <c r="K813" i="21" s="1"/>
  <c r="L813" i="21" s="1"/>
  <c r="P721" i="31"/>
  <c r="N739" i="21" s="1"/>
  <c r="K739" i="21" s="1"/>
  <c r="L739" i="21" s="1"/>
  <c r="P752" i="31"/>
  <c r="N775" i="21" s="1"/>
  <c r="K775" i="21" s="1"/>
  <c r="P630" i="31"/>
  <c r="N647" i="21" s="1"/>
  <c r="K647" i="21" s="1"/>
  <c r="P635" i="31"/>
  <c r="N652" i="21" s="1"/>
  <c r="K652" i="21" s="1"/>
  <c r="P737" i="31"/>
  <c r="N760" i="21" s="1"/>
  <c r="K760" i="21" s="1"/>
  <c r="P695" i="31"/>
  <c r="N711" i="21" s="1"/>
  <c r="K711" i="21" s="1"/>
  <c r="L711" i="21" s="1"/>
  <c r="P788" i="31"/>
  <c r="N810" i="21" s="1"/>
  <c r="K810" i="21" s="1"/>
  <c r="P629" i="31"/>
  <c r="N646" i="21" s="1"/>
  <c r="K646" i="21" s="1"/>
  <c r="P789" i="31"/>
  <c r="N811" i="21" s="1"/>
  <c r="K811" i="21" s="1"/>
  <c r="P763" i="31"/>
  <c r="N786" i="21" s="1"/>
  <c r="K786" i="21" s="1"/>
  <c r="P784" i="31"/>
  <c r="N806" i="21" s="1"/>
  <c r="K806" i="21" s="1"/>
  <c r="P762" i="31"/>
  <c r="N785" i="21" s="1"/>
  <c r="K785" i="21" s="1"/>
  <c r="P694" i="31"/>
  <c r="N710" i="21" s="1"/>
  <c r="K710" i="21" s="1"/>
  <c r="P756" i="31"/>
  <c r="N779" i="21" s="1"/>
  <c r="K779" i="21" s="1"/>
  <c r="P790" i="31"/>
  <c r="N812" i="21" s="1"/>
  <c r="K812" i="21" s="1"/>
  <c r="P700" i="31"/>
  <c r="N716" i="21" s="1"/>
  <c r="K716" i="21" s="1"/>
  <c r="P631" i="31"/>
  <c r="N648" i="21" s="1"/>
  <c r="K648" i="21" s="1"/>
  <c r="P744" i="31"/>
  <c r="N767" i="21" s="1"/>
  <c r="K767" i="21" s="1"/>
  <c r="L767" i="21" s="1"/>
  <c r="P745" i="31"/>
  <c r="N768" i="21" s="1"/>
  <c r="K768" i="21" s="1"/>
  <c r="L768" i="21" s="1"/>
  <c r="P676" i="31"/>
  <c r="N692" i="21" s="1"/>
  <c r="K692" i="21" s="1"/>
  <c r="L692" i="21" s="1"/>
  <c r="S785" i="31"/>
  <c r="S788" i="31"/>
  <c r="P730" i="31"/>
  <c r="N752" i="21" s="1"/>
  <c r="P639" i="31"/>
  <c r="N656" i="21" s="1"/>
  <c r="P711" i="31"/>
  <c r="N729" i="21" s="1"/>
  <c r="R731" i="31"/>
  <c r="R723" i="31"/>
  <c r="P747" i="31"/>
  <c r="N770" i="21" s="1"/>
  <c r="R739" i="31"/>
  <c r="P749" i="31"/>
  <c r="N772" i="21" s="1"/>
  <c r="P772" i="31"/>
  <c r="N795" i="21" s="1"/>
  <c r="P805" i="31"/>
  <c r="N814" i="21" s="1"/>
  <c r="P733" i="31"/>
  <c r="N756" i="21" s="1"/>
  <c r="R624" i="31"/>
  <c r="R732" i="31"/>
  <c r="R697" i="31"/>
  <c r="R738" i="31"/>
  <c r="P688" i="31"/>
  <c r="N704" i="21" s="1"/>
  <c r="P761" i="31"/>
  <c r="N784" i="21" s="1"/>
  <c r="R757" i="31"/>
  <c r="P766" i="31"/>
  <c r="N789" i="21" s="1"/>
  <c r="P718" i="31"/>
  <c r="N736" i="21" s="1"/>
  <c r="P678" i="31"/>
  <c r="N694" i="21" s="1"/>
  <c r="R712" i="31"/>
  <c r="R640" i="31"/>
  <c r="R681" i="31"/>
  <c r="R643" i="31"/>
  <c r="R633" i="31"/>
  <c r="S629" i="31"/>
  <c r="S556" i="31"/>
  <c r="R722" i="31"/>
  <c r="R779" i="31"/>
  <c r="S492" i="31"/>
  <c r="R717" i="31"/>
  <c r="R716" i="31"/>
  <c r="R726" i="31"/>
  <c r="S404" i="31"/>
  <c r="S329" i="31"/>
  <c r="S643" i="31"/>
  <c r="S419" i="31"/>
  <c r="S355" i="31"/>
  <c r="S467" i="31"/>
  <c r="R663" i="31"/>
  <c r="S328" i="31"/>
  <c r="R706" i="31"/>
  <c r="S563" i="31"/>
  <c r="S636" i="31"/>
  <c r="S745" i="31"/>
  <c r="S501" i="31"/>
  <c r="S787" i="31"/>
  <c r="S711" i="31"/>
  <c r="R641" i="31"/>
  <c r="S558" i="31"/>
  <c r="S532" i="31"/>
  <c r="S755" i="31"/>
  <c r="S342" i="31"/>
  <c r="S782" i="31"/>
  <c r="S683" i="31"/>
  <c r="S808" i="31"/>
  <c r="S732" i="31"/>
  <c r="S766" i="31"/>
  <c r="S694" i="31"/>
  <c r="S426" i="31"/>
  <c r="S697" i="31"/>
  <c r="S480" i="31"/>
  <c r="S464" i="31"/>
  <c r="S493" i="31"/>
  <c r="S767" i="31"/>
  <c r="S804" i="31"/>
  <c r="S540" i="31"/>
  <c r="S420" i="31"/>
  <c r="S550" i="31"/>
  <c r="S444" i="31"/>
  <c r="S592" i="31"/>
  <c r="S730" i="31"/>
  <c r="S477" i="31"/>
  <c r="S371" i="31"/>
  <c r="S469" i="31"/>
  <c r="S343" i="31"/>
  <c r="S367" i="31"/>
  <c r="S474" i="31"/>
  <c r="S353" i="31"/>
  <c r="S631" i="31"/>
  <c r="S539" i="31"/>
  <c r="S461" i="31"/>
  <c r="S693" i="31"/>
  <c r="S587" i="31"/>
  <c r="S752" i="31"/>
  <c r="S586" i="31"/>
  <c r="S554" i="31"/>
  <c r="S406" i="31"/>
  <c r="S739" i="31"/>
  <c r="S376" i="31"/>
  <c r="S318" i="31"/>
  <c r="S305" i="31"/>
  <c r="S530" i="31"/>
  <c r="S562" i="31"/>
  <c r="S338" i="31"/>
  <c r="S638" i="31"/>
  <c r="S463" i="31"/>
  <c r="S593" i="31"/>
  <c r="S762" i="31"/>
  <c r="S735" i="31"/>
  <c r="S516" i="31"/>
  <c r="S409" i="31"/>
  <c r="S630" i="31"/>
  <c r="S515" i="31"/>
  <c r="S686" i="31"/>
  <c r="S421" i="31"/>
  <c r="S747" i="31"/>
  <c r="S551" i="31"/>
  <c r="S395" i="31"/>
  <c r="S590" i="31"/>
  <c r="S417" i="31"/>
  <c r="S494" i="31"/>
  <c r="S310" i="31"/>
  <c r="S743" i="31"/>
  <c r="S330" i="31"/>
  <c r="S595" i="31"/>
  <c r="S381" i="31"/>
  <c r="S377" i="31"/>
  <c r="S489" i="31"/>
  <c r="S475" i="31"/>
  <c r="S746" i="31"/>
  <c r="S695" i="31"/>
  <c r="S537" i="31"/>
  <c r="S351" i="31"/>
  <c r="S594" i="31"/>
  <c r="S741" i="31"/>
  <c r="S341" i="31"/>
  <c r="S496" i="31"/>
  <c r="S790" i="31"/>
  <c r="S517" i="31"/>
  <c r="S602" i="31"/>
  <c r="S308" i="31"/>
  <c r="S360" i="31"/>
  <c r="S633" i="31"/>
  <c r="S756" i="31"/>
  <c r="S582" i="31"/>
  <c r="S566" i="31"/>
  <c r="S414" i="31"/>
  <c r="S754" i="31"/>
  <c r="S405" i="31"/>
  <c r="S533" i="31"/>
  <c r="S347" i="31"/>
  <c r="S775" i="31"/>
  <c r="S488" i="31"/>
  <c r="S339" i="31"/>
  <c r="S603" i="31"/>
  <c r="S583" i="31"/>
  <c r="S365" i="31"/>
  <c r="S688" i="31"/>
  <c r="S604" i="31"/>
  <c r="S570" i="31"/>
  <c r="S553" i="31"/>
  <c r="S495" i="31"/>
  <c r="S552" i="31"/>
  <c r="S700" i="31"/>
  <c r="S423" i="31"/>
  <c r="S789" i="31"/>
  <c r="S327" i="31"/>
  <c r="S784" i="31"/>
  <c r="S445" i="31"/>
  <c r="S364" i="31"/>
  <c r="S362" i="31"/>
  <c r="S624" i="31"/>
  <c r="S481" i="31"/>
  <c r="S654" i="31"/>
  <c r="S429" i="31"/>
  <c r="S748" i="31"/>
  <c r="S508" i="31"/>
  <c r="S637" i="31"/>
  <c r="S370" i="31"/>
  <c r="S764" i="31"/>
  <c r="S307" i="31"/>
  <c r="S761" i="31"/>
  <c r="S737" i="31"/>
  <c r="S306" i="31"/>
  <c r="S450" i="31"/>
  <c r="S454" i="31"/>
  <c r="S618" i="31"/>
  <c r="S786" i="31"/>
  <c r="S656" i="31"/>
  <c r="S564" i="31"/>
  <c r="S350" i="31"/>
  <c r="S317" i="31"/>
  <c r="S514" i="31"/>
  <c r="S744" i="31"/>
  <c r="S357" i="31"/>
  <c r="S324" i="31"/>
  <c r="S418" i="31"/>
  <c r="S486" i="31"/>
  <c r="S567" i="31"/>
  <c r="S476" i="31"/>
  <c r="S332" i="31"/>
  <c r="S334" i="31"/>
  <c r="S408" i="31"/>
  <c r="S701" i="31"/>
  <c r="S616" i="31"/>
  <c r="S452" i="31"/>
  <c r="S769" i="31"/>
  <c r="S774" i="31"/>
  <c r="S740" i="31"/>
  <c r="S757" i="31"/>
  <c r="S557" i="31"/>
  <c r="S559" i="31"/>
  <c r="S733" i="31"/>
  <c r="S482" i="31"/>
  <c r="S348" i="31"/>
  <c r="S779" i="31"/>
  <c r="S742" i="31"/>
  <c r="S497" i="31"/>
  <c r="S468" i="31"/>
  <c r="S560" i="31"/>
  <c r="S620" i="31"/>
  <c r="S568" i="31"/>
  <c r="S363" i="31"/>
  <c r="S549" i="31"/>
  <c r="S511" i="31"/>
  <c r="S635" i="31"/>
  <c r="S763" i="31"/>
  <c r="S374" i="31"/>
  <c r="S442" i="31"/>
  <c r="S531" i="31"/>
  <c r="S487" i="31"/>
  <c r="S722" i="31"/>
  <c r="S591" i="31"/>
  <c r="S605" i="31"/>
  <c r="S346" i="31"/>
  <c r="S698" i="31"/>
  <c r="S677" i="31"/>
  <c r="S541" i="31"/>
  <c r="S315" i="31"/>
  <c r="S356" i="31"/>
  <c r="S345" i="31"/>
  <c r="S458" i="31"/>
  <c r="S718" i="31"/>
  <c r="S344" i="31"/>
  <c r="S772" i="31"/>
  <c r="S354" i="31"/>
  <c r="S309" i="31"/>
  <c r="S379" i="31"/>
  <c r="S451" i="31"/>
  <c r="S536" i="31"/>
  <c r="S538" i="31"/>
  <c r="S436" i="31"/>
  <c r="S749" i="31"/>
  <c r="S352" i="31"/>
  <c r="S623" i="31"/>
  <c r="S609" i="31"/>
  <c r="S366" i="31"/>
  <c r="S627" i="31"/>
  <c r="S626" i="31"/>
  <c r="S382" i="31"/>
  <c r="S731" i="31"/>
  <c r="S768" i="31"/>
  <c r="S589" i="31"/>
  <c r="S361" i="31"/>
  <c r="S685" i="31"/>
  <c r="S313" i="31"/>
  <c r="S396" i="31"/>
  <c r="S459" i="31"/>
  <c r="S588" i="31"/>
  <c r="S325" i="31"/>
  <c r="S471" i="31"/>
  <c r="S314" i="31"/>
  <c r="S456" i="31"/>
  <c r="S545" i="31"/>
  <c r="S597" i="31"/>
  <c r="S598" i="31"/>
  <c r="S783" i="31"/>
  <c r="S375" i="31"/>
  <c r="S689" i="31"/>
  <c r="S402" i="31"/>
  <c r="S678" i="31"/>
  <c r="S684" i="31"/>
  <c r="S437" i="31"/>
  <c r="S394" i="31"/>
  <c r="S565" i="31"/>
  <c r="S723" i="31"/>
  <c r="S721" i="31"/>
  <c r="S738" i="31"/>
  <c r="S479" i="31"/>
  <c r="S319" i="31"/>
  <c r="S401" i="31"/>
  <c r="S462" i="31"/>
  <c r="S548" i="31"/>
  <c r="S676" i="31"/>
  <c r="S726" i="31"/>
  <c r="S430" i="31"/>
  <c r="S716" i="31"/>
  <c r="S715" i="31"/>
  <c r="S490" i="31"/>
  <c r="S555" i="31"/>
  <c r="S664" i="31"/>
  <c r="S443" i="31"/>
  <c r="S639" i="31"/>
  <c r="S606" i="31"/>
  <c r="A14" i="58"/>
  <c r="A25" i="58"/>
  <c r="A26" i="58"/>
  <c r="A27" i="58"/>
  <c r="A28" i="58"/>
  <c r="A29" i="58"/>
  <c r="A30" i="58"/>
  <c r="A31" i="58"/>
  <c r="A32" i="58"/>
  <c r="A33" i="58"/>
  <c r="A34" i="58"/>
  <c r="A35" i="58"/>
  <c r="A36" i="58"/>
  <c r="A37" i="58"/>
  <c r="A38" i="58"/>
  <c r="A39" i="58"/>
  <c r="A40" i="58"/>
  <c r="A41" i="58"/>
  <c r="A42" i="58"/>
  <c r="A43" i="58"/>
  <c r="A44" i="58"/>
  <c r="A45" i="58"/>
  <c r="A46" i="58"/>
  <c r="A47" i="58"/>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80" i="58"/>
  <c r="A81" i="58"/>
  <c r="A82" i="58"/>
  <c r="A83" i="58"/>
  <c r="A84" i="58"/>
  <c r="A85" i="58"/>
  <c r="A86" i="58"/>
  <c r="A87" i="58"/>
  <c r="A88" i="58"/>
  <c r="A89" i="58"/>
  <c r="A90" i="58"/>
  <c r="A91" i="58"/>
  <c r="A92" i="58"/>
  <c r="A93" i="58"/>
  <c r="A94" i="58"/>
  <c r="A95" i="58"/>
  <c r="A96" i="58"/>
  <c r="A97" i="58"/>
  <c r="A98" i="58"/>
  <c r="A99" i="58"/>
  <c r="A100" i="58"/>
  <c r="A101" i="58"/>
  <c r="A102" i="58"/>
  <c r="A103" i="58"/>
  <c r="A104" i="58"/>
  <c r="A105" i="58"/>
  <c r="A106" i="58"/>
  <c r="A107" i="58"/>
  <c r="A108" i="58"/>
  <c r="A109" i="58"/>
  <c r="A110" i="58"/>
  <c r="A111" i="58"/>
  <c r="A112" i="58"/>
  <c r="A113" i="58"/>
  <c r="A114" i="58"/>
  <c r="A115" i="58"/>
  <c r="A116" i="58"/>
  <c r="A117" i="58"/>
  <c r="A118" i="58"/>
  <c r="A119" i="58"/>
  <c r="A120" i="58"/>
  <c r="A121" i="58"/>
  <c r="A122" i="58"/>
  <c r="A123" i="58"/>
  <c r="A124" i="58"/>
  <c r="A125" i="58"/>
  <c r="A126" i="58"/>
  <c r="A127" i="58"/>
  <c r="A128" i="58"/>
  <c r="A129" i="58"/>
  <c r="A130" i="58"/>
  <c r="A131" i="58"/>
  <c r="A132" i="58"/>
  <c r="A133" i="58"/>
  <c r="A134" i="58"/>
  <c r="A135" i="58"/>
  <c r="A136" i="58"/>
  <c r="A137" i="58"/>
  <c r="A138" i="58"/>
  <c r="A139" i="58"/>
  <c r="A140" i="58"/>
  <c r="A141" i="58"/>
  <c r="A142" i="58"/>
  <c r="A143" i="58"/>
  <c r="A144" i="58"/>
  <c r="A145" i="58"/>
  <c r="A146" i="58"/>
  <c r="A147" i="58"/>
  <c r="A148" i="58"/>
  <c r="A149" i="58"/>
  <c r="A150" i="58"/>
  <c r="A151" i="58"/>
  <c r="A152" i="58"/>
  <c r="A153" i="58"/>
  <c r="A154" i="58"/>
  <c r="A155" i="58"/>
  <c r="A156" i="58"/>
  <c r="A157" i="58"/>
  <c r="A158" i="58"/>
  <c r="A159" i="58"/>
  <c r="A160" i="58"/>
  <c r="A161" i="58"/>
  <c r="A162" i="58"/>
  <c r="A163" i="58"/>
  <c r="A164" i="58"/>
  <c r="A165" i="58"/>
  <c r="A166" i="58"/>
  <c r="A167" i="58"/>
  <c r="A168" i="58"/>
  <c r="A169" i="58"/>
  <c r="A170" i="58"/>
  <c r="A171" i="58"/>
  <c r="A172" i="58"/>
  <c r="A173" i="58"/>
  <c r="A174" i="58"/>
  <c r="A175" i="58"/>
  <c r="A176" i="58"/>
  <c r="A177" i="58"/>
  <c r="A178" i="58"/>
  <c r="A179" i="58"/>
  <c r="A180" i="58"/>
  <c r="A181" i="58"/>
  <c r="A182" i="58"/>
  <c r="A183" i="58"/>
  <c r="A184" i="58"/>
  <c r="A185" i="58"/>
  <c r="A186" i="58"/>
  <c r="A187" i="58"/>
  <c r="A188" i="58"/>
  <c r="A189" i="58"/>
  <c r="A190" i="58"/>
  <c r="A191" i="58"/>
  <c r="A192" i="58"/>
  <c r="A193" i="58"/>
  <c r="A194" i="58"/>
  <c r="A195" i="58"/>
  <c r="A196" i="58"/>
  <c r="A197" i="58"/>
  <c r="A198" i="58"/>
  <c r="A199" i="58"/>
  <c r="R233" i="31" l="1"/>
  <c r="R293" i="31"/>
  <c r="R295" i="31"/>
  <c r="R606" i="31"/>
  <c r="R345" i="31"/>
  <c r="R232" i="31"/>
  <c r="R361" i="31"/>
  <c r="R301" i="31"/>
  <c r="R216" i="31"/>
  <c r="R267" i="31"/>
  <c r="R782" i="31"/>
  <c r="R257" i="31"/>
  <c r="R775" i="31"/>
  <c r="R768" i="31"/>
  <c r="R422" i="31"/>
  <c r="R686" i="31"/>
  <c r="R728" i="31"/>
  <c r="R715" i="31"/>
  <c r="R346" i="31"/>
  <c r="R300" i="31"/>
  <c r="R298" i="31"/>
  <c r="R222" i="31"/>
  <c r="R367" i="31"/>
  <c r="R748" i="31"/>
  <c r="R314" i="31"/>
  <c r="R740" i="31"/>
  <c r="R343" i="31"/>
  <c r="R755" i="31"/>
  <c r="R689" i="31"/>
  <c r="R632" i="31"/>
  <c r="R248" i="31"/>
  <c r="R244" i="31"/>
  <c r="R432" i="31"/>
  <c r="R654" i="31"/>
  <c r="R351" i="31"/>
  <c r="R281" i="31"/>
  <c r="R269" i="31"/>
  <c r="R260" i="31"/>
  <c r="R436" i="31"/>
  <c r="R735" i="31"/>
  <c r="R709" i="31"/>
  <c r="R696" i="31"/>
  <c r="R774" i="31"/>
  <c r="R306" i="31"/>
  <c r="R769" i="31"/>
  <c r="R677" i="31"/>
  <c r="R220" i="31"/>
  <c r="R787" i="31"/>
  <c r="R754" i="31"/>
  <c r="R289" i="31"/>
  <c r="R674" i="31"/>
  <c r="R673" i="31"/>
  <c r="N234" i="21"/>
  <c r="R224" i="31"/>
  <c r="R218" i="31"/>
  <c r="R364" i="31"/>
  <c r="R652" i="31"/>
  <c r="N462" i="21"/>
  <c r="N461" i="21"/>
  <c r="R446" i="31"/>
  <c r="R294" i="31"/>
  <c r="R223" i="31"/>
  <c r="R221" i="31"/>
  <c r="N326" i="21"/>
  <c r="K326" i="21" s="1"/>
  <c r="R315" i="31"/>
  <c r="R256" i="31"/>
  <c r="R766" i="31"/>
  <c r="R285" i="31"/>
  <c r="R431" i="31"/>
  <c r="R444" i="31"/>
  <c r="R332" i="31"/>
  <c r="R772" i="31"/>
  <c r="R639" i="31"/>
  <c r="R761" i="31"/>
  <c r="R733" i="31"/>
  <c r="R749" i="31"/>
  <c r="R730" i="31"/>
  <c r="R678" i="31"/>
  <c r="R272" i="31"/>
  <c r="R463" i="31"/>
  <c r="R302" i="31"/>
  <c r="R747" i="31"/>
  <c r="R395" i="31"/>
  <c r="R718" i="31"/>
  <c r="R688" i="31"/>
  <c r="R514" i="31"/>
  <c r="R308" i="31"/>
  <c r="R711" i="31"/>
  <c r="R805" i="31"/>
  <c r="D785" i="31"/>
  <c r="D783" i="31"/>
  <c r="D784" i="31"/>
  <c r="D782" i="31"/>
  <c r="D780" i="31"/>
  <c r="D781" i="31"/>
  <c r="D790" i="31"/>
  <c r="D787" i="31"/>
  <c r="D779" i="31"/>
  <c r="D786" i="31"/>
  <c r="G810" i="21"/>
  <c r="G812" i="21"/>
  <c r="G811" i="21"/>
  <c r="G813" i="21"/>
  <c r="S642" i="31"/>
  <c r="S528" i="31"/>
  <c r="S523" i="31"/>
  <c r="S778" i="31"/>
  <c r="S734" i="31"/>
  <c r="S713" i="31"/>
  <c r="D7" i="31" l="1"/>
  <c r="D687" i="21"/>
  <c r="D808" i="21"/>
  <c r="D692" i="21"/>
  <c r="D807" i="21"/>
  <c r="D806" i="21"/>
  <c r="D805" i="21"/>
  <c r="D804" i="21"/>
  <c r="D803" i="21"/>
  <c r="D802" i="21"/>
  <c r="D801" i="21"/>
  <c r="D800" i="21"/>
  <c r="D799" i="21"/>
  <c r="D798" i="21"/>
  <c r="D797" i="21"/>
  <c r="D796" i="21"/>
  <c r="D795" i="21"/>
  <c r="D794" i="21"/>
  <c r="D793" i="21"/>
  <c r="D792" i="21"/>
  <c r="D791" i="21"/>
  <c r="D790" i="21"/>
  <c r="D789" i="21"/>
  <c r="D788" i="21"/>
  <c r="D787" i="21"/>
  <c r="F787" i="21" s="1"/>
  <c r="D786" i="21"/>
  <c r="D785" i="21"/>
  <c r="D784" i="21"/>
  <c r="D783" i="21"/>
  <c r="D782" i="21"/>
  <c r="D781" i="21"/>
  <c r="D780" i="21"/>
  <c r="D779" i="21"/>
  <c r="D778" i="21"/>
  <c r="D777" i="21"/>
  <c r="D776" i="21"/>
  <c r="D775" i="21"/>
  <c r="D774" i="21"/>
  <c r="D773" i="21"/>
  <c r="D772" i="21"/>
  <c r="D771" i="21"/>
  <c r="D770" i="21"/>
  <c r="D769" i="21"/>
  <c r="D768" i="21"/>
  <c r="D767" i="21"/>
  <c r="C6" i="31"/>
  <c r="X617" i="31"/>
  <c r="X427" i="31"/>
  <c r="X386" i="31"/>
  <c r="X326" i="31"/>
  <c r="Z326" i="31" s="1"/>
  <c r="Q326" i="31" s="1"/>
  <c r="D657" i="21"/>
  <c r="D659" i="21"/>
  <c r="D660" i="21"/>
  <c r="D661" i="21"/>
  <c r="D663" i="21"/>
  <c r="D664" i="21"/>
  <c r="D671" i="21"/>
  <c r="D673" i="21"/>
  <c r="D678" i="21"/>
  <c r="D685" i="21"/>
  <c r="D688" i="21"/>
  <c r="D689" i="21"/>
  <c r="D690" i="21"/>
  <c r="D693" i="21"/>
  <c r="D694" i="21"/>
  <c r="D695" i="21"/>
  <c r="D696" i="21"/>
  <c r="D697" i="21"/>
  <c r="D700" i="21"/>
  <c r="D702" i="21"/>
  <c r="D704" i="21"/>
  <c r="D707" i="21"/>
  <c r="D709" i="21"/>
  <c r="D715" i="21"/>
  <c r="D716" i="21"/>
  <c r="D717" i="21"/>
  <c r="D718" i="21"/>
  <c r="D722" i="21"/>
  <c r="D723" i="21"/>
  <c r="D725" i="21"/>
  <c r="D729" i="21"/>
  <c r="D733" i="21"/>
  <c r="D734" i="21"/>
  <c r="D735" i="21"/>
  <c r="D738" i="21"/>
  <c r="D739" i="21"/>
  <c r="D741" i="21"/>
  <c r="D747" i="21"/>
  <c r="D751" i="21"/>
  <c r="D756" i="21"/>
  <c r="D764" i="21"/>
  <c r="D680" i="21"/>
  <c r="D761" i="21"/>
  <c r="D762" i="21"/>
  <c r="D677" i="21"/>
  <c r="D699" i="21"/>
  <c r="D705" i="21"/>
  <c r="D728" i="21"/>
  <c r="D736" i="21"/>
  <c r="D655" i="21"/>
  <c r="D679" i="21"/>
  <c r="D681" i="21"/>
  <c r="D682" i="21"/>
  <c r="D683" i="21"/>
  <c r="D684" i="21"/>
  <c r="D691" i="21"/>
  <c r="D749" i="21"/>
  <c r="D748" i="21"/>
  <c r="D763" i="21"/>
  <c r="D765" i="21"/>
  <c r="D686" i="21"/>
  <c r="D703" i="21"/>
  <c r="D746" i="21"/>
  <c r="D766" i="21" l="1"/>
  <c r="F766" i="21" s="1"/>
  <c r="D18" i="21"/>
  <c r="O326" i="31"/>
  <c r="D37" i="31"/>
  <c r="F716" i="21"/>
  <c r="G716" i="21"/>
  <c r="F695" i="21"/>
  <c r="G695" i="21"/>
  <c r="G767" i="21"/>
  <c r="F767" i="21"/>
  <c r="G775" i="21"/>
  <c r="F775" i="21"/>
  <c r="G806" i="21"/>
  <c r="F806" i="21"/>
  <c r="F796" i="21"/>
  <c r="G796" i="21"/>
  <c r="G781" i="21"/>
  <c r="F781" i="21"/>
  <c r="G709" i="21"/>
  <c r="F709" i="21"/>
  <c r="F768" i="21"/>
  <c r="G768" i="21"/>
  <c r="F776" i="21"/>
  <c r="F807" i="21"/>
  <c r="G807" i="21"/>
  <c r="F738" i="21"/>
  <c r="F786" i="21"/>
  <c r="G786" i="21"/>
  <c r="G808" i="21"/>
  <c r="F808" i="21"/>
  <c r="F765" i="21"/>
  <c r="G765" i="21"/>
  <c r="G739" i="21"/>
  <c r="F739" i="21"/>
  <c r="G785" i="21"/>
  <c r="F785" i="21"/>
  <c r="F692" i="21"/>
  <c r="G692" i="21"/>
  <c r="G717" i="21"/>
  <c r="F717" i="21"/>
  <c r="G779" i="21"/>
  <c r="F779" i="21"/>
  <c r="G766" i="21" l="1"/>
  <c r="P326" i="31"/>
  <c r="N337" i="21" s="1"/>
  <c r="O337" i="21"/>
  <c r="R326" i="31"/>
  <c r="S326" i="31"/>
  <c r="E14" i="58"/>
  <c r="E25" i="58"/>
  <c r="E26" i="58"/>
  <c r="E27" i="58"/>
  <c r="E28" i="58"/>
  <c r="E29" i="58"/>
  <c r="E30" i="58"/>
  <c r="E31" i="58"/>
  <c r="E32" i="58"/>
  <c r="E34" i="58"/>
  <c r="E35" i="58"/>
  <c r="E36" i="58"/>
  <c r="E37" i="58"/>
  <c r="E38" i="58"/>
  <c r="E39" i="58"/>
  <c r="E40" i="58"/>
  <c r="E41" i="58"/>
  <c r="E42" i="58"/>
  <c r="E43" i="58"/>
  <c r="E44" i="58"/>
  <c r="E45" i="58"/>
  <c r="E46" i="58"/>
  <c r="E47" i="58"/>
  <c r="E48" i="58"/>
  <c r="E49" i="58"/>
  <c r="E50" i="58"/>
  <c r="E51" i="58"/>
  <c r="E52" i="58"/>
  <c r="E53" i="58"/>
  <c r="E54" i="58"/>
  <c r="E55" i="58"/>
  <c r="E56" i="58"/>
  <c r="E57" i="58"/>
  <c r="E58" i="58"/>
  <c r="E59" i="58"/>
  <c r="E60" i="58"/>
  <c r="E61" i="58"/>
  <c r="E62" i="58"/>
  <c r="E63" i="58"/>
  <c r="E64" i="58"/>
  <c r="E65" i="58"/>
  <c r="E66" i="58"/>
  <c r="E67" i="58"/>
  <c r="E68" i="58"/>
  <c r="E69" i="58"/>
  <c r="E70" i="58"/>
  <c r="E71" i="58"/>
  <c r="E72" i="58"/>
  <c r="E73" i="58"/>
  <c r="E74" i="58"/>
  <c r="E75" i="58"/>
  <c r="E76" i="58"/>
  <c r="E77" i="58"/>
  <c r="E78" i="58"/>
  <c r="E79" i="58"/>
  <c r="E80" i="58"/>
  <c r="E81" i="58"/>
  <c r="E82" i="58"/>
  <c r="E83" i="58"/>
  <c r="E84" i="58"/>
  <c r="E85" i="58"/>
  <c r="E86" i="58"/>
  <c r="E87" i="58"/>
  <c r="E88" i="58"/>
  <c r="E89" i="58"/>
  <c r="E90" i="58"/>
  <c r="E91" i="58"/>
  <c r="E92" i="58"/>
  <c r="E93" i="58"/>
  <c r="E94" i="58"/>
  <c r="E95" i="58"/>
  <c r="E96" i="58"/>
  <c r="E97" i="58"/>
  <c r="E98" i="58"/>
  <c r="E99" i="58"/>
  <c r="E100" i="58"/>
  <c r="E101" i="58"/>
  <c r="E102" i="58"/>
  <c r="E103" i="58"/>
  <c r="E104" i="58"/>
  <c r="E105" i="58"/>
  <c r="E106" i="58"/>
  <c r="E107" i="58"/>
  <c r="E108" i="58"/>
  <c r="E109" i="58"/>
  <c r="E110" i="58"/>
  <c r="E111" i="58"/>
  <c r="E112" i="58"/>
  <c r="E113" i="58"/>
  <c r="E114" i="58"/>
  <c r="E115" i="58"/>
  <c r="E116" i="58"/>
  <c r="E117" i="58"/>
  <c r="E118" i="58"/>
  <c r="E119" i="58"/>
  <c r="E120" i="58"/>
  <c r="E121" i="58"/>
  <c r="E122" i="58"/>
  <c r="E123" i="58"/>
  <c r="E124" i="58"/>
  <c r="E125" i="58"/>
  <c r="E126" i="58"/>
  <c r="E127" i="58"/>
  <c r="E128" i="58"/>
  <c r="E129" i="58"/>
  <c r="E130" i="58"/>
  <c r="E131" i="58"/>
  <c r="E132" i="58"/>
  <c r="E133" i="58"/>
  <c r="E134" i="58"/>
  <c r="E135" i="58"/>
  <c r="E136" i="58"/>
  <c r="E137" i="58"/>
  <c r="E138" i="58"/>
  <c r="E139" i="58"/>
  <c r="E140" i="58"/>
  <c r="E141" i="58"/>
  <c r="E142" i="58"/>
  <c r="E143" i="58"/>
  <c r="E144" i="58"/>
  <c r="E145" i="58"/>
  <c r="E146" i="58"/>
  <c r="E147" i="58"/>
  <c r="E148" i="58"/>
  <c r="E149" i="58"/>
  <c r="E150" i="58"/>
  <c r="E151" i="58"/>
  <c r="E152" i="58"/>
  <c r="E153" i="58"/>
  <c r="E154" i="58"/>
  <c r="E155" i="58"/>
  <c r="E156" i="58"/>
  <c r="E157" i="58"/>
  <c r="E158" i="58"/>
  <c r="E159" i="58"/>
  <c r="E160" i="58"/>
  <c r="E161" i="58"/>
  <c r="E162" i="58"/>
  <c r="E163" i="58"/>
  <c r="E164" i="58"/>
  <c r="E165" i="58"/>
  <c r="E166" i="58"/>
  <c r="E167" i="58"/>
  <c r="E168" i="58"/>
  <c r="E169" i="58"/>
  <c r="E170" i="58"/>
  <c r="G170" i="58" s="1"/>
  <c r="E171" i="58"/>
  <c r="G171" i="58" s="1"/>
  <c r="E172" i="58"/>
  <c r="G172" i="58" s="1"/>
  <c r="E173" i="58"/>
  <c r="G173" i="58" s="1"/>
  <c r="E174" i="58"/>
  <c r="G174" i="58" s="1"/>
  <c r="E175" i="58"/>
  <c r="G175" i="58" s="1"/>
  <c r="E176" i="58"/>
  <c r="G176" i="58" s="1"/>
  <c r="E177" i="58"/>
  <c r="G177" i="58" s="1"/>
  <c r="E178" i="58"/>
  <c r="G178" i="58" s="1"/>
  <c r="E179" i="58"/>
  <c r="G179" i="58" s="1"/>
  <c r="E180" i="58"/>
  <c r="G180" i="58" s="1"/>
  <c r="E181" i="58"/>
  <c r="G181" i="58" s="1"/>
  <c r="E182" i="58"/>
  <c r="G182" i="58" s="1"/>
  <c r="E183" i="58"/>
  <c r="G183" i="58" s="1"/>
  <c r="E184" i="58"/>
  <c r="G184" i="58" s="1"/>
  <c r="E185" i="58"/>
  <c r="G185" i="58" s="1"/>
  <c r="E186" i="58"/>
  <c r="G186" i="58" s="1"/>
  <c r="E187" i="58"/>
  <c r="G187" i="58" s="1"/>
  <c r="E188" i="58"/>
  <c r="G188" i="58" s="1"/>
  <c r="E189" i="58"/>
  <c r="G189" i="58" s="1"/>
  <c r="E190" i="58"/>
  <c r="G190" i="58" s="1"/>
  <c r="E191" i="58"/>
  <c r="G191" i="58" s="1"/>
  <c r="E192" i="58"/>
  <c r="G192" i="58" s="1"/>
  <c r="E193" i="58"/>
  <c r="G193" i="58" s="1"/>
  <c r="E194" i="58"/>
  <c r="G194" i="58" s="1"/>
  <c r="E195" i="58"/>
  <c r="G195" i="58" s="1"/>
  <c r="E196" i="58"/>
  <c r="G196" i="58" s="1"/>
  <c r="E197" i="58"/>
  <c r="G197" i="58" s="1"/>
  <c r="E198" i="58"/>
  <c r="G198" i="58" s="1"/>
  <c r="E199" i="58"/>
  <c r="G199" i="58" s="1"/>
  <c r="A14"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2" i="57"/>
  <c r="A93" i="57"/>
  <c r="A94" i="57"/>
  <c r="A95" i="57"/>
  <c r="A96"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0" i="57"/>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13" i="57"/>
  <c r="A14" i="56"/>
  <c r="A15"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69" i="56"/>
  <c r="A70" i="56"/>
  <c r="A71" i="56"/>
  <c r="A72" i="56"/>
  <c r="A73" i="56"/>
  <c r="A74" i="56"/>
  <c r="A75" i="56"/>
  <c r="A76" i="56"/>
  <c r="A77" i="56"/>
  <c r="A78" i="56"/>
  <c r="A79" i="56"/>
  <c r="A80" i="56"/>
  <c r="A81" i="56"/>
  <c r="A82" i="56"/>
  <c r="A83" i="56"/>
  <c r="A84" i="56"/>
  <c r="A85" i="56"/>
  <c r="A86" i="56"/>
  <c r="A87" i="56"/>
  <c r="A88" i="56"/>
  <c r="A89" i="56"/>
  <c r="A90" i="56"/>
  <c r="A91" i="56"/>
  <c r="A92" i="56"/>
  <c r="A93" i="56"/>
  <c r="A94" i="56"/>
  <c r="A95" i="56"/>
  <c r="A96" i="56"/>
  <c r="A97" i="56"/>
  <c r="A98" i="56"/>
  <c r="A99" i="56"/>
  <c r="A100" i="56"/>
  <c r="A101" i="56"/>
  <c r="A102" i="56"/>
  <c r="A103" i="56"/>
  <c r="A104" i="56"/>
  <c r="A105" i="56"/>
  <c r="A106" i="56"/>
  <c r="A107" i="56"/>
  <c r="A108" i="56"/>
  <c r="A109" i="56"/>
  <c r="A110" i="56"/>
  <c r="A111" i="56"/>
  <c r="A112" i="56"/>
  <c r="A113" i="56"/>
  <c r="A114" i="56"/>
  <c r="A115" i="56"/>
  <c r="A116" i="56"/>
  <c r="A117" i="56"/>
  <c r="A118" i="56"/>
  <c r="A119" i="56"/>
  <c r="A120" i="56"/>
  <c r="A121" i="56"/>
  <c r="A122" i="56"/>
  <c r="A123" i="56"/>
  <c r="A124" i="56"/>
  <c r="A125" i="56"/>
  <c r="A126" i="56"/>
  <c r="A127" i="56"/>
  <c r="A128" i="56"/>
  <c r="A129" i="56"/>
  <c r="A130" i="56"/>
  <c r="A131" i="56"/>
  <c r="A132" i="56"/>
  <c r="A133" i="56"/>
  <c r="A134" i="56"/>
  <c r="A135" i="56"/>
  <c r="A136" i="56"/>
  <c r="A137" i="56"/>
  <c r="A138" i="56"/>
  <c r="A139" i="56"/>
  <c r="A140" i="56"/>
  <c r="A141" i="56"/>
  <c r="A142" i="56"/>
  <c r="A143" i="56"/>
  <c r="A144" i="56"/>
  <c r="A145" i="56"/>
  <c r="A146" i="56"/>
  <c r="A147" i="56"/>
  <c r="A148" i="56"/>
  <c r="A149" i="56"/>
  <c r="A150" i="56"/>
  <c r="A151" i="56"/>
  <c r="A152" i="56"/>
  <c r="A153" i="56"/>
  <c r="A154" i="56"/>
  <c r="A155" i="56"/>
  <c r="A156" i="56"/>
  <c r="A157" i="56"/>
  <c r="A158" i="56"/>
  <c r="A159" i="56"/>
  <c r="A160" i="56"/>
  <c r="A161" i="56"/>
  <c r="A162" i="56"/>
  <c r="A163" i="56"/>
  <c r="A164" i="56"/>
  <c r="A165" i="56"/>
  <c r="A166" i="56"/>
  <c r="A167" i="56"/>
  <c r="A168" i="56"/>
  <c r="A169" i="56"/>
  <c r="A170" i="56"/>
  <c r="A171" i="56"/>
  <c r="A172" i="56"/>
  <c r="A173" i="56"/>
  <c r="A174" i="56"/>
  <c r="A175" i="56"/>
  <c r="A176" i="56"/>
  <c r="A177" i="56"/>
  <c r="A178" i="56"/>
  <c r="A179" i="56"/>
  <c r="A180" i="56"/>
  <c r="A181" i="56"/>
  <c r="A182" i="56"/>
  <c r="A183" i="56"/>
  <c r="A184" i="56"/>
  <c r="A185" i="56"/>
  <c r="A186" i="56"/>
  <c r="A187" i="56"/>
  <c r="A188" i="56"/>
  <c r="A189" i="56"/>
  <c r="A190" i="56"/>
  <c r="A191" i="56"/>
  <c r="A192" i="56"/>
  <c r="A193" i="56"/>
  <c r="A194" i="56"/>
  <c r="A195" i="56"/>
  <c r="A196" i="56"/>
  <c r="A197" i="56"/>
  <c r="A198" i="56"/>
  <c r="A199" i="56"/>
  <c r="A13" i="56"/>
  <c r="A13" i="58"/>
  <c r="D41" i="21"/>
  <c r="D52" i="21"/>
  <c r="D80" i="21"/>
  <c r="D109" i="21"/>
  <c r="D114" i="21"/>
  <c r="D136" i="21"/>
  <c r="D157" i="21"/>
  <c r="D158" i="21"/>
  <c r="D186" i="21"/>
  <c r="D187" i="21"/>
  <c r="D193" i="21"/>
  <c r="D586" i="21"/>
  <c r="D589" i="21"/>
  <c r="D629" i="21"/>
  <c r="D637" i="21"/>
  <c r="D262" i="21"/>
  <c r="D306" i="21"/>
  <c r="D339" i="21"/>
  <c r="D350" i="21"/>
  <c r="D369" i="21"/>
  <c r="D392" i="21"/>
  <c r="D417" i="21"/>
  <c r="D418" i="21"/>
  <c r="D415" i="21"/>
  <c r="D419" i="21"/>
  <c r="D421" i="21"/>
  <c r="D455" i="21"/>
  <c r="D465" i="21"/>
  <c r="D466" i="21"/>
  <c r="D467" i="21"/>
  <c r="D484" i="21"/>
  <c r="D491" i="21"/>
  <c r="D495" i="21"/>
  <c r="D496" i="21"/>
  <c r="D499" i="21"/>
  <c r="D500" i="21"/>
  <c r="D503" i="21"/>
  <c r="D504" i="21"/>
  <c r="D505" i="21"/>
  <c r="D507" i="21"/>
  <c r="D50" i="21"/>
  <c r="D422" i="21"/>
  <c r="D560" i="21"/>
  <c r="D587" i="21"/>
  <c r="D643" i="21"/>
  <c r="D40" i="21"/>
  <c r="D51" i="21"/>
  <c r="D138" i="21"/>
  <c r="D220" i="21"/>
  <c r="D232" i="21"/>
  <c r="D123" i="21"/>
  <c r="D302" i="21"/>
  <c r="D307" i="21"/>
  <c r="D481" i="21"/>
  <c r="D482" i="21"/>
  <c r="D483" i="21"/>
  <c r="D485" i="21"/>
  <c r="D487" i="21"/>
  <c r="D585" i="21"/>
  <c r="D590" i="21"/>
  <c r="D631" i="21"/>
  <c r="D633" i="21"/>
  <c r="D634" i="21"/>
  <c r="D635" i="21"/>
  <c r="D641" i="21"/>
  <c r="D644" i="21"/>
  <c r="D645" i="21"/>
  <c r="D646" i="21"/>
  <c r="D583" i="21"/>
  <c r="D588" i="21"/>
  <c r="D623" i="21"/>
  <c r="D625" i="21"/>
  <c r="D627" i="21"/>
  <c r="D636" i="21"/>
  <c r="D638" i="21"/>
  <c r="D639" i="21"/>
  <c r="D642" i="21"/>
  <c r="D648" i="21"/>
  <c r="D231" i="21"/>
  <c r="D255" i="21"/>
  <c r="D290" i="21"/>
  <c r="D381" i="21"/>
  <c r="D501" i="21"/>
  <c r="D506" i="21"/>
  <c r="D617" i="21"/>
  <c r="D652" i="21"/>
  <c r="D769" i="31" l="1"/>
  <c r="D759" i="31"/>
  <c r="D752" i="31"/>
  <c r="D743" i="31"/>
  <c r="D734" i="31"/>
  <c r="D766" i="31"/>
  <c r="D717" i="31"/>
  <c r="D707" i="31"/>
  <c r="D695" i="31"/>
  <c r="D685" i="31"/>
  <c r="D666" i="31"/>
  <c r="D652" i="31"/>
  <c r="D644" i="31"/>
  <c r="D635" i="31"/>
  <c r="D627" i="31"/>
  <c r="D618" i="31"/>
  <c r="D492" i="31"/>
  <c r="D93" i="31"/>
  <c r="D40" i="31"/>
  <c r="D11" i="31"/>
  <c r="D97" i="31"/>
  <c r="D63" i="31"/>
  <c r="D12" i="31"/>
  <c r="D57" i="31"/>
  <c r="D149" i="31"/>
  <c r="D125" i="31"/>
  <c r="D109" i="31"/>
  <c r="D58" i="31"/>
  <c r="D6" i="31"/>
  <c r="D578" i="31"/>
  <c r="D9" i="31"/>
  <c r="D53" i="31"/>
  <c r="D608" i="31"/>
  <c r="D296" i="31"/>
  <c r="D736" i="31"/>
  <c r="D670" i="31"/>
  <c r="D615" i="31"/>
  <c r="D321" i="31"/>
  <c r="D598" i="31"/>
  <c r="D589" i="31"/>
  <c r="D36" i="31"/>
  <c r="D579" i="31"/>
  <c r="D565" i="31"/>
  <c r="D556" i="31"/>
  <c r="D82" i="31"/>
  <c r="D549" i="31"/>
  <c r="D534" i="31"/>
  <c r="D532" i="31"/>
  <c r="D524" i="31"/>
  <c r="D516" i="31"/>
  <c r="D501" i="31"/>
  <c r="D490" i="31"/>
  <c r="D482" i="31"/>
  <c r="D476" i="31"/>
  <c r="D469" i="31"/>
  <c r="D461" i="31"/>
  <c r="D454" i="31"/>
  <c r="D444" i="31"/>
  <c r="D448" i="31"/>
  <c r="D436" i="31"/>
  <c r="D427" i="31"/>
  <c r="D420" i="31"/>
  <c r="D409" i="31"/>
  <c r="D403" i="31"/>
  <c r="D394" i="31"/>
  <c r="D381" i="31"/>
  <c r="D373" i="31"/>
  <c r="D368" i="31"/>
  <c r="D360" i="31"/>
  <c r="D349" i="31"/>
  <c r="D351" i="31"/>
  <c r="D330" i="31"/>
  <c r="D331" i="31"/>
  <c r="D114" i="31"/>
  <c r="D32" i="31"/>
  <c r="D314" i="31"/>
  <c r="D309" i="31"/>
  <c r="D299" i="31"/>
  <c r="D292" i="31"/>
  <c r="D283" i="31"/>
  <c r="D274" i="31"/>
  <c r="D265" i="31"/>
  <c r="D257" i="31"/>
  <c r="D249" i="31"/>
  <c r="D241" i="31"/>
  <c r="D231" i="31"/>
  <c r="D216" i="31"/>
  <c r="D211" i="31"/>
  <c r="D661" i="31"/>
  <c r="D203" i="31"/>
  <c r="D198" i="31"/>
  <c r="D189" i="31"/>
  <c r="D180" i="31"/>
  <c r="D172" i="31"/>
  <c r="D162" i="31"/>
  <c r="D154" i="31"/>
  <c r="D772" i="31"/>
  <c r="D761" i="31"/>
  <c r="D751" i="31"/>
  <c r="D742" i="31"/>
  <c r="D733" i="31"/>
  <c r="D725" i="31"/>
  <c r="D723" i="31"/>
  <c r="D716" i="31"/>
  <c r="D706" i="31"/>
  <c r="D694" i="31"/>
  <c r="D684" i="31"/>
  <c r="D676" i="31"/>
  <c r="D664" i="31"/>
  <c r="D651" i="31"/>
  <c r="D643" i="31"/>
  <c r="D634" i="31"/>
  <c r="D626" i="31"/>
  <c r="D617" i="31"/>
  <c r="D421" i="31"/>
  <c r="D85" i="31"/>
  <c r="D31" i="31"/>
  <c r="D227" i="31"/>
  <c r="D96" i="31"/>
  <c r="D19" i="31"/>
  <c r="D188" i="31"/>
  <c r="D46" i="31"/>
  <c r="D148" i="31"/>
  <c r="D124" i="31"/>
  <c r="D92" i="31"/>
  <c r="D55" i="31"/>
  <c r="D575" i="31"/>
  <c r="D577" i="31"/>
  <c r="D52" i="31"/>
  <c r="D607" i="31"/>
  <c r="D268" i="31"/>
  <c r="D729" i="31"/>
  <c r="D669" i="31"/>
  <c r="D610" i="31"/>
  <c r="D316" i="31"/>
  <c r="D597" i="31"/>
  <c r="D587" i="31"/>
  <c r="D573" i="31"/>
  <c r="D564" i="31"/>
  <c r="D555" i="31"/>
  <c r="D81" i="31"/>
  <c r="D538" i="31"/>
  <c r="D139" i="31"/>
  <c r="D531" i="31"/>
  <c r="D514" i="31"/>
  <c r="D500" i="31"/>
  <c r="D489" i="31"/>
  <c r="D494" i="31"/>
  <c r="D474" i="31"/>
  <c r="D468" i="31"/>
  <c r="D460" i="31"/>
  <c r="D453" i="31"/>
  <c r="D473" i="31"/>
  <c r="D438" i="31"/>
  <c r="D426" i="31"/>
  <c r="D419" i="31"/>
  <c r="D408" i="31"/>
  <c r="D402" i="31"/>
  <c r="D393" i="31"/>
  <c r="D380" i="31"/>
  <c r="D372" i="31"/>
  <c r="D367" i="31"/>
  <c r="D359" i="31"/>
  <c r="D348" i="31"/>
  <c r="D341" i="31"/>
  <c r="D335" i="31"/>
  <c r="D325" i="31"/>
  <c r="D111" i="31"/>
  <c r="D27" i="31"/>
  <c r="D313" i="31"/>
  <c r="D308" i="31"/>
  <c r="D298" i="31"/>
  <c r="D291" i="31"/>
  <c r="D282" i="31"/>
  <c r="D273" i="31"/>
  <c r="D264" i="31"/>
  <c r="D256" i="31"/>
  <c r="D248" i="31"/>
  <c r="D240" i="31"/>
  <c r="D230" i="31"/>
  <c r="D220" i="31"/>
  <c r="D210" i="31"/>
  <c r="D653" i="31"/>
  <c r="D193" i="31"/>
  <c r="D197" i="31"/>
  <c r="D187" i="31"/>
  <c r="D179" i="31"/>
  <c r="D171" i="31"/>
  <c r="D161" i="31"/>
  <c r="D153" i="31"/>
  <c r="D539" i="31"/>
  <c r="D768" i="31"/>
  <c r="D758" i="31"/>
  <c r="D750" i="31"/>
  <c r="D741" i="31"/>
  <c r="D732" i="31"/>
  <c r="D724" i="31"/>
  <c r="D722" i="31"/>
  <c r="D715" i="31"/>
  <c r="D705" i="31"/>
  <c r="D693" i="31"/>
  <c r="D683" i="31"/>
  <c r="D675" i="31"/>
  <c r="D663" i="31"/>
  <c r="D650" i="31"/>
  <c r="D633" i="31"/>
  <c r="D625" i="31"/>
  <c r="D616" i="31"/>
  <c r="D357" i="31"/>
  <c r="D84" i="31"/>
  <c r="D30" i="31"/>
  <c r="D138" i="31"/>
  <c r="D98" i="31"/>
  <c r="D18" i="31"/>
  <c r="D170" i="31"/>
  <c r="D44" i="31"/>
  <c r="D147" i="31"/>
  <c r="D122" i="31"/>
  <c r="D91" i="31"/>
  <c r="D45" i="31"/>
  <c r="D609" i="31"/>
  <c r="D574" i="31"/>
  <c r="D392" i="31"/>
  <c r="D51" i="31"/>
  <c r="D606" i="31"/>
  <c r="D237" i="31"/>
  <c r="D776" i="31"/>
  <c r="D668" i="31"/>
  <c r="D510" i="31"/>
  <c r="D279" i="31"/>
  <c r="D596" i="31"/>
  <c r="D586" i="31"/>
  <c r="D583" i="31"/>
  <c r="D572" i="31"/>
  <c r="D563" i="31"/>
  <c r="D554" i="31"/>
  <c r="D548" i="31"/>
  <c r="D537" i="31"/>
  <c r="D79" i="31"/>
  <c r="D530" i="31"/>
  <c r="D522" i="31"/>
  <c r="D513" i="31"/>
  <c r="D499" i="31"/>
  <c r="D488" i="31"/>
  <c r="D481" i="31"/>
  <c r="D472" i="31"/>
  <c r="D467" i="31"/>
  <c r="D459" i="31"/>
  <c r="D443" i="31"/>
  <c r="D437" i="31"/>
  <c r="D425" i="31"/>
  <c r="D418" i="31"/>
  <c r="D407" i="31"/>
  <c r="D401" i="31"/>
  <c r="D388" i="31"/>
  <c r="D379" i="31"/>
  <c r="D701" i="31"/>
  <c r="D366" i="31"/>
  <c r="D358" i="31"/>
  <c r="D347" i="31"/>
  <c r="D340" i="31"/>
  <c r="D334" i="31"/>
  <c r="D324" i="31"/>
  <c r="D108" i="31"/>
  <c r="D322" i="31"/>
  <c r="D312" i="31"/>
  <c r="D307" i="31"/>
  <c r="D302" i="31"/>
  <c r="D290" i="31"/>
  <c r="D281" i="31"/>
  <c r="D272" i="31"/>
  <c r="D263" i="31"/>
  <c r="D255" i="31"/>
  <c r="D247" i="31"/>
  <c r="D238" i="31"/>
  <c r="D226" i="31"/>
  <c r="D219" i="31"/>
  <c r="D209" i="31"/>
  <c r="D614" i="31"/>
  <c r="D120" i="31"/>
  <c r="D196" i="31"/>
  <c r="D186" i="31"/>
  <c r="D178" i="31"/>
  <c r="D169" i="31"/>
  <c r="D160" i="31"/>
  <c r="D152" i="31"/>
  <c r="D777" i="31"/>
  <c r="D767" i="31"/>
  <c r="D757" i="31"/>
  <c r="D749" i="31"/>
  <c r="D740" i="31"/>
  <c r="D731" i="31"/>
  <c r="D721" i="31"/>
  <c r="D712" i="31"/>
  <c r="D704" i="31"/>
  <c r="D690" i="31"/>
  <c r="D681" i="31"/>
  <c r="D674" i="31"/>
  <c r="D662" i="31"/>
  <c r="D649" i="31"/>
  <c r="D641" i="31"/>
  <c r="D632" i="31"/>
  <c r="D624" i="31"/>
  <c r="D613" i="31"/>
  <c r="D356" i="31"/>
  <c r="D70" i="31"/>
  <c r="D24" i="31"/>
  <c r="D137" i="31"/>
  <c r="D99" i="31"/>
  <c r="D17" i="31"/>
  <c r="D78" i="31"/>
  <c r="D26" i="31"/>
  <c r="D146" i="31"/>
  <c r="D89" i="31"/>
  <c r="D39" i="31"/>
  <c r="D692" i="31"/>
  <c r="D576" i="31"/>
  <c r="D389" i="31"/>
  <c r="D50" i="31"/>
  <c r="D605" i="31"/>
  <c r="D116" i="31"/>
  <c r="D770" i="31"/>
  <c r="D665" i="31"/>
  <c r="D509" i="31"/>
  <c r="D239" i="31"/>
  <c r="D595" i="31"/>
  <c r="D585" i="31"/>
  <c r="D588" i="31"/>
  <c r="D570" i="31"/>
  <c r="D562" i="31"/>
  <c r="D553" i="31"/>
  <c r="D547" i="31"/>
  <c r="D546" i="31"/>
  <c r="D72" i="31"/>
  <c r="D529" i="31"/>
  <c r="D521" i="31"/>
  <c r="D512" i="31"/>
  <c r="D498" i="31"/>
  <c r="D487" i="31"/>
  <c r="D480" i="31"/>
  <c r="D471" i="31"/>
  <c r="D466" i="31"/>
  <c r="D458" i="31"/>
  <c r="D452" i="31"/>
  <c r="D442" i="31"/>
  <c r="D699" i="31"/>
  <c r="D431" i="31"/>
  <c r="D424" i="31"/>
  <c r="D417" i="31"/>
  <c r="D411" i="31"/>
  <c r="D400" i="31"/>
  <c r="D387" i="31"/>
  <c r="D378" i="31"/>
  <c r="D371" i="31"/>
  <c r="D365" i="31"/>
  <c r="D355" i="31"/>
  <c r="D346" i="31"/>
  <c r="D339" i="31"/>
  <c r="D333" i="31"/>
  <c r="D323" i="31"/>
  <c r="D68" i="31"/>
  <c r="D320" i="31"/>
  <c r="D682" i="31"/>
  <c r="D306" i="31"/>
  <c r="D301" i="31"/>
  <c r="D289" i="31"/>
  <c r="D280" i="31"/>
  <c r="D271" i="31"/>
  <c r="D262" i="31"/>
  <c r="D254" i="31"/>
  <c r="D246" i="31"/>
  <c r="D236" i="31"/>
  <c r="D224" i="31"/>
  <c r="D218" i="31"/>
  <c r="D208" i="31"/>
  <c r="D611" i="31"/>
  <c r="D195" i="31"/>
  <c r="D185" i="31"/>
  <c r="D177" i="31"/>
  <c r="D168" i="31"/>
  <c r="D159" i="31"/>
  <c r="D151" i="31"/>
  <c r="D774" i="31"/>
  <c r="D765" i="31"/>
  <c r="D756" i="31"/>
  <c r="D747" i="31"/>
  <c r="D739" i="31"/>
  <c r="D730" i="31"/>
  <c r="D720" i="31"/>
  <c r="D711" i="31"/>
  <c r="D700" i="31"/>
  <c r="D689" i="31"/>
  <c r="D680" i="31"/>
  <c r="D648" i="31"/>
  <c r="D640" i="31"/>
  <c r="D631" i="31"/>
  <c r="D623" i="31"/>
  <c r="D637" i="31"/>
  <c r="D288" i="31"/>
  <c r="D61" i="31"/>
  <c r="D23" i="31"/>
  <c r="D107" i="31"/>
  <c r="D66" i="31"/>
  <c r="D16" i="31"/>
  <c r="D77" i="31"/>
  <c r="D25" i="31"/>
  <c r="D145" i="31"/>
  <c r="D119" i="31"/>
  <c r="D118" i="31"/>
  <c r="D88" i="31"/>
  <c r="D29" i="31"/>
  <c r="D691" i="31"/>
  <c r="D123" i="31"/>
  <c r="D390" i="31"/>
  <c r="D49" i="31"/>
  <c r="D604" i="31"/>
  <c r="D601" i="31"/>
  <c r="D90" i="31"/>
  <c r="D659" i="31"/>
  <c r="D507" i="31"/>
  <c r="D225" i="31"/>
  <c r="D593" i="31"/>
  <c r="D667" i="31"/>
  <c r="D582" i="31"/>
  <c r="D569" i="31"/>
  <c r="D560" i="31"/>
  <c r="D552" i="31"/>
  <c r="D541" i="31"/>
  <c r="D543" i="31"/>
  <c r="D71" i="31"/>
  <c r="D528" i="31"/>
  <c r="D520" i="31"/>
  <c r="D511" i="31"/>
  <c r="D497" i="31"/>
  <c r="D486" i="31"/>
  <c r="D479" i="31"/>
  <c r="D470" i="31"/>
  <c r="D465" i="31"/>
  <c r="D457" i="31"/>
  <c r="D451" i="31"/>
  <c r="D441" i="31"/>
  <c r="D435" i="31"/>
  <c r="D423" i="31"/>
  <c r="D416" i="31"/>
  <c r="D410" i="31"/>
  <c r="D398" i="31"/>
  <c r="D386" i="31"/>
  <c r="D377" i="31"/>
  <c r="D229" i="31"/>
  <c r="D364" i="31"/>
  <c r="D354" i="31"/>
  <c r="D345" i="31"/>
  <c r="D338" i="31"/>
  <c r="D329" i="31"/>
  <c r="D150" i="31"/>
  <c r="D38" i="31"/>
  <c r="D319" i="31"/>
  <c r="D305" i="31"/>
  <c r="D297" i="31"/>
  <c r="D287" i="31"/>
  <c r="D278" i="31"/>
  <c r="D270" i="31"/>
  <c r="D261" i="31"/>
  <c r="D253" i="31"/>
  <c r="D245" i="31"/>
  <c r="D235" i="31"/>
  <c r="D223" i="31"/>
  <c r="D215" i="31"/>
  <c r="D207" i="31"/>
  <c r="D414" i="31"/>
  <c r="D202" i="31"/>
  <c r="D194" i="31"/>
  <c r="D184" i="31"/>
  <c r="D176" i="31"/>
  <c r="D167" i="31"/>
  <c r="D158" i="31"/>
  <c r="D165" i="31"/>
  <c r="D775" i="31"/>
  <c r="D764" i="31"/>
  <c r="D755" i="31"/>
  <c r="D746" i="31"/>
  <c r="D738" i="31"/>
  <c r="D728" i="31"/>
  <c r="D748" i="31"/>
  <c r="D710" i="31"/>
  <c r="D698" i="31"/>
  <c r="D688" i="31"/>
  <c r="D679" i="31"/>
  <c r="D673" i="31"/>
  <c r="D660" i="31"/>
  <c r="D647" i="31"/>
  <c r="D639" i="31"/>
  <c r="D630" i="31"/>
  <c r="D621" i="31"/>
  <c r="D540" i="31"/>
  <c r="D228" i="31"/>
  <c r="D60" i="31"/>
  <c r="D22" i="31"/>
  <c r="D106" i="31"/>
  <c r="D64" i="31"/>
  <c r="D15" i="31"/>
  <c r="D104" i="31"/>
  <c r="D76" i="31"/>
  <c r="D142" i="31"/>
  <c r="D117" i="31"/>
  <c r="D87" i="31"/>
  <c r="D10" i="31"/>
  <c r="D110" i="31"/>
  <c r="D391" i="31"/>
  <c r="D48" i="31"/>
  <c r="D603" i="31"/>
  <c r="D600" i="31"/>
  <c r="D658" i="31"/>
  <c r="D505" i="31"/>
  <c r="D121" i="31"/>
  <c r="D592" i="31"/>
  <c r="D612" i="31"/>
  <c r="D581" i="31"/>
  <c r="D568" i="31"/>
  <c r="D559" i="31"/>
  <c r="D551" i="31"/>
  <c r="D545" i="31"/>
  <c r="D542" i="31"/>
  <c r="D74" i="31"/>
  <c r="D527" i="31"/>
  <c r="D519" i="31"/>
  <c r="D508" i="31"/>
  <c r="D496" i="31"/>
  <c r="D485" i="31"/>
  <c r="D475" i="31"/>
  <c r="D140" i="31"/>
  <c r="D464" i="31"/>
  <c r="D456" i="31"/>
  <c r="D440" i="31"/>
  <c r="D433" i="31"/>
  <c r="D430" i="31"/>
  <c r="D136" i="31"/>
  <c r="D415" i="31"/>
  <c r="D406" i="31"/>
  <c r="D397" i="31"/>
  <c r="D384" i="31"/>
  <c r="D376" i="31"/>
  <c r="D363" i="31"/>
  <c r="D353" i="31"/>
  <c r="D344" i="31"/>
  <c r="D337" i="31"/>
  <c r="D328" i="31"/>
  <c r="D144" i="31"/>
  <c r="D35" i="31"/>
  <c r="D318" i="31"/>
  <c r="D304" i="31"/>
  <c r="D295" i="31"/>
  <c r="D286" i="31"/>
  <c r="D277" i="31"/>
  <c r="D269" i="31"/>
  <c r="D260" i="31"/>
  <c r="D252" i="31"/>
  <c r="D244" i="31"/>
  <c r="D234" i="31"/>
  <c r="D222" i="31"/>
  <c r="D214" i="31"/>
  <c r="D206" i="31"/>
  <c r="D201" i="31"/>
  <c r="D192" i="31"/>
  <c r="D183" i="31"/>
  <c r="D175" i="31"/>
  <c r="D166" i="31"/>
  <c r="D157" i="31"/>
  <c r="D773" i="31"/>
  <c r="D763" i="31"/>
  <c r="D754" i="31"/>
  <c r="D745" i="31"/>
  <c r="D737" i="31"/>
  <c r="D727" i="31"/>
  <c r="D719" i="31"/>
  <c r="D709" i="31"/>
  <c r="D697" i="31"/>
  <c r="D687" i="31"/>
  <c r="D678" i="31"/>
  <c r="D672" i="31"/>
  <c r="D656" i="31"/>
  <c r="D646" i="31"/>
  <c r="D638" i="31"/>
  <c r="D629" i="31"/>
  <c r="D620" i="31"/>
  <c r="D515" i="31"/>
  <c r="D113" i="31"/>
  <c r="D56" i="31"/>
  <c r="D21" i="31"/>
  <c r="D105" i="31"/>
  <c r="D14" i="31"/>
  <c r="D103" i="31"/>
  <c r="D75" i="31"/>
  <c r="D141" i="31"/>
  <c r="D115" i="31"/>
  <c r="D86" i="31"/>
  <c r="D8" i="31"/>
  <c r="D101" i="31"/>
  <c r="D385" i="31"/>
  <c r="D47" i="31"/>
  <c r="D602" i="31"/>
  <c r="D599" i="31"/>
  <c r="D703" i="31"/>
  <c r="D657" i="31"/>
  <c r="D504" i="31"/>
  <c r="D28" i="31"/>
  <c r="D591" i="31"/>
  <c r="D584" i="31"/>
  <c r="D580" i="31"/>
  <c r="D567" i="31"/>
  <c r="D558" i="31"/>
  <c r="D102" i="31"/>
  <c r="D544" i="31"/>
  <c r="D536" i="31"/>
  <c r="D73" i="31"/>
  <c r="D526" i="31"/>
  <c r="D518" i="31"/>
  <c r="D506" i="31"/>
  <c r="D495" i="31"/>
  <c r="D484" i="31"/>
  <c r="D478" i="31"/>
  <c r="D62" i="31"/>
  <c r="D463" i="31"/>
  <c r="D455" i="31"/>
  <c r="D446" i="31"/>
  <c r="D447" i="31"/>
  <c r="D450" i="31"/>
  <c r="D432" i="31"/>
  <c r="D429" i="31"/>
  <c r="D67" i="31"/>
  <c r="D413" i="31"/>
  <c r="D405" i="31"/>
  <c r="D396" i="31"/>
  <c r="D383" i="31"/>
  <c r="D375" i="31"/>
  <c r="D370" i="31"/>
  <c r="D362" i="31"/>
  <c r="D352" i="31"/>
  <c r="D343" i="31"/>
  <c r="D336" i="31"/>
  <c r="D327" i="31"/>
  <c r="D143" i="31"/>
  <c r="D34" i="31"/>
  <c r="D317" i="31"/>
  <c r="D311" i="31"/>
  <c r="D303" i="31"/>
  <c r="D294" i="31"/>
  <c r="D285" i="31"/>
  <c r="D276" i="31"/>
  <c r="D267" i="31"/>
  <c r="D259" i="31"/>
  <c r="D251" i="31"/>
  <c r="D242" i="31"/>
  <c r="D233" i="31"/>
  <c r="D221" i="31"/>
  <c r="D213" i="31"/>
  <c r="D714" i="31"/>
  <c r="D205" i="31"/>
  <c r="D200" i="31"/>
  <c r="D191" i="31"/>
  <c r="D182" i="31"/>
  <c r="D174" i="31"/>
  <c r="D164" i="31"/>
  <c r="D156" i="31"/>
  <c r="D771" i="31"/>
  <c r="D762" i="31"/>
  <c r="D753" i="31"/>
  <c r="D744" i="31"/>
  <c r="D735" i="31"/>
  <c r="D726" i="31"/>
  <c r="D718" i="31"/>
  <c r="D708" i="31"/>
  <c r="D696" i="31"/>
  <c r="D686" i="31"/>
  <c r="D677" i="31"/>
  <c r="D671" i="31"/>
  <c r="D654" i="31"/>
  <c r="D645" i="31"/>
  <c r="D636" i="31"/>
  <c r="D628" i="31"/>
  <c r="D619" i="31"/>
  <c r="D493" i="31"/>
  <c r="D94" i="31"/>
  <c r="D42" i="31"/>
  <c r="D20" i="31"/>
  <c r="D100" i="31"/>
  <c r="D65" i="31"/>
  <c r="D13" i="31"/>
  <c r="D95" i="31"/>
  <c r="D69" i="31"/>
  <c r="D126" i="31"/>
  <c r="D112" i="31"/>
  <c r="D59" i="31"/>
  <c r="D80" i="31"/>
  <c r="D54" i="31"/>
  <c r="D561" i="31"/>
  <c r="D760" i="31"/>
  <c r="D702" i="31"/>
  <c r="D655" i="31"/>
  <c r="D503" i="31"/>
  <c r="D590" i="31"/>
  <c r="D439" i="31"/>
  <c r="D571" i="31"/>
  <c r="D566" i="31"/>
  <c r="D557" i="31"/>
  <c r="D83" i="31"/>
  <c r="D550" i="31"/>
  <c r="D535" i="31"/>
  <c r="D533" i="31"/>
  <c r="D525" i="31"/>
  <c r="D517" i="31"/>
  <c r="D502" i="31"/>
  <c r="D491" i="31"/>
  <c r="D483" i="31"/>
  <c r="D477" i="31"/>
  <c r="D43" i="31"/>
  <c r="D462" i="31"/>
  <c r="D594" i="31"/>
  <c r="D445" i="31"/>
  <c r="D449" i="31"/>
  <c r="D434" i="31"/>
  <c r="D428" i="31"/>
  <c r="D422" i="31"/>
  <c r="D412" i="31"/>
  <c r="D404" i="31"/>
  <c r="D395" i="31"/>
  <c r="D382" i="31"/>
  <c r="D374" i="31"/>
  <c r="D369" i="31"/>
  <c r="D361" i="31"/>
  <c r="D350" i="31"/>
  <c r="D342" i="31"/>
  <c r="D332" i="31"/>
  <c r="D326" i="31"/>
  <c r="D33" i="31"/>
  <c r="D315" i="31"/>
  <c r="D310" i="31"/>
  <c r="D300" i="31"/>
  <c r="D293" i="31"/>
  <c r="D284" i="31"/>
  <c r="D275" i="31"/>
  <c r="D266" i="31"/>
  <c r="D258" i="31"/>
  <c r="D250" i="31"/>
  <c r="D243" i="31"/>
  <c r="D232" i="31"/>
  <c r="D217" i="31"/>
  <c r="D212" i="31"/>
  <c r="D713" i="31"/>
  <c r="D204" i="31"/>
  <c r="D199" i="31"/>
  <c r="D190" i="31"/>
  <c r="D181" i="31"/>
  <c r="D173" i="31"/>
  <c r="D163" i="31"/>
  <c r="D155" i="31"/>
  <c r="F220" i="21"/>
  <c r="G220" i="21"/>
  <c r="G495" i="21"/>
  <c r="F495" i="21"/>
  <c r="G255" i="21"/>
  <c r="F255" i="21"/>
  <c r="G652" i="21"/>
  <c r="F652" i="21"/>
  <c r="G648" i="21"/>
  <c r="F648" i="21"/>
  <c r="F481" i="21"/>
  <c r="G504" i="21"/>
  <c r="F504" i="21"/>
  <c r="F417" i="21"/>
  <c r="F307" i="21"/>
  <c r="G307" i="21"/>
  <c r="F52" i="21"/>
  <c r="F646" i="21"/>
  <c r="G646" i="21"/>
  <c r="F302" i="21"/>
  <c r="F560" i="21"/>
  <c r="G350" i="21"/>
  <c r="F350" i="21"/>
  <c r="F590" i="21"/>
  <c r="F114" i="21"/>
  <c r="F487" i="21"/>
  <c r="G487" i="21"/>
  <c r="F421" i="21"/>
  <c r="F485" i="21"/>
  <c r="G485" i="21"/>
  <c r="G262" i="21"/>
  <c r="F262" i="21"/>
  <c r="G419" i="21"/>
  <c r="F419" i="21"/>
  <c r="F482" i="21"/>
  <c r="G484" i="21"/>
  <c r="F484" i="21"/>
  <c r="F158" i="21"/>
  <c r="G169" i="58"/>
  <c r="F169" i="58"/>
  <c r="G167" i="58"/>
  <c r="F167" i="58"/>
  <c r="G165" i="58"/>
  <c r="F165" i="58"/>
  <c r="G163" i="58"/>
  <c r="F163" i="58"/>
  <c r="G161" i="58"/>
  <c r="F161" i="58"/>
  <c r="G159" i="58"/>
  <c r="F159" i="58"/>
  <c r="G157" i="58"/>
  <c r="F157" i="58"/>
  <c r="G155" i="58"/>
  <c r="F155" i="58"/>
  <c r="G153" i="58"/>
  <c r="F153" i="58"/>
  <c r="G151" i="58"/>
  <c r="F151" i="58"/>
  <c r="G149" i="58"/>
  <c r="F149" i="58"/>
  <c r="G147" i="58"/>
  <c r="F147" i="58"/>
  <c r="G145" i="58"/>
  <c r="F145" i="58"/>
  <c r="G143" i="58"/>
  <c r="F143" i="58"/>
  <c r="G141" i="58"/>
  <c r="F141" i="58"/>
  <c r="G139" i="58"/>
  <c r="F139" i="58"/>
  <c r="G137" i="58"/>
  <c r="F137" i="58"/>
  <c r="G135" i="58"/>
  <c r="F135" i="58"/>
  <c r="G133" i="58"/>
  <c r="F133" i="58"/>
  <c r="G131" i="58"/>
  <c r="F131" i="58"/>
  <c r="G129" i="58"/>
  <c r="F129" i="58"/>
  <c r="G127" i="58"/>
  <c r="F127" i="58"/>
  <c r="G125" i="58"/>
  <c r="F125" i="58"/>
  <c r="G123" i="58"/>
  <c r="F123" i="58"/>
  <c r="G121" i="58"/>
  <c r="F121" i="58"/>
  <c r="G119" i="58"/>
  <c r="F119" i="58"/>
  <c r="G117" i="58"/>
  <c r="F117" i="58"/>
  <c r="G115" i="58"/>
  <c r="F115" i="58"/>
  <c r="G113" i="58"/>
  <c r="F113" i="58"/>
  <c r="G111" i="58"/>
  <c r="F111" i="58"/>
  <c r="G109" i="58"/>
  <c r="F109" i="58"/>
  <c r="G107" i="58"/>
  <c r="F107" i="58"/>
  <c r="G105" i="58"/>
  <c r="F105" i="58"/>
  <c r="G103" i="58"/>
  <c r="F103" i="58"/>
  <c r="G101" i="58"/>
  <c r="F101" i="58"/>
  <c r="G99" i="58"/>
  <c r="F99" i="58"/>
  <c r="G97" i="58"/>
  <c r="F97" i="58"/>
  <c r="G95" i="58"/>
  <c r="F95" i="58"/>
  <c r="G93" i="58"/>
  <c r="F93" i="58"/>
  <c r="G91" i="58"/>
  <c r="F91" i="58"/>
  <c r="G89" i="58"/>
  <c r="F89" i="58"/>
  <c r="G87" i="58"/>
  <c r="F87" i="58"/>
  <c r="G85" i="58"/>
  <c r="F85" i="58"/>
  <c r="G83" i="58"/>
  <c r="F83" i="58"/>
  <c r="G81" i="58"/>
  <c r="F81" i="58"/>
  <c r="G79" i="58"/>
  <c r="F79" i="58"/>
  <c r="G77" i="58"/>
  <c r="F77" i="58"/>
  <c r="G75" i="58"/>
  <c r="F75" i="58"/>
  <c r="G73" i="58"/>
  <c r="F73" i="58"/>
  <c r="G71" i="58"/>
  <c r="F71" i="58"/>
  <c r="G69" i="58"/>
  <c r="F69" i="58"/>
  <c r="G67" i="58"/>
  <c r="F67" i="58"/>
  <c r="G65" i="58"/>
  <c r="F65" i="58"/>
  <c r="G63" i="58"/>
  <c r="F63" i="58"/>
  <c r="G61" i="58"/>
  <c r="F61" i="58"/>
  <c r="G59" i="58"/>
  <c r="F59" i="58"/>
  <c r="G57" i="58"/>
  <c r="F57" i="58"/>
  <c r="G55" i="58"/>
  <c r="F55" i="58"/>
  <c r="G53" i="58"/>
  <c r="F53" i="58"/>
  <c r="G51" i="58"/>
  <c r="F51" i="58"/>
  <c r="G49" i="58"/>
  <c r="F49" i="58"/>
  <c r="G47" i="58"/>
  <c r="F47" i="58"/>
  <c r="G45" i="58"/>
  <c r="F45" i="58"/>
  <c r="G43" i="58"/>
  <c r="F43" i="58"/>
  <c r="G41" i="58"/>
  <c r="F41" i="58"/>
  <c r="G39" i="58"/>
  <c r="F39" i="58"/>
  <c r="G37" i="58"/>
  <c r="F37" i="58"/>
  <c r="G35" i="58"/>
  <c r="F35" i="58"/>
  <c r="G31" i="58"/>
  <c r="F31" i="58"/>
  <c r="G29" i="58"/>
  <c r="F29" i="58"/>
  <c r="G27" i="58"/>
  <c r="F27" i="58"/>
  <c r="G25" i="58"/>
  <c r="F25" i="58"/>
  <c r="F199" i="58"/>
  <c r="F197" i="58"/>
  <c r="F195" i="58"/>
  <c r="F193" i="58"/>
  <c r="F191" i="58"/>
  <c r="F189" i="58"/>
  <c r="F187" i="58"/>
  <c r="F185" i="58"/>
  <c r="F183" i="58"/>
  <c r="F181" i="58"/>
  <c r="F179" i="58"/>
  <c r="F177" i="58"/>
  <c r="F175" i="58"/>
  <c r="F173" i="58"/>
  <c r="F171" i="58"/>
  <c r="G168" i="58"/>
  <c r="F168" i="58"/>
  <c r="G166" i="58"/>
  <c r="F166" i="58"/>
  <c r="G164" i="58"/>
  <c r="F164" i="58"/>
  <c r="G162" i="58"/>
  <c r="F162" i="58"/>
  <c r="G160" i="58"/>
  <c r="F160" i="58"/>
  <c r="G158" i="58"/>
  <c r="F158" i="58"/>
  <c r="G156" i="58"/>
  <c r="F156" i="58"/>
  <c r="G154" i="58"/>
  <c r="F154" i="58"/>
  <c r="G152" i="58"/>
  <c r="F152" i="58"/>
  <c r="G150" i="58"/>
  <c r="F150" i="58"/>
  <c r="G148" i="58"/>
  <c r="F148" i="58"/>
  <c r="G146" i="58"/>
  <c r="F146" i="58"/>
  <c r="G144" i="58"/>
  <c r="F144" i="58"/>
  <c r="G142" i="58"/>
  <c r="F142" i="58"/>
  <c r="G140" i="58"/>
  <c r="F140" i="58"/>
  <c r="G138" i="58"/>
  <c r="F138" i="58"/>
  <c r="G136" i="58"/>
  <c r="F136" i="58"/>
  <c r="G134" i="58"/>
  <c r="F134" i="58"/>
  <c r="G132" i="58"/>
  <c r="F132" i="58"/>
  <c r="G130" i="58"/>
  <c r="F130" i="58"/>
  <c r="G128" i="58"/>
  <c r="F128" i="58"/>
  <c r="G126" i="58"/>
  <c r="F126" i="58"/>
  <c r="G124" i="58"/>
  <c r="F124" i="58"/>
  <c r="G122" i="58"/>
  <c r="F122" i="58"/>
  <c r="G120" i="58"/>
  <c r="F120" i="58"/>
  <c r="G118" i="58"/>
  <c r="F118" i="58"/>
  <c r="G116" i="58"/>
  <c r="F116" i="58"/>
  <c r="G114" i="58"/>
  <c r="F114" i="58"/>
  <c r="G112" i="58"/>
  <c r="F112" i="58"/>
  <c r="G110" i="58"/>
  <c r="F110" i="58"/>
  <c r="G108" i="58"/>
  <c r="F108" i="58"/>
  <c r="G106" i="58"/>
  <c r="F106" i="58"/>
  <c r="G104" i="58"/>
  <c r="F104" i="58"/>
  <c r="G102" i="58"/>
  <c r="F102" i="58"/>
  <c r="G100" i="58"/>
  <c r="F100" i="58"/>
  <c r="G98" i="58"/>
  <c r="F98" i="58"/>
  <c r="G96" i="58"/>
  <c r="F96" i="58"/>
  <c r="G94" i="58"/>
  <c r="F94" i="58"/>
  <c r="G92" i="58"/>
  <c r="F92" i="58"/>
  <c r="G90" i="58"/>
  <c r="F90" i="58"/>
  <c r="G88" i="58"/>
  <c r="F88" i="58"/>
  <c r="G86" i="58"/>
  <c r="F86" i="58"/>
  <c r="G84" i="58"/>
  <c r="F84" i="58"/>
  <c r="G82" i="58"/>
  <c r="F82" i="58"/>
  <c r="G80" i="58"/>
  <c r="F80" i="58"/>
  <c r="G78" i="58"/>
  <c r="F78" i="58"/>
  <c r="G76" i="58"/>
  <c r="F76" i="58"/>
  <c r="G74" i="58"/>
  <c r="F74" i="58"/>
  <c r="G72" i="58"/>
  <c r="F72" i="58"/>
  <c r="G70" i="58"/>
  <c r="F70" i="58"/>
  <c r="G68" i="58"/>
  <c r="F68" i="58"/>
  <c r="G66" i="58"/>
  <c r="F66" i="58"/>
  <c r="G64" i="58"/>
  <c r="F64" i="58"/>
  <c r="G62" i="58"/>
  <c r="F62" i="58"/>
  <c r="G60" i="58"/>
  <c r="F60" i="58"/>
  <c r="G58" i="58"/>
  <c r="F58" i="58"/>
  <c r="G56" i="58"/>
  <c r="F56" i="58"/>
  <c r="G54" i="58"/>
  <c r="F54" i="58"/>
  <c r="G52" i="58"/>
  <c r="F52" i="58"/>
  <c r="G50" i="58"/>
  <c r="F50" i="58"/>
  <c r="G48" i="58"/>
  <c r="F48" i="58"/>
  <c r="G46" i="58"/>
  <c r="F46" i="58"/>
  <c r="G44" i="58"/>
  <c r="F44" i="58"/>
  <c r="G42" i="58"/>
  <c r="F42" i="58"/>
  <c r="G40" i="58"/>
  <c r="F40" i="58"/>
  <c r="G38" i="58"/>
  <c r="F38" i="58"/>
  <c r="G36" i="58"/>
  <c r="F36" i="58"/>
  <c r="G34" i="58"/>
  <c r="F34" i="58"/>
  <c r="G32" i="58"/>
  <c r="F32" i="58"/>
  <c r="G30" i="58"/>
  <c r="F30" i="58"/>
  <c r="G28" i="58"/>
  <c r="F28" i="58"/>
  <c r="G26" i="58"/>
  <c r="F26" i="58"/>
  <c r="G14" i="58"/>
  <c r="F14" i="58"/>
  <c r="F198" i="58"/>
  <c r="F196" i="58"/>
  <c r="F194" i="58"/>
  <c r="F192" i="58"/>
  <c r="F190" i="58"/>
  <c r="F188" i="58"/>
  <c r="F186" i="58"/>
  <c r="F184" i="58"/>
  <c r="F182" i="58"/>
  <c r="F180" i="58"/>
  <c r="F178" i="58"/>
  <c r="F176" i="58"/>
  <c r="F174" i="58"/>
  <c r="F172" i="58"/>
  <c r="F170" i="58"/>
  <c r="G746" i="21" l="1"/>
  <c r="F746" i="21"/>
  <c r="G506" i="21"/>
  <c r="F506" i="21"/>
  <c r="G381" i="21"/>
  <c r="F381" i="21"/>
  <c r="G703" i="21"/>
  <c r="F703" i="21"/>
  <c r="G501" i="21"/>
  <c r="F501" i="21"/>
  <c r="G290" i="21"/>
  <c r="F290" i="21"/>
  <c r="G231" i="21"/>
  <c r="F231" i="21"/>
  <c r="G686" i="21"/>
  <c r="F686" i="21"/>
  <c r="Z359" i="31" l="1"/>
  <c r="Z425" i="31"/>
  <c r="X502" i="31"/>
  <c r="Z502" i="31" s="1"/>
  <c r="X433" i="31"/>
  <c r="Z433" i="31" s="1"/>
  <c r="Q425" i="31" l="1"/>
  <c r="R425" i="31" s="1"/>
  <c r="O425" i="31"/>
  <c r="G629" i="21"/>
  <c r="F629" i="21"/>
  <c r="X771" i="31"/>
  <c r="Z771" i="31" s="1"/>
  <c r="Q771" i="31" s="1"/>
  <c r="X759" i="31"/>
  <c r="Z759" i="31" s="1"/>
  <c r="Q759" i="31" s="1"/>
  <c r="X680" i="31"/>
  <c r="Z680" i="31" s="1"/>
  <c r="Q680" i="31" s="1"/>
  <c r="X645" i="31"/>
  <c r="X644" i="31"/>
  <c r="X628" i="31"/>
  <c r="X561" i="31"/>
  <c r="X596" i="31"/>
  <c r="X581" i="31"/>
  <c r="X512" i="31"/>
  <c r="X457" i="31"/>
  <c r="X455" i="31"/>
  <c r="X440" i="31"/>
  <c r="X449" i="31"/>
  <c r="X333" i="31"/>
  <c r="Z333" i="31" s="1"/>
  <c r="Q333" i="31" s="1"/>
  <c r="X322" i="31"/>
  <c r="Z322" i="31" s="1"/>
  <c r="Q322" i="31" s="1"/>
  <c r="X213" i="31"/>
  <c r="Z213" i="31" s="1"/>
  <c r="Q213" i="31" s="1"/>
  <c r="P425" i="31" l="1"/>
  <c r="N439" i="21" s="1"/>
  <c r="O439" i="21"/>
  <c r="O322" i="31"/>
  <c r="O333" i="31"/>
  <c r="O213" i="31"/>
  <c r="S213" i="31"/>
  <c r="D480" i="21"/>
  <c r="O680" i="31"/>
  <c r="O628" i="31"/>
  <c r="O645" i="31"/>
  <c r="O759" i="31"/>
  <c r="O771" i="31"/>
  <c r="S680" i="31"/>
  <c r="S425" i="31"/>
  <c r="P680" i="31" l="1"/>
  <c r="K696" i="21" s="1"/>
  <c r="O696" i="21"/>
  <c r="P628" i="31"/>
  <c r="N645" i="21" s="1"/>
  <c r="O645" i="21"/>
  <c r="P213" i="31"/>
  <c r="N223" i="21" s="1"/>
  <c r="O223" i="21"/>
  <c r="P645" i="31"/>
  <c r="N661" i="21" s="1"/>
  <c r="O661" i="21"/>
  <c r="P771" i="31"/>
  <c r="N794" i="21" s="1"/>
  <c r="O794" i="21"/>
  <c r="P333" i="31"/>
  <c r="N344" i="21" s="1"/>
  <c r="O344" i="21"/>
  <c r="P759" i="31"/>
  <c r="N782" i="21" s="1"/>
  <c r="O782" i="21"/>
  <c r="P322" i="31"/>
  <c r="N333" i="21" s="1"/>
  <c r="O333" i="21"/>
  <c r="R561" i="31"/>
  <c r="R628" i="31"/>
  <c r="R449" i="31"/>
  <c r="R596" i="31"/>
  <c r="R581" i="31"/>
  <c r="R680" i="31"/>
  <c r="R213" i="31"/>
  <c r="R457" i="31"/>
  <c r="R512" i="31"/>
  <c r="R440" i="31"/>
  <c r="R771" i="31"/>
  <c r="D190" i="21"/>
  <c r="D416" i="21"/>
  <c r="S759" i="31"/>
  <c r="D737" i="21"/>
  <c r="S771" i="31"/>
  <c r="S449" i="31"/>
  <c r="D167" i="21"/>
  <c r="S581" i="31"/>
  <c r="S628" i="31"/>
  <c r="S322" i="31"/>
  <c r="S645" i="31"/>
  <c r="D489" i="21"/>
  <c r="S512" i="31"/>
  <c r="D134" i="21"/>
  <c r="D154" i="21"/>
  <c r="S457" i="31"/>
  <c r="S561" i="31"/>
  <c r="D142" i="21"/>
  <c r="S440" i="31"/>
  <c r="S596" i="31"/>
  <c r="S333" i="31"/>
  <c r="D701" i="21"/>
  <c r="D698" i="21"/>
  <c r="D732" i="21"/>
  <c r="D672" i="21"/>
  <c r="D665" i="21"/>
  <c r="D674" i="21"/>
  <c r="D750" i="21"/>
  <c r="D726" i="21"/>
  <c r="D662" i="21"/>
  <c r="G655" i="21"/>
  <c r="F655" i="21"/>
  <c r="G422" i="21"/>
  <c r="F422" i="21"/>
  <c r="G589" i="21"/>
  <c r="F589" i="21"/>
  <c r="G585" i="21"/>
  <c r="F585" i="21"/>
  <c r="G728" i="21"/>
  <c r="F728" i="21"/>
  <c r="G637" i="21"/>
  <c r="F637" i="21"/>
  <c r="G500" i="21"/>
  <c r="F500" i="21"/>
  <c r="G634" i="21"/>
  <c r="F634" i="21"/>
  <c r="G50" i="21"/>
  <c r="F50" i="21"/>
  <c r="G679" i="21"/>
  <c r="F679" i="21"/>
  <c r="G642" i="21"/>
  <c r="F642" i="21"/>
  <c r="G681" i="21"/>
  <c r="F681" i="21"/>
  <c r="G41" i="21"/>
  <c r="F41" i="21"/>
  <c r="G507" i="21"/>
  <c r="F507" i="21"/>
  <c r="G641" i="21"/>
  <c r="F641" i="21"/>
  <c r="D48" i="21"/>
  <c r="D43" i="21"/>
  <c r="D33" i="21"/>
  <c r="D26" i="21"/>
  <c r="D519" i="21"/>
  <c r="D523" i="21"/>
  <c r="D528" i="21"/>
  <c r="D527" i="21"/>
  <c r="D515" i="21"/>
  <c r="D514" i="21"/>
  <c r="D513" i="21"/>
  <c r="D512" i="21"/>
  <c r="D511" i="21"/>
  <c r="D509" i="21"/>
  <c r="D508" i="21"/>
  <c r="D486" i="21"/>
  <c r="D479" i="21"/>
  <c r="D477" i="21"/>
  <c r="D476" i="21"/>
  <c r="D474" i="21"/>
  <c r="D473" i="21"/>
  <c r="D472" i="21"/>
  <c r="D471" i="21"/>
  <c r="D469" i="21"/>
  <c r="D494" i="21"/>
  <c r="D493" i="21"/>
  <c r="D464" i="21"/>
  <c r="D475" i="21"/>
  <c r="D463" i="21"/>
  <c r="D462" i="21"/>
  <c r="D457" i="21"/>
  <c r="D459" i="21"/>
  <c r="D458" i="21"/>
  <c r="D448" i="21"/>
  <c r="D337" i="21"/>
  <c r="D336" i="21"/>
  <c r="D335" i="21"/>
  <c r="D332" i="21"/>
  <c r="D330" i="21"/>
  <c r="D328" i="21"/>
  <c r="D327" i="21"/>
  <c r="D325" i="21"/>
  <c r="D333" i="21"/>
  <c r="D283" i="21"/>
  <c r="D259" i="21"/>
  <c r="D258" i="21"/>
  <c r="D256" i="21"/>
  <c r="D252" i="21"/>
  <c r="D250" i="21"/>
  <c r="D248" i="21"/>
  <c r="D247" i="21"/>
  <c r="D246" i="21"/>
  <c r="D241" i="21"/>
  <c r="D240" i="21"/>
  <c r="D237" i="21"/>
  <c r="D233" i="21"/>
  <c r="D221" i="21"/>
  <c r="D219" i="21"/>
  <c r="D218" i="21"/>
  <c r="D185" i="21"/>
  <c r="D184" i="21"/>
  <c r="D183" i="21"/>
  <c r="D182" i="21"/>
  <c r="D181" i="21"/>
  <c r="D180" i="21"/>
  <c r="D179" i="21"/>
  <c r="D177" i="21"/>
  <c r="D168" i="21"/>
  <c r="D165" i="21"/>
  <c r="D164" i="21"/>
  <c r="D163" i="21"/>
  <c r="D162" i="21"/>
  <c r="D161" i="21"/>
  <c r="D155" i="21"/>
  <c r="D153" i="21"/>
  <c r="D151" i="21"/>
  <c r="D150" i="21"/>
  <c r="D147" i="21"/>
  <c r="D146" i="21"/>
  <c r="D143" i="21"/>
  <c r="D141" i="21"/>
  <c r="D140" i="21"/>
  <c r="D139" i="21"/>
  <c r="D132" i="21"/>
  <c r="D131" i="21"/>
  <c r="D129" i="21"/>
  <c r="D124" i="21"/>
  <c r="D108" i="21"/>
  <c r="D104" i="21"/>
  <c r="D101" i="21"/>
  <c r="D194" i="21"/>
  <c r="D100" i="21"/>
  <c r="D96" i="21"/>
  <c r="D95" i="21"/>
  <c r="D90" i="21"/>
  <c r="D86" i="21"/>
  <c r="D85" i="21"/>
  <c r="D83" i="21"/>
  <c r="D82" i="21"/>
  <c r="D81" i="21"/>
  <c r="D78" i="21"/>
  <c r="D77" i="21"/>
  <c r="D76" i="21"/>
  <c r="D75" i="21"/>
  <c r="D74" i="21"/>
  <c r="D73" i="21"/>
  <c r="D99" i="21"/>
  <c r="D31" i="21"/>
  <c r="R759" i="31" l="1"/>
  <c r="R333" i="31"/>
  <c r="R645" i="31"/>
  <c r="R322" i="31"/>
  <c r="F99" i="21"/>
  <c r="G99" i="21"/>
  <c r="F476" i="21"/>
  <c r="F108" i="21"/>
  <c r="G162" i="21"/>
  <c r="F162" i="21"/>
  <c r="G146" i="21"/>
  <c r="F146" i="21"/>
  <c r="F95" i="21"/>
  <c r="G95" i="21"/>
  <c r="G246" i="21"/>
  <c r="F246" i="21"/>
  <c r="F474" i="21"/>
  <c r="G474" i="21"/>
  <c r="F219" i="21"/>
  <c r="F698" i="21"/>
  <c r="F104" i="21"/>
  <c r="F161" i="21"/>
  <c r="G161" i="21"/>
  <c r="F494" i="21"/>
  <c r="F48" i="21"/>
  <c r="F486" i="21"/>
  <c r="F179" i="21"/>
  <c r="F82" i="21"/>
  <c r="G177" i="21"/>
  <c r="F177" i="21"/>
  <c r="F75" i="21"/>
  <c r="G252" i="21"/>
  <c r="F252" i="21"/>
  <c r="F154" i="21"/>
  <c r="F256" i="21"/>
  <c r="G256" i="21"/>
  <c r="F147" i="21"/>
  <c r="G147" i="21"/>
  <c r="F184" i="21"/>
  <c r="F241" i="21"/>
  <c r="G259" i="21"/>
  <c r="F259" i="21"/>
  <c r="D537" i="21"/>
  <c r="D230" i="21"/>
  <c r="F230" i="21" s="1"/>
  <c r="D274" i="21"/>
  <c r="D608" i="21"/>
  <c r="F608" i="21" s="1"/>
  <c r="D653" i="21"/>
  <c r="D272" i="21"/>
  <c r="G272" i="21" s="1"/>
  <c r="D317" i="21"/>
  <c r="F317" i="21" s="1"/>
  <c r="D346" i="21"/>
  <c r="D376" i="21"/>
  <c r="F376" i="21" s="1"/>
  <c r="D414" i="21"/>
  <c r="D570" i="21"/>
  <c r="F570" i="21" s="1"/>
  <c r="D338" i="21"/>
  <c r="D616" i="21"/>
  <c r="F756" i="21"/>
  <c r="D579" i="21"/>
  <c r="D354" i="21"/>
  <c r="D540" i="21"/>
  <c r="D582" i="21"/>
  <c r="D622" i="21"/>
  <c r="D304" i="21"/>
  <c r="F304" i="21" s="1"/>
  <c r="D358" i="21"/>
  <c r="D402" i="21"/>
  <c r="D424" i="21"/>
  <c r="F424" i="21" s="1"/>
  <c r="D520" i="21"/>
  <c r="D543" i="21"/>
  <c r="F543" i="21" s="1"/>
  <c r="D566" i="21"/>
  <c r="D581" i="21"/>
  <c r="D593" i="21"/>
  <c r="D618" i="21"/>
  <c r="D215" i="21"/>
  <c r="F215" i="21" s="1"/>
  <c r="D303" i="21"/>
  <c r="D356" i="21"/>
  <c r="D386" i="21"/>
  <c r="D433" i="21"/>
  <c r="F433" i="21" s="1"/>
  <c r="D445" i="21"/>
  <c r="D542" i="21"/>
  <c r="F542" i="21" s="1"/>
  <c r="D567" i="21"/>
  <c r="D594" i="21"/>
  <c r="D632" i="21"/>
  <c r="G700" i="21"/>
  <c r="F733" i="21"/>
  <c r="F734" i="21"/>
  <c r="D213" i="21"/>
  <c r="D295" i="21"/>
  <c r="D578" i="21"/>
  <c r="D211" i="21"/>
  <c r="F211" i="21" s="1"/>
  <c r="D299" i="21"/>
  <c r="F299" i="21" s="1"/>
  <c r="D378" i="21"/>
  <c r="F378" i="21" s="1"/>
  <c r="D591" i="21"/>
  <c r="D300" i="21"/>
  <c r="D442" i="21"/>
  <c r="D261" i="21"/>
  <c r="D284" i="21"/>
  <c r="D308" i="21"/>
  <c r="F308" i="21" s="1"/>
  <c r="D362" i="21"/>
  <c r="D405" i="21"/>
  <c r="D426" i="21"/>
  <c r="F426" i="21" s="1"/>
  <c r="D526" i="21"/>
  <c r="F526" i="21" s="1"/>
  <c r="D568" i="21"/>
  <c r="F568" i="21" s="1"/>
  <c r="D595" i="21"/>
  <c r="F595" i="21" s="1"/>
  <c r="D620" i="21"/>
  <c r="D212" i="21"/>
  <c r="F212" i="21" s="1"/>
  <c r="D305" i="21"/>
  <c r="D359" i="21"/>
  <c r="D390" i="21"/>
  <c r="F390" i="21" s="1"/>
  <c r="D425" i="21"/>
  <c r="D524" i="21"/>
  <c r="D544" i="21"/>
  <c r="D569" i="21"/>
  <c r="F569" i="21" s="1"/>
  <c r="D91" i="21"/>
  <c r="F91" i="21" s="1"/>
  <c r="D596" i="21"/>
  <c r="D647" i="21"/>
  <c r="D562" i="21"/>
  <c r="F562" i="21" s="1"/>
  <c r="D403" i="21"/>
  <c r="D613" i="21"/>
  <c r="F613" i="21" s="1"/>
  <c r="D420" i="21"/>
  <c r="D439" i="21"/>
  <c r="G439" i="21" s="1"/>
  <c r="D216" i="21"/>
  <c r="F216" i="21" s="1"/>
  <c r="D301" i="21"/>
  <c r="D210" i="21"/>
  <c r="D431" i="21"/>
  <c r="F431" i="21" s="1"/>
  <c r="D267" i="21"/>
  <c r="D289" i="21"/>
  <c r="G289" i="21" s="1"/>
  <c r="D310" i="21"/>
  <c r="D364" i="21"/>
  <c r="F364" i="21" s="1"/>
  <c r="D408" i="21"/>
  <c r="F408" i="21" s="1"/>
  <c r="D428" i="21"/>
  <c r="D530" i="21"/>
  <c r="D547" i="21"/>
  <c r="F547" i="21" s="1"/>
  <c r="D571" i="21"/>
  <c r="D92" i="21"/>
  <c r="F92" i="21" s="1"/>
  <c r="D597" i="21"/>
  <c r="D626" i="21"/>
  <c r="D195" i="21"/>
  <c r="F195" i="21" s="1"/>
  <c r="D263" i="21"/>
  <c r="D286" i="21"/>
  <c r="D309" i="21"/>
  <c r="F309" i="21" s="1"/>
  <c r="D361" i="21"/>
  <c r="D401" i="21"/>
  <c r="F401" i="21" s="1"/>
  <c r="D427" i="21"/>
  <c r="D529" i="21"/>
  <c r="F529" i="21" s="1"/>
  <c r="D546" i="21"/>
  <c r="F546" i="21" s="1"/>
  <c r="D572" i="21"/>
  <c r="D93" i="21"/>
  <c r="D600" i="21"/>
  <c r="D650" i="21"/>
  <c r="F685" i="21"/>
  <c r="F751" i="21"/>
  <c r="D273" i="21"/>
  <c r="D296" i="21"/>
  <c r="F296" i="21" s="1"/>
  <c r="D347" i="21"/>
  <c r="D384" i="21"/>
  <c r="D440" i="21"/>
  <c r="F440" i="21" s="1"/>
  <c r="D558" i="21"/>
  <c r="F558" i="21" s="1"/>
  <c r="D388" i="21"/>
  <c r="D539" i="21"/>
  <c r="D275" i="21"/>
  <c r="D298" i="21"/>
  <c r="F298" i="21" s="1"/>
  <c r="D351" i="21"/>
  <c r="F351" i="21" s="1"/>
  <c r="D538" i="21"/>
  <c r="D563" i="21"/>
  <c r="D518" i="21"/>
  <c r="F518" i="21" s="1"/>
  <c r="G764" i="21"/>
  <c r="D355" i="21"/>
  <c r="D432" i="21"/>
  <c r="F432" i="21" s="1"/>
  <c r="D447" i="21"/>
  <c r="D541" i="21"/>
  <c r="F541" i="21" s="1"/>
  <c r="D564" i="21"/>
  <c r="F564" i="21" s="1"/>
  <c r="D615" i="21"/>
  <c r="F615" i="21" s="1"/>
  <c r="D383" i="21"/>
  <c r="D565" i="21"/>
  <c r="D269" i="21"/>
  <c r="D292" i="21"/>
  <c r="F292" i="21" s="1"/>
  <c r="D312" i="21"/>
  <c r="D377" i="21"/>
  <c r="D411" i="21"/>
  <c r="D434" i="21"/>
  <c r="D532" i="21"/>
  <c r="D574" i="21"/>
  <c r="D94" i="21"/>
  <c r="D599" i="21"/>
  <c r="D630" i="21"/>
  <c r="F747" i="21"/>
  <c r="D268" i="21"/>
  <c r="D291" i="21"/>
  <c r="F291" i="21" s="1"/>
  <c r="D363" i="21"/>
  <c r="F363" i="21" s="1"/>
  <c r="D429" i="21"/>
  <c r="D548" i="21"/>
  <c r="D133" i="21"/>
  <c r="F133" i="21" s="1"/>
  <c r="D189" i="21"/>
  <c r="D606" i="21"/>
  <c r="D654" i="21"/>
  <c r="G689" i="21"/>
  <c r="F741" i="21"/>
  <c r="D353" i="21"/>
  <c r="D423" i="21"/>
  <c r="F423" i="21" s="1"/>
  <c r="D444" i="21"/>
  <c r="F444" i="21" s="1"/>
  <c r="D208" i="21"/>
  <c r="D580" i="21"/>
  <c r="G696" i="21"/>
  <c r="D400" i="21"/>
  <c r="F400" i="21" s="1"/>
  <c r="D209" i="21"/>
  <c r="F209" i="21" s="1"/>
  <c r="D271" i="21"/>
  <c r="G271" i="21" s="1"/>
  <c r="D294" i="21"/>
  <c r="F294" i="21" s="1"/>
  <c r="D316" i="21"/>
  <c r="F316" i="21" s="1"/>
  <c r="D345" i="21"/>
  <c r="F345" i="21" s="1"/>
  <c r="D379" i="21"/>
  <c r="D413" i="21"/>
  <c r="F413" i="21" s="1"/>
  <c r="D535" i="21"/>
  <c r="D106" i="21"/>
  <c r="F106" i="21" s="1"/>
  <c r="D222" i="21"/>
  <c r="F222" i="21" s="1"/>
  <c r="D601" i="21"/>
  <c r="F601" i="21" s="1"/>
  <c r="D640" i="21"/>
  <c r="F704" i="21"/>
  <c r="D270" i="21"/>
  <c r="D293" i="21"/>
  <c r="F293" i="21" s="1"/>
  <c r="D313" i="21"/>
  <c r="D412" i="21"/>
  <c r="D435" i="21"/>
  <c r="D534" i="21"/>
  <c r="F534" i="21" s="1"/>
  <c r="D557" i="21"/>
  <c r="D257" i="21"/>
  <c r="F257" i="21" s="1"/>
  <c r="D223" i="21"/>
  <c r="D614" i="21"/>
  <c r="F614" i="21" s="1"/>
  <c r="D84" i="21"/>
  <c r="D122" i="21"/>
  <c r="D125" i="21"/>
  <c r="D225" i="21"/>
  <c r="G225" i="21" s="1"/>
  <c r="D311" i="21"/>
  <c r="D409" i="21"/>
  <c r="D438" i="21"/>
  <c r="D490" i="21"/>
  <c r="D556" i="21"/>
  <c r="D592" i="21"/>
  <c r="D130" i="21"/>
  <c r="F130" i="21" s="1"/>
  <c r="D226" i="21"/>
  <c r="G226" i="21" s="1"/>
  <c r="D561" i="21"/>
  <c r="F674" i="21"/>
  <c r="D545" i="21"/>
  <c r="F545" i="21" s="1"/>
  <c r="D549" i="21"/>
  <c r="F549" i="21" s="1"/>
  <c r="D368" i="21"/>
  <c r="D70" i="21"/>
  <c r="F70" i="21" s="1"/>
  <c r="D619" i="21"/>
  <c r="F726" i="21"/>
  <c r="D708" i="21"/>
  <c r="G751" i="21"/>
  <c r="F700" i="21"/>
  <c r="G734" i="21"/>
  <c r="G756" i="21"/>
  <c r="G733" i="21"/>
  <c r="F696" i="21"/>
  <c r="G741" i="21"/>
  <c r="F764" i="21"/>
  <c r="G704" i="21"/>
  <c r="F689" i="21"/>
  <c r="G685" i="21"/>
  <c r="G747" i="21"/>
  <c r="F804" i="21"/>
  <c r="G804" i="21"/>
  <c r="F802" i="21"/>
  <c r="G802" i="21"/>
  <c r="F799" i="21"/>
  <c r="G799" i="21"/>
  <c r="F797" i="21"/>
  <c r="G797" i="21"/>
  <c r="F795" i="21"/>
  <c r="G795" i="21"/>
  <c r="F793" i="21"/>
  <c r="G793" i="21"/>
  <c r="F791" i="21"/>
  <c r="G791" i="21"/>
  <c r="F789" i="21"/>
  <c r="G789" i="21"/>
  <c r="G787" i="21"/>
  <c r="F783" i="21"/>
  <c r="G783" i="21"/>
  <c r="G782" i="21"/>
  <c r="F782" i="21"/>
  <c r="G780" i="21"/>
  <c r="F780" i="21"/>
  <c r="G778" i="21"/>
  <c r="F778" i="21"/>
  <c r="G774" i="21"/>
  <c r="F774" i="21"/>
  <c r="G772" i="21"/>
  <c r="F772" i="21"/>
  <c r="G770" i="21"/>
  <c r="F770" i="21"/>
  <c r="G805" i="21"/>
  <c r="F805" i="21"/>
  <c r="G803" i="21"/>
  <c r="F803" i="21"/>
  <c r="G801" i="21"/>
  <c r="F801" i="21"/>
  <c r="G800" i="21"/>
  <c r="F800" i="21"/>
  <c r="G798" i="21"/>
  <c r="F798" i="21"/>
  <c r="G792" i="21"/>
  <c r="F792" i="21"/>
  <c r="G790" i="21"/>
  <c r="F790" i="21"/>
  <c r="G788" i="21"/>
  <c r="F788" i="21"/>
  <c r="G784" i="21"/>
  <c r="F784" i="21"/>
  <c r="F777" i="21"/>
  <c r="G777" i="21"/>
  <c r="F773" i="21"/>
  <c r="G773" i="21"/>
  <c r="F771" i="21"/>
  <c r="G771" i="21"/>
  <c r="F769" i="21"/>
  <c r="G769" i="21"/>
  <c r="G677" i="21"/>
  <c r="F677" i="21"/>
  <c r="G418" i="21"/>
  <c r="F418" i="21"/>
  <c r="G638" i="21"/>
  <c r="F638" i="21"/>
  <c r="G40" i="21"/>
  <c r="F40" i="21"/>
  <c r="G480" i="21"/>
  <c r="F480" i="21"/>
  <c r="G306" i="21"/>
  <c r="F306" i="21"/>
  <c r="G736" i="21"/>
  <c r="F736" i="21"/>
  <c r="G631" i="21"/>
  <c r="F631" i="21"/>
  <c r="G491" i="21"/>
  <c r="F491" i="21"/>
  <c r="G415" i="21"/>
  <c r="F415" i="21"/>
  <c r="G339" i="21"/>
  <c r="F339" i="21"/>
  <c r="G369" i="21"/>
  <c r="F369" i="21"/>
  <c r="G496" i="21"/>
  <c r="F496" i="21"/>
  <c r="G467" i="21"/>
  <c r="F467" i="21"/>
  <c r="G465" i="21"/>
  <c r="F465" i="21"/>
  <c r="G643" i="21"/>
  <c r="F643" i="21"/>
  <c r="G499" i="21"/>
  <c r="F499" i="21"/>
  <c r="G635" i="21"/>
  <c r="F635" i="21"/>
  <c r="G588" i="21"/>
  <c r="F588" i="21"/>
  <c r="G416" i="21"/>
  <c r="F416" i="21"/>
  <c r="G699" i="21"/>
  <c r="F699" i="21"/>
  <c r="G633" i="21"/>
  <c r="F633" i="21"/>
  <c r="G625" i="21"/>
  <c r="F625" i="21"/>
  <c r="G748" i="21"/>
  <c r="F748" i="21"/>
  <c r="G31" i="21"/>
  <c r="F31" i="21"/>
  <c r="G74" i="21"/>
  <c r="F74" i="21"/>
  <c r="G78" i="21"/>
  <c r="F78" i="21"/>
  <c r="G86" i="21"/>
  <c r="F86" i="21"/>
  <c r="G90" i="21"/>
  <c r="F90" i="21"/>
  <c r="G96" i="21"/>
  <c r="F96" i="21"/>
  <c r="G194" i="21"/>
  <c r="F194" i="21"/>
  <c r="G132" i="21"/>
  <c r="F132" i="21"/>
  <c r="G140" i="21"/>
  <c r="F140" i="21"/>
  <c r="G142" i="21"/>
  <c r="F142" i="21"/>
  <c r="G150" i="21"/>
  <c r="F150" i="21"/>
  <c r="G153" i="21"/>
  <c r="F153" i="21"/>
  <c r="G155" i="21"/>
  <c r="F155" i="21"/>
  <c r="G164" i="21"/>
  <c r="F164" i="21"/>
  <c r="G167" i="21"/>
  <c r="F167" i="21"/>
  <c r="G180" i="21"/>
  <c r="F180" i="21"/>
  <c r="G182" i="21"/>
  <c r="F182" i="21"/>
  <c r="G218" i="21"/>
  <c r="F218" i="21"/>
  <c r="G221" i="21"/>
  <c r="F221" i="21"/>
  <c r="G237" i="21"/>
  <c r="F237" i="21"/>
  <c r="G325" i="21"/>
  <c r="F325" i="21"/>
  <c r="G328" i="21"/>
  <c r="F328" i="21"/>
  <c r="G332" i="21"/>
  <c r="F332" i="21"/>
  <c r="G335" i="21"/>
  <c r="F335" i="21"/>
  <c r="G337" i="21"/>
  <c r="F337" i="21"/>
  <c r="G458" i="21"/>
  <c r="F458" i="21"/>
  <c r="G463" i="21"/>
  <c r="F463" i="21"/>
  <c r="G464" i="21"/>
  <c r="F464" i="21"/>
  <c r="G471" i="21"/>
  <c r="F471" i="21"/>
  <c r="G473" i="21"/>
  <c r="F473" i="21"/>
  <c r="G479" i="21"/>
  <c r="F479" i="21"/>
  <c r="G511" i="21"/>
  <c r="F511" i="21"/>
  <c r="G515" i="21"/>
  <c r="F515" i="21"/>
  <c r="G528" i="21"/>
  <c r="F528" i="21"/>
  <c r="G519" i="21"/>
  <c r="F519" i="21"/>
  <c r="G73" i="21"/>
  <c r="F73" i="21"/>
  <c r="G81" i="21"/>
  <c r="F81" i="21"/>
  <c r="G100" i="21"/>
  <c r="F100" i="21"/>
  <c r="G124" i="21"/>
  <c r="F124" i="21"/>
  <c r="G129" i="21"/>
  <c r="F129" i="21"/>
  <c r="G131" i="21"/>
  <c r="F131" i="21"/>
  <c r="G139" i="21"/>
  <c r="F139" i="21"/>
  <c r="G141" i="21"/>
  <c r="F141" i="21"/>
  <c r="G143" i="21"/>
  <c r="F143" i="21"/>
  <c r="G151" i="21"/>
  <c r="F151" i="21"/>
  <c r="G163" i="21"/>
  <c r="F163" i="21"/>
  <c r="G165" i="21"/>
  <c r="F165" i="21"/>
  <c r="G168" i="21"/>
  <c r="F168" i="21"/>
  <c r="G181" i="21"/>
  <c r="F181" i="21"/>
  <c r="G183" i="21"/>
  <c r="F183" i="21"/>
  <c r="G185" i="21"/>
  <c r="F185" i="21"/>
  <c r="G233" i="21"/>
  <c r="F233" i="21"/>
  <c r="G240" i="21"/>
  <c r="F240" i="21"/>
  <c r="G258" i="21"/>
  <c r="F258" i="21"/>
  <c r="G333" i="21"/>
  <c r="F333" i="21"/>
  <c r="G327" i="21"/>
  <c r="F327" i="21"/>
  <c r="G330" i="21"/>
  <c r="F330" i="21"/>
  <c r="G448" i="21"/>
  <c r="F448" i="21"/>
  <c r="G459" i="21"/>
  <c r="F459" i="21"/>
  <c r="G462" i="21"/>
  <c r="F462" i="21"/>
  <c r="G475" i="21"/>
  <c r="F475" i="21"/>
  <c r="G493" i="21"/>
  <c r="F493" i="21"/>
  <c r="G469" i="21"/>
  <c r="F469" i="21"/>
  <c r="G472" i="21"/>
  <c r="F472" i="21"/>
  <c r="G477" i="21"/>
  <c r="F477" i="21"/>
  <c r="G509" i="21"/>
  <c r="F509" i="21"/>
  <c r="G512" i="21"/>
  <c r="F512" i="21"/>
  <c r="G527" i="21"/>
  <c r="F527" i="21"/>
  <c r="G523" i="21"/>
  <c r="F523" i="21"/>
  <c r="G43" i="21"/>
  <c r="F43" i="21"/>
  <c r="D79" i="21"/>
  <c r="D436" i="21"/>
  <c r="D577" i="21"/>
  <c r="D188" i="21"/>
  <c r="D192" i="21"/>
  <c r="D628" i="21"/>
  <c r="D404" i="21"/>
  <c r="D649" i="21"/>
  <c r="D98" i="21"/>
  <c r="D34" i="21"/>
  <c r="D42" i="21"/>
  <c r="D30" i="21"/>
  <c r="D32" i="21"/>
  <c r="D406" i="21"/>
  <c r="D44" i="21"/>
  <c r="D71" i="21"/>
  <c r="D280" i="21"/>
  <c r="D287" i="21"/>
  <c r="D196" i="21"/>
  <c r="D198" i="21"/>
  <c r="D197" i="21"/>
  <c r="D200" i="21"/>
  <c r="D204" i="21"/>
  <c r="D279" i="21"/>
  <c r="D281" i="21"/>
  <c r="D288" i="21"/>
  <c r="D342" i="21"/>
  <c r="D344" i="21"/>
  <c r="D341" i="21"/>
  <c r="D343" i="21"/>
  <c r="F270" i="21" l="1"/>
  <c r="G270" i="21"/>
  <c r="F379" i="21"/>
  <c r="F563" i="21"/>
  <c r="F425" i="21"/>
  <c r="F300" i="21"/>
  <c r="F414" i="21"/>
  <c r="F210" i="21"/>
  <c r="G210" i="21"/>
  <c r="F591" i="21"/>
  <c r="F537" i="21"/>
  <c r="F406" i="21"/>
  <c r="F708" i="21"/>
  <c r="F347" i="21"/>
  <c r="F428" i="21"/>
  <c r="G428" i="21"/>
  <c r="F301" i="21"/>
  <c r="F405" i="21"/>
  <c r="F403" i="21"/>
  <c r="F341" i="21"/>
  <c r="G341" i="21"/>
  <c r="F384" i="21"/>
  <c r="G286" i="21"/>
  <c r="F286" i="21"/>
  <c r="F201" i="21"/>
  <c r="F404" i="21"/>
  <c r="G572" i="21"/>
  <c r="F572" i="21"/>
  <c r="G647" i="21"/>
  <c r="F647" i="21"/>
  <c r="F346" i="21"/>
  <c r="F30" i="21"/>
  <c r="G30" i="21"/>
  <c r="G376" i="21"/>
  <c r="F125" i="21"/>
  <c r="F548" i="21"/>
  <c r="G548" i="21"/>
  <c r="F599" i="21"/>
  <c r="G599" i="21"/>
  <c r="F273" i="21"/>
  <c r="F594" i="21"/>
  <c r="F402" i="21"/>
  <c r="G287" i="21"/>
  <c r="F287" i="21"/>
  <c r="F412" i="21"/>
  <c r="F353" i="21"/>
  <c r="G353" i="21"/>
  <c r="F618" i="21"/>
  <c r="G358" i="21"/>
  <c r="F358" i="21"/>
  <c r="G616" i="21"/>
  <c r="F616" i="21"/>
  <c r="F84" i="21"/>
  <c r="G84" i="21"/>
  <c r="F429" i="21"/>
  <c r="F261" i="21"/>
  <c r="G261" i="21"/>
  <c r="F593" i="21"/>
  <c r="F592" i="21"/>
  <c r="F122" i="21"/>
  <c r="G122" i="21"/>
  <c r="G531" i="21"/>
  <c r="F531" i="21"/>
  <c r="F427" i="21"/>
  <c r="F284" i="21"/>
  <c r="G490" i="21"/>
  <c r="F490" i="21"/>
  <c r="G532" i="21"/>
  <c r="F532" i="21"/>
  <c r="G267" i="21"/>
  <c r="F267" i="21"/>
  <c r="F442" i="21"/>
  <c r="G213" i="21"/>
  <c r="F213" i="21"/>
  <c r="F439" i="21"/>
  <c r="G378" i="21"/>
  <c r="G529" i="21"/>
  <c r="G432" i="21"/>
  <c r="G209" i="21"/>
  <c r="G543" i="21"/>
  <c r="G364" i="21"/>
  <c r="G570" i="21"/>
  <c r="G518" i="21"/>
  <c r="G222" i="21"/>
  <c r="G216" i="21"/>
  <c r="G230" i="21"/>
  <c r="G564" i="21"/>
  <c r="F272" i="21"/>
  <c r="G423" i="21"/>
  <c r="G317" i="21"/>
  <c r="G614" i="21"/>
  <c r="G542" i="21"/>
  <c r="G431" i="21"/>
  <c r="G304" i="21"/>
  <c r="G613" i="21"/>
  <c r="G309" i="21"/>
  <c r="G547" i="21"/>
  <c r="G601" i="21"/>
  <c r="G440" i="21"/>
  <c r="G351" i="21"/>
  <c r="G595" i="21"/>
  <c r="G400" i="21"/>
  <c r="G401" i="21"/>
  <c r="G92" i="21"/>
  <c r="G212" i="21"/>
  <c r="G345" i="21"/>
  <c r="G257" i="21"/>
  <c r="G308" i="21"/>
  <c r="G541" i="21"/>
  <c r="G299" i="21"/>
  <c r="G91" i="21"/>
  <c r="G562" i="21"/>
  <c r="G424" i="21"/>
  <c r="G211" i="21"/>
  <c r="G569" i="21"/>
  <c r="G133" i="21"/>
  <c r="G408" i="21"/>
  <c r="G298" i="21"/>
  <c r="G444" i="21"/>
  <c r="G195" i="21"/>
  <c r="G534" i="21"/>
  <c r="G294" i="21"/>
  <c r="G433" i="21"/>
  <c r="G293" i="21"/>
  <c r="G568" i="21"/>
  <c r="G526" i="21"/>
  <c r="G292" i="21"/>
  <c r="G413" i="21"/>
  <c r="G608" i="21"/>
  <c r="F289" i="21"/>
  <c r="G390" i="21"/>
  <c r="G291" i="21"/>
  <c r="G546" i="21"/>
  <c r="G363" i="21"/>
  <c r="G558" i="21"/>
  <c r="G316" i="21"/>
  <c r="G426" i="21"/>
  <c r="G615" i="21"/>
  <c r="F271" i="21"/>
  <c r="G215" i="21"/>
  <c r="G296" i="21"/>
  <c r="F226" i="21"/>
  <c r="G674" i="21"/>
  <c r="G130" i="21"/>
  <c r="G726" i="21"/>
  <c r="F225" i="21"/>
  <c r="G70" i="21"/>
  <c r="G549" i="21"/>
  <c r="G545" i="21"/>
  <c r="F311" i="21"/>
  <c r="G311" i="21"/>
  <c r="F750" i="21"/>
  <c r="G750" i="21"/>
  <c r="D217" i="21"/>
  <c r="D326" i="21"/>
  <c r="G326" i="21" s="1"/>
  <c r="D127" i="21"/>
  <c r="G127" i="21" s="1"/>
  <c r="D488" i="21"/>
  <c r="D656" i="21"/>
  <c r="D172" i="21"/>
  <c r="D149" i="21"/>
  <c r="D555" i="21"/>
  <c r="D584" i="21"/>
  <c r="D207" i="21"/>
  <c r="D576" i="21"/>
  <c r="D610" i="21"/>
  <c r="D598" i="21"/>
  <c r="D260" i="21"/>
  <c r="D360" i="21"/>
  <c r="D135" i="21"/>
  <c r="F76" i="21"/>
  <c r="G76" i="21"/>
  <c r="F85" i="21"/>
  <c r="G85" i="21"/>
  <c r="F561" i="21"/>
  <c r="G561" i="21"/>
  <c r="G51" i="21"/>
  <c r="F51" i="21"/>
  <c r="F383" i="21"/>
  <c r="G383" i="21"/>
  <c r="F445" i="21"/>
  <c r="G445" i="21"/>
  <c r="G466" i="21"/>
  <c r="F466" i="21"/>
  <c r="G705" i="21"/>
  <c r="F705" i="21"/>
  <c r="G639" i="21"/>
  <c r="F639" i="21"/>
  <c r="G123" i="21"/>
  <c r="F123" i="21"/>
  <c r="F305" i="21"/>
  <c r="G305" i="21"/>
  <c r="F312" i="21"/>
  <c r="G312" i="21"/>
  <c r="F275" i="21"/>
  <c r="G275" i="21"/>
  <c r="G136" i="21"/>
  <c r="F136" i="21"/>
  <c r="F377" i="21"/>
  <c r="G377" i="21"/>
  <c r="G505" i="21"/>
  <c r="F505" i="21"/>
  <c r="F386" i="21"/>
  <c r="G386" i="21"/>
  <c r="G749" i="21"/>
  <c r="F749" i="21"/>
  <c r="F571" i="21"/>
  <c r="G571" i="21"/>
  <c r="F354" i="21"/>
  <c r="G354" i="21"/>
  <c r="F208" i="21"/>
  <c r="G208" i="21"/>
  <c r="F368" i="21"/>
  <c r="G368" i="21"/>
  <c r="G232" i="21"/>
  <c r="F232" i="21"/>
  <c r="G187" i="21"/>
  <c r="F187" i="21"/>
  <c r="F539" i="21"/>
  <c r="G539" i="21"/>
  <c r="F310" i="21"/>
  <c r="G310" i="21"/>
  <c r="G193" i="21"/>
  <c r="F193" i="21"/>
  <c r="F303" i="21"/>
  <c r="G303" i="21"/>
  <c r="F524" i="21"/>
  <c r="G524" i="21"/>
  <c r="G697" i="21"/>
  <c r="F697" i="21"/>
  <c r="G138" i="21"/>
  <c r="F138" i="21"/>
  <c r="F761" i="21"/>
  <c r="G617" i="21"/>
  <c r="F617" i="21"/>
  <c r="G263" i="21"/>
  <c r="F263" i="21"/>
  <c r="D340" i="21"/>
  <c r="G343" i="21"/>
  <c r="F343" i="21"/>
  <c r="G342" i="21"/>
  <c r="F342" i="21"/>
  <c r="G281" i="21"/>
  <c r="F281" i="21"/>
  <c r="G197" i="21"/>
  <c r="F197" i="21"/>
  <c r="G198" i="21"/>
  <c r="F198" i="21"/>
  <c r="G71" i="21"/>
  <c r="F71" i="21"/>
  <c r="G18" i="21"/>
  <c r="F18" i="21"/>
  <c r="G44" i="21"/>
  <c r="F44" i="21"/>
  <c r="G188" i="21"/>
  <c r="F188" i="21"/>
  <c r="G577" i="21"/>
  <c r="F577" i="21"/>
  <c r="G79" i="21"/>
  <c r="F79" i="21"/>
  <c r="G761" i="21"/>
  <c r="G344" i="21"/>
  <c r="F344" i="21"/>
  <c r="G288" i="21"/>
  <c r="F288" i="21"/>
  <c r="G279" i="21"/>
  <c r="F279" i="21"/>
  <c r="G200" i="21"/>
  <c r="F200" i="21"/>
  <c r="G280" i="21"/>
  <c r="F280" i="21"/>
  <c r="G42" i="21"/>
  <c r="F42" i="21"/>
  <c r="G98" i="21"/>
  <c r="F98" i="21"/>
  <c r="G649" i="21"/>
  <c r="F649" i="21"/>
  <c r="G628" i="21"/>
  <c r="F628" i="21"/>
  <c r="G192" i="21"/>
  <c r="F192" i="21"/>
  <c r="D39" i="21"/>
  <c r="D72" i="21"/>
  <c r="D607" i="21"/>
  <c r="D46" i="21"/>
  <c r="D29" i="21"/>
  <c r="D24" i="21"/>
  <c r="D47" i="21"/>
  <c r="G488" i="21" l="1"/>
  <c r="F488" i="21"/>
  <c r="G555" i="21"/>
  <c r="F555" i="21"/>
  <c r="G360" i="21"/>
  <c r="F360" i="21"/>
  <c r="G24" i="21"/>
  <c r="F24" i="21"/>
  <c r="G340" i="21"/>
  <c r="F340" i="21"/>
  <c r="G260" i="21"/>
  <c r="F260" i="21"/>
  <c r="F29" i="21"/>
  <c r="F36" i="21"/>
  <c r="G217" i="21"/>
  <c r="F217" i="21"/>
  <c r="D536" i="21"/>
  <c r="D89" i="21"/>
  <c r="G89" i="21" s="1"/>
  <c r="D745" i="21"/>
  <c r="F745" i="21" s="1"/>
  <c r="F127" i="21"/>
  <c r="F326" i="21"/>
  <c r="F610" i="21"/>
  <c r="G610" i="21"/>
  <c r="G207" i="21"/>
  <c r="F207" i="21"/>
  <c r="G172" i="21"/>
  <c r="F172" i="21"/>
  <c r="F576" i="21"/>
  <c r="G576" i="21"/>
  <c r="G149" i="21"/>
  <c r="F149" i="21"/>
  <c r="D20" i="21"/>
  <c r="D407" i="21"/>
  <c r="D334" i="21"/>
  <c r="G680" i="21"/>
  <c r="D430" i="21"/>
  <c r="F535" i="21"/>
  <c r="G535" i="21"/>
  <c r="F355" i="21"/>
  <c r="G355" i="21"/>
  <c r="F435" i="21"/>
  <c r="G435" i="21"/>
  <c r="G636" i="21"/>
  <c r="F636" i="21"/>
  <c r="F438" i="21"/>
  <c r="G438" i="21"/>
  <c r="F556" i="21"/>
  <c r="G556" i="21"/>
  <c r="F530" i="21"/>
  <c r="G530" i="21"/>
  <c r="F77" i="21"/>
  <c r="F420" i="21"/>
  <c r="G420" i="21"/>
  <c r="F248" i="21"/>
  <c r="G248" i="21"/>
  <c r="F489" i="21"/>
  <c r="G489" i="21"/>
  <c r="G607" i="21"/>
  <c r="F584" i="21"/>
  <c r="G584" i="21"/>
  <c r="F513" i="21"/>
  <c r="G513" i="21"/>
  <c r="G596" i="21"/>
  <c r="F596" i="21"/>
  <c r="F247" i="21"/>
  <c r="G247" i="21"/>
  <c r="G606" i="21"/>
  <c r="F606" i="21"/>
  <c r="G688" i="21"/>
  <c r="F688" i="21"/>
  <c r="G622" i="21"/>
  <c r="F622" i="21"/>
  <c r="G737" i="21"/>
  <c r="F737" i="21"/>
  <c r="G600" i="21"/>
  <c r="F600" i="21"/>
  <c r="F274" i="21"/>
  <c r="G673" i="21"/>
  <c r="F673" i="21"/>
  <c r="G338" i="21"/>
  <c r="F338" i="21"/>
  <c r="F598" i="21"/>
  <c r="G598" i="21"/>
  <c r="G597" i="21"/>
  <c r="F597" i="21"/>
  <c r="G725" i="21"/>
  <c r="F725" i="21"/>
  <c r="G718" i="21"/>
  <c r="F718" i="21"/>
  <c r="G565" i="21"/>
  <c r="F565" i="21"/>
  <c r="G735" i="21"/>
  <c r="F735" i="21"/>
  <c r="G762" i="21"/>
  <c r="F762" i="21"/>
  <c r="G732" i="21"/>
  <c r="F732" i="21"/>
  <c r="G47" i="21"/>
  <c r="F47" i="21"/>
  <c r="G46" i="21"/>
  <c r="F46" i="21"/>
  <c r="G34" i="21"/>
  <c r="F34" i="21"/>
  <c r="G32" i="21"/>
  <c r="F32" i="21"/>
  <c r="D502" i="21"/>
  <c r="F407" i="21" l="1"/>
  <c r="F430" i="21"/>
  <c r="F20" i="21"/>
  <c r="F89" i="21"/>
  <c r="G745" i="21"/>
  <c r="G334" i="21"/>
  <c r="F334" i="21"/>
  <c r="F680" i="21"/>
  <c r="F578" i="21"/>
  <c r="G578" i="21"/>
  <c r="F580" i="21"/>
  <c r="G580" i="21"/>
  <c r="G455" i="21"/>
  <c r="F455" i="21"/>
  <c r="F359" i="21"/>
  <c r="G359" i="21"/>
  <c r="F581" i="21"/>
  <c r="G581" i="21"/>
  <c r="F579" i="21"/>
  <c r="G579" i="21"/>
  <c r="F582" i="21"/>
  <c r="G582" i="21"/>
  <c r="F607" i="21"/>
  <c r="F283" i="21"/>
  <c r="G283" i="21"/>
  <c r="G94" i="21"/>
  <c r="F94" i="21"/>
  <c r="G729" i="21"/>
  <c r="F729" i="21"/>
  <c r="G93" i="21"/>
  <c r="F93" i="21"/>
  <c r="G39" i="21"/>
  <c r="F39" i="21"/>
  <c r="G502" i="21"/>
  <c r="F502" i="21"/>
  <c r="G223" i="21" l="1"/>
  <c r="F223" i="21"/>
  <c r="X500" i="31"/>
  <c r="Z500" i="31" s="1"/>
  <c r="Q500" i="31" s="1"/>
  <c r="X682" i="31"/>
  <c r="Z682" i="31" s="1"/>
  <c r="Q682" i="31" s="1"/>
  <c r="X400" i="31"/>
  <c r="Z400" i="31" s="1"/>
  <c r="Q400" i="31" s="1"/>
  <c r="X384" i="31"/>
  <c r="Z384" i="31" s="1"/>
  <c r="Q384" i="31" s="1"/>
  <c r="X691" i="31"/>
  <c r="Z691" i="31" s="1"/>
  <c r="Q691" i="31" s="1"/>
  <c r="X692" i="31"/>
  <c r="Z692" i="31" s="1"/>
  <c r="Q692" i="31" s="1"/>
  <c r="X578" i="31"/>
  <c r="Z578" i="31" s="1"/>
  <c r="Q578" i="31" s="1"/>
  <c r="X575" i="31"/>
  <c r="X574" i="31"/>
  <c r="X576" i="31"/>
  <c r="Z576" i="31" s="1"/>
  <c r="Q576" i="31" s="1"/>
  <c r="X577" i="31"/>
  <c r="Z577" i="31" s="1"/>
  <c r="Q577" i="31" s="1"/>
  <c r="X392" i="31"/>
  <c r="Z392" i="31" s="1"/>
  <c r="Q392" i="31" s="1"/>
  <c r="X389" i="31"/>
  <c r="Z389" i="31" s="1"/>
  <c r="Q389" i="31" s="1"/>
  <c r="X390" i="31"/>
  <c r="Z390" i="31" s="1"/>
  <c r="Q390" i="31" s="1"/>
  <c r="X391" i="31"/>
  <c r="Z391" i="31" s="1"/>
  <c r="Q391" i="31" s="1"/>
  <c r="Z575" i="31"/>
  <c r="Q575" i="31" s="1"/>
  <c r="Z574" i="31"/>
  <c r="Q574" i="31" s="1"/>
  <c r="X385" i="31"/>
  <c r="Z385" i="31" s="1"/>
  <c r="Q385" i="31" s="1"/>
  <c r="AB634" i="31"/>
  <c r="AB720" i="31"/>
  <c r="Z720" i="31"/>
  <c r="AB648" i="31"/>
  <c r="Z599" i="31"/>
  <c r="Z520" i="31"/>
  <c r="X520" i="31"/>
  <c r="AB470" i="31"/>
  <c r="Z470" i="31"/>
  <c r="AB466" i="31"/>
  <c r="AB465" i="31"/>
  <c r="AB460" i="31"/>
  <c r="Z460" i="31"/>
  <c r="AB428" i="31"/>
  <c r="AB416" i="31"/>
  <c r="Z416" i="31"/>
  <c r="X416" i="31"/>
  <c r="X415" i="31"/>
  <c r="AB415" i="31"/>
  <c r="Z415" i="31"/>
  <c r="AB413" i="31"/>
  <c r="Z413" i="31"/>
  <c r="X413" i="31"/>
  <c r="AB411" i="31"/>
  <c r="Z411" i="31"/>
  <c r="AB398" i="31"/>
  <c r="AB388" i="31"/>
  <c r="AB373" i="31"/>
  <c r="AB369" i="31"/>
  <c r="Z368" i="31"/>
  <c r="AB336" i="31"/>
  <c r="Z311" i="31"/>
  <c r="AB291" i="31"/>
  <c r="Z291" i="31"/>
  <c r="AB290" i="31"/>
  <c r="Z290" i="31"/>
  <c r="AB209" i="31"/>
  <c r="Q416" i="31" l="1"/>
  <c r="O416" i="31"/>
  <c r="Q415" i="31"/>
  <c r="O415" i="31"/>
  <c r="Q413" i="31"/>
  <c r="R413" i="31" s="1"/>
  <c r="O413" i="31"/>
  <c r="Q599" i="31"/>
  <c r="O599" i="31"/>
  <c r="O392" i="31"/>
  <c r="R384" i="31"/>
  <c r="O384" i="31"/>
  <c r="O391" i="31"/>
  <c r="O389" i="31"/>
  <c r="O577" i="31"/>
  <c r="R400" i="31"/>
  <c r="O400" i="31"/>
  <c r="O385" i="31"/>
  <c r="O574" i="31"/>
  <c r="O500" i="31"/>
  <c r="O390" i="31"/>
  <c r="O576" i="31"/>
  <c r="O575" i="31"/>
  <c r="O578" i="31"/>
  <c r="R415" i="31"/>
  <c r="R416" i="31"/>
  <c r="O692" i="31"/>
  <c r="O708" i="21" s="1"/>
  <c r="O691" i="31"/>
  <c r="O682" i="31"/>
  <c r="O698" i="21" s="1"/>
  <c r="S392" i="31"/>
  <c r="S389" i="31"/>
  <c r="S692" i="31"/>
  <c r="S385" i="31"/>
  <c r="S577" i="31"/>
  <c r="S576" i="31"/>
  <c r="S682" i="31"/>
  <c r="S599" i="31"/>
  <c r="S574" i="31"/>
  <c r="S500" i="31"/>
  <c r="S691" i="31"/>
  <c r="S575" i="31"/>
  <c r="S390" i="31"/>
  <c r="S391" i="31"/>
  <c r="S578" i="31"/>
  <c r="X720" i="31"/>
  <c r="X648" i="31"/>
  <c r="X646" i="31"/>
  <c r="Z646" i="31" s="1"/>
  <c r="Q646" i="31" s="1"/>
  <c r="X634" i="31"/>
  <c r="Z634" i="31" s="1"/>
  <c r="Q634" i="31" s="1"/>
  <c r="X599" i="31"/>
  <c r="X547" i="31"/>
  <c r="Z547" i="31" s="1"/>
  <c r="Q547" i="31" s="1"/>
  <c r="X543" i="31"/>
  <c r="Z543" i="31" s="1"/>
  <c r="Q543" i="31" s="1"/>
  <c r="X466" i="31"/>
  <c r="Q466" i="31" s="1"/>
  <c r="X470" i="31"/>
  <c r="Q470" i="31" s="1"/>
  <c r="X465" i="31"/>
  <c r="Z465" i="31" s="1"/>
  <c r="Q465" i="31" s="1"/>
  <c r="X460" i="31"/>
  <c r="O460" i="31" s="1"/>
  <c r="X428" i="31"/>
  <c r="X411" i="31"/>
  <c r="Q411" i="31" s="1"/>
  <c r="X398" i="31"/>
  <c r="Z398" i="31" s="1"/>
  <c r="Q398" i="31" s="1"/>
  <c r="X393" i="31"/>
  <c r="Z393" i="31" s="1"/>
  <c r="Q393" i="31" s="1"/>
  <c r="X388" i="31"/>
  <c r="Z388" i="31" s="1"/>
  <c r="Q388" i="31" s="1"/>
  <c r="X383" i="31"/>
  <c r="Z383" i="31" s="1"/>
  <c r="Q383" i="31" s="1"/>
  <c r="X378" i="31"/>
  <c r="Z378" i="31" s="1"/>
  <c r="Q378" i="31" s="1"/>
  <c r="X373" i="31"/>
  <c r="Q373" i="31" s="1"/>
  <c r="X369" i="31"/>
  <c r="Q369" i="31" s="1"/>
  <c r="X368" i="31"/>
  <c r="O368" i="31" s="1"/>
  <c r="X336" i="31"/>
  <c r="Z336" i="31" s="1"/>
  <c r="Q336" i="31" s="1"/>
  <c r="X335" i="31"/>
  <c r="X311" i="31"/>
  <c r="X292" i="31"/>
  <c r="Z292" i="31" s="1"/>
  <c r="Q292" i="31" s="1"/>
  <c r="X291" i="31"/>
  <c r="Q291" i="31" s="1"/>
  <c r="X290" i="31"/>
  <c r="Q290" i="31" s="1"/>
  <c r="X265" i="31"/>
  <c r="Z265" i="31" s="1"/>
  <c r="Q265" i="31" s="1"/>
  <c r="X219" i="31"/>
  <c r="Z219" i="31" s="1"/>
  <c r="Q219" i="31" s="1"/>
  <c r="X209" i="31"/>
  <c r="Q209" i="31" s="1"/>
  <c r="I185" i="58"/>
  <c r="J185" i="58"/>
  <c r="K185" i="58"/>
  <c r="L185" i="58"/>
  <c r="I181" i="56"/>
  <c r="J181" i="56"/>
  <c r="K181" i="56"/>
  <c r="L181" i="56"/>
  <c r="E183" i="57"/>
  <c r="F183" i="57"/>
  <c r="I183" i="57"/>
  <c r="J183" i="57"/>
  <c r="K183" i="57"/>
  <c r="H183" i="57"/>
  <c r="I181" i="58"/>
  <c r="J181" i="58"/>
  <c r="K181" i="58"/>
  <c r="L181" i="58"/>
  <c r="J182" i="58"/>
  <c r="K182" i="58"/>
  <c r="L182" i="58"/>
  <c r="I177" i="56"/>
  <c r="J177" i="56"/>
  <c r="K177" i="56"/>
  <c r="L177" i="56"/>
  <c r="J178" i="56"/>
  <c r="K178" i="56"/>
  <c r="L178" i="56"/>
  <c r="E179" i="57"/>
  <c r="F179" i="57"/>
  <c r="I179" i="57"/>
  <c r="J179" i="57"/>
  <c r="K179" i="57"/>
  <c r="H179" i="57"/>
  <c r="E180" i="57"/>
  <c r="F180" i="57"/>
  <c r="I180" i="57"/>
  <c r="J180" i="57"/>
  <c r="K180" i="57"/>
  <c r="H180" i="57"/>
  <c r="J72" i="58"/>
  <c r="K72" i="58"/>
  <c r="L72" i="58"/>
  <c r="I72" i="58"/>
  <c r="J68" i="56"/>
  <c r="K68" i="56"/>
  <c r="L68" i="56"/>
  <c r="I68" i="56"/>
  <c r="E70" i="57"/>
  <c r="F70" i="57"/>
  <c r="I70" i="57"/>
  <c r="J70" i="57"/>
  <c r="K70" i="57"/>
  <c r="H70" i="57"/>
  <c r="D760" i="21"/>
  <c r="D667" i="21"/>
  <c r="D658" i="21"/>
  <c r="AB335" i="31"/>
  <c r="AB311" i="31"/>
  <c r="I139" i="58"/>
  <c r="J139" i="58"/>
  <c r="K139" i="58"/>
  <c r="L139" i="58"/>
  <c r="I140" i="58"/>
  <c r="J140" i="58"/>
  <c r="K140" i="58"/>
  <c r="L140" i="58"/>
  <c r="I141" i="58"/>
  <c r="J141" i="58"/>
  <c r="K141" i="58"/>
  <c r="L141" i="58"/>
  <c r="J142" i="58"/>
  <c r="K142" i="58"/>
  <c r="L142" i="58"/>
  <c r="I142" i="58"/>
  <c r="J143" i="58"/>
  <c r="K143" i="58"/>
  <c r="L143" i="58"/>
  <c r="I143" i="58"/>
  <c r="J144" i="58"/>
  <c r="K144" i="58"/>
  <c r="L144" i="58"/>
  <c r="I144" i="58"/>
  <c r="J145" i="58"/>
  <c r="K145" i="58"/>
  <c r="L145" i="58"/>
  <c r="I145" i="58"/>
  <c r="J146" i="58"/>
  <c r="K146" i="58"/>
  <c r="L146" i="58"/>
  <c r="I146" i="58"/>
  <c r="J147" i="58"/>
  <c r="K147" i="58"/>
  <c r="L147" i="58"/>
  <c r="I147" i="58"/>
  <c r="J148" i="58"/>
  <c r="K148" i="58"/>
  <c r="L148" i="58"/>
  <c r="I148" i="58"/>
  <c r="J149" i="58"/>
  <c r="K149" i="58"/>
  <c r="L149" i="58"/>
  <c r="I149" i="58"/>
  <c r="J150" i="58"/>
  <c r="K150" i="58"/>
  <c r="L150" i="58"/>
  <c r="I150" i="58"/>
  <c r="J151" i="58"/>
  <c r="K151" i="58"/>
  <c r="L151" i="58"/>
  <c r="I151" i="58"/>
  <c r="J152" i="58"/>
  <c r="K152" i="58"/>
  <c r="L152" i="58"/>
  <c r="I152" i="58"/>
  <c r="J153" i="58"/>
  <c r="K153" i="58"/>
  <c r="L153" i="58"/>
  <c r="I153" i="58"/>
  <c r="J154" i="58"/>
  <c r="K154" i="58"/>
  <c r="L154" i="58"/>
  <c r="I154" i="58"/>
  <c r="J155" i="58"/>
  <c r="K155" i="58"/>
  <c r="L155" i="58"/>
  <c r="I155" i="58"/>
  <c r="J156" i="58"/>
  <c r="K156" i="58"/>
  <c r="L156" i="58"/>
  <c r="I156" i="58"/>
  <c r="J157" i="58"/>
  <c r="K157" i="58"/>
  <c r="L157" i="58"/>
  <c r="I157" i="58"/>
  <c r="J158" i="58"/>
  <c r="K158" i="58"/>
  <c r="L158" i="58"/>
  <c r="I158" i="58"/>
  <c r="J159" i="58"/>
  <c r="K159" i="58"/>
  <c r="L159" i="58"/>
  <c r="I159" i="58"/>
  <c r="J160" i="58"/>
  <c r="K160" i="58"/>
  <c r="L160" i="58"/>
  <c r="I160" i="58"/>
  <c r="J161" i="58"/>
  <c r="K161" i="58"/>
  <c r="L161" i="58"/>
  <c r="I161" i="58"/>
  <c r="J162" i="58"/>
  <c r="K162" i="58"/>
  <c r="L162" i="58"/>
  <c r="I162" i="58"/>
  <c r="J163" i="58"/>
  <c r="K163" i="58"/>
  <c r="L163" i="58"/>
  <c r="I163" i="58"/>
  <c r="J164" i="58"/>
  <c r="K164" i="58"/>
  <c r="L164" i="58"/>
  <c r="I164" i="58"/>
  <c r="J165" i="58"/>
  <c r="K165" i="58"/>
  <c r="L165" i="58"/>
  <c r="I165" i="58"/>
  <c r="J166" i="58"/>
  <c r="K166" i="58"/>
  <c r="L166" i="58"/>
  <c r="I166" i="58"/>
  <c r="J167" i="58"/>
  <c r="K167" i="58"/>
  <c r="L167" i="58"/>
  <c r="I167" i="58"/>
  <c r="J168" i="58"/>
  <c r="K168" i="58"/>
  <c r="L168" i="58"/>
  <c r="I168" i="58"/>
  <c r="J169" i="58"/>
  <c r="K169" i="58"/>
  <c r="L169" i="58"/>
  <c r="I169" i="58"/>
  <c r="J170" i="58"/>
  <c r="K170" i="58"/>
  <c r="L170" i="58"/>
  <c r="I170" i="58"/>
  <c r="J171" i="58"/>
  <c r="K171" i="58"/>
  <c r="L171" i="58"/>
  <c r="I171" i="58"/>
  <c r="J172" i="58"/>
  <c r="K172" i="58"/>
  <c r="L172" i="58"/>
  <c r="I172" i="58"/>
  <c r="J173" i="58"/>
  <c r="K173" i="58"/>
  <c r="L173" i="58"/>
  <c r="I173" i="58"/>
  <c r="J174" i="58"/>
  <c r="K174" i="58"/>
  <c r="L174" i="58"/>
  <c r="I174" i="58"/>
  <c r="J175" i="58"/>
  <c r="K175" i="58"/>
  <c r="L175" i="58"/>
  <c r="I175" i="58"/>
  <c r="J176" i="58"/>
  <c r="K176" i="58"/>
  <c r="L176" i="58"/>
  <c r="I176" i="58"/>
  <c r="J177" i="58"/>
  <c r="K177" i="58"/>
  <c r="L177" i="58"/>
  <c r="I177" i="58"/>
  <c r="J178" i="58"/>
  <c r="K178" i="58"/>
  <c r="L178" i="58"/>
  <c r="I178" i="58"/>
  <c r="J179" i="58"/>
  <c r="K179" i="58"/>
  <c r="L179" i="58"/>
  <c r="I179" i="58"/>
  <c r="J180" i="58"/>
  <c r="K180" i="58"/>
  <c r="L180" i="58"/>
  <c r="I180" i="58"/>
  <c r="I182" i="58"/>
  <c r="J183" i="58"/>
  <c r="K183" i="58"/>
  <c r="L183" i="58"/>
  <c r="I183" i="58"/>
  <c r="J184" i="58"/>
  <c r="K184" i="58"/>
  <c r="L184" i="58"/>
  <c r="I184" i="58"/>
  <c r="J186" i="58"/>
  <c r="K186" i="58"/>
  <c r="L186" i="58"/>
  <c r="I186" i="58"/>
  <c r="J187" i="58"/>
  <c r="K187" i="58"/>
  <c r="L187" i="58"/>
  <c r="I187" i="58"/>
  <c r="J188" i="58"/>
  <c r="K188" i="58"/>
  <c r="L188" i="58"/>
  <c r="I188" i="58"/>
  <c r="J189" i="58"/>
  <c r="K189" i="58"/>
  <c r="L189" i="58"/>
  <c r="I189" i="58"/>
  <c r="J190" i="58"/>
  <c r="K190" i="58"/>
  <c r="L190" i="58"/>
  <c r="I190" i="58"/>
  <c r="J191" i="58"/>
  <c r="K191" i="58"/>
  <c r="L191" i="58"/>
  <c r="I191" i="58"/>
  <c r="J192" i="58"/>
  <c r="K192" i="58"/>
  <c r="L192" i="58"/>
  <c r="I192" i="58"/>
  <c r="J193" i="58"/>
  <c r="K193" i="58"/>
  <c r="L193" i="58"/>
  <c r="I193" i="58"/>
  <c r="I194" i="58"/>
  <c r="J194" i="58"/>
  <c r="K194" i="58"/>
  <c r="L194" i="58"/>
  <c r="I195" i="58"/>
  <c r="J195" i="58"/>
  <c r="K195" i="58"/>
  <c r="L195" i="58"/>
  <c r="I196" i="58"/>
  <c r="J196" i="58"/>
  <c r="K196" i="58"/>
  <c r="L196" i="58"/>
  <c r="J197" i="58"/>
  <c r="K197" i="58"/>
  <c r="L197" i="58"/>
  <c r="I197" i="58"/>
  <c r="J198" i="58"/>
  <c r="K198" i="58"/>
  <c r="L198" i="58"/>
  <c r="I198" i="58"/>
  <c r="I199" i="58"/>
  <c r="J199" i="58"/>
  <c r="K199" i="58"/>
  <c r="L199" i="58"/>
  <c r="I135" i="56"/>
  <c r="J135" i="56"/>
  <c r="K135" i="56"/>
  <c r="L135" i="56"/>
  <c r="I136" i="56"/>
  <c r="J136" i="56"/>
  <c r="K136" i="56"/>
  <c r="L136" i="56"/>
  <c r="I137" i="56"/>
  <c r="J137" i="56"/>
  <c r="K137" i="56"/>
  <c r="L137" i="56"/>
  <c r="J138" i="56"/>
  <c r="K138" i="56"/>
  <c r="L138" i="56"/>
  <c r="I138" i="56"/>
  <c r="J139" i="56"/>
  <c r="K139" i="56"/>
  <c r="L139" i="56"/>
  <c r="I139" i="56"/>
  <c r="J140" i="56"/>
  <c r="K140" i="56"/>
  <c r="L140" i="56"/>
  <c r="I140" i="56"/>
  <c r="J141" i="56"/>
  <c r="K141" i="56"/>
  <c r="L141" i="56"/>
  <c r="I141" i="56"/>
  <c r="J142" i="56"/>
  <c r="K142" i="56"/>
  <c r="L142" i="56"/>
  <c r="I142" i="56"/>
  <c r="J143" i="56"/>
  <c r="K143" i="56"/>
  <c r="L143" i="56"/>
  <c r="I143" i="56"/>
  <c r="J144" i="56"/>
  <c r="K144" i="56"/>
  <c r="L144" i="56"/>
  <c r="I144" i="56"/>
  <c r="J145" i="56"/>
  <c r="K145" i="56"/>
  <c r="L145" i="56"/>
  <c r="I145" i="56"/>
  <c r="J146" i="56"/>
  <c r="K146" i="56"/>
  <c r="L146" i="56"/>
  <c r="I146" i="56"/>
  <c r="J147" i="56"/>
  <c r="K147" i="56"/>
  <c r="L147" i="56"/>
  <c r="I147" i="56"/>
  <c r="J148" i="56"/>
  <c r="K148" i="56"/>
  <c r="L148" i="56"/>
  <c r="I148" i="56"/>
  <c r="J149" i="56"/>
  <c r="K149" i="56"/>
  <c r="L149" i="56"/>
  <c r="I149" i="56"/>
  <c r="J150" i="56"/>
  <c r="K150" i="56"/>
  <c r="L150" i="56"/>
  <c r="I150" i="56"/>
  <c r="J151" i="56"/>
  <c r="K151" i="56"/>
  <c r="L151" i="56"/>
  <c r="I151" i="56"/>
  <c r="J152" i="56"/>
  <c r="K152" i="56"/>
  <c r="L152" i="56"/>
  <c r="I152" i="56"/>
  <c r="J153" i="56"/>
  <c r="K153" i="56"/>
  <c r="L153" i="56"/>
  <c r="I153" i="56"/>
  <c r="J154" i="56"/>
  <c r="K154" i="56"/>
  <c r="L154" i="56"/>
  <c r="I154" i="56"/>
  <c r="J155" i="56"/>
  <c r="K155" i="56"/>
  <c r="L155" i="56"/>
  <c r="I155" i="56"/>
  <c r="J156" i="56"/>
  <c r="K156" i="56"/>
  <c r="L156" i="56"/>
  <c r="I156" i="56"/>
  <c r="J157" i="56"/>
  <c r="K157" i="56"/>
  <c r="L157" i="56"/>
  <c r="I157" i="56"/>
  <c r="J158" i="56"/>
  <c r="K158" i="56"/>
  <c r="L158" i="56"/>
  <c r="I158" i="56"/>
  <c r="J159" i="56"/>
  <c r="K159" i="56"/>
  <c r="L159" i="56"/>
  <c r="I159" i="56"/>
  <c r="J160" i="56"/>
  <c r="K160" i="56"/>
  <c r="L160" i="56"/>
  <c r="I160" i="56"/>
  <c r="J161" i="56"/>
  <c r="K161" i="56"/>
  <c r="L161" i="56"/>
  <c r="I161" i="56"/>
  <c r="J162" i="56"/>
  <c r="K162" i="56"/>
  <c r="L162" i="56"/>
  <c r="I162" i="56"/>
  <c r="J163" i="56"/>
  <c r="K163" i="56"/>
  <c r="L163" i="56"/>
  <c r="I163" i="56"/>
  <c r="J164" i="56"/>
  <c r="K164" i="56"/>
  <c r="L164" i="56"/>
  <c r="I164" i="56"/>
  <c r="J165" i="56"/>
  <c r="K165" i="56"/>
  <c r="L165" i="56"/>
  <c r="I165" i="56"/>
  <c r="J166" i="56"/>
  <c r="K166" i="56"/>
  <c r="L166" i="56"/>
  <c r="I166" i="56"/>
  <c r="J167" i="56"/>
  <c r="K167" i="56"/>
  <c r="L167" i="56"/>
  <c r="I167" i="56"/>
  <c r="J168" i="56"/>
  <c r="K168" i="56"/>
  <c r="L168" i="56"/>
  <c r="I168" i="56"/>
  <c r="J169" i="56"/>
  <c r="K169" i="56"/>
  <c r="L169" i="56"/>
  <c r="I169" i="56"/>
  <c r="J170" i="56"/>
  <c r="K170" i="56"/>
  <c r="L170" i="56"/>
  <c r="I170" i="56"/>
  <c r="J171" i="56"/>
  <c r="K171" i="56"/>
  <c r="L171" i="56"/>
  <c r="I171" i="56"/>
  <c r="J172" i="56"/>
  <c r="K172" i="56"/>
  <c r="L172" i="56"/>
  <c r="I172" i="56"/>
  <c r="J173" i="56"/>
  <c r="K173" i="56"/>
  <c r="L173" i="56"/>
  <c r="I173" i="56"/>
  <c r="J174" i="56"/>
  <c r="K174" i="56"/>
  <c r="L174" i="56"/>
  <c r="I174" i="56"/>
  <c r="J175" i="56"/>
  <c r="K175" i="56"/>
  <c r="L175" i="56"/>
  <c r="I175" i="56"/>
  <c r="J176" i="56"/>
  <c r="K176" i="56"/>
  <c r="L176" i="56"/>
  <c r="I176" i="56"/>
  <c r="I178" i="56"/>
  <c r="J179" i="56"/>
  <c r="K179" i="56"/>
  <c r="L179" i="56"/>
  <c r="I179" i="56"/>
  <c r="J180" i="56"/>
  <c r="K180" i="56"/>
  <c r="L180" i="56"/>
  <c r="I180" i="56"/>
  <c r="J182" i="56"/>
  <c r="K182" i="56"/>
  <c r="L182" i="56"/>
  <c r="I182" i="56"/>
  <c r="J183" i="56"/>
  <c r="K183" i="56"/>
  <c r="L183" i="56"/>
  <c r="I183" i="56"/>
  <c r="J184" i="56"/>
  <c r="K184" i="56"/>
  <c r="L184" i="56"/>
  <c r="I184" i="56"/>
  <c r="J185" i="56"/>
  <c r="K185" i="56"/>
  <c r="L185" i="56"/>
  <c r="I185" i="56"/>
  <c r="J186" i="56"/>
  <c r="K186" i="56"/>
  <c r="L186" i="56"/>
  <c r="I186" i="56"/>
  <c r="J187" i="56"/>
  <c r="K187" i="56"/>
  <c r="L187" i="56"/>
  <c r="I187" i="56"/>
  <c r="J188" i="56"/>
  <c r="K188" i="56"/>
  <c r="L188" i="56"/>
  <c r="I188" i="56"/>
  <c r="J189" i="56"/>
  <c r="K189" i="56"/>
  <c r="L189" i="56"/>
  <c r="I189" i="56"/>
  <c r="I190" i="56"/>
  <c r="J190" i="56"/>
  <c r="K190" i="56"/>
  <c r="L190" i="56"/>
  <c r="I191" i="56"/>
  <c r="J191" i="56"/>
  <c r="K191" i="56"/>
  <c r="L191" i="56"/>
  <c r="I192" i="56"/>
  <c r="J192" i="56"/>
  <c r="K192" i="56"/>
  <c r="L192" i="56"/>
  <c r="J193" i="56"/>
  <c r="K193" i="56"/>
  <c r="L193" i="56"/>
  <c r="I193" i="56"/>
  <c r="J194" i="56"/>
  <c r="K194" i="56"/>
  <c r="L194" i="56"/>
  <c r="I194" i="56"/>
  <c r="I195" i="56"/>
  <c r="J195" i="56"/>
  <c r="K195" i="56"/>
  <c r="L195" i="56"/>
  <c r="J196" i="56"/>
  <c r="K196" i="56"/>
  <c r="L196" i="56"/>
  <c r="I196" i="56"/>
  <c r="J197" i="56"/>
  <c r="K197" i="56"/>
  <c r="L197" i="56"/>
  <c r="I197" i="56"/>
  <c r="J198" i="56"/>
  <c r="K198" i="56"/>
  <c r="L198" i="56"/>
  <c r="I198" i="56"/>
  <c r="I199" i="56"/>
  <c r="J199" i="56"/>
  <c r="K199" i="56"/>
  <c r="L199" i="56"/>
  <c r="E137" i="57"/>
  <c r="F137" i="57"/>
  <c r="H137" i="57"/>
  <c r="I137" i="57"/>
  <c r="J137" i="57"/>
  <c r="K137" i="57"/>
  <c r="E138" i="57"/>
  <c r="F138" i="57"/>
  <c r="H138" i="57"/>
  <c r="I138" i="57"/>
  <c r="J138" i="57"/>
  <c r="K138" i="57"/>
  <c r="E139" i="57"/>
  <c r="F139" i="57"/>
  <c r="H139" i="57"/>
  <c r="I139" i="57"/>
  <c r="J139" i="57"/>
  <c r="K139" i="57"/>
  <c r="E140" i="57"/>
  <c r="F140" i="57"/>
  <c r="I140" i="57"/>
  <c r="J140" i="57"/>
  <c r="K140" i="57"/>
  <c r="H140" i="57"/>
  <c r="E141" i="57"/>
  <c r="F141" i="57"/>
  <c r="I141" i="57"/>
  <c r="J141" i="57"/>
  <c r="K141" i="57"/>
  <c r="H141" i="57"/>
  <c r="E142" i="57"/>
  <c r="F142" i="57"/>
  <c r="I142" i="57"/>
  <c r="J142" i="57"/>
  <c r="K142" i="57"/>
  <c r="H142" i="57"/>
  <c r="E143" i="57"/>
  <c r="F143" i="57"/>
  <c r="H143" i="57"/>
  <c r="I143" i="57"/>
  <c r="J143" i="57"/>
  <c r="K143" i="57"/>
  <c r="E144" i="57"/>
  <c r="F144" i="57"/>
  <c r="I144" i="57"/>
  <c r="J144" i="57"/>
  <c r="K144" i="57"/>
  <c r="H144" i="57"/>
  <c r="E145" i="57"/>
  <c r="F145" i="57"/>
  <c r="I145" i="57"/>
  <c r="J145" i="57"/>
  <c r="K145" i="57"/>
  <c r="H145" i="57"/>
  <c r="E146" i="57"/>
  <c r="F146" i="57"/>
  <c r="I146" i="57"/>
  <c r="J146" i="57"/>
  <c r="K146" i="57"/>
  <c r="H146" i="57"/>
  <c r="E147" i="57"/>
  <c r="F147" i="57"/>
  <c r="I147" i="57"/>
  <c r="J147" i="57"/>
  <c r="K147" i="57"/>
  <c r="H147" i="57"/>
  <c r="E148" i="57"/>
  <c r="F148" i="57"/>
  <c r="I148" i="57"/>
  <c r="J148" i="57"/>
  <c r="K148" i="57"/>
  <c r="H148" i="57"/>
  <c r="E149" i="57"/>
  <c r="F149" i="57"/>
  <c r="I149" i="57"/>
  <c r="J149" i="57"/>
  <c r="K149" i="57"/>
  <c r="H149" i="57"/>
  <c r="E150" i="57"/>
  <c r="F150" i="57"/>
  <c r="I150" i="57"/>
  <c r="J150" i="57"/>
  <c r="K150" i="57"/>
  <c r="H150" i="57"/>
  <c r="E151" i="57"/>
  <c r="F151" i="57"/>
  <c r="I151" i="57"/>
  <c r="J151" i="57"/>
  <c r="K151" i="57"/>
  <c r="H151" i="57"/>
  <c r="E152" i="57"/>
  <c r="F152" i="57"/>
  <c r="I152" i="57"/>
  <c r="J152" i="57"/>
  <c r="K152" i="57"/>
  <c r="H152" i="57"/>
  <c r="E153" i="57"/>
  <c r="F153" i="57"/>
  <c r="I153" i="57"/>
  <c r="J153" i="57"/>
  <c r="K153" i="57"/>
  <c r="H153" i="57"/>
  <c r="E154" i="57"/>
  <c r="F154" i="57"/>
  <c r="I154" i="57"/>
  <c r="J154" i="57"/>
  <c r="K154" i="57"/>
  <c r="H154" i="57"/>
  <c r="E155" i="57"/>
  <c r="F155" i="57"/>
  <c r="I155" i="57"/>
  <c r="J155" i="57"/>
  <c r="K155" i="57"/>
  <c r="H155" i="57"/>
  <c r="E156" i="57"/>
  <c r="F156" i="57"/>
  <c r="I156" i="57"/>
  <c r="J156" i="57"/>
  <c r="K156" i="57"/>
  <c r="H156" i="57"/>
  <c r="E157" i="57"/>
  <c r="F157" i="57"/>
  <c r="I157" i="57"/>
  <c r="J157" i="57"/>
  <c r="K157" i="57"/>
  <c r="H157" i="57"/>
  <c r="E158" i="57"/>
  <c r="F158" i="57"/>
  <c r="I158" i="57"/>
  <c r="J158" i="57"/>
  <c r="K158" i="57"/>
  <c r="H158" i="57"/>
  <c r="E159" i="57"/>
  <c r="F159" i="57"/>
  <c r="I159" i="57"/>
  <c r="J159" i="57"/>
  <c r="K159" i="57"/>
  <c r="H159" i="57"/>
  <c r="E160" i="57"/>
  <c r="F160" i="57"/>
  <c r="I160" i="57"/>
  <c r="J160" i="57"/>
  <c r="K160" i="57"/>
  <c r="H160" i="57"/>
  <c r="E161" i="57"/>
  <c r="F161" i="57"/>
  <c r="I161" i="57"/>
  <c r="J161" i="57"/>
  <c r="K161" i="57"/>
  <c r="H161" i="57"/>
  <c r="E162" i="57"/>
  <c r="F162" i="57"/>
  <c r="I162" i="57"/>
  <c r="J162" i="57"/>
  <c r="K162" i="57"/>
  <c r="H162" i="57"/>
  <c r="E163" i="57"/>
  <c r="F163" i="57"/>
  <c r="I163" i="57"/>
  <c r="J163" i="57"/>
  <c r="K163" i="57"/>
  <c r="H163" i="57"/>
  <c r="E164" i="57"/>
  <c r="F164" i="57"/>
  <c r="I164" i="57"/>
  <c r="J164" i="57"/>
  <c r="K164" i="57"/>
  <c r="H164" i="57"/>
  <c r="E165" i="57"/>
  <c r="F165" i="57"/>
  <c r="I165" i="57"/>
  <c r="J165" i="57"/>
  <c r="K165" i="57"/>
  <c r="H165" i="57"/>
  <c r="E166" i="57"/>
  <c r="F166" i="57"/>
  <c r="I166" i="57"/>
  <c r="J166" i="57"/>
  <c r="K166" i="57"/>
  <c r="H166" i="57"/>
  <c r="E167" i="57"/>
  <c r="F167" i="57"/>
  <c r="I167" i="57"/>
  <c r="J167" i="57"/>
  <c r="K167" i="57"/>
  <c r="H167" i="57"/>
  <c r="E168" i="57"/>
  <c r="F168" i="57"/>
  <c r="I168" i="57"/>
  <c r="J168" i="57"/>
  <c r="K168" i="57"/>
  <c r="H168" i="57"/>
  <c r="E169" i="57"/>
  <c r="F169" i="57"/>
  <c r="I169" i="57"/>
  <c r="J169" i="57"/>
  <c r="K169" i="57"/>
  <c r="H169" i="57"/>
  <c r="E170" i="57"/>
  <c r="F170" i="57"/>
  <c r="I170" i="57"/>
  <c r="J170" i="57"/>
  <c r="K170" i="57"/>
  <c r="H170" i="57"/>
  <c r="E171" i="57"/>
  <c r="F171" i="57"/>
  <c r="I171" i="57"/>
  <c r="J171" i="57"/>
  <c r="K171" i="57"/>
  <c r="H171" i="57"/>
  <c r="E172" i="57"/>
  <c r="F172" i="57"/>
  <c r="I172" i="57"/>
  <c r="J172" i="57"/>
  <c r="K172" i="57"/>
  <c r="H172" i="57"/>
  <c r="E173" i="57"/>
  <c r="F173" i="57"/>
  <c r="I173" i="57"/>
  <c r="J173" i="57"/>
  <c r="K173" i="57"/>
  <c r="H173" i="57"/>
  <c r="E174" i="57"/>
  <c r="F174" i="57"/>
  <c r="I174" i="57"/>
  <c r="J174" i="57"/>
  <c r="K174" i="57"/>
  <c r="H174" i="57"/>
  <c r="E175" i="57"/>
  <c r="F175" i="57"/>
  <c r="I175" i="57"/>
  <c r="J175" i="57"/>
  <c r="K175" i="57"/>
  <c r="H175" i="57"/>
  <c r="E176" i="57"/>
  <c r="F176" i="57"/>
  <c r="I176" i="57"/>
  <c r="J176" i="57"/>
  <c r="K176" i="57"/>
  <c r="H176" i="57"/>
  <c r="E177" i="57"/>
  <c r="F177" i="57"/>
  <c r="I177" i="57"/>
  <c r="J177" i="57"/>
  <c r="K177" i="57"/>
  <c r="H177" i="57"/>
  <c r="E178" i="57"/>
  <c r="F178" i="57"/>
  <c r="I178" i="57"/>
  <c r="J178" i="57"/>
  <c r="K178" i="57"/>
  <c r="H178" i="57"/>
  <c r="I181" i="57"/>
  <c r="J181" i="57"/>
  <c r="K181" i="57"/>
  <c r="H181" i="57"/>
  <c r="E182" i="57"/>
  <c r="F182" i="57"/>
  <c r="I182" i="57"/>
  <c r="J182" i="57"/>
  <c r="K182" i="57"/>
  <c r="H182" i="57"/>
  <c r="E184" i="57"/>
  <c r="F184" i="57"/>
  <c r="I184" i="57"/>
  <c r="J184" i="57"/>
  <c r="K184" i="57"/>
  <c r="H184" i="57"/>
  <c r="E185" i="57"/>
  <c r="F185" i="57"/>
  <c r="I185" i="57"/>
  <c r="J185" i="57"/>
  <c r="K185" i="57"/>
  <c r="H185" i="57"/>
  <c r="E186" i="57"/>
  <c r="F186" i="57"/>
  <c r="I186" i="57"/>
  <c r="J186" i="57"/>
  <c r="K186" i="57"/>
  <c r="H186" i="57"/>
  <c r="E187" i="57"/>
  <c r="F187" i="57"/>
  <c r="I187" i="57"/>
  <c r="J187" i="57"/>
  <c r="K187" i="57"/>
  <c r="H187" i="57"/>
  <c r="E188" i="57"/>
  <c r="F188" i="57"/>
  <c r="I188" i="57"/>
  <c r="J188" i="57"/>
  <c r="K188" i="57"/>
  <c r="H188" i="57"/>
  <c r="E189" i="57"/>
  <c r="F189" i="57"/>
  <c r="I189" i="57"/>
  <c r="J189" i="57"/>
  <c r="K189" i="57"/>
  <c r="H189" i="57"/>
  <c r="I190" i="57"/>
  <c r="J190" i="57"/>
  <c r="K190" i="57"/>
  <c r="H190" i="57"/>
  <c r="E191" i="57"/>
  <c r="F191" i="57"/>
  <c r="I191" i="57"/>
  <c r="J191" i="57"/>
  <c r="K191" i="57"/>
  <c r="H191" i="57"/>
  <c r="F192" i="57"/>
  <c r="H192" i="57"/>
  <c r="E192" i="57" s="1"/>
  <c r="I192" i="57"/>
  <c r="J192" i="57"/>
  <c r="K192" i="57"/>
  <c r="E193" i="57"/>
  <c r="F193" i="57"/>
  <c r="H193" i="57"/>
  <c r="I193" i="57"/>
  <c r="J193" i="57"/>
  <c r="K193" i="57"/>
  <c r="E194" i="57"/>
  <c r="F194" i="57"/>
  <c r="H194" i="57"/>
  <c r="I194" i="57"/>
  <c r="J194" i="57"/>
  <c r="K194" i="57"/>
  <c r="E195" i="57"/>
  <c r="F195" i="57"/>
  <c r="I195" i="57"/>
  <c r="J195" i="57"/>
  <c r="K195" i="57"/>
  <c r="H195" i="57"/>
  <c r="E196" i="57"/>
  <c r="F196" i="57"/>
  <c r="I196" i="57"/>
  <c r="J196" i="57"/>
  <c r="K196" i="57"/>
  <c r="H196" i="57"/>
  <c r="E197" i="57"/>
  <c r="F197" i="57"/>
  <c r="H197" i="57"/>
  <c r="I197" i="57"/>
  <c r="J197" i="57"/>
  <c r="K197" i="57"/>
  <c r="E198" i="57"/>
  <c r="F198" i="57"/>
  <c r="I198" i="57"/>
  <c r="J198" i="57"/>
  <c r="K198" i="57"/>
  <c r="H198" i="57"/>
  <c r="E199" i="57"/>
  <c r="F199" i="57"/>
  <c r="I199" i="57"/>
  <c r="J199" i="57"/>
  <c r="K199" i="57"/>
  <c r="H199" i="57"/>
  <c r="P368" i="31" l="1"/>
  <c r="N379" i="21" s="1"/>
  <c r="K379" i="21" s="1"/>
  <c r="O379" i="21"/>
  <c r="P400" i="31"/>
  <c r="N414" i="21" s="1"/>
  <c r="K414" i="21" s="1"/>
  <c r="O414" i="21"/>
  <c r="P599" i="31"/>
  <c r="N618" i="21" s="1"/>
  <c r="K618" i="21" s="1"/>
  <c r="O618" i="21"/>
  <c r="P578" i="31"/>
  <c r="N594" i="21" s="1"/>
  <c r="K594" i="21" s="1"/>
  <c r="O594" i="21"/>
  <c r="P460" i="31"/>
  <c r="N476" i="21" s="1"/>
  <c r="K476" i="21" s="1"/>
  <c r="O476" i="21"/>
  <c r="P575" i="31"/>
  <c r="N591" i="21" s="1"/>
  <c r="K591" i="21" s="1"/>
  <c r="O591" i="21"/>
  <c r="P577" i="31"/>
  <c r="N593" i="21" s="1"/>
  <c r="K593" i="21" s="1"/>
  <c r="O593" i="21"/>
  <c r="P413" i="31"/>
  <c r="N427" i="21" s="1"/>
  <c r="K427" i="21" s="1"/>
  <c r="O427" i="21"/>
  <c r="P576" i="31"/>
  <c r="N592" i="21" s="1"/>
  <c r="K592" i="21" s="1"/>
  <c r="O592" i="21"/>
  <c r="P389" i="31"/>
  <c r="N403" i="21" s="1"/>
  <c r="K403" i="21" s="1"/>
  <c r="O403" i="21"/>
  <c r="P390" i="31"/>
  <c r="N404" i="21" s="1"/>
  <c r="K404" i="21" s="1"/>
  <c r="O404" i="21"/>
  <c r="P391" i="31"/>
  <c r="N405" i="21" s="1"/>
  <c r="K405" i="21" s="1"/>
  <c r="O405" i="21"/>
  <c r="P415" i="31"/>
  <c r="N429" i="21" s="1"/>
  <c r="K429" i="21" s="1"/>
  <c r="O429" i="21"/>
  <c r="P691" i="31"/>
  <c r="N707" i="21" s="1"/>
  <c r="K707" i="21" s="1"/>
  <c r="O707" i="21"/>
  <c r="P500" i="31"/>
  <c r="N517" i="21" s="1"/>
  <c r="K517" i="21" s="1"/>
  <c r="O517" i="21"/>
  <c r="P384" i="31"/>
  <c r="N396" i="21" s="1"/>
  <c r="K396" i="21" s="1"/>
  <c r="L396" i="21" s="1"/>
  <c r="O396" i="21"/>
  <c r="P574" i="31"/>
  <c r="N590" i="21" s="1"/>
  <c r="K590" i="21" s="1"/>
  <c r="O590" i="21"/>
  <c r="P416" i="31"/>
  <c r="N430" i="21" s="1"/>
  <c r="K430" i="21" s="1"/>
  <c r="O430" i="21"/>
  <c r="P385" i="31"/>
  <c r="N397" i="21" s="1"/>
  <c r="K397" i="21" s="1"/>
  <c r="O397" i="21"/>
  <c r="P392" i="31"/>
  <c r="N406" i="21" s="1"/>
  <c r="K406" i="21" s="1"/>
  <c r="O406" i="21"/>
  <c r="Q460" i="31"/>
  <c r="Q368" i="31"/>
  <c r="O369" i="31"/>
  <c r="O291" i="31"/>
  <c r="O301" i="21" s="1"/>
  <c r="O411" i="31"/>
  <c r="O428" i="31"/>
  <c r="O290" i="31"/>
  <c r="O300" i="21" s="1"/>
  <c r="O209" i="31"/>
  <c r="O219" i="21" s="1"/>
  <c r="Q428" i="31"/>
  <c r="R428" i="31" s="1"/>
  <c r="O470" i="31"/>
  <c r="O466" i="31"/>
  <c r="O373" i="31"/>
  <c r="O311" i="31"/>
  <c r="Q311" i="31"/>
  <c r="R311" i="31" s="1"/>
  <c r="O335" i="31"/>
  <c r="Q335" i="31"/>
  <c r="R335" i="31" s="1"/>
  <c r="R336" i="31"/>
  <c r="O336" i="31"/>
  <c r="R398" i="31"/>
  <c r="O398" i="31"/>
  <c r="O547" i="31"/>
  <c r="R219" i="31"/>
  <c r="O219" i="31"/>
  <c r="R265" i="31"/>
  <c r="O265" i="31"/>
  <c r="O378" i="31"/>
  <c r="R465" i="31"/>
  <c r="O465" i="31"/>
  <c r="S292" i="31"/>
  <c r="O292" i="31"/>
  <c r="R383" i="31"/>
  <c r="O383" i="31"/>
  <c r="R388" i="31"/>
  <c r="O388" i="31"/>
  <c r="R393" i="31"/>
  <c r="O393" i="31"/>
  <c r="O543" i="31"/>
  <c r="R373" i="31"/>
  <c r="G760" i="21"/>
  <c r="F760" i="21"/>
  <c r="P682" i="31"/>
  <c r="N698" i="21" s="1"/>
  <c r="K698" i="21" s="1"/>
  <c r="L698" i="21" s="1"/>
  <c r="P692" i="31"/>
  <c r="N708" i="21" s="1"/>
  <c r="K708" i="21" s="1"/>
  <c r="P720" i="31"/>
  <c r="N738" i="21" s="1"/>
  <c r="K738" i="21" s="1"/>
  <c r="R290" i="31"/>
  <c r="S384" i="31"/>
  <c r="R291" i="31"/>
  <c r="R368" i="31"/>
  <c r="R470" i="31"/>
  <c r="R460" i="31"/>
  <c r="R209" i="31"/>
  <c r="R411" i="31"/>
  <c r="R369" i="31"/>
  <c r="R466" i="31"/>
  <c r="O634" i="31"/>
  <c r="O651" i="21" s="1"/>
  <c r="R634" i="31"/>
  <c r="O646" i="31"/>
  <c r="S460" i="31"/>
  <c r="S368" i="31"/>
  <c r="S378" i="31"/>
  <c r="S415" i="31"/>
  <c r="S646" i="31"/>
  <c r="S543" i="31"/>
  <c r="S373" i="31"/>
  <c r="S413" i="31"/>
  <c r="S720" i="31"/>
  <c r="S547" i="31"/>
  <c r="S416" i="31"/>
  <c r="S400" i="31"/>
  <c r="AB520" i="31"/>
  <c r="Q520" i="31" s="1"/>
  <c r="N189" i="57"/>
  <c r="N151" i="57"/>
  <c r="O68" i="56"/>
  <c r="O72" i="58"/>
  <c r="N70" i="57"/>
  <c r="N199" i="57"/>
  <c r="O145" i="56"/>
  <c r="O187" i="58"/>
  <c r="O154" i="58"/>
  <c r="N164" i="57"/>
  <c r="N198" i="57"/>
  <c r="N139" i="57"/>
  <c r="O165" i="56"/>
  <c r="O157" i="56"/>
  <c r="O137" i="56"/>
  <c r="N186" i="57"/>
  <c r="N137" i="57"/>
  <c r="O167" i="56"/>
  <c r="O186" i="58"/>
  <c r="N197" i="57"/>
  <c r="N193" i="57"/>
  <c r="N192" i="57"/>
  <c r="N191" i="57"/>
  <c r="N187" i="57"/>
  <c r="N174" i="57"/>
  <c r="N153" i="57"/>
  <c r="N141" i="57"/>
  <c r="O175" i="56"/>
  <c r="O163" i="56"/>
  <c r="O159" i="56"/>
  <c r="O155" i="56"/>
  <c r="O151" i="56"/>
  <c r="O172" i="58"/>
  <c r="O156" i="58"/>
  <c r="O153" i="58"/>
  <c r="O145" i="58"/>
  <c r="O144" i="58"/>
  <c r="N195" i="57"/>
  <c r="N184" i="57"/>
  <c r="N150" i="57"/>
  <c r="N149" i="57"/>
  <c r="N145" i="57"/>
  <c r="N143" i="57"/>
  <c r="O187" i="56"/>
  <c r="O184" i="56"/>
  <c r="O169" i="56"/>
  <c r="O147" i="56"/>
  <c r="O143" i="56"/>
  <c r="O140" i="56"/>
  <c r="O168" i="58"/>
  <c r="O150" i="58"/>
  <c r="O148" i="58"/>
  <c r="O152" i="58"/>
  <c r="N181" i="57"/>
  <c r="N180" i="57"/>
  <c r="N172" i="57"/>
  <c r="N168" i="57"/>
  <c r="N163" i="57"/>
  <c r="N155" i="57"/>
  <c r="N146" i="57"/>
  <c r="N182" i="57"/>
  <c r="N169" i="57"/>
  <c r="N165" i="57"/>
  <c r="N160" i="57"/>
  <c r="N156" i="57"/>
  <c r="O186" i="56"/>
  <c r="O150" i="56"/>
  <c r="O194" i="56"/>
  <c r="O173" i="56"/>
  <c r="O141" i="56"/>
  <c r="O135" i="56"/>
  <c r="O190" i="58"/>
  <c r="O164" i="58"/>
  <c r="O151" i="58"/>
  <c r="O192" i="58"/>
  <c r="O176" i="58"/>
  <c r="O160" i="58"/>
  <c r="O198" i="58"/>
  <c r="O194" i="58"/>
  <c r="N196" i="57"/>
  <c r="N190" i="57"/>
  <c r="N188" i="57"/>
  <c r="N185" i="57"/>
  <c r="N173" i="57"/>
  <c r="N147" i="57"/>
  <c r="N140" i="57"/>
  <c r="O196" i="56"/>
  <c r="O192" i="56"/>
  <c r="O189" i="56"/>
  <c r="O185" i="56"/>
  <c r="O180" i="56"/>
  <c r="O171" i="56"/>
  <c r="O161" i="56"/>
  <c r="O153" i="56"/>
  <c r="O183" i="58"/>
  <c r="N170" i="57"/>
  <c r="N166" i="57"/>
  <c r="N161" i="57"/>
  <c r="N157" i="57"/>
  <c r="O174" i="56"/>
  <c r="O154" i="56"/>
  <c r="N178" i="57"/>
  <c r="N177" i="57"/>
  <c r="N176" i="57"/>
  <c r="N171" i="57"/>
  <c r="N162" i="57"/>
  <c r="N158" i="57"/>
  <c r="N154" i="57"/>
  <c r="N152" i="57"/>
  <c r="N148" i="57"/>
  <c r="N144" i="57"/>
  <c r="N142" i="57"/>
  <c r="O195" i="56"/>
  <c r="O193" i="56"/>
  <c r="O191" i="56"/>
  <c r="O188" i="56"/>
  <c r="O183" i="56"/>
  <c r="O178" i="56"/>
  <c r="O176" i="56"/>
  <c r="O149" i="56"/>
  <c r="O148" i="56"/>
  <c r="O142" i="56"/>
  <c r="O139" i="56"/>
  <c r="O184" i="58"/>
  <c r="O182" i="58"/>
  <c r="O147" i="58"/>
  <c r="O146" i="58"/>
  <c r="O140" i="58"/>
  <c r="O144" i="56"/>
  <c r="O199" i="58"/>
  <c r="O197" i="58"/>
  <c r="O196" i="58"/>
  <c r="O195" i="58"/>
  <c r="O189" i="58"/>
  <c r="O188" i="58"/>
  <c r="O180" i="58"/>
  <c r="O178" i="58"/>
  <c r="O174" i="58"/>
  <c r="O170" i="58"/>
  <c r="O166" i="58"/>
  <c r="O162" i="58"/>
  <c r="O158" i="58"/>
  <c r="O149" i="58"/>
  <c r="O142" i="58"/>
  <c r="N194" i="57"/>
  <c r="N175" i="57"/>
  <c r="N167" i="57"/>
  <c r="N159" i="57"/>
  <c r="O199" i="56"/>
  <c r="O152" i="56"/>
  <c r="O197" i="56"/>
  <c r="O146" i="56"/>
  <c r="N138" i="57"/>
  <c r="O198" i="56"/>
  <c r="O190" i="56"/>
  <c r="O172" i="56"/>
  <c r="O168" i="56"/>
  <c r="O164" i="56"/>
  <c r="O160" i="56"/>
  <c r="O156" i="56"/>
  <c r="O170" i="56"/>
  <c r="O166" i="56"/>
  <c r="O162" i="56"/>
  <c r="O158" i="56"/>
  <c r="O138" i="56"/>
  <c r="O182" i="56"/>
  <c r="O179" i="56"/>
  <c r="O193" i="58"/>
  <c r="O179" i="58"/>
  <c r="O143" i="58"/>
  <c r="O141" i="58"/>
  <c r="O136" i="56"/>
  <c r="O191" i="58"/>
  <c r="O177" i="58"/>
  <c r="O175" i="58"/>
  <c r="O173" i="58"/>
  <c r="O171" i="58"/>
  <c r="O169" i="58"/>
  <c r="O167" i="58"/>
  <c r="O165" i="58"/>
  <c r="O163" i="58"/>
  <c r="O161" i="58"/>
  <c r="O159" i="58"/>
  <c r="O157" i="58"/>
  <c r="O155" i="58"/>
  <c r="O139" i="58"/>
  <c r="I29" i="58"/>
  <c r="L29" i="58"/>
  <c r="K29" i="58"/>
  <c r="J29" i="58"/>
  <c r="I28" i="58"/>
  <c r="L28" i="58"/>
  <c r="K28" i="58"/>
  <c r="J28" i="58"/>
  <c r="L27" i="58"/>
  <c r="K27" i="58"/>
  <c r="J27" i="58"/>
  <c r="I27" i="58"/>
  <c r="L26" i="58"/>
  <c r="K26" i="58"/>
  <c r="J26" i="58"/>
  <c r="I26" i="58"/>
  <c r="L25" i="58"/>
  <c r="K25" i="58"/>
  <c r="J25" i="58"/>
  <c r="I25" i="58"/>
  <c r="L14" i="58"/>
  <c r="K14" i="58"/>
  <c r="J14" i="58"/>
  <c r="I14" i="58"/>
  <c r="P265" i="31" l="1"/>
  <c r="N274" i="21" s="1"/>
  <c r="O274" i="21"/>
  <c r="R691" i="31"/>
  <c r="P383" i="31"/>
  <c r="N395" i="21" s="1"/>
  <c r="K395" i="21" s="1"/>
  <c r="L395" i="21" s="1"/>
  <c r="O395" i="21"/>
  <c r="P466" i="31"/>
  <c r="N482" i="21" s="1"/>
  <c r="K482" i="21" s="1"/>
  <c r="O482" i="21"/>
  <c r="P369" i="31"/>
  <c r="N380" i="21" s="1"/>
  <c r="K380" i="21" s="1"/>
  <c r="O380" i="21"/>
  <c r="P646" i="31"/>
  <c r="N662" i="21" s="1"/>
  <c r="K662" i="21" s="1"/>
  <c r="O662" i="21"/>
  <c r="P219" i="31"/>
  <c r="N229" i="21" s="1"/>
  <c r="K229" i="21" s="1"/>
  <c r="O229" i="21"/>
  <c r="P335" i="31"/>
  <c r="N346" i="21" s="1"/>
  <c r="K346" i="21" s="1"/>
  <c r="O346" i="21"/>
  <c r="P292" i="31"/>
  <c r="N302" i="21" s="1"/>
  <c r="K302" i="21" s="1"/>
  <c r="O302" i="21"/>
  <c r="P428" i="31"/>
  <c r="N442" i="21" s="1"/>
  <c r="K442" i="21" s="1"/>
  <c r="O442" i="21"/>
  <c r="P543" i="31"/>
  <c r="N559" i="21" s="1"/>
  <c r="K559" i="21" s="1"/>
  <c r="O559" i="21"/>
  <c r="P547" i="31"/>
  <c r="N563" i="21" s="1"/>
  <c r="K563" i="21" s="1"/>
  <c r="O563" i="21"/>
  <c r="P311" i="31"/>
  <c r="N321" i="21" s="1"/>
  <c r="K321" i="21" s="1"/>
  <c r="O321" i="21"/>
  <c r="P411" i="31"/>
  <c r="N425" i="21" s="1"/>
  <c r="K425" i="21" s="1"/>
  <c r="O425" i="21"/>
  <c r="P393" i="31"/>
  <c r="N407" i="21" s="1"/>
  <c r="K407" i="21" s="1"/>
  <c r="O407" i="21"/>
  <c r="P465" i="31"/>
  <c r="N481" i="21" s="1"/>
  <c r="K481" i="21" s="1"/>
  <c r="O481" i="21"/>
  <c r="P398" i="31"/>
  <c r="N412" i="21" s="1"/>
  <c r="K412" i="21" s="1"/>
  <c r="L412" i="21" s="1"/>
  <c r="O412" i="21"/>
  <c r="P373" i="31"/>
  <c r="N384" i="21" s="1"/>
  <c r="K384" i="21" s="1"/>
  <c r="O384" i="21"/>
  <c r="P388" i="31"/>
  <c r="N402" i="21" s="1"/>
  <c r="K402" i="21" s="1"/>
  <c r="L402" i="21" s="1"/>
  <c r="O402" i="21"/>
  <c r="P378" i="31"/>
  <c r="N389" i="21" s="1"/>
  <c r="K389" i="21" s="1"/>
  <c r="O389" i="21"/>
  <c r="P336" i="31"/>
  <c r="N347" i="21" s="1"/>
  <c r="K347" i="21" s="1"/>
  <c r="O347" i="21"/>
  <c r="P470" i="31"/>
  <c r="N486" i="21" s="1"/>
  <c r="K486" i="21" s="1"/>
  <c r="O486" i="21"/>
  <c r="P291" i="31"/>
  <c r="S291" i="31"/>
  <c r="P209" i="31"/>
  <c r="N219" i="21" s="1"/>
  <c r="K219" i="21" s="1"/>
  <c r="S209" i="31"/>
  <c r="P290" i="31"/>
  <c r="S290" i="31"/>
  <c r="S265" i="31"/>
  <c r="R520" i="31"/>
  <c r="O520" i="31"/>
  <c r="S219" i="31"/>
  <c r="R500" i="31"/>
  <c r="R391" i="31"/>
  <c r="R575" i="31"/>
  <c r="R390" i="31"/>
  <c r="R578" i="31"/>
  <c r="R576" i="31"/>
  <c r="R577" i="31"/>
  <c r="R392" i="31"/>
  <c r="R574" i="31"/>
  <c r="R599" i="31"/>
  <c r="R385" i="31"/>
  <c r="G403" i="21"/>
  <c r="R389" i="31"/>
  <c r="R692" i="31"/>
  <c r="G738" i="21"/>
  <c r="G379" i="21"/>
  <c r="R682" i="31"/>
  <c r="G592" i="21"/>
  <c r="G429" i="21"/>
  <c r="R720" i="31"/>
  <c r="P634" i="31"/>
  <c r="N651" i="21" s="1"/>
  <c r="K651" i="21" s="1"/>
  <c r="G698" i="21"/>
  <c r="G414" i="21"/>
  <c r="G29" i="21"/>
  <c r="G708" i="21"/>
  <c r="G406" i="21"/>
  <c r="G158" i="21"/>
  <c r="G594" i="21"/>
  <c r="G48" i="21"/>
  <c r="G476" i="21"/>
  <c r="G590" i="21"/>
  <c r="G404" i="21"/>
  <c r="G427" i="21"/>
  <c r="G591" i="21"/>
  <c r="G108" i="21"/>
  <c r="G430" i="21"/>
  <c r="G482" i="21"/>
  <c r="S383" i="31"/>
  <c r="S369" i="31"/>
  <c r="R646" i="31"/>
  <c r="S465" i="31"/>
  <c r="S388" i="31"/>
  <c r="S336" i="31"/>
  <c r="S634" i="31"/>
  <c r="S428" i="31"/>
  <c r="S398" i="31"/>
  <c r="S393" i="31"/>
  <c r="S466" i="31"/>
  <c r="S411" i="31"/>
  <c r="S470" i="31"/>
  <c r="S311" i="31"/>
  <c r="S335" i="31"/>
  <c r="D297" i="21"/>
  <c r="D191" i="21"/>
  <c r="D552" i="21"/>
  <c r="D68" i="21"/>
  <c r="D66" i="21"/>
  <c r="D449" i="21"/>
  <c r="D120" i="21"/>
  <c r="D128" i="21"/>
  <c r="D443" i="21"/>
  <c r="D318" i="21"/>
  <c r="D666" i="21"/>
  <c r="O27" i="58"/>
  <c r="O28" i="58"/>
  <c r="O14" i="58"/>
  <c r="O25" i="58"/>
  <c r="O26" i="58"/>
  <c r="O29" i="58"/>
  <c r="G425" i="21" l="1"/>
  <c r="G384" i="21"/>
  <c r="N300" i="21"/>
  <c r="K300" i="21" s="1"/>
  <c r="P520" i="31"/>
  <c r="N537" i="21" s="1"/>
  <c r="K537" i="21" s="1"/>
  <c r="O537" i="21"/>
  <c r="N301" i="21"/>
  <c r="K301" i="21" s="1"/>
  <c r="G486" i="21"/>
  <c r="K274" i="21"/>
  <c r="G274" i="21"/>
  <c r="G219" i="21"/>
  <c r="G618" i="21"/>
  <c r="G593" i="21"/>
  <c r="R292" i="31"/>
  <c r="R547" i="31"/>
  <c r="R378" i="31"/>
  <c r="R543" i="31"/>
  <c r="G201" i="21"/>
  <c r="G402" i="21"/>
  <c r="G36" i="21"/>
  <c r="G481" i="21"/>
  <c r="G154" i="21"/>
  <c r="G346" i="21"/>
  <c r="F66" i="21"/>
  <c r="G66" i="21"/>
  <c r="G347" i="21"/>
  <c r="G412" i="21"/>
  <c r="G405" i="21"/>
  <c r="G82" i="21"/>
  <c r="G407" i="21"/>
  <c r="G125" i="21"/>
  <c r="G442" i="21"/>
  <c r="S520" i="31"/>
  <c r="D352" i="21"/>
  <c r="D452" i="21"/>
  <c r="D110" i="21"/>
  <c r="D382" i="21"/>
  <c r="D205" i="21"/>
  <c r="D254" i="21"/>
  <c r="D365" i="21"/>
  <c r="D319" i="21"/>
  <c r="D372" i="21"/>
  <c r="D367" i="21"/>
  <c r="D380" i="21"/>
  <c r="D611" i="21"/>
  <c r="D366" i="21"/>
  <c r="D375" i="21"/>
  <c r="D87" i="21"/>
  <c r="D348" i="21"/>
  <c r="D349" i="21"/>
  <c r="D521" i="21"/>
  <c r="D152" i="21"/>
  <c r="D551" i="21"/>
  <c r="D374" i="21"/>
  <c r="D621" i="21"/>
  <c r="D37" i="21"/>
  <c r="D371" i="21"/>
  <c r="F356" i="21"/>
  <c r="G356" i="21"/>
  <c r="G557" i="21"/>
  <c r="F557" i="21"/>
  <c r="G645" i="21"/>
  <c r="F645" i="21"/>
  <c r="G269" i="21"/>
  <c r="F269" i="21"/>
  <c r="D478" i="21"/>
  <c r="D373" i="21"/>
  <c r="D525" i="21"/>
  <c r="D67" i="21"/>
  <c r="D553" i="21"/>
  <c r="D575" i="21"/>
  <c r="D113" i="21"/>
  <c r="D410" i="21"/>
  <c r="D554" i="21"/>
  <c r="D397" i="21"/>
  <c r="D148" i="21"/>
  <c r="D276" i="21"/>
  <c r="D624" i="21"/>
  <c r="D550" i="21"/>
  <c r="D49" i="21"/>
  <c r="D69" i="21"/>
  <c r="D498" i="21"/>
  <c r="G301" i="21" l="1"/>
  <c r="G300" i="21"/>
  <c r="G563" i="21"/>
  <c r="G302" i="21"/>
  <c r="G554" i="21"/>
  <c r="F554" i="21"/>
  <c r="F349" i="21"/>
  <c r="G349" i="21"/>
  <c r="G352" i="21"/>
  <c r="F352" i="21"/>
  <c r="F113" i="21"/>
  <c r="G113" i="21"/>
  <c r="G348" i="21"/>
  <c r="F348" i="21"/>
  <c r="F37" i="21"/>
  <c r="G37" i="21"/>
  <c r="G397" i="21"/>
  <c r="F397" i="21"/>
  <c r="G380" i="21"/>
  <c r="F380" i="21"/>
  <c r="F110" i="21"/>
  <c r="G537" i="21"/>
  <c r="D370" i="21"/>
  <c r="D277" i="21"/>
  <c r="D394" i="21"/>
  <c r="D278" i="21"/>
  <c r="D27" i="21"/>
  <c r="D214" i="21"/>
  <c r="F457" i="21"/>
  <c r="G457" i="21"/>
  <c r="G574" i="21"/>
  <c r="F574" i="21"/>
  <c r="F409" i="21"/>
  <c r="G409" i="21"/>
  <c r="F536" i="21"/>
  <c r="G536" i="21"/>
  <c r="F101" i="21"/>
  <c r="G101" i="21"/>
  <c r="G503" i="21"/>
  <c r="F503" i="21"/>
  <c r="G540" i="21"/>
  <c r="F540" i="21"/>
  <c r="G659" i="21"/>
  <c r="F659" i="21"/>
  <c r="F514" i="21"/>
  <c r="G514" i="21"/>
  <c r="G447" i="21"/>
  <c r="F447" i="21"/>
  <c r="G313" i="21"/>
  <c r="F313" i="21"/>
  <c r="G586" i="21"/>
  <c r="F586" i="21"/>
  <c r="D156" i="21"/>
  <c r="D357" i="21"/>
  <c r="D63" i="21"/>
  <c r="D396" i="21"/>
  <c r="D176" i="21"/>
  <c r="D391" i="21"/>
  <c r="G396" i="21" l="1"/>
  <c r="F396" i="21"/>
  <c r="G63" i="21"/>
  <c r="F63" i="21"/>
  <c r="G27" i="21"/>
  <c r="F27" i="21"/>
  <c r="D35" i="21"/>
  <c r="F671" i="21"/>
  <c r="G671" i="21"/>
  <c r="F707" i="21"/>
  <c r="G707" i="21"/>
  <c r="G295" i="21"/>
  <c r="F295" i="21"/>
  <c r="F656" i="21"/>
  <c r="G656" i="21"/>
  <c r="G134" i="21"/>
  <c r="F134" i="21"/>
  <c r="G268" i="21"/>
  <c r="F268" i="21"/>
  <c r="G715" i="21"/>
  <c r="F715" i="21"/>
  <c r="G544" i="21"/>
  <c r="F544" i="21"/>
  <c r="G723" i="21"/>
  <c r="F723" i="21"/>
  <c r="G520" i="21"/>
  <c r="F520" i="21"/>
  <c r="F196" i="21"/>
  <c r="G196" i="21"/>
  <c r="F250" i="21"/>
  <c r="G250" i="21"/>
  <c r="G722" i="21" l="1"/>
  <c r="F722" i="21"/>
  <c r="G587" i="21"/>
  <c r="F587" i="21"/>
  <c r="E28" i="57"/>
  <c r="F28" i="57"/>
  <c r="I28" i="57"/>
  <c r="J28" i="57"/>
  <c r="K28" i="57"/>
  <c r="H28" i="57"/>
  <c r="J26" i="56"/>
  <c r="K26" i="56"/>
  <c r="L26" i="56"/>
  <c r="I26" i="56"/>
  <c r="J36" i="58"/>
  <c r="K36" i="58"/>
  <c r="L36" i="58"/>
  <c r="I36" i="58"/>
  <c r="O26" i="56" l="1"/>
  <c r="O36" i="58"/>
  <c r="N28" i="57"/>
  <c r="G52" i="21" l="1"/>
  <c r="J66" i="58"/>
  <c r="K66" i="58"/>
  <c r="L66" i="58"/>
  <c r="I66" i="58"/>
  <c r="I56" i="56"/>
  <c r="J56" i="56"/>
  <c r="K56" i="56"/>
  <c r="L56" i="56"/>
  <c r="E58" i="57"/>
  <c r="F58" i="57"/>
  <c r="H58" i="57"/>
  <c r="I58" i="57"/>
  <c r="J58" i="57"/>
  <c r="K58" i="57"/>
  <c r="D53" i="21" l="1"/>
  <c r="O66" i="58"/>
  <c r="O56" i="56"/>
  <c r="N58" i="57"/>
  <c r="M209" i="57" l="1"/>
  <c r="M208" i="57"/>
  <c r="M225" i="57"/>
  <c r="M224" i="57"/>
  <c r="M215" i="57"/>
  <c r="M214" i="57"/>
  <c r="M210" i="57"/>
  <c r="M207" i="57"/>
  <c r="M206" i="57"/>
  <c r="F236" i="57"/>
  <c r="F136" i="57"/>
  <c r="E136" i="57"/>
  <c r="F135" i="57"/>
  <c r="E135" i="57"/>
  <c r="F134" i="57"/>
  <c r="E134" i="57"/>
  <c r="F133" i="57"/>
  <c r="E133" i="57"/>
  <c r="F132" i="57"/>
  <c r="E132" i="57"/>
  <c r="F131" i="57"/>
  <c r="E131" i="57"/>
  <c r="F130" i="57"/>
  <c r="E130" i="57"/>
  <c r="F129" i="57"/>
  <c r="E129" i="57"/>
  <c r="F128" i="57"/>
  <c r="E128" i="57"/>
  <c r="F127" i="57"/>
  <c r="E127" i="57"/>
  <c r="F126" i="57"/>
  <c r="E126" i="57"/>
  <c r="F125" i="57"/>
  <c r="E125" i="57"/>
  <c r="F124" i="57"/>
  <c r="E124" i="57"/>
  <c r="F123" i="57"/>
  <c r="E123" i="57"/>
  <c r="F122" i="57"/>
  <c r="E122" i="57"/>
  <c r="F121" i="57"/>
  <c r="E121" i="57"/>
  <c r="F120" i="57"/>
  <c r="E120" i="57"/>
  <c r="F119" i="57"/>
  <c r="E119" i="57"/>
  <c r="F118" i="57"/>
  <c r="E118" i="57"/>
  <c r="F117" i="57"/>
  <c r="E117" i="57"/>
  <c r="F116" i="57"/>
  <c r="E116" i="57"/>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99" i="57"/>
  <c r="F98" i="57"/>
  <c r="E98" i="57"/>
  <c r="F97" i="57"/>
  <c r="E97" i="57"/>
  <c r="F96" i="57"/>
  <c r="E96" i="57"/>
  <c r="F95" i="57"/>
  <c r="E95" i="57"/>
  <c r="F94" i="57"/>
  <c r="E94" i="57"/>
  <c r="F93" i="57"/>
  <c r="E93" i="57"/>
  <c r="F92" i="57"/>
  <c r="E92" i="57"/>
  <c r="F91" i="57"/>
  <c r="E91" i="57"/>
  <c r="F90" i="57"/>
  <c r="E90" i="57"/>
  <c r="F89" i="57"/>
  <c r="E89" i="57"/>
  <c r="F88" i="57"/>
  <c r="E88" i="57"/>
  <c r="F87" i="57"/>
  <c r="E87" i="57"/>
  <c r="F86" i="57"/>
  <c r="E86" i="57"/>
  <c r="F85" i="57"/>
  <c r="E85" i="57"/>
  <c r="F84" i="57"/>
  <c r="E84" i="57"/>
  <c r="F83" i="57"/>
  <c r="E83" i="57"/>
  <c r="F82" i="57"/>
  <c r="E82" i="57"/>
  <c r="F81" i="57"/>
  <c r="E81" i="57"/>
  <c r="F80" i="57"/>
  <c r="E80" i="57"/>
  <c r="F79" i="57"/>
  <c r="E79" i="57"/>
  <c r="F78" i="57"/>
  <c r="E78" i="57"/>
  <c r="F77" i="57"/>
  <c r="E77" i="57"/>
  <c r="F76" i="57"/>
  <c r="E76" i="57"/>
  <c r="F75" i="57"/>
  <c r="E75" i="57"/>
  <c r="F74" i="57"/>
  <c r="E74" i="57"/>
  <c r="F73" i="57"/>
  <c r="E73" i="57"/>
  <c r="F72" i="57"/>
  <c r="E72" i="57"/>
  <c r="F71" i="57"/>
  <c r="E71" i="57"/>
  <c r="F69" i="57"/>
  <c r="E69" i="57"/>
  <c r="F68" i="57"/>
  <c r="E68" i="57"/>
  <c r="F67" i="57"/>
  <c r="E67" i="57"/>
  <c r="F66" i="57"/>
  <c r="E66" i="57"/>
  <c r="F65" i="57"/>
  <c r="E65" i="57"/>
  <c r="F64" i="57"/>
  <c r="E64" i="57"/>
  <c r="F63" i="57"/>
  <c r="E63" i="57"/>
  <c r="F62" i="57"/>
  <c r="E62" i="57"/>
  <c r="F61" i="57"/>
  <c r="E61" i="57"/>
  <c r="F60" i="57"/>
  <c r="E60" i="57"/>
  <c r="F59" i="57"/>
  <c r="E59" i="57"/>
  <c r="F57" i="57"/>
  <c r="E57" i="57"/>
  <c r="F56" i="57"/>
  <c r="E56" i="57"/>
  <c r="F55" i="57"/>
  <c r="E55" i="57"/>
  <c r="F54" i="57"/>
  <c r="E54" i="57"/>
  <c r="F53" i="57"/>
  <c r="E53" i="57"/>
  <c r="F52" i="57"/>
  <c r="E52" i="57"/>
  <c r="F51" i="57"/>
  <c r="E51" i="57"/>
  <c r="F50" i="57"/>
  <c r="E50" i="57"/>
  <c r="F49" i="57"/>
  <c r="E49" i="57"/>
  <c r="F48" i="57"/>
  <c r="E48" i="57"/>
  <c r="F47" i="57"/>
  <c r="E47" i="57"/>
  <c r="F46" i="57"/>
  <c r="E46" i="57"/>
  <c r="F45" i="57"/>
  <c r="E45" i="57"/>
  <c r="F44" i="57"/>
  <c r="E44" i="57"/>
  <c r="F43" i="57"/>
  <c r="E43" i="57"/>
  <c r="F42" i="57"/>
  <c r="E42" i="57"/>
  <c r="F41" i="57"/>
  <c r="E41" i="57"/>
  <c r="F40" i="57"/>
  <c r="E40" i="57"/>
  <c r="F39" i="57"/>
  <c r="E39" i="57"/>
  <c r="F38" i="57"/>
  <c r="E38" i="57"/>
  <c r="F37" i="57"/>
  <c r="E37" i="57"/>
  <c r="F36" i="57"/>
  <c r="E36" i="57"/>
  <c r="F35" i="57"/>
  <c r="E35" i="57"/>
  <c r="F34" i="57"/>
  <c r="E34" i="57"/>
  <c r="F32" i="57"/>
  <c r="E32" i="57"/>
  <c r="F31" i="57"/>
  <c r="F30" i="57"/>
  <c r="F29" i="57"/>
  <c r="F27" i="57"/>
  <c r="E27" i="57"/>
  <c r="F26" i="57"/>
  <c r="E26" i="57"/>
  <c r="F25" i="57"/>
  <c r="E25" i="57"/>
  <c r="F24" i="57"/>
  <c r="E24" i="57"/>
  <c r="F23" i="57"/>
  <c r="E23" i="57"/>
  <c r="F14" i="57"/>
  <c r="E14" i="57"/>
  <c r="F13" i="57"/>
  <c r="E13" i="57"/>
  <c r="G235" i="56"/>
  <c r="N224" i="56"/>
  <c r="N223" i="56"/>
  <c r="N209" i="56"/>
  <c r="N208" i="56"/>
  <c r="N207" i="56"/>
  <c r="N206" i="56"/>
  <c r="N205" i="56"/>
  <c r="N214" i="56"/>
  <c r="N213" i="56"/>
  <c r="G235" i="58"/>
  <c r="N224" i="58"/>
  <c r="N223" i="58"/>
  <c r="N214" i="58"/>
  <c r="N213" i="58"/>
  <c r="N209" i="58"/>
  <c r="N208" i="58"/>
  <c r="N207" i="58"/>
  <c r="N206" i="58"/>
  <c r="N205" i="58"/>
  <c r="E13" i="58" l="1"/>
  <c r="E33" i="58"/>
  <c r="E190" i="57"/>
  <c r="F190" i="57"/>
  <c r="E181" i="57"/>
  <c r="F181" i="57"/>
  <c r="D206" i="21"/>
  <c r="E31" i="57"/>
  <c r="E30" i="57"/>
  <c r="E29" i="57"/>
  <c r="X15" i="21" l="1"/>
  <c r="K15" i="21"/>
  <c r="J15" i="21"/>
  <c r="H15" i="21"/>
  <c r="H136" i="57" l="1"/>
  <c r="I136" i="57"/>
  <c r="J136" i="57"/>
  <c r="K136" i="57"/>
  <c r="I13" i="57"/>
  <c r="J13" i="57"/>
  <c r="K13" i="57"/>
  <c r="H13" i="57"/>
  <c r="H14" i="57"/>
  <c r="I14" i="57"/>
  <c r="J14" i="57"/>
  <c r="K14" i="57"/>
  <c r="H23" i="57"/>
  <c r="I23" i="57"/>
  <c r="J23" i="57"/>
  <c r="K23" i="57"/>
  <c r="H24" i="57"/>
  <c r="I24" i="57"/>
  <c r="J24" i="57"/>
  <c r="K24" i="57"/>
  <c r="H25" i="57"/>
  <c r="I25" i="57"/>
  <c r="J25" i="57"/>
  <c r="K25" i="57"/>
  <c r="I26" i="57"/>
  <c r="J26" i="57"/>
  <c r="K26" i="57"/>
  <c r="H26" i="57"/>
  <c r="I27" i="57"/>
  <c r="J27" i="57"/>
  <c r="K27" i="57"/>
  <c r="H27" i="57"/>
  <c r="I29" i="57"/>
  <c r="J29" i="57"/>
  <c r="K29" i="57"/>
  <c r="H29" i="57"/>
  <c r="I30" i="57"/>
  <c r="J30" i="57"/>
  <c r="K30" i="57"/>
  <c r="H30" i="57"/>
  <c r="I31" i="57"/>
  <c r="J31" i="57"/>
  <c r="K31" i="57"/>
  <c r="H31" i="57"/>
  <c r="I32" i="57"/>
  <c r="J32" i="57"/>
  <c r="K32" i="57"/>
  <c r="H32" i="57"/>
  <c r="I33" i="57"/>
  <c r="J33" i="57"/>
  <c r="F33" i="57" s="1"/>
  <c r="K33" i="57"/>
  <c r="H33" i="57"/>
  <c r="E33" i="57" s="1"/>
  <c r="I34" i="57"/>
  <c r="J34" i="57"/>
  <c r="K34" i="57"/>
  <c r="H34" i="57"/>
  <c r="I36" i="57"/>
  <c r="J36" i="57"/>
  <c r="K36" i="57"/>
  <c r="H36" i="57"/>
  <c r="I35" i="57"/>
  <c r="J35" i="57"/>
  <c r="K35" i="57"/>
  <c r="H35" i="57"/>
  <c r="I37" i="57"/>
  <c r="J37" i="57"/>
  <c r="K37" i="57"/>
  <c r="H37" i="57"/>
  <c r="I38" i="57"/>
  <c r="J38" i="57"/>
  <c r="K38" i="57"/>
  <c r="H38" i="57"/>
  <c r="I39" i="57"/>
  <c r="J39" i="57"/>
  <c r="K39" i="57"/>
  <c r="H39" i="57"/>
  <c r="I40" i="57"/>
  <c r="J40" i="57"/>
  <c r="K40" i="57"/>
  <c r="H40" i="57"/>
  <c r="I41" i="57"/>
  <c r="J41" i="57"/>
  <c r="K41" i="57"/>
  <c r="H41" i="57"/>
  <c r="I43" i="57"/>
  <c r="J43" i="57"/>
  <c r="K43" i="57"/>
  <c r="H43" i="57"/>
  <c r="H44" i="57"/>
  <c r="I44" i="57"/>
  <c r="J44" i="57"/>
  <c r="K44" i="57"/>
  <c r="I45" i="57"/>
  <c r="J45" i="57"/>
  <c r="K45" i="57"/>
  <c r="H45" i="57"/>
  <c r="I46" i="57"/>
  <c r="J46" i="57"/>
  <c r="K46" i="57"/>
  <c r="H46" i="57"/>
  <c r="I47" i="57"/>
  <c r="J47" i="57"/>
  <c r="K47" i="57"/>
  <c r="H47" i="57"/>
  <c r="I48" i="57"/>
  <c r="J48" i="57"/>
  <c r="K48" i="57"/>
  <c r="H48" i="57"/>
  <c r="H49" i="57"/>
  <c r="I49" i="57"/>
  <c r="J49" i="57"/>
  <c r="K49" i="57"/>
  <c r="I60" i="57"/>
  <c r="J60" i="57"/>
  <c r="K60" i="57"/>
  <c r="H60" i="57"/>
  <c r="I50" i="57"/>
  <c r="J50" i="57"/>
  <c r="K50" i="57"/>
  <c r="H50" i="57"/>
  <c r="I83" i="57"/>
  <c r="J83" i="57"/>
  <c r="K83" i="57"/>
  <c r="H83" i="57"/>
  <c r="I51" i="57"/>
  <c r="J51" i="57"/>
  <c r="K51" i="57"/>
  <c r="H51" i="57"/>
  <c r="I53" i="57"/>
  <c r="J53" i="57"/>
  <c r="K53" i="57"/>
  <c r="H53" i="57"/>
  <c r="I54" i="57"/>
  <c r="J54" i="57"/>
  <c r="K54" i="57"/>
  <c r="H54" i="57"/>
  <c r="H55" i="57"/>
  <c r="I55" i="57"/>
  <c r="J55" i="57"/>
  <c r="K55" i="57"/>
  <c r="I56" i="57"/>
  <c r="J56" i="57"/>
  <c r="K56" i="57"/>
  <c r="H56" i="57"/>
  <c r="H57" i="57"/>
  <c r="I57" i="57"/>
  <c r="J57" i="57"/>
  <c r="K57" i="57"/>
  <c r="I59" i="57"/>
  <c r="J59" i="57"/>
  <c r="K59" i="57"/>
  <c r="H59" i="57"/>
  <c r="I61" i="57"/>
  <c r="J61" i="57"/>
  <c r="K61" i="57"/>
  <c r="H61" i="57"/>
  <c r="I63" i="57"/>
  <c r="J63" i="57"/>
  <c r="K63" i="57"/>
  <c r="H63" i="57"/>
  <c r="I64" i="57"/>
  <c r="J64" i="57"/>
  <c r="K64" i="57"/>
  <c r="H64" i="57"/>
  <c r="I65" i="57"/>
  <c r="J65" i="57"/>
  <c r="K65" i="57"/>
  <c r="H65" i="57"/>
  <c r="H66" i="57"/>
  <c r="I66" i="57"/>
  <c r="J66" i="57"/>
  <c r="K66" i="57"/>
  <c r="I67" i="57"/>
  <c r="J67" i="57"/>
  <c r="K67" i="57"/>
  <c r="H67" i="57"/>
  <c r="I68" i="57"/>
  <c r="J68" i="57"/>
  <c r="K68" i="57"/>
  <c r="H68" i="57"/>
  <c r="I69" i="57"/>
  <c r="J69" i="57"/>
  <c r="K69" i="57"/>
  <c r="H69" i="57"/>
  <c r="I71" i="57"/>
  <c r="J71" i="57"/>
  <c r="K71" i="57"/>
  <c r="H71" i="57"/>
  <c r="I72" i="57"/>
  <c r="J72" i="57"/>
  <c r="K72" i="57"/>
  <c r="H72" i="57"/>
  <c r="I73" i="57"/>
  <c r="J73" i="57"/>
  <c r="K73" i="57"/>
  <c r="H73" i="57"/>
  <c r="I74" i="57"/>
  <c r="J74" i="57"/>
  <c r="K74" i="57"/>
  <c r="H74" i="57"/>
  <c r="I75" i="57"/>
  <c r="J75" i="57"/>
  <c r="K75" i="57"/>
  <c r="H75" i="57"/>
  <c r="H76" i="57"/>
  <c r="I76" i="57"/>
  <c r="J76" i="57"/>
  <c r="K76" i="57"/>
  <c r="I77" i="57"/>
  <c r="J77" i="57"/>
  <c r="K77" i="57"/>
  <c r="H77" i="57"/>
  <c r="I78" i="57"/>
  <c r="J78" i="57"/>
  <c r="K78" i="57"/>
  <c r="H78" i="57"/>
  <c r="I79" i="57"/>
  <c r="J79" i="57"/>
  <c r="K79" i="57"/>
  <c r="H79" i="57"/>
  <c r="I80" i="57"/>
  <c r="J80" i="57"/>
  <c r="K80" i="57"/>
  <c r="H80" i="57"/>
  <c r="I81" i="57"/>
  <c r="J81" i="57"/>
  <c r="K81" i="57"/>
  <c r="H81" i="57"/>
  <c r="I82" i="57"/>
  <c r="J82" i="57"/>
  <c r="K82" i="57"/>
  <c r="H82" i="57"/>
  <c r="I85" i="57"/>
  <c r="J85" i="57"/>
  <c r="K85" i="57"/>
  <c r="H85" i="57"/>
  <c r="I86" i="57"/>
  <c r="J86" i="57"/>
  <c r="K86" i="57"/>
  <c r="H86" i="57"/>
  <c r="I87" i="57"/>
  <c r="J87" i="57"/>
  <c r="K87" i="57"/>
  <c r="H87" i="57"/>
  <c r="I84" i="57"/>
  <c r="J84" i="57"/>
  <c r="K84" i="57"/>
  <c r="H84" i="57"/>
  <c r="I88" i="57"/>
  <c r="J88" i="57"/>
  <c r="K88" i="57"/>
  <c r="H88" i="57"/>
  <c r="I89" i="57"/>
  <c r="J89" i="57"/>
  <c r="K89" i="57"/>
  <c r="H89" i="57"/>
  <c r="I90" i="57"/>
  <c r="J90" i="57"/>
  <c r="K90" i="57"/>
  <c r="H90" i="57"/>
  <c r="I91" i="57"/>
  <c r="J91" i="57"/>
  <c r="K91" i="57"/>
  <c r="H91" i="57"/>
  <c r="I92" i="57"/>
  <c r="J92" i="57"/>
  <c r="K92" i="57"/>
  <c r="H92" i="57"/>
  <c r="I93" i="57"/>
  <c r="J93" i="57"/>
  <c r="K93" i="57"/>
  <c r="H93" i="57"/>
  <c r="I42" i="57"/>
  <c r="J42" i="57"/>
  <c r="K42" i="57"/>
  <c r="H42" i="57"/>
  <c r="H52" i="57"/>
  <c r="I52" i="57"/>
  <c r="J52" i="57"/>
  <c r="K52" i="57"/>
  <c r="I98" i="57"/>
  <c r="J98" i="57"/>
  <c r="K98" i="57"/>
  <c r="H98" i="57"/>
  <c r="I62" i="57"/>
  <c r="J62" i="57"/>
  <c r="K62" i="57"/>
  <c r="H62" i="57"/>
  <c r="I100" i="57"/>
  <c r="J100" i="57"/>
  <c r="K100" i="57"/>
  <c r="H100" i="57"/>
  <c r="I94" i="57"/>
  <c r="J94" i="57"/>
  <c r="K94" i="57"/>
  <c r="H94" i="57"/>
  <c r="I95" i="57"/>
  <c r="J95" i="57"/>
  <c r="K95" i="57"/>
  <c r="H95" i="57"/>
  <c r="I96" i="57"/>
  <c r="J96" i="57"/>
  <c r="K96" i="57"/>
  <c r="H96" i="57"/>
  <c r="I97" i="57"/>
  <c r="J97" i="57"/>
  <c r="K97" i="57"/>
  <c r="H97" i="57"/>
  <c r="I99" i="57"/>
  <c r="J99" i="57"/>
  <c r="K99" i="57"/>
  <c r="H99" i="57"/>
  <c r="I101" i="57"/>
  <c r="J101" i="57"/>
  <c r="K101" i="57"/>
  <c r="H101" i="57"/>
  <c r="I102" i="57"/>
  <c r="J102" i="57"/>
  <c r="K102" i="57"/>
  <c r="H102" i="57"/>
  <c r="I103" i="57"/>
  <c r="J103" i="57"/>
  <c r="K103" i="57"/>
  <c r="H103" i="57"/>
  <c r="I104" i="57"/>
  <c r="J104" i="57"/>
  <c r="K104" i="57"/>
  <c r="H104" i="57"/>
  <c r="I105" i="57"/>
  <c r="J105" i="57"/>
  <c r="K105" i="57"/>
  <c r="H105" i="57"/>
  <c r="I106" i="57"/>
  <c r="J106" i="57"/>
  <c r="K106" i="57"/>
  <c r="H106" i="57"/>
  <c r="I107" i="57"/>
  <c r="J107" i="57"/>
  <c r="K107" i="57"/>
  <c r="H107" i="57"/>
  <c r="I108" i="57"/>
  <c r="J108" i="57"/>
  <c r="K108" i="57"/>
  <c r="H108" i="57"/>
  <c r="I109" i="57"/>
  <c r="J109" i="57"/>
  <c r="K109" i="57"/>
  <c r="H109" i="57"/>
  <c r="I110" i="57"/>
  <c r="J110" i="57"/>
  <c r="K110" i="57"/>
  <c r="H110" i="57"/>
  <c r="I111" i="57"/>
  <c r="J111" i="57"/>
  <c r="K111" i="57"/>
  <c r="H111" i="57"/>
  <c r="I112" i="57"/>
  <c r="J112" i="57"/>
  <c r="K112" i="57"/>
  <c r="H112" i="57"/>
  <c r="I113" i="57"/>
  <c r="J113" i="57"/>
  <c r="K113" i="57"/>
  <c r="H113" i="57"/>
  <c r="I114" i="57"/>
  <c r="J114" i="57"/>
  <c r="K114" i="57"/>
  <c r="H114" i="57"/>
  <c r="I115" i="57"/>
  <c r="J115" i="57"/>
  <c r="K115" i="57"/>
  <c r="H115" i="57"/>
  <c r="I116" i="57"/>
  <c r="J116" i="57"/>
  <c r="K116" i="57"/>
  <c r="H116" i="57"/>
  <c r="I117" i="57"/>
  <c r="J117" i="57"/>
  <c r="K117" i="57"/>
  <c r="H117" i="57"/>
  <c r="I118" i="57"/>
  <c r="J118" i="57"/>
  <c r="K118" i="57"/>
  <c r="H118" i="57"/>
  <c r="I119" i="57"/>
  <c r="J119" i="57"/>
  <c r="K119" i="57"/>
  <c r="H119" i="57"/>
  <c r="I120" i="57"/>
  <c r="J120" i="57"/>
  <c r="K120" i="57"/>
  <c r="H120" i="57"/>
  <c r="I121" i="57"/>
  <c r="J121" i="57"/>
  <c r="K121" i="57"/>
  <c r="H121" i="57"/>
  <c r="I122" i="57"/>
  <c r="J122" i="57"/>
  <c r="K122" i="57"/>
  <c r="H122" i="57"/>
  <c r="I123" i="57"/>
  <c r="J123" i="57"/>
  <c r="K123" i="57"/>
  <c r="H123" i="57"/>
  <c r="I124" i="57"/>
  <c r="J124" i="57"/>
  <c r="K124" i="57"/>
  <c r="H124" i="57"/>
  <c r="I125" i="57"/>
  <c r="J125" i="57"/>
  <c r="K125" i="57"/>
  <c r="H125" i="57"/>
  <c r="I126" i="57"/>
  <c r="J126" i="57"/>
  <c r="K126" i="57"/>
  <c r="H126" i="57"/>
  <c r="I127" i="57"/>
  <c r="J127" i="57"/>
  <c r="K127" i="57"/>
  <c r="H127" i="57"/>
  <c r="H128" i="57"/>
  <c r="I128" i="57"/>
  <c r="J128" i="57"/>
  <c r="K128" i="57"/>
  <c r="I129" i="57"/>
  <c r="J129" i="57"/>
  <c r="K129" i="57"/>
  <c r="H129" i="57"/>
  <c r="H130" i="57"/>
  <c r="I130" i="57"/>
  <c r="J130" i="57"/>
  <c r="K130" i="57"/>
  <c r="I131" i="57"/>
  <c r="J131" i="57"/>
  <c r="K131" i="57"/>
  <c r="H131" i="57"/>
  <c r="I132" i="57"/>
  <c r="J132" i="57"/>
  <c r="K132" i="57"/>
  <c r="H132" i="57"/>
  <c r="I133" i="57"/>
  <c r="J133" i="57"/>
  <c r="K133" i="57"/>
  <c r="H133" i="57"/>
  <c r="H134" i="57"/>
  <c r="I134" i="57"/>
  <c r="J134" i="57"/>
  <c r="K134" i="57"/>
  <c r="I135" i="57"/>
  <c r="J135" i="57"/>
  <c r="K135" i="57"/>
  <c r="H135" i="57"/>
  <c r="N60" i="57" l="1"/>
  <c r="N49" i="57"/>
  <c r="N24" i="57"/>
  <c r="N84" i="57"/>
  <c r="N77" i="57"/>
  <c r="N76" i="57"/>
  <c r="N135" i="57"/>
  <c r="N130" i="57"/>
  <c r="N126" i="57"/>
  <c r="N108" i="57"/>
  <c r="N134" i="57"/>
  <c r="N119" i="57"/>
  <c r="N90" i="57"/>
  <c r="N75" i="57"/>
  <c r="N67" i="57"/>
  <c r="N66" i="57"/>
  <c r="N39" i="57"/>
  <c r="N23" i="57"/>
  <c r="N124" i="57"/>
  <c r="N123" i="57"/>
  <c r="N122" i="57"/>
  <c r="N118" i="57"/>
  <c r="N95" i="57"/>
  <c r="N52" i="57"/>
  <c r="N92" i="57"/>
  <c r="N89" i="57"/>
  <c r="N65" i="57"/>
  <c r="N64" i="57"/>
  <c r="N63" i="57"/>
  <c r="N61" i="57"/>
  <c r="N59" i="57"/>
  <c r="N47" i="57"/>
  <c r="N46" i="57"/>
  <c r="N38" i="57"/>
  <c r="N37" i="57"/>
  <c r="N35" i="57"/>
  <c r="N36" i="57"/>
  <c r="N34" i="57"/>
  <c r="N127" i="57"/>
  <c r="N121" i="57"/>
  <c r="N109" i="57"/>
  <c r="N105" i="57"/>
  <c r="N104" i="57"/>
  <c r="N103" i="57"/>
  <c r="N102" i="57"/>
  <c r="N101" i="57"/>
  <c r="N94" i="57"/>
  <c r="N42" i="57"/>
  <c r="N80" i="57"/>
  <c r="N79" i="57"/>
  <c r="N45" i="57"/>
  <c r="N44" i="57"/>
  <c r="N32" i="57"/>
  <c r="N31" i="57"/>
  <c r="N30" i="57"/>
  <c r="N29" i="57"/>
  <c r="N129" i="57"/>
  <c r="N117" i="57"/>
  <c r="N112" i="57"/>
  <c r="N111" i="57"/>
  <c r="N107" i="57"/>
  <c r="N97" i="57"/>
  <c r="N100" i="57"/>
  <c r="N62" i="57"/>
  <c r="N93" i="57"/>
  <c r="N88" i="57"/>
  <c r="N87" i="57"/>
  <c r="N86" i="57"/>
  <c r="N85" i="57"/>
  <c r="N82" i="57"/>
  <c r="N74" i="57"/>
  <c r="N72" i="57"/>
  <c r="N57" i="57"/>
  <c r="N56" i="57"/>
  <c r="N53" i="57"/>
  <c r="N51" i="57"/>
  <c r="N83" i="57"/>
  <c r="N48" i="57"/>
  <c r="N33" i="57"/>
  <c r="N27" i="57"/>
  <c r="N26" i="57"/>
  <c r="N25" i="57"/>
  <c r="N14" i="57"/>
  <c r="N133" i="57"/>
  <c r="N132" i="57"/>
  <c r="N131" i="57"/>
  <c r="N128" i="57"/>
  <c r="N125" i="57"/>
  <c r="N120" i="57"/>
  <c r="N116" i="57"/>
  <c r="N115" i="57"/>
  <c r="N114" i="57"/>
  <c r="N113" i="57"/>
  <c r="N110" i="57"/>
  <c r="N106" i="57"/>
  <c r="N99" i="57"/>
  <c r="N96" i="57"/>
  <c r="N98" i="57"/>
  <c r="N91" i="57"/>
  <c r="N81" i="57"/>
  <c r="N78" i="57"/>
  <c r="N73" i="57"/>
  <c r="N71" i="57"/>
  <c r="N69" i="57"/>
  <c r="N68" i="57"/>
  <c r="N55" i="57"/>
  <c r="N54" i="57"/>
  <c r="N50" i="57"/>
  <c r="N43" i="57"/>
  <c r="N41" i="57"/>
  <c r="N40" i="57"/>
  <c r="N13" i="57"/>
  <c r="N136" i="57"/>
  <c r="D676" i="21"/>
  <c r="L134" i="56" l="1"/>
  <c r="K134" i="56"/>
  <c r="J134" i="56"/>
  <c r="I134" i="56"/>
  <c r="L133" i="56"/>
  <c r="K133" i="56"/>
  <c r="J133" i="56"/>
  <c r="I133" i="56"/>
  <c r="L132" i="56"/>
  <c r="K132" i="56"/>
  <c r="J132" i="56"/>
  <c r="I132" i="56"/>
  <c r="I131" i="56"/>
  <c r="L131" i="56"/>
  <c r="K131" i="56"/>
  <c r="J131" i="56"/>
  <c r="I130" i="56"/>
  <c r="L130" i="56"/>
  <c r="K130" i="56"/>
  <c r="J130" i="56"/>
  <c r="I129" i="56"/>
  <c r="L129" i="56"/>
  <c r="K129" i="56"/>
  <c r="J129" i="56"/>
  <c r="I128" i="56"/>
  <c r="L128" i="56"/>
  <c r="K128" i="56"/>
  <c r="J128" i="56"/>
  <c r="I127" i="56"/>
  <c r="L127" i="56"/>
  <c r="K127" i="56"/>
  <c r="J127" i="56"/>
  <c r="L126" i="56"/>
  <c r="K126" i="56"/>
  <c r="J126" i="56"/>
  <c r="I126" i="56"/>
  <c r="I125" i="56"/>
  <c r="L125" i="56"/>
  <c r="K125" i="56"/>
  <c r="J125" i="56"/>
  <c r="I124" i="56"/>
  <c r="L124" i="56"/>
  <c r="K124" i="56"/>
  <c r="J124" i="56"/>
  <c r="I123" i="56"/>
  <c r="L123" i="56"/>
  <c r="K123" i="56"/>
  <c r="J123" i="56"/>
  <c r="I122" i="56"/>
  <c r="L122" i="56"/>
  <c r="K122" i="56"/>
  <c r="J122" i="56"/>
  <c r="I121" i="56"/>
  <c r="L121" i="56"/>
  <c r="K121" i="56"/>
  <c r="J121" i="56"/>
  <c r="I120" i="56"/>
  <c r="L120" i="56"/>
  <c r="K120" i="56"/>
  <c r="J120" i="56"/>
  <c r="I119" i="56"/>
  <c r="L119" i="56"/>
  <c r="K119" i="56"/>
  <c r="J119" i="56"/>
  <c r="I118" i="56"/>
  <c r="L118" i="56"/>
  <c r="K118" i="56"/>
  <c r="J118" i="56"/>
  <c r="I117" i="56"/>
  <c r="L117" i="56"/>
  <c r="K117" i="56"/>
  <c r="J117" i="56"/>
  <c r="I116" i="56"/>
  <c r="L116" i="56"/>
  <c r="K116" i="56"/>
  <c r="J116" i="56"/>
  <c r="I115" i="56"/>
  <c r="L115" i="56"/>
  <c r="K115" i="56"/>
  <c r="J115" i="56"/>
  <c r="I114" i="56"/>
  <c r="L114" i="56"/>
  <c r="K114" i="56"/>
  <c r="J114" i="56"/>
  <c r="I113" i="56"/>
  <c r="L113" i="56"/>
  <c r="K113" i="56"/>
  <c r="J113" i="56"/>
  <c r="I112" i="56"/>
  <c r="L112" i="56"/>
  <c r="K112" i="56"/>
  <c r="J112" i="56"/>
  <c r="I111" i="56"/>
  <c r="L111" i="56"/>
  <c r="K111" i="56"/>
  <c r="J111" i="56"/>
  <c r="I110" i="56"/>
  <c r="L110" i="56"/>
  <c r="K110" i="56"/>
  <c r="J110" i="56"/>
  <c r="I109" i="56"/>
  <c r="L109" i="56"/>
  <c r="K109" i="56"/>
  <c r="J109" i="56"/>
  <c r="I108" i="56"/>
  <c r="L108" i="56"/>
  <c r="K108" i="56"/>
  <c r="J108" i="56"/>
  <c r="I107" i="56"/>
  <c r="L107" i="56"/>
  <c r="K107" i="56"/>
  <c r="J107" i="56"/>
  <c r="L106" i="56"/>
  <c r="K106" i="56"/>
  <c r="J106" i="56"/>
  <c r="I106" i="56"/>
  <c r="L105" i="56"/>
  <c r="K105" i="56"/>
  <c r="J105" i="56"/>
  <c r="I105" i="56"/>
  <c r="L104" i="56"/>
  <c r="K104" i="56"/>
  <c r="J104" i="56"/>
  <c r="I104" i="56"/>
  <c r="I103" i="56"/>
  <c r="L103" i="56"/>
  <c r="K103" i="56"/>
  <c r="J103" i="56"/>
  <c r="I102" i="56"/>
  <c r="L102" i="56"/>
  <c r="K102" i="56"/>
  <c r="J102" i="56"/>
  <c r="I101" i="56"/>
  <c r="L101" i="56"/>
  <c r="K101" i="56"/>
  <c r="J101" i="56"/>
  <c r="I100" i="56"/>
  <c r="L100" i="56"/>
  <c r="K100" i="56"/>
  <c r="J100" i="56"/>
  <c r="I99" i="56"/>
  <c r="L99" i="56"/>
  <c r="K99" i="56"/>
  <c r="J99" i="56"/>
  <c r="I97" i="56"/>
  <c r="L97" i="56"/>
  <c r="K97" i="56"/>
  <c r="J97" i="56"/>
  <c r="L95" i="56"/>
  <c r="K95" i="56"/>
  <c r="J95" i="56"/>
  <c r="I95" i="56"/>
  <c r="I94" i="56"/>
  <c r="L94" i="56"/>
  <c r="K94" i="56"/>
  <c r="J94" i="56"/>
  <c r="L93" i="56"/>
  <c r="K93" i="56"/>
  <c r="J93" i="56"/>
  <c r="I93" i="56"/>
  <c r="I92" i="56"/>
  <c r="L92" i="56"/>
  <c r="K92" i="56"/>
  <c r="J92" i="56"/>
  <c r="I98" i="56"/>
  <c r="L98" i="56"/>
  <c r="K98" i="56"/>
  <c r="J98" i="56"/>
  <c r="L60" i="56"/>
  <c r="K60" i="56"/>
  <c r="J60" i="56"/>
  <c r="I60" i="56"/>
  <c r="I96" i="56"/>
  <c r="L96" i="56"/>
  <c r="K96" i="56"/>
  <c r="J96" i="56"/>
  <c r="I50" i="56"/>
  <c r="L50" i="56"/>
  <c r="K50" i="56"/>
  <c r="J50" i="56"/>
  <c r="I40" i="56"/>
  <c r="L40" i="56"/>
  <c r="K40" i="56"/>
  <c r="J40" i="56"/>
  <c r="I91" i="56"/>
  <c r="L91" i="56"/>
  <c r="K91" i="56"/>
  <c r="J91" i="56"/>
  <c r="I90" i="56"/>
  <c r="L90" i="56"/>
  <c r="K90" i="56"/>
  <c r="J90" i="56"/>
  <c r="I89" i="56"/>
  <c r="L89" i="56"/>
  <c r="K89" i="56"/>
  <c r="J89" i="56"/>
  <c r="I88" i="56"/>
  <c r="L88" i="56"/>
  <c r="K88" i="56"/>
  <c r="J88" i="56"/>
  <c r="I87" i="56"/>
  <c r="L87" i="56"/>
  <c r="K87" i="56"/>
  <c r="J87" i="56"/>
  <c r="I86" i="56"/>
  <c r="L86" i="56"/>
  <c r="K86" i="56"/>
  <c r="J86" i="56"/>
  <c r="I82" i="56"/>
  <c r="L82" i="56"/>
  <c r="K82" i="56"/>
  <c r="J82" i="56"/>
  <c r="I85" i="56"/>
  <c r="L85" i="56"/>
  <c r="K85" i="56"/>
  <c r="J85" i="56"/>
  <c r="I84" i="56"/>
  <c r="L84" i="56"/>
  <c r="K84" i="56"/>
  <c r="J84" i="56"/>
  <c r="I83" i="56"/>
  <c r="L83" i="56"/>
  <c r="K83" i="56"/>
  <c r="J83" i="56"/>
  <c r="I80" i="56"/>
  <c r="L80" i="56"/>
  <c r="K80" i="56"/>
  <c r="J80" i="56"/>
  <c r="I79" i="56"/>
  <c r="L79" i="56"/>
  <c r="K79" i="56"/>
  <c r="J79" i="56"/>
  <c r="I78" i="56"/>
  <c r="L78" i="56"/>
  <c r="K78" i="56"/>
  <c r="J78" i="56"/>
  <c r="I77" i="56"/>
  <c r="L77" i="56"/>
  <c r="K77" i="56"/>
  <c r="J77" i="56"/>
  <c r="I76" i="56"/>
  <c r="L76" i="56"/>
  <c r="K76" i="56"/>
  <c r="J76" i="56"/>
  <c r="I75" i="56"/>
  <c r="L75" i="56"/>
  <c r="K75" i="56"/>
  <c r="J75" i="56"/>
  <c r="L74" i="56"/>
  <c r="K74" i="56"/>
  <c r="J74" i="56"/>
  <c r="I74" i="56"/>
  <c r="L73" i="56"/>
  <c r="K73" i="56"/>
  <c r="J73" i="56"/>
  <c r="I73" i="56"/>
  <c r="I72" i="56"/>
  <c r="L72" i="56"/>
  <c r="K72" i="56"/>
  <c r="J72" i="56"/>
  <c r="I71" i="56"/>
  <c r="L71" i="56"/>
  <c r="K71" i="56"/>
  <c r="J71" i="56"/>
  <c r="I70" i="56"/>
  <c r="L70" i="56"/>
  <c r="K70" i="56"/>
  <c r="J70" i="56"/>
  <c r="I69" i="56"/>
  <c r="L69" i="56"/>
  <c r="K69" i="56"/>
  <c r="J69" i="56"/>
  <c r="I67" i="56"/>
  <c r="L67" i="56"/>
  <c r="K67" i="56"/>
  <c r="J67" i="56"/>
  <c r="I66" i="56"/>
  <c r="L66" i="56"/>
  <c r="K66" i="56"/>
  <c r="J66" i="56"/>
  <c r="I65" i="56"/>
  <c r="L65" i="56"/>
  <c r="K65" i="56"/>
  <c r="J65" i="56"/>
  <c r="L64" i="56"/>
  <c r="K64" i="56"/>
  <c r="J64" i="56"/>
  <c r="I64" i="56"/>
  <c r="I63" i="56"/>
  <c r="L63" i="56"/>
  <c r="K63" i="56"/>
  <c r="J63" i="56"/>
  <c r="I62" i="56"/>
  <c r="L62" i="56"/>
  <c r="K62" i="56"/>
  <c r="J62" i="56"/>
  <c r="I61" i="56"/>
  <c r="L61" i="56"/>
  <c r="K61" i="56"/>
  <c r="J61" i="56"/>
  <c r="I59" i="56"/>
  <c r="L59" i="56"/>
  <c r="K59" i="56"/>
  <c r="J59" i="56"/>
  <c r="I57" i="56"/>
  <c r="L57" i="56"/>
  <c r="K57" i="56"/>
  <c r="J57" i="56"/>
  <c r="I55" i="56"/>
  <c r="L55" i="56"/>
  <c r="K55" i="56"/>
  <c r="J55" i="56"/>
  <c r="I54" i="56"/>
  <c r="L54" i="56"/>
  <c r="K54" i="56"/>
  <c r="J54" i="56"/>
  <c r="L53" i="56"/>
  <c r="K53" i="56"/>
  <c r="J53" i="56"/>
  <c r="I53" i="56"/>
  <c r="I52" i="56"/>
  <c r="L52" i="56"/>
  <c r="K52" i="56"/>
  <c r="J52" i="56"/>
  <c r="I51" i="56"/>
  <c r="L51" i="56"/>
  <c r="K51" i="56"/>
  <c r="J51" i="56"/>
  <c r="I49" i="56"/>
  <c r="L49" i="56"/>
  <c r="K49" i="56"/>
  <c r="J49" i="56"/>
  <c r="I81" i="56"/>
  <c r="L81" i="56"/>
  <c r="K81" i="56"/>
  <c r="J81" i="56"/>
  <c r="I48" i="56"/>
  <c r="L48" i="56"/>
  <c r="K48" i="56"/>
  <c r="J48" i="56"/>
  <c r="I58" i="56"/>
  <c r="L58" i="56"/>
  <c r="K58" i="56"/>
  <c r="J58" i="56"/>
  <c r="L47" i="56"/>
  <c r="K47" i="56"/>
  <c r="J47" i="56"/>
  <c r="I47" i="56"/>
  <c r="I46" i="56"/>
  <c r="L46" i="56"/>
  <c r="K46" i="56"/>
  <c r="J46" i="56"/>
  <c r="I45" i="56"/>
  <c r="L45" i="56"/>
  <c r="K45" i="56"/>
  <c r="J45" i="56"/>
  <c r="I44" i="56"/>
  <c r="L44" i="56"/>
  <c r="K44" i="56"/>
  <c r="J44" i="56"/>
  <c r="I43" i="56"/>
  <c r="L43" i="56"/>
  <c r="K43" i="56"/>
  <c r="J43" i="56"/>
  <c r="I42" i="56"/>
  <c r="L42" i="56"/>
  <c r="K42" i="56"/>
  <c r="J42" i="56"/>
  <c r="I41" i="56"/>
  <c r="L41" i="56"/>
  <c r="K41" i="56"/>
  <c r="J41" i="56"/>
  <c r="I39" i="56"/>
  <c r="L39" i="56"/>
  <c r="K39" i="56"/>
  <c r="J39" i="56"/>
  <c r="I38" i="56"/>
  <c r="L38" i="56"/>
  <c r="K38" i="56"/>
  <c r="J38" i="56"/>
  <c r="I37" i="56"/>
  <c r="L37" i="56"/>
  <c r="K37" i="56"/>
  <c r="J37" i="56"/>
  <c r="I36" i="56"/>
  <c r="L36" i="56"/>
  <c r="K36" i="56"/>
  <c r="J36" i="56"/>
  <c r="I35" i="56"/>
  <c r="L35" i="56"/>
  <c r="K35" i="56"/>
  <c r="J35" i="56"/>
  <c r="I33" i="56"/>
  <c r="L33" i="56"/>
  <c r="K33" i="56"/>
  <c r="J33" i="56"/>
  <c r="I34" i="56"/>
  <c r="L34" i="56"/>
  <c r="K34" i="56"/>
  <c r="J34" i="56"/>
  <c r="I32" i="56"/>
  <c r="L32" i="56"/>
  <c r="K32" i="56"/>
  <c r="J32" i="56"/>
  <c r="I31" i="56"/>
  <c r="L31" i="56"/>
  <c r="K31" i="56"/>
  <c r="J31" i="56"/>
  <c r="I30" i="56"/>
  <c r="L30" i="56"/>
  <c r="K30" i="56"/>
  <c r="J30" i="56"/>
  <c r="I29" i="56"/>
  <c r="L29" i="56"/>
  <c r="K29" i="56"/>
  <c r="J29" i="56"/>
  <c r="I28" i="56"/>
  <c r="L28" i="56"/>
  <c r="K28" i="56"/>
  <c r="J28" i="56"/>
  <c r="I27" i="56"/>
  <c r="L27" i="56"/>
  <c r="K27" i="56"/>
  <c r="J27" i="56"/>
  <c r="I25" i="56"/>
  <c r="L25" i="56"/>
  <c r="K25" i="56"/>
  <c r="J25" i="56"/>
  <c r="I24" i="56"/>
  <c r="L24" i="56"/>
  <c r="K24" i="56"/>
  <c r="J24" i="56"/>
  <c r="L23" i="56"/>
  <c r="K23" i="56"/>
  <c r="J23" i="56"/>
  <c r="I23" i="56"/>
  <c r="L22" i="56"/>
  <c r="K22" i="56"/>
  <c r="J22" i="56"/>
  <c r="I22" i="56"/>
  <c r="L15" i="56"/>
  <c r="K15" i="56"/>
  <c r="J15" i="56"/>
  <c r="I15" i="56"/>
  <c r="L14" i="56"/>
  <c r="K14" i="56"/>
  <c r="J14" i="56"/>
  <c r="I14" i="56"/>
  <c r="I13" i="56"/>
  <c r="L13" i="56"/>
  <c r="K13" i="56"/>
  <c r="J13" i="56"/>
  <c r="D282" i="21" l="1"/>
  <c r="D331" i="21"/>
  <c r="O99" i="56"/>
  <c r="O100" i="56"/>
  <c r="O101" i="56"/>
  <c r="O102" i="56"/>
  <c r="O103" i="56"/>
  <c r="O107" i="56"/>
  <c r="O133" i="56"/>
  <c r="O119" i="56"/>
  <c r="O125" i="56"/>
  <c r="O27" i="56"/>
  <c r="O30" i="56"/>
  <c r="O48" i="56"/>
  <c r="O76" i="56"/>
  <c r="O77" i="56"/>
  <c r="O78" i="56"/>
  <c r="O13" i="56"/>
  <c r="O38" i="56"/>
  <c r="O39" i="56"/>
  <c r="O41" i="56"/>
  <c r="O58" i="56"/>
  <c r="O53" i="56"/>
  <c r="O66" i="56"/>
  <c r="O67" i="56"/>
  <c r="O69" i="56"/>
  <c r="O74" i="56"/>
  <c r="O75" i="56"/>
  <c r="O89" i="56"/>
  <c r="O106" i="56"/>
  <c r="O124" i="56"/>
  <c r="O128" i="56"/>
  <c r="O44" i="56"/>
  <c r="O45" i="56"/>
  <c r="O71" i="56"/>
  <c r="O79" i="56"/>
  <c r="O50" i="56"/>
  <c r="O93" i="56"/>
  <c r="O116" i="56"/>
  <c r="O120" i="56"/>
  <c r="O121" i="56"/>
  <c r="O122" i="56"/>
  <c r="O22" i="56"/>
  <c r="O37" i="56"/>
  <c r="O52" i="56"/>
  <c r="O64" i="56"/>
  <c r="O65" i="56"/>
  <c r="O88" i="56"/>
  <c r="O96" i="56"/>
  <c r="O117" i="56"/>
  <c r="O132" i="56"/>
  <c r="O14" i="56"/>
  <c r="O23" i="56"/>
  <c r="O24" i="56"/>
  <c r="O94" i="56"/>
  <c r="O97" i="56"/>
  <c r="O104" i="56"/>
  <c r="O108" i="56"/>
  <c r="O111" i="56"/>
  <c r="O112" i="56"/>
  <c r="O113" i="56"/>
  <c r="O114" i="56"/>
  <c r="O118" i="56"/>
  <c r="O123" i="56"/>
  <c r="O126" i="56"/>
  <c r="O129" i="56"/>
  <c r="O130" i="56"/>
  <c r="O131" i="56"/>
  <c r="O134" i="56"/>
  <c r="O15" i="56"/>
  <c r="O25" i="56"/>
  <c r="O31" i="56"/>
  <c r="O46" i="56"/>
  <c r="O81" i="56"/>
  <c r="O49" i="56"/>
  <c r="O51" i="56"/>
  <c r="O54" i="56"/>
  <c r="O55" i="56"/>
  <c r="O70" i="56"/>
  <c r="O72" i="56"/>
  <c r="O80" i="56"/>
  <c r="O83" i="56"/>
  <c r="O84" i="56"/>
  <c r="O85" i="56"/>
  <c r="O86" i="56"/>
  <c r="O91" i="56"/>
  <c r="O60" i="56"/>
  <c r="O98" i="56"/>
  <c r="O95" i="56"/>
  <c r="O105" i="56"/>
  <c r="O109" i="56"/>
  <c r="O110" i="56"/>
  <c r="O115" i="56"/>
  <c r="O127" i="56"/>
  <c r="O28" i="56"/>
  <c r="O29" i="56"/>
  <c r="O32" i="56"/>
  <c r="O34" i="56"/>
  <c r="O33" i="56"/>
  <c r="O35" i="56"/>
  <c r="O36" i="56"/>
  <c r="O42" i="56"/>
  <c r="O43" i="56"/>
  <c r="O47" i="56"/>
  <c r="O57" i="56"/>
  <c r="O59" i="56"/>
  <c r="O61" i="56"/>
  <c r="O62" i="56"/>
  <c r="O63" i="56"/>
  <c r="O73" i="56"/>
  <c r="O82" i="56"/>
  <c r="O87" i="56"/>
  <c r="O90" i="56"/>
  <c r="O40" i="56"/>
  <c r="O92" i="56"/>
  <c r="M203" i="58" l="1"/>
  <c r="L138" i="58"/>
  <c r="K138" i="58"/>
  <c r="J138" i="58"/>
  <c r="I138" i="58"/>
  <c r="L137" i="58"/>
  <c r="K137" i="58"/>
  <c r="J137" i="58"/>
  <c r="I137" i="58"/>
  <c r="L136" i="58"/>
  <c r="K136" i="58"/>
  <c r="J136" i="58"/>
  <c r="I136" i="58"/>
  <c r="I135" i="58"/>
  <c r="L135" i="58"/>
  <c r="K135" i="58"/>
  <c r="J135" i="58"/>
  <c r="I134" i="58"/>
  <c r="L134" i="58"/>
  <c r="K134" i="58"/>
  <c r="J134" i="58"/>
  <c r="I133" i="58"/>
  <c r="L133" i="58"/>
  <c r="K133" i="58"/>
  <c r="J133" i="58"/>
  <c r="I132" i="58"/>
  <c r="L132" i="58"/>
  <c r="K132" i="58"/>
  <c r="J132" i="58"/>
  <c r="I131" i="58"/>
  <c r="L131" i="58"/>
  <c r="K131" i="58"/>
  <c r="J131" i="58"/>
  <c r="L130" i="58"/>
  <c r="K130" i="58"/>
  <c r="J130" i="58"/>
  <c r="I130" i="58"/>
  <c r="I129" i="58"/>
  <c r="L129" i="58"/>
  <c r="K129" i="58"/>
  <c r="J129" i="58"/>
  <c r="I128" i="58"/>
  <c r="L128" i="58"/>
  <c r="K128" i="58"/>
  <c r="J128" i="58"/>
  <c r="I127" i="58"/>
  <c r="L127" i="58"/>
  <c r="K127" i="58"/>
  <c r="J127" i="58"/>
  <c r="I126" i="58"/>
  <c r="L126" i="58"/>
  <c r="K126" i="58"/>
  <c r="J126" i="58"/>
  <c r="I125" i="58"/>
  <c r="L125" i="58"/>
  <c r="K125" i="58"/>
  <c r="J125" i="58"/>
  <c r="I124" i="58"/>
  <c r="L124" i="58"/>
  <c r="K124" i="58"/>
  <c r="J124" i="58"/>
  <c r="I123" i="58"/>
  <c r="L123" i="58"/>
  <c r="K123" i="58"/>
  <c r="J123" i="58"/>
  <c r="I122" i="58"/>
  <c r="L122" i="58"/>
  <c r="K122" i="58"/>
  <c r="J122" i="58"/>
  <c r="I121" i="58"/>
  <c r="L121" i="58"/>
  <c r="K121" i="58"/>
  <c r="J121" i="58"/>
  <c r="I120" i="58"/>
  <c r="L120" i="58"/>
  <c r="K120" i="58"/>
  <c r="J120" i="58"/>
  <c r="I119" i="58"/>
  <c r="L119" i="58"/>
  <c r="K119" i="58"/>
  <c r="J119" i="58"/>
  <c r="I118" i="58"/>
  <c r="L118" i="58"/>
  <c r="K118" i="58"/>
  <c r="J118" i="58"/>
  <c r="I117" i="58"/>
  <c r="L117" i="58"/>
  <c r="K117" i="58"/>
  <c r="J117" i="58"/>
  <c r="L116" i="58"/>
  <c r="K116" i="58"/>
  <c r="J116" i="58"/>
  <c r="I116" i="58"/>
  <c r="I115" i="58"/>
  <c r="L115" i="58"/>
  <c r="K115" i="58"/>
  <c r="J115" i="58"/>
  <c r="I114" i="58"/>
  <c r="L114" i="58"/>
  <c r="K114" i="58"/>
  <c r="J114" i="58"/>
  <c r="I113" i="58"/>
  <c r="L113" i="58"/>
  <c r="K113" i="58"/>
  <c r="J113" i="58"/>
  <c r="I112" i="58"/>
  <c r="L112" i="58"/>
  <c r="K112" i="58"/>
  <c r="J112" i="58"/>
  <c r="I111" i="58"/>
  <c r="L111" i="58"/>
  <c r="K111" i="58"/>
  <c r="J111" i="58"/>
  <c r="L110" i="58"/>
  <c r="K110" i="58"/>
  <c r="J110" i="58"/>
  <c r="I110" i="58"/>
  <c r="I109" i="58"/>
  <c r="L109" i="58"/>
  <c r="K109" i="58"/>
  <c r="J109" i="58"/>
  <c r="I108" i="58"/>
  <c r="L108" i="58"/>
  <c r="K108" i="58"/>
  <c r="J108" i="58"/>
  <c r="I107" i="58"/>
  <c r="L107" i="58"/>
  <c r="K107" i="58"/>
  <c r="J107" i="58"/>
  <c r="I106" i="58"/>
  <c r="L106" i="58"/>
  <c r="K106" i="58"/>
  <c r="J106" i="58"/>
  <c r="I105" i="58"/>
  <c r="L105" i="58"/>
  <c r="K105" i="58"/>
  <c r="J105" i="58"/>
  <c r="I103" i="58"/>
  <c r="L103" i="58"/>
  <c r="K103" i="58"/>
  <c r="J103" i="58"/>
  <c r="I101" i="58"/>
  <c r="L101" i="58"/>
  <c r="K101" i="58"/>
  <c r="J101" i="58"/>
  <c r="I100" i="58"/>
  <c r="L100" i="58"/>
  <c r="K100" i="58"/>
  <c r="J100" i="58"/>
  <c r="L99" i="58"/>
  <c r="K99" i="58"/>
  <c r="J99" i="58"/>
  <c r="I99" i="58"/>
  <c r="I104" i="58"/>
  <c r="L104" i="58"/>
  <c r="K104" i="58"/>
  <c r="J104" i="58"/>
  <c r="I70" i="58"/>
  <c r="L70" i="58"/>
  <c r="K70" i="58"/>
  <c r="J70" i="58"/>
  <c r="I102" i="58"/>
  <c r="L102" i="58"/>
  <c r="K102" i="58"/>
  <c r="J102" i="58"/>
  <c r="L60" i="58"/>
  <c r="K60" i="58"/>
  <c r="J60" i="58"/>
  <c r="I60" i="58"/>
  <c r="I50" i="58"/>
  <c r="L50" i="58"/>
  <c r="K50" i="58"/>
  <c r="J50" i="58"/>
  <c r="I98" i="58"/>
  <c r="L98" i="58"/>
  <c r="K98" i="58"/>
  <c r="J98" i="58"/>
  <c r="L97" i="58"/>
  <c r="K97" i="58"/>
  <c r="J97" i="58"/>
  <c r="I97" i="58"/>
  <c r="I96" i="58"/>
  <c r="L96" i="58"/>
  <c r="K96" i="58"/>
  <c r="J96" i="58"/>
  <c r="I95" i="58"/>
  <c r="L95" i="58"/>
  <c r="K95" i="58"/>
  <c r="J95" i="58"/>
  <c r="I94" i="58"/>
  <c r="L94" i="58"/>
  <c r="K94" i="58"/>
  <c r="J94" i="58"/>
  <c r="I93" i="58"/>
  <c r="L93" i="58"/>
  <c r="K93" i="58"/>
  <c r="J93" i="58"/>
  <c r="I90" i="58"/>
  <c r="L90" i="58"/>
  <c r="K90" i="58"/>
  <c r="J90" i="58"/>
  <c r="I92" i="58"/>
  <c r="L92" i="58"/>
  <c r="K92" i="58"/>
  <c r="J92" i="58"/>
  <c r="I91" i="58"/>
  <c r="L91" i="58"/>
  <c r="K91" i="58"/>
  <c r="J91" i="58"/>
  <c r="I88" i="58"/>
  <c r="L88" i="58"/>
  <c r="K88" i="58"/>
  <c r="J88" i="58"/>
  <c r="I87" i="58"/>
  <c r="L87" i="58"/>
  <c r="K87" i="58"/>
  <c r="J87" i="58"/>
  <c r="I86" i="58"/>
  <c r="L86" i="58"/>
  <c r="K86" i="58"/>
  <c r="J86" i="58"/>
  <c r="I85" i="58"/>
  <c r="L85" i="58"/>
  <c r="K85" i="58"/>
  <c r="J85" i="58"/>
  <c r="I84" i="58"/>
  <c r="L84" i="58"/>
  <c r="K84" i="58"/>
  <c r="J84" i="58"/>
  <c r="I83" i="58"/>
  <c r="L83" i="58"/>
  <c r="K83" i="58"/>
  <c r="J83" i="58"/>
  <c r="I82" i="58"/>
  <c r="L82" i="58"/>
  <c r="K82" i="58"/>
  <c r="J82" i="58"/>
  <c r="I81" i="58"/>
  <c r="L81" i="58"/>
  <c r="K81" i="58"/>
  <c r="J81" i="58"/>
  <c r="I80" i="58"/>
  <c r="L80" i="58"/>
  <c r="K80" i="58"/>
  <c r="J80" i="58"/>
  <c r="I79" i="58"/>
  <c r="L79" i="58"/>
  <c r="K79" i="58"/>
  <c r="J79" i="58"/>
  <c r="I78" i="58"/>
  <c r="L78" i="58"/>
  <c r="K78" i="58"/>
  <c r="J78" i="58"/>
  <c r="L77" i="58"/>
  <c r="K77" i="58"/>
  <c r="J77" i="58"/>
  <c r="I77" i="58"/>
  <c r="I76" i="58"/>
  <c r="L76" i="58"/>
  <c r="K76" i="58"/>
  <c r="J76" i="58"/>
  <c r="I75" i="58"/>
  <c r="L75" i="58"/>
  <c r="K75" i="58"/>
  <c r="J75" i="58"/>
  <c r="I74" i="58"/>
  <c r="L74" i="58"/>
  <c r="K74" i="58"/>
  <c r="J74" i="58"/>
  <c r="I73" i="58"/>
  <c r="L73" i="58"/>
  <c r="K73" i="58"/>
  <c r="J73" i="58"/>
  <c r="I71" i="58"/>
  <c r="L71" i="58"/>
  <c r="K71" i="58"/>
  <c r="J71" i="58"/>
  <c r="I69" i="58"/>
  <c r="L69" i="58"/>
  <c r="K69" i="58"/>
  <c r="J69" i="58"/>
  <c r="I67" i="58"/>
  <c r="L67" i="58"/>
  <c r="K67" i="58"/>
  <c r="J67" i="58"/>
  <c r="I65" i="58"/>
  <c r="L65" i="58"/>
  <c r="K65" i="58"/>
  <c r="J65" i="58"/>
  <c r="L64" i="58"/>
  <c r="K64" i="58"/>
  <c r="J64" i="58"/>
  <c r="I64" i="58"/>
  <c r="L63" i="58"/>
  <c r="K63" i="58"/>
  <c r="J63" i="58"/>
  <c r="I63" i="58"/>
  <c r="I62" i="58"/>
  <c r="L62" i="58"/>
  <c r="K62" i="58"/>
  <c r="J62" i="58"/>
  <c r="I61" i="58"/>
  <c r="L61" i="58"/>
  <c r="K61" i="58"/>
  <c r="J61" i="58"/>
  <c r="I59" i="58"/>
  <c r="L59" i="58"/>
  <c r="K59" i="58"/>
  <c r="J59" i="58"/>
  <c r="I89" i="58"/>
  <c r="L89" i="58"/>
  <c r="K89" i="58"/>
  <c r="J89" i="58"/>
  <c r="I58" i="58"/>
  <c r="L58" i="58"/>
  <c r="K58" i="58"/>
  <c r="J58" i="58"/>
  <c r="I68" i="58"/>
  <c r="L68" i="58"/>
  <c r="K68" i="58"/>
  <c r="J68" i="58"/>
  <c r="L57" i="58"/>
  <c r="K57" i="58"/>
  <c r="J57" i="58"/>
  <c r="I57" i="58"/>
  <c r="I56" i="58"/>
  <c r="L56" i="58"/>
  <c r="K56" i="58"/>
  <c r="J56" i="58"/>
  <c r="I55" i="58"/>
  <c r="L55" i="58"/>
  <c r="K55" i="58"/>
  <c r="J55" i="58"/>
  <c r="I54" i="58"/>
  <c r="L54" i="58"/>
  <c r="K54" i="58"/>
  <c r="J54" i="58"/>
  <c r="I53" i="58"/>
  <c r="L53" i="58"/>
  <c r="K53" i="58"/>
  <c r="J53" i="58"/>
  <c r="I52" i="58"/>
  <c r="L52" i="58"/>
  <c r="K52" i="58"/>
  <c r="J52" i="58"/>
  <c r="I51" i="58"/>
  <c r="L51" i="58"/>
  <c r="K51" i="58"/>
  <c r="J51" i="58"/>
  <c r="I49" i="58"/>
  <c r="L49" i="58"/>
  <c r="K49" i="58"/>
  <c r="J49" i="58"/>
  <c r="I48" i="58"/>
  <c r="L48" i="58"/>
  <c r="K48" i="58"/>
  <c r="J48" i="58"/>
  <c r="I47" i="58"/>
  <c r="L47" i="58"/>
  <c r="K47" i="58"/>
  <c r="J47" i="58"/>
  <c r="I46" i="58"/>
  <c r="L46" i="58"/>
  <c r="K46" i="58"/>
  <c r="J46" i="58"/>
  <c r="I45" i="58"/>
  <c r="L45" i="58"/>
  <c r="K45" i="58"/>
  <c r="J45" i="58"/>
  <c r="I43" i="58"/>
  <c r="L43" i="58"/>
  <c r="K43" i="58"/>
  <c r="J43" i="58"/>
  <c r="I44" i="58"/>
  <c r="L44" i="58"/>
  <c r="K44" i="58"/>
  <c r="J44" i="58"/>
  <c r="I42" i="58"/>
  <c r="L42" i="58"/>
  <c r="K42" i="58"/>
  <c r="J42" i="58"/>
  <c r="I41" i="58"/>
  <c r="L41" i="58"/>
  <c r="K41" i="58"/>
  <c r="J41" i="58"/>
  <c r="I40" i="58"/>
  <c r="L40" i="58"/>
  <c r="K40" i="58"/>
  <c r="J40" i="58"/>
  <c r="I39" i="58"/>
  <c r="L39" i="58"/>
  <c r="K39" i="58"/>
  <c r="J39" i="58"/>
  <c r="I38" i="58"/>
  <c r="L38" i="58"/>
  <c r="K38" i="58"/>
  <c r="J38" i="58"/>
  <c r="I37" i="58"/>
  <c r="L37" i="58"/>
  <c r="K37" i="58"/>
  <c r="J37" i="58"/>
  <c r="I35" i="58"/>
  <c r="L35" i="58"/>
  <c r="K35" i="58"/>
  <c r="J35" i="58"/>
  <c r="I34" i="58"/>
  <c r="L34" i="58"/>
  <c r="K34" i="58"/>
  <c r="J34" i="58"/>
  <c r="L33" i="58"/>
  <c r="K33" i="58"/>
  <c r="G33" i="58" s="1"/>
  <c r="J33" i="58"/>
  <c r="I33" i="58"/>
  <c r="F33" i="58" s="1"/>
  <c r="I32" i="58"/>
  <c r="L32" i="58"/>
  <c r="K32" i="58"/>
  <c r="J32" i="58"/>
  <c r="I31" i="58"/>
  <c r="L31" i="58"/>
  <c r="K31" i="58"/>
  <c r="J31" i="58"/>
  <c r="I30" i="58"/>
  <c r="L30" i="58"/>
  <c r="K30" i="58"/>
  <c r="J30" i="58"/>
  <c r="I13" i="58"/>
  <c r="F13" i="58" s="1"/>
  <c r="L13" i="58"/>
  <c r="K13" i="58"/>
  <c r="G13" i="58" s="1"/>
  <c r="J13" i="58"/>
  <c r="L204" i="57"/>
  <c r="M203" i="56"/>
  <c r="F336" i="21" l="1"/>
  <c r="G336" i="21"/>
  <c r="D454" i="21"/>
  <c r="D605" i="21"/>
  <c r="D265" i="21"/>
  <c r="O111" i="58"/>
  <c r="O116" i="58"/>
  <c r="O117" i="58"/>
  <c r="O118" i="58"/>
  <c r="O80" i="58"/>
  <c r="O85" i="58"/>
  <c r="O86" i="58"/>
  <c r="O93" i="58"/>
  <c r="O96" i="58"/>
  <c r="O60" i="58"/>
  <c r="O100" i="58"/>
  <c r="O110" i="58"/>
  <c r="O114" i="58"/>
  <c r="O115" i="58"/>
  <c r="O122" i="58"/>
  <c r="O128" i="58"/>
  <c r="O132" i="58"/>
  <c r="O137" i="58"/>
  <c r="O13" i="58"/>
  <c r="O31" i="58"/>
  <c r="O33" i="58"/>
  <c r="O37" i="58"/>
  <c r="O41" i="58"/>
  <c r="O43" i="58"/>
  <c r="O47" i="58"/>
  <c r="O51" i="58"/>
  <c r="O57" i="58"/>
  <c r="O68" i="58"/>
  <c r="O63" i="58"/>
  <c r="O77" i="58"/>
  <c r="O78" i="58"/>
  <c r="O79" i="58"/>
  <c r="O84" i="58"/>
  <c r="O90" i="58"/>
  <c r="O95" i="58"/>
  <c r="O50" i="58"/>
  <c r="O99" i="58"/>
  <c r="O119" i="58"/>
  <c r="O123" i="58"/>
  <c r="O129" i="58"/>
  <c r="O133" i="58"/>
  <c r="O134" i="58"/>
  <c r="O135" i="58"/>
  <c r="O138" i="58"/>
  <c r="O45" i="58"/>
  <c r="O54" i="58"/>
  <c r="O58" i="58"/>
  <c r="O38" i="58"/>
  <c r="O64" i="58"/>
  <c r="O30" i="58"/>
  <c r="O32" i="58"/>
  <c r="O34" i="58"/>
  <c r="O39" i="58"/>
  <c r="O42" i="58"/>
  <c r="O46" i="58"/>
  <c r="O48" i="58"/>
  <c r="O52" i="58"/>
  <c r="O55" i="58"/>
  <c r="O89" i="58"/>
  <c r="O59" i="58"/>
  <c r="O61" i="58"/>
  <c r="O65" i="58"/>
  <c r="O67" i="58"/>
  <c r="O69" i="58"/>
  <c r="O71" i="58"/>
  <c r="O73" i="58"/>
  <c r="O74" i="58"/>
  <c r="O81" i="58"/>
  <c r="O82" i="58"/>
  <c r="O87" i="58"/>
  <c r="O94" i="58"/>
  <c r="O97" i="58"/>
  <c r="O102" i="58"/>
  <c r="O101" i="58"/>
  <c r="O103" i="58"/>
  <c r="O112" i="58"/>
  <c r="O120" i="58"/>
  <c r="O124" i="58"/>
  <c r="O125" i="58"/>
  <c r="O126" i="58"/>
  <c r="O130" i="58"/>
  <c r="O35" i="58"/>
  <c r="O40" i="58"/>
  <c r="O44" i="58"/>
  <c r="O49" i="58"/>
  <c r="O53" i="58"/>
  <c r="O56" i="58"/>
  <c r="O62" i="58"/>
  <c r="O75" i="58"/>
  <c r="O76" i="58"/>
  <c r="O83" i="58"/>
  <c r="O88" i="58"/>
  <c r="O91" i="58"/>
  <c r="O92" i="58"/>
  <c r="O98" i="58"/>
  <c r="O70" i="58"/>
  <c r="O104" i="58"/>
  <c r="O105" i="58"/>
  <c r="O106" i="58"/>
  <c r="O107" i="58"/>
  <c r="O108" i="58"/>
  <c r="O109" i="58"/>
  <c r="O113" i="58"/>
  <c r="O121" i="58"/>
  <c r="O127" i="58"/>
  <c r="O131" i="58"/>
  <c r="O136" i="58"/>
  <c r="G644" i="21" l="1"/>
  <c r="F644" i="21"/>
  <c r="E177" i="56"/>
  <c r="E163" i="56"/>
  <c r="E168" i="56"/>
  <c r="E169" i="56"/>
  <c r="E151" i="56"/>
  <c r="E161" i="56"/>
  <c r="E159" i="56"/>
  <c r="E162" i="56"/>
  <c r="E182" i="56"/>
  <c r="E26" i="56"/>
  <c r="E116" i="56"/>
  <c r="E94" i="56"/>
  <c r="Y15" i="21"/>
  <c r="F177" i="56" l="1"/>
  <c r="G177" i="56"/>
  <c r="G182" i="56"/>
  <c r="F182" i="56"/>
  <c r="G151" i="56"/>
  <c r="F151" i="56"/>
  <c r="F159" i="56"/>
  <c r="G159" i="56"/>
  <c r="G168" i="56"/>
  <c r="F168" i="56"/>
  <c r="G162" i="56"/>
  <c r="F162" i="56"/>
  <c r="F161" i="56"/>
  <c r="G161" i="56"/>
  <c r="G169" i="56"/>
  <c r="F169" i="56"/>
  <c r="F163" i="56"/>
  <c r="G163" i="56"/>
  <c r="F26" i="56"/>
  <c r="G26" i="56"/>
  <c r="G116" i="56"/>
  <c r="F116" i="56"/>
  <c r="G94" i="56"/>
  <c r="F94" i="56"/>
  <c r="D759" i="21" l="1"/>
  <c r="D758" i="21"/>
  <c r="D757" i="21"/>
  <c r="D754" i="21"/>
  <c r="D753" i="21"/>
  <c r="D752" i="21"/>
  <c r="D731" i="21"/>
  <c r="D730" i="21"/>
  <c r="D724" i="21"/>
  <c r="D720" i="21"/>
  <c r="D719" i="21"/>
  <c r="D714" i="21"/>
  <c r="D713" i="21"/>
  <c r="D712" i="21"/>
  <c r="D711" i="21"/>
  <c r="D710" i="21"/>
  <c r="D706" i="21"/>
  <c r="D675" i="21"/>
  <c r="D670" i="21"/>
  <c r="D669" i="21"/>
  <c r="D668" i="21"/>
  <c r="F711" i="21" l="1"/>
  <c r="G711" i="21"/>
  <c r="F710" i="21"/>
  <c r="G710" i="21"/>
  <c r="D19" i="21"/>
  <c r="E141" i="56" l="1"/>
  <c r="E140" i="56"/>
  <c r="E135" i="56"/>
  <c r="E188" i="56"/>
  <c r="E160" i="56"/>
  <c r="E149" i="56"/>
  <c r="E53" i="56"/>
  <c r="E59" i="56"/>
  <c r="E55" i="56"/>
  <c r="E56" i="56"/>
  <c r="E34" i="56"/>
  <c r="E24" i="56"/>
  <c r="E22" i="56"/>
  <c r="D238" i="21"/>
  <c r="D321" i="21"/>
  <c r="E14" i="56"/>
  <c r="E30" i="56"/>
  <c r="G30" i="56" s="1"/>
  <c r="E23" i="56"/>
  <c r="G23" i="56" s="1"/>
  <c r="E187" i="56"/>
  <c r="E181" i="56"/>
  <c r="E58" i="56"/>
  <c r="E39" i="56"/>
  <c r="D145" i="21"/>
  <c r="D160" i="21"/>
  <c r="D105" i="21"/>
  <c r="D235" i="21"/>
  <c r="D144" i="21"/>
  <c r="D244" i="21"/>
  <c r="D228" i="21"/>
  <c r="D203" i="21"/>
  <c r="D118" i="21"/>
  <c r="D116" i="21"/>
  <c r="D227" i="21"/>
  <c r="D239" i="21"/>
  <c r="D242" i="21"/>
  <c r="D245" i="21"/>
  <c r="D23" i="21"/>
  <c r="E144" i="56"/>
  <c r="E115" i="56"/>
  <c r="G115" i="56" s="1"/>
  <c r="E155" i="56"/>
  <c r="G20" i="21" l="1"/>
  <c r="G116" i="21"/>
  <c r="F116" i="21"/>
  <c r="F145" i="21"/>
  <c r="G145" i="21"/>
  <c r="F245" i="21"/>
  <c r="G245" i="21"/>
  <c r="G321" i="21"/>
  <c r="F321" i="21"/>
  <c r="E109" i="56"/>
  <c r="G109" i="56" s="1"/>
  <c r="E13" i="56"/>
  <c r="G13" i="56" s="1"/>
  <c r="E152" i="56"/>
  <c r="F152" i="56" s="1"/>
  <c r="E173" i="56"/>
  <c r="F173" i="56" s="1"/>
  <c r="E171" i="56"/>
  <c r="G188" i="56"/>
  <c r="F188" i="56"/>
  <c r="E179" i="56"/>
  <c r="F179" i="56" s="1"/>
  <c r="E167" i="56"/>
  <c r="G167" i="56" s="1"/>
  <c r="E165" i="56"/>
  <c r="E178" i="56"/>
  <c r="G135" i="56"/>
  <c r="F135" i="56"/>
  <c r="G141" i="56"/>
  <c r="F141" i="56"/>
  <c r="E172" i="56"/>
  <c r="F172" i="56" s="1"/>
  <c r="E170" i="56"/>
  <c r="E166" i="56"/>
  <c r="G166" i="56" s="1"/>
  <c r="E164" i="56"/>
  <c r="F181" i="56"/>
  <c r="G181" i="56"/>
  <c r="G140" i="56"/>
  <c r="F140" i="56"/>
  <c r="E147" i="56"/>
  <c r="F147" i="56" s="1"/>
  <c r="F30" i="56"/>
  <c r="F23" i="56"/>
  <c r="E41" i="56"/>
  <c r="G41" i="56" s="1"/>
  <c r="D492" i="21"/>
  <c r="D510" i="21"/>
  <c r="D437" i="21"/>
  <c r="D102" i="21"/>
  <c r="E83" i="56"/>
  <c r="F83" i="56" s="1"/>
  <c r="D38" i="21"/>
  <c r="D28" i="21"/>
  <c r="G14" i="56"/>
  <c r="F14" i="56"/>
  <c r="E65" i="56"/>
  <c r="G65" i="56" s="1"/>
  <c r="D612" i="21"/>
  <c r="D461" i="21"/>
  <c r="D329" i="21"/>
  <c r="D251" i="21"/>
  <c r="D315" i="21"/>
  <c r="D324" i="21"/>
  <c r="D121" i="21"/>
  <c r="D456" i="21"/>
  <c r="D604" i="21"/>
  <c r="D159" i="21"/>
  <c r="D97" i="21"/>
  <c r="D603" i="21"/>
  <c r="D387" i="21"/>
  <c r="D451" i="21"/>
  <c r="D88" i="21"/>
  <c r="D573" i="21"/>
  <c r="D322" i="21"/>
  <c r="D320" i="21"/>
  <c r="D199" i="21"/>
  <c r="D174" i="21"/>
  <c r="D266" i="21"/>
  <c r="D229" i="21"/>
  <c r="D25" i="21"/>
  <c r="D314" i="21"/>
  <c r="D126" i="21"/>
  <c r="D395" i="21"/>
  <c r="D171" i="21"/>
  <c r="D450" i="21"/>
  <c r="D21" i="21"/>
  <c r="D453" i="21"/>
  <c r="D516" i="21"/>
  <c r="D470" i="21"/>
  <c r="D441" i="21"/>
  <c r="D173" i="21"/>
  <c r="D202" i="21"/>
  <c r="D243" i="21"/>
  <c r="D249" i="21"/>
  <c r="E80" i="56"/>
  <c r="G80" i="56" s="1"/>
  <c r="E25" i="56"/>
  <c r="G25" i="56" s="1"/>
  <c r="F53" i="56"/>
  <c r="G53" i="56"/>
  <c r="E49" i="56"/>
  <c r="G49" i="56" s="1"/>
  <c r="F155" i="56"/>
  <c r="G155" i="56"/>
  <c r="E111" i="56"/>
  <c r="F111" i="56" s="1"/>
  <c r="E44" i="56"/>
  <c r="G160" i="56"/>
  <c r="F160" i="56"/>
  <c r="E66" i="56"/>
  <c r="G66" i="56" s="1"/>
  <c r="E62" i="56"/>
  <c r="G62" i="56" s="1"/>
  <c r="G56" i="56"/>
  <c r="F56" i="56"/>
  <c r="F115" i="56"/>
  <c r="E112" i="56"/>
  <c r="F112" i="56" s="1"/>
  <c r="E184" i="56"/>
  <c r="E114" i="56"/>
  <c r="F114" i="56" s="1"/>
  <c r="E186" i="56"/>
  <c r="E110" i="56"/>
  <c r="F110" i="56" s="1"/>
  <c r="E180" i="56"/>
  <c r="E117" i="56"/>
  <c r="F117" i="56" s="1"/>
  <c r="E138" i="56"/>
  <c r="E131" i="56"/>
  <c r="G131" i="56" s="1"/>
  <c r="E199" i="56"/>
  <c r="E133" i="56"/>
  <c r="F133" i="56" s="1"/>
  <c r="F149" i="56"/>
  <c r="G149" i="56"/>
  <c r="E136" i="56"/>
  <c r="E193" i="56"/>
  <c r="E123" i="56"/>
  <c r="F123" i="56" s="1"/>
  <c r="E195" i="56"/>
  <c r="E104" i="56"/>
  <c r="G104" i="56" s="1"/>
  <c r="E99" i="56"/>
  <c r="G99" i="56" s="1"/>
  <c r="E174" i="56"/>
  <c r="E198" i="56"/>
  <c r="E101" i="56"/>
  <c r="F101" i="56" s="1"/>
  <c r="E143" i="56"/>
  <c r="E129" i="56"/>
  <c r="F129" i="56" s="1"/>
  <c r="E190" i="56"/>
  <c r="E98" i="56"/>
  <c r="F98" i="56" s="1"/>
  <c r="E100" i="56"/>
  <c r="F100" i="56" s="1"/>
  <c r="E142" i="56"/>
  <c r="E107" i="56"/>
  <c r="G107" i="56" s="1"/>
  <c r="E175" i="56"/>
  <c r="F144" i="56"/>
  <c r="G144" i="56"/>
  <c r="E105" i="56"/>
  <c r="E106" i="56"/>
  <c r="G106" i="56" s="1"/>
  <c r="E132" i="56"/>
  <c r="F132" i="56" s="1"/>
  <c r="E108" i="56"/>
  <c r="G108" i="56" s="1"/>
  <c r="E176" i="56"/>
  <c r="E134" i="56"/>
  <c r="F134" i="56" s="1"/>
  <c r="E124" i="56"/>
  <c r="F124" i="56" s="1"/>
  <c r="E196" i="56"/>
  <c r="E122" i="56"/>
  <c r="F122" i="56" s="1"/>
  <c r="E194" i="56"/>
  <c r="E113" i="56"/>
  <c r="G113" i="56" s="1"/>
  <c r="E185" i="56"/>
  <c r="G187" i="56"/>
  <c r="F187" i="56"/>
  <c r="E102" i="56"/>
  <c r="E54" i="56"/>
  <c r="G54" i="56" s="1"/>
  <c r="F34" i="56"/>
  <c r="G34" i="56"/>
  <c r="G24" i="56"/>
  <c r="F24" i="56"/>
  <c r="G22" i="56"/>
  <c r="F22" i="56"/>
  <c r="G58" i="56"/>
  <c r="F58" i="56"/>
  <c r="G59" i="56"/>
  <c r="F59" i="56"/>
  <c r="F39" i="56"/>
  <c r="G39" i="56"/>
  <c r="F55" i="56"/>
  <c r="G55" i="56"/>
  <c r="F109" i="56" l="1"/>
  <c r="G395" i="21"/>
  <c r="F395" i="21"/>
  <c r="F229" i="21"/>
  <c r="G229" i="21"/>
  <c r="F251" i="21"/>
  <c r="F173" i="21"/>
  <c r="G159" i="21"/>
  <c r="F159" i="21"/>
  <c r="F470" i="21"/>
  <c r="G470" i="21"/>
  <c r="F102" i="21"/>
  <c r="G102" i="21"/>
  <c r="G38" i="21"/>
  <c r="F38" i="21"/>
  <c r="F13" i="56"/>
  <c r="G173" i="56"/>
  <c r="G179" i="56"/>
  <c r="F166" i="56"/>
  <c r="G147" i="56"/>
  <c r="G172" i="56"/>
  <c r="G152" i="56"/>
  <c r="F49" i="56"/>
  <c r="F167" i="56"/>
  <c r="G164" i="56"/>
  <c r="F164" i="56"/>
  <c r="F171" i="56"/>
  <c r="G171" i="56"/>
  <c r="F170" i="56"/>
  <c r="G170" i="56"/>
  <c r="F178" i="56"/>
  <c r="G178" i="56"/>
  <c r="G165" i="56"/>
  <c r="F165" i="56"/>
  <c r="F65" i="56"/>
  <c r="G83" i="56"/>
  <c r="F41" i="56"/>
  <c r="G694" i="21"/>
  <c r="F694" i="21"/>
  <c r="G650" i="21"/>
  <c r="F650" i="21"/>
  <c r="G693" i="21"/>
  <c r="F693" i="21"/>
  <c r="G657" i="21"/>
  <c r="F657" i="21"/>
  <c r="G640" i="21"/>
  <c r="F640" i="21"/>
  <c r="G660" i="21"/>
  <c r="F660" i="21"/>
  <c r="G623" i="21"/>
  <c r="F623" i="21"/>
  <c r="G662" i="21"/>
  <c r="F662" i="21"/>
  <c r="G567" i="21"/>
  <c r="F567" i="21"/>
  <c r="G189" i="21"/>
  <c r="F189" i="21"/>
  <c r="F388" i="21"/>
  <c r="G388" i="21"/>
  <c r="F33" i="21"/>
  <c r="G33" i="21"/>
  <c r="D236" i="21"/>
  <c r="D559" i="21"/>
  <c r="D651" i="21"/>
  <c r="D166" i="21"/>
  <c r="D517" i="21"/>
  <c r="F66" i="56"/>
  <c r="F80" i="56"/>
  <c r="G132" i="56"/>
  <c r="F25" i="56"/>
  <c r="G100" i="56"/>
  <c r="G101" i="56"/>
  <c r="F62" i="56"/>
  <c r="F104" i="56"/>
  <c r="E97" i="56"/>
  <c r="E72" i="56"/>
  <c r="F72" i="56" s="1"/>
  <c r="G111" i="56"/>
  <c r="G44" i="56"/>
  <c r="F44" i="56"/>
  <c r="G134" i="56"/>
  <c r="G114" i="56"/>
  <c r="G122" i="56"/>
  <c r="G117" i="56"/>
  <c r="F131" i="56"/>
  <c r="G98" i="56"/>
  <c r="G129" i="56"/>
  <c r="F107" i="56"/>
  <c r="G133" i="56"/>
  <c r="F106" i="56"/>
  <c r="G110" i="56"/>
  <c r="F108" i="56"/>
  <c r="G112" i="56"/>
  <c r="F113" i="56"/>
  <c r="G124" i="56"/>
  <c r="F99" i="56"/>
  <c r="G123" i="56"/>
  <c r="G185" i="56"/>
  <c r="F185" i="56"/>
  <c r="G196" i="56"/>
  <c r="F196" i="56"/>
  <c r="G138" i="56"/>
  <c r="F138" i="56"/>
  <c r="F180" i="56"/>
  <c r="G180" i="56"/>
  <c r="G102" i="56"/>
  <c r="F102" i="56"/>
  <c r="F142" i="56"/>
  <c r="G142" i="56"/>
  <c r="G198" i="56"/>
  <c r="F198" i="56"/>
  <c r="F193" i="56"/>
  <c r="G193" i="56"/>
  <c r="F199" i="56"/>
  <c r="G199" i="56"/>
  <c r="F184" i="56"/>
  <c r="G184" i="56"/>
  <c r="G194" i="56"/>
  <c r="F194" i="56"/>
  <c r="F176" i="56"/>
  <c r="G176" i="56"/>
  <c r="G105" i="56"/>
  <c r="F105" i="56"/>
  <c r="G190" i="56"/>
  <c r="F190" i="56"/>
  <c r="F143" i="56"/>
  <c r="G143" i="56"/>
  <c r="F175" i="56"/>
  <c r="G175" i="56"/>
  <c r="F174" i="56"/>
  <c r="G174" i="56"/>
  <c r="G195" i="56"/>
  <c r="F195" i="56"/>
  <c r="F136" i="56"/>
  <c r="G136" i="56"/>
  <c r="F186" i="56"/>
  <c r="G186" i="56"/>
  <c r="F54" i="56"/>
  <c r="F517" i="21" l="1"/>
  <c r="G517" i="21"/>
  <c r="F651" i="21"/>
  <c r="G651" i="21"/>
  <c r="G559" i="21"/>
  <c r="F559" i="21"/>
  <c r="G678" i="21"/>
  <c r="F678" i="21"/>
  <c r="F434" i="21"/>
  <c r="G434" i="21"/>
  <c r="F508" i="21"/>
  <c r="G508" i="21"/>
  <c r="G627" i="21"/>
  <c r="F627" i="21"/>
  <c r="G566" i="21"/>
  <c r="F566" i="21"/>
  <c r="G653" i="21"/>
  <c r="F653" i="21"/>
  <c r="F26" i="21"/>
  <c r="G26" i="21"/>
  <c r="G620" i="21"/>
  <c r="F620" i="21"/>
  <c r="G630" i="21"/>
  <c r="F630" i="21"/>
  <c r="G665" i="21"/>
  <c r="F665" i="21"/>
  <c r="G538" i="21"/>
  <c r="F538" i="21"/>
  <c r="G672" i="21"/>
  <c r="F672" i="21"/>
  <c r="G583" i="21"/>
  <c r="F583" i="21"/>
  <c r="F411" i="21"/>
  <c r="G411" i="21"/>
  <c r="G186" i="21"/>
  <c r="F186" i="21"/>
  <c r="G683" i="21"/>
  <c r="F683" i="21"/>
  <c r="F83" i="21"/>
  <c r="G83" i="21"/>
  <c r="F361" i="21"/>
  <c r="G361" i="21"/>
  <c r="G619" i="21"/>
  <c r="F619" i="21"/>
  <c r="G687" i="21"/>
  <c r="F687" i="21"/>
  <c r="G690" i="21"/>
  <c r="F690" i="21"/>
  <c r="G664" i="21"/>
  <c r="F664" i="21"/>
  <c r="G763" i="21"/>
  <c r="F763" i="21"/>
  <c r="G80" i="21"/>
  <c r="F80" i="21"/>
  <c r="G109" i="21"/>
  <c r="F109" i="21"/>
  <c r="G626" i="21"/>
  <c r="F626" i="21"/>
  <c r="G691" i="21"/>
  <c r="F691" i="21"/>
  <c r="G654" i="21"/>
  <c r="F654" i="21"/>
  <c r="G702" i="21"/>
  <c r="F702" i="21"/>
  <c r="G661" i="21"/>
  <c r="F661" i="21"/>
  <c r="G72" i="56"/>
  <c r="G97" i="56"/>
  <c r="F97" i="56"/>
  <c r="G190" i="21" l="1"/>
  <c r="F190" i="21"/>
  <c r="Z231" i="31"/>
  <c r="Q231" i="31" s="1"/>
  <c r="X478" i="31"/>
  <c r="Z753" i="31"/>
  <c r="Q753" i="31" s="1"/>
  <c r="Z407" i="31"/>
  <c r="Q407" i="31" s="1"/>
  <c r="Z403" i="31"/>
  <c r="Q403" i="31" s="1"/>
  <c r="Z275" i="31"/>
  <c r="Q275" i="31" s="1"/>
  <c r="Z264" i="31"/>
  <c r="Q264" i="31" s="1"/>
  <c r="Z241" i="31"/>
  <c r="Q241" i="31" s="1"/>
  <c r="Q478" i="31" l="1"/>
  <c r="R478" i="31" s="1"/>
  <c r="E139" i="56" s="1"/>
  <c r="O478" i="31"/>
  <c r="R275" i="31"/>
  <c r="O275" i="31"/>
  <c r="R407" i="31"/>
  <c r="O407" i="31"/>
  <c r="R231" i="31"/>
  <c r="O231" i="31"/>
  <c r="O241" i="31"/>
  <c r="S241" i="31"/>
  <c r="O403" i="31"/>
  <c r="R264" i="31"/>
  <c r="O264" i="31"/>
  <c r="E50" i="56"/>
  <c r="O753" i="31"/>
  <c r="O776" i="21" s="1"/>
  <c r="S753" i="31"/>
  <c r="S403" i="31"/>
  <c r="E130" i="56"/>
  <c r="E95" i="56"/>
  <c r="P231" i="31" l="1"/>
  <c r="N241" i="21" s="1"/>
  <c r="K241" i="21" s="1"/>
  <c r="L241" i="21" s="1"/>
  <c r="O241" i="21"/>
  <c r="P407" i="31"/>
  <c r="N421" i="21" s="1"/>
  <c r="K421" i="21" s="1"/>
  <c r="O421" i="21"/>
  <c r="P264" i="31"/>
  <c r="N273" i="21" s="1"/>
  <c r="K273" i="21" s="1"/>
  <c r="O273" i="21"/>
  <c r="P241" i="31"/>
  <c r="N251" i="21" s="1"/>
  <c r="K251" i="21" s="1"/>
  <c r="O251" i="21"/>
  <c r="P275" i="31"/>
  <c r="N284" i="21" s="1"/>
  <c r="K284" i="21" s="1"/>
  <c r="O284" i="21"/>
  <c r="P403" i="31"/>
  <c r="N417" i="21" s="1"/>
  <c r="K417" i="21" s="1"/>
  <c r="O417" i="21"/>
  <c r="P478" i="31"/>
  <c r="N494" i="21" s="1"/>
  <c r="K494" i="21" s="1"/>
  <c r="O494" i="21"/>
  <c r="S264" i="31"/>
  <c r="S231" i="31"/>
  <c r="S275" i="31"/>
  <c r="E127" i="56"/>
  <c r="F127" i="56" s="1"/>
  <c r="E121" i="56"/>
  <c r="E90" i="56"/>
  <c r="F90" i="56" s="1"/>
  <c r="E84" i="56"/>
  <c r="F139" i="56"/>
  <c r="G139" i="56"/>
  <c r="E76" i="56"/>
  <c r="G76" i="56" s="1"/>
  <c r="E70" i="56"/>
  <c r="E91" i="56"/>
  <c r="G91" i="56" s="1"/>
  <c r="E85" i="56"/>
  <c r="E48" i="56"/>
  <c r="F48" i="56" s="1"/>
  <c r="E46" i="56"/>
  <c r="P753" i="31"/>
  <c r="N776" i="21" s="1"/>
  <c r="K776" i="21" s="1"/>
  <c r="S407" i="31"/>
  <c r="S478" i="31"/>
  <c r="E191" i="56"/>
  <c r="G191" i="56" s="1"/>
  <c r="E78" i="56"/>
  <c r="F78" i="56" s="1"/>
  <c r="E93" i="56"/>
  <c r="G93" i="56" s="1"/>
  <c r="E92" i="56"/>
  <c r="E148" i="56"/>
  <c r="F148" i="56" s="1"/>
  <c r="E146" i="56"/>
  <c r="E77" i="56"/>
  <c r="D107" i="21"/>
  <c r="G107" i="21" s="1"/>
  <c r="D178" i="21"/>
  <c r="G50" i="56"/>
  <c r="F50" i="56"/>
  <c r="G95" i="56"/>
  <c r="F95" i="56"/>
  <c r="G130" i="56"/>
  <c r="F130" i="56"/>
  <c r="E57" i="56"/>
  <c r="G57" i="56" s="1"/>
  <c r="E71" i="56"/>
  <c r="E36" i="56"/>
  <c r="F36" i="56" s="1"/>
  <c r="E40" i="56"/>
  <c r="E42" i="56"/>
  <c r="E74" i="56"/>
  <c r="G74" i="56" s="1"/>
  <c r="E89" i="56"/>
  <c r="E87" i="56"/>
  <c r="E88" i="56"/>
  <c r="G88" i="56" s="1"/>
  <c r="E120" i="56"/>
  <c r="E96" i="56"/>
  <c r="G96" i="56" s="1"/>
  <c r="E137" i="56"/>
  <c r="G90" i="56" l="1"/>
  <c r="G48" i="56"/>
  <c r="R403" i="31"/>
  <c r="F76" i="56"/>
  <c r="G251" i="21"/>
  <c r="R241" i="31"/>
  <c r="F91" i="56"/>
  <c r="F70" i="56"/>
  <c r="G70" i="56"/>
  <c r="G127" i="56"/>
  <c r="F84" i="56"/>
  <c r="G84" i="56"/>
  <c r="F85" i="56"/>
  <c r="G85" i="56"/>
  <c r="G121" i="56"/>
  <c r="F121" i="56"/>
  <c r="R753" i="31"/>
  <c r="E119" i="56"/>
  <c r="F46" i="56"/>
  <c r="G46" i="56"/>
  <c r="G173" i="21"/>
  <c r="G776" i="21"/>
  <c r="E63" i="56"/>
  <c r="E38" i="56"/>
  <c r="G38" i="56" s="1"/>
  <c r="E31" i="56"/>
  <c r="G110" i="21"/>
  <c r="G114" i="21"/>
  <c r="G494" i="21"/>
  <c r="F178" i="21"/>
  <c r="G178" i="21"/>
  <c r="F107" i="21"/>
  <c r="G421" i="21"/>
  <c r="G273" i="21"/>
  <c r="G284" i="21"/>
  <c r="G241" i="21"/>
  <c r="F191" i="56"/>
  <c r="F93" i="56"/>
  <c r="G78" i="56"/>
  <c r="G148" i="56"/>
  <c r="G146" i="56"/>
  <c r="F146" i="56"/>
  <c r="G92" i="56"/>
  <c r="F92" i="56"/>
  <c r="F77" i="56"/>
  <c r="G77" i="56"/>
  <c r="D385" i="21"/>
  <c r="D64" i="21"/>
  <c r="D22" i="21"/>
  <c r="D224" i="21"/>
  <c r="D103" i="21"/>
  <c r="E15" i="56"/>
  <c r="G15" i="56" s="1"/>
  <c r="D389" i="21"/>
  <c r="D253" i="21"/>
  <c r="D264" i="21"/>
  <c r="E33" i="56"/>
  <c r="G33" i="56" s="1"/>
  <c r="D65" i="21"/>
  <c r="D169" i="21"/>
  <c r="D115" i="21"/>
  <c r="D234" i="21"/>
  <c r="D460" i="21"/>
  <c r="D175" i="21"/>
  <c r="D117" i="21"/>
  <c r="G36" i="56"/>
  <c r="F74" i="56"/>
  <c r="F88" i="56"/>
  <c r="F57" i="56"/>
  <c r="E32" i="56"/>
  <c r="E52" i="56"/>
  <c r="G52" i="56" s="1"/>
  <c r="E69" i="56"/>
  <c r="F96" i="56"/>
  <c r="F120" i="56"/>
  <c r="G120" i="56"/>
  <c r="G89" i="56"/>
  <c r="F89" i="56"/>
  <c r="F42" i="56"/>
  <c r="G42" i="56"/>
  <c r="G71" i="56"/>
  <c r="F71" i="56"/>
  <c r="E61" i="56"/>
  <c r="F61" i="56" s="1"/>
  <c r="E75" i="56"/>
  <c r="E28" i="56"/>
  <c r="F28" i="56" s="1"/>
  <c r="E154" i="56"/>
  <c r="G137" i="56"/>
  <c r="F137" i="56"/>
  <c r="G87" i="56"/>
  <c r="F87" i="56"/>
  <c r="F40" i="56"/>
  <c r="G40" i="56"/>
  <c r="E27" i="56"/>
  <c r="F27" i="56" s="1"/>
  <c r="E153" i="56"/>
  <c r="E29" i="56"/>
  <c r="F29" i="56" s="1"/>
  <c r="E51" i="56"/>
  <c r="F51" i="56" s="1"/>
  <c r="E60" i="56"/>
  <c r="E35" i="56"/>
  <c r="G35" i="56" s="1"/>
  <c r="E192" i="56"/>
  <c r="G417" i="21" l="1"/>
  <c r="E79" i="56"/>
  <c r="F79" i="56" s="1"/>
  <c r="E73" i="56"/>
  <c r="G119" i="56"/>
  <c r="F119" i="56"/>
  <c r="E189" i="56"/>
  <c r="F189" i="56" s="1"/>
  <c r="E183" i="56"/>
  <c r="E37" i="56"/>
  <c r="F37" i="56" s="1"/>
  <c r="E45" i="56"/>
  <c r="E43" i="56"/>
  <c r="F63" i="56"/>
  <c r="G63" i="56"/>
  <c r="G75" i="21"/>
  <c r="G65" i="21"/>
  <c r="F65" i="21"/>
  <c r="G22" i="21"/>
  <c r="F22" i="21"/>
  <c r="F38" i="56"/>
  <c r="G389" i="21"/>
  <c r="F389" i="21"/>
  <c r="G104" i="21"/>
  <c r="F115" i="21"/>
  <c r="G115" i="21"/>
  <c r="G169" i="21"/>
  <c r="F169" i="21"/>
  <c r="G179" i="21"/>
  <c r="G117" i="21"/>
  <c r="F117" i="21"/>
  <c r="F64" i="21"/>
  <c r="G64" i="21"/>
  <c r="G175" i="21"/>
  <c r="F175" i="21"/>
  <c r="F253" i="21"/>
  <c r="G253" i="21"/>
  <c r="G184" i="21"/>
  <c r="F192" i="56"/>
  <c r="G192" i="56"/>
  <c r="E128" i="56"/>
  <c r="G128" i="56" s="1"/>
  <c r="E126" i="56"/>
  <c r="E82" i="56"/>
  <c r="G82" i="56" s="1"/>
  <c r="E81" i="56"/>
  <c r="E47" i="56"/>
  <c r="F47" i="56" s="1"/>
  <c r="E64" i="56"/>
  <c r="E67" i="56"/>
  <c r="F67" i="56" s="1"/>
  <c r="E68" i="56"/>
  <c r="F15" i="56"/>
  <c r="G701" i="21"/>
  <c r="F701" i="21"/>
  <c r="G392" i="21"/>
  <c r="F392" i="21"/>
  <c r="F362" i="21"/>
  <c r="G362" i="21"/>
  <c r="G682" i="21"/>
  <c r="F682" i="21"/>
  <c r="F33" i="56"/>
  <c r="G28" i="56"/>
  <c r="F52" i="56"/>
  <c r="G61" i="56"/>
  <c r="F32" i="56"/>
  <c r="G32" i="56"/>
  <c r="F69" i="56"/>
  <c r="G69" i="56"/>
  <c r="G51" i="56"/>
  <c r="G27" i="56"/>
  <c r="F35" i="56"/>
  <c r="E86" i="56"/>
  <c r="G86" i="56" s="1"/>
  <c r="E118" i="56"/>
  <c r="G29" i="56"/>
  <c r="G60" i="56"/>
  <c r="F60" i="56"/>
  <c r="F153" i="56"/>
  <c r="G153" i="56"/>
  <c r="F154" i="56"/>
  <c r="G154" i="56"/>
  <c r="G75" i="56"/>
  <c r="F75" i="56"/>
  <c r="F31" i="56"/>
  <c r="G31" i="56"/>
  <c r="E125" i="56"/>
  <c r="F125" i="56" s="1"/>
  <c r="E197" i="56"/>
  <c r="G37" i="56" l="1"/>
  <c r="G189" i="56"/>
  <c r="G183" i="56"/>
  <c r="F183" i="56"/>
  <c r="G79" i="56"/>
  <c r="F73" i="56"/>
  <c r="G73" i="56"/>
  <c r="G43" i="56"/>
  <c r="F43" i="56"/>
  <c r="F45" i="56"/>
  <c r="G45" i="56"/>
  <c r="F128" i="56"/>
  <c r="G67" i="56"/>
  <c r="F82" i="56"/>
  <c r="G47" i="56"/>
  <c r="F68" i="56"/>
  <c r="G68" i="56"/>
  <c r="G64" i="56"/>
  <c r="F64" i="56"/>
  <c r="G81" i="56"/>
  <c r="F81" i="56"/>
  <c r="F126" i="56"/>
  <c r="G126" i="56"/>
  <c r="G663" i="21"/>
  <c r="F663" i="21"/>
  <c r="F204" i="21"/>
  <c r="G204" i="21"/>
  <c r="G632" i="21"/>
  <c r="F632" i="21"/>
  <c r="F135" i="21"/>
  <c r="G135" i="21"/>
  <c r="G684" i="21"/>
  <c r="F684" i="21"/>
  <c r="F86" i="56"/>
  <c r="F118" i="56"/>
  <c r="G118" i="56"/>
  <c r="G125" i="56"/>
  <c r="G197" i="56"/>
  <c r="F197" i="56"/>
  <c r="X544" i="31"/>
  <c r="Z544" i="31" s="1"/>
  <c r="Q544" i="31" s="1"/>
  <c r="O544" i="31" l="1"/>
  <c r="S544" i="31"/>
  <c r="P544" i="31" l="1"/>
  <c r="N560" i="21" s="1"/>
  <c r="K560" i="21" s="1"/>
  <c r="O560" i="21"/>
  <c r="E157" i="56"/>
  <c r="F157" i="56" s="1"/>
  <c r="G157" i="21"/>
  <c r="F157" i="21"/>
  <c r="G794" i="21"/>
  <c r="F794" i="21"/>
  <c r="G67" i="21"/>
  <c r="G69" i="21"/>
  <c r="F69" i="21"/>
  <c r="G205" i="21"/>
  <c r="F205" i="21"/>
  <c r="G315" i="21"/>
  <c r="F315" i="21"/>
  <c r="G319" i="21"/>
  <c r="F319" i="21"/>
  <c r="G357" i="21"/>
  <c r="F357" i="21"/>
  <c r="G254" i="21"/>
  <c r="F254" i="21"/>
  <c r="G126" i="21"/>
  <c r="F126" i="21"/>
  <c r="G676" i="21"/>
  <c r="F676" i="21"/>
  <c r="G460" i="21"/>
  <c r="F460" i="21"/>
  <c r="G724" i="21"/>
  <c r="F724" i="21"/>
  <c r="G498" i="21"/>
  <c r="F498" i="21"/>
  <c r="G443" i="21"/>
  <c r="F443" i="21"/>
  <c r="G730" i="21"/>
  <c r="F730" i="21"/>
  <c r="G720" i="21"/>
  <c r="F720" i="21"/>
  <c r="G118" i="21"/>
  <c r="F118" i="21"/>
  <c r="G203" i="21"/>
  <c r="F203" i="21"/>
  <c r="G160" i="21"/>
  <c r="F160" i="21"/>
  <c r="G49" i="21"/>
  <c r="F49" i="21"/>
  <c r="F68" i="21"/>
  <c r="G28" i="21"/>
  <c r="F28" i="21"/>
  <c r="G375" i="21"/>
  <c r="F375" i="21"/>
  <c r="G243" i="21"/>
  <c r="F243" i="21"/>
  <c r="G239" i="21"/>
  <c r="F239" i="21"/>
  <c r="G265" i="21"/>
  <c r="F265" i="21"/>
  <c r="G206" i="21"/>
  <c r="F206" i="21"/>
  <c r="G227" i="21"/>
  <c r="F227" i="21"/>
  <c r="G282" i="21"/>
  <c r="F282" i="21"/>
  <c r="G318" i="21"/>
  <c r="F318" i="21"/>
  <c r="G144" i="21"/>
  <c r="F144" i="21"/>
  <c r="G675" i="21"/>
  <c r="F675" i="21"/>
  <c r="G410" i="21"/>
  <c r="F410" i="21"/>
  <c r="G612" i="21"/>
  <c r="F612" i="21"/>
  <c r="G658" i="21"/>
  <c r="F658" i="21"/>
  <c r="G611" i="21"/>
  <c r="F611" i="21"/>
  <c r="G753" i="21"/>
  <c r="F753" i="21"/>
  <c r="G452" i="21"/>
  <c r="F452" i="21"/>
  <c r="G605" i="21"/>
  <c r="F605" i="21"/>
  <c r="G604" i="21"/>
  <c r="F604" i="21"/>
  <c r="G454" i="21"/>
  <c r="F454" i="21"/>
  <c r="G759" i="21"/>
  <c r="F759" i="21"/>
  <c r="G754" i="21"/>
  <c r="F754" i="21"/>
  <c r="G387" i="21"/>
  <c r="F387" i="21"/>
  <c r="G394" i="21"/>
  <c r="F394" i="21"/>
  <c r="G385" i="21"/>
  <c r="F385" i="21"/>
  <c r="G714" i="21"/>
  <c r="F714" i="21"/>
  <c r="G669" i="21"/>
  <c r="F669" i="21"/>
  <c r="G461" i="21"/>
  <c r="F461" i="21"/>
  <c r="G450" i="21"/>
  <c r="F450" i="21"/>
  <c r="G242" i="21"/>
  <c r="F242" i="21"/>
  <c r="G228" i="21"/>
  <c r="F228" i="21"/>
  <c r="G372" i="21"/>
  <c r="F372" i="21"/>
  <c r="G331" i="21"/>
  <c r="F331" i="21"/>
  <c r="G297" i="21"/>
  <c r="F297" i="21"/>
  <c r="G224" i="21"/>
  <c r="F224" i="21"/>
  <c r="G366" i="21"/>
  <c r="F366" i="21"/>
  <c r="G264" i="21"/>
  <c r="F264" i="21"/>
  <c r="G234" i="21"/>
  <c r="F234" i="21"/>
  <c r="G374" i="21"/>
  <c r="F374" i="21"/>
  <c r="G235" i="21"/>
  <c r="F235" i="21"/>
  <c r="G371" i="21"/>
  <c r="F371" i="21"/>
  <c r="G365" i="21"/>
  <c r="F365" i="21"/>
  <c r="G329" i="21"/>
  <c r="F329" i="21"/>
  <c r="G278" i="21"/>
  <c r="F278" i="21"/>
  <c r="G492" i="21"/>
  <c r="F492" i="21"/>
  <c r="G521" i="21"/>
  <c r="F521" i="21"/>
  <c r="G533" i="21"/>
  <c r="F533" i="21"/>
  <c r="G525" i="21"/>
  <c r="F525" i="21"/>
  <c r="G552" i="21"/>
  <c r="F552" i="21"/>
  <c r="G553" i="21"/>
  <c r="F553" i="21"/>
  <c r="G667" i="21"/>
  <c r="F667" i="21"/>
  <c r="G624" i="21"/>
  <c r="F624" i="21"/>
  <c r="G244" i="21"/>
  <c r="F244" i="21"/>
  <c r="G666" i="21"/>
  <c r="F666" i="21"/>
  <c r="G621" i="21"/>
  <c r="F621" i="21"/>
  <c r="G72" i="21"/>
  <c r="F72" i="21"/>
  <c r="G436" i="21"/>
  <c r="F436" i="21"/>
  <c r="G128" i="21"/>
  <c r="F128" i="21"/>
  <c r="G105" i="21"/>
  <c r="F105" i="21"/>
  <c r="G120" i="21"/>
  <c r="F120" i="21"/>
  <c r="G156" i="21"/>
  <c r="F156" i="21"/>
  <c r="G382" i="21"/>
  <c r="F382" i="21"/>
  <c r="G236" i="21"/>
  <c r="F236" i="21"/>
  <c r="G238" i="21"/>
  <c r="F238" i="21"/>
  <c r="G214" i="21"/>
  <c r="F214" i="21"/>
  <c r="G35" i="21"/>
  <c r="F35" i="21"/>
  <c r="G516" i="21"/>
  <c r="F516" i="21"/>
  <c r="G573" i="21"/>
  <c r="F573" i="21"/>
  <c r="G603" i="21"/>
  <c r="F603" i="21"/>
  <c r="G391" i="21"/>
  <c r="F391" i="21"/>
  <c r="G758" i="21"/>
  <c r="F758" i="21"/>
  <c r="G752" i="21"/>
  <c r="F752" i="21"/>
  <c r="G757" i="21"/>
  <c r="F757" i="21"/>
  <c r="G731" i="21"/>
  <c r="F731" i="21"/>
  <c r="G373" i="21"/>
  <c r="F373" i="21"/>
  <c r="G367" i="21"/>
  <c r="F367" i="21"/>
  <c r="F314" i="21"/>
  <c r="G266" i="21"/>
  <c r="F266" i="21"/>
  <c r="G276" i="21"/>
  <c r="F276" i="21"/>
  <c r="G249" i="21"/>
  <c r="F249" i="21"/>
  <c r="G320" i="21"/>
  <c r="F320" i="21"/>
  <c r="G713" i="21"/>
  <c r="F713" i="21"/>
  <c r="G668" i="21"/>
  <c r="F668" i="21"/>
  <c r="G441" i="21"/>
  <c r="F441" i="21"/>
  <c r="G166" i="21"/>
  <c r="F166" i="21"/>
  <c r="G706" i="21"/>
  <c r="F706" i="21"/>
  <c r="G456" i="21"/>
  <c r="F456" i="21"/>
  <c r="G322" i="21"/>
  <c r="F322" i="21"/>
  <c r="G719" i="21"/>
  <c r="F719" i="21"/>
  <c r="G670" i="21"/>
  <c r="F670" i="21"/>
  <c r="G451" i="21"/>
  <c r="F451" i="21"/>
  <c r="G324" i="21"/>
  <c r="F324" i="21"/>
  <c r="G712" i="21"/>
  <c r="F712" i="21"/>
  <c r="G510" i="21"/>
  <c r="F510" i="21"/>
  <c r="F453" i="21"/>
  <c r="G437" i="21"/>
  <c r="F437" i="21"/>
  <c r="G370" i="21"/>
  <c r="F370" i="21"/>
  <c r="G277" i="21"/>
  <c r="F277" i="21"/>
  <c r="G478" i="21"/>
  <c r="F478" i="21"/>
  <c r="G550" i="21"/>
  <c r="F550" i="21"/>
  <c r="G449" i="21"/>
  <c r="F449" i="21"/>
  <c r="G575" i="21"/>
  <c r="F575" i="21"/>
  <c r="G551" i="21"/>
  <c r="F551" i="21"/>
  <c r="G88" i="21"/>
  <c r="F88" i="21"/>
  <c r="G176" i="21"/>
  <c r="F176" i="21"/>
  <c r="F191" i="21"/>
  <c r="R544" i="31" l="1"/>
  <c r="E150" i="56"/>
  <c r="G157" i="56"/>
  <c r="D522" i="21"/>
  <c r="F522" i="21" s="1"/>
  <c r="F67" i="21"/>
  <c r="G148" i="21"/>
  <c r="F148" i="21"/>
  <c r="G171" i="21"/>
  <c r="F171" i="21"/>
  <c r="G199" i="21"/>
  <c r="F199" i="21"/>
  <c r="G152" i="21"/>
  <c r="F152" i="21"/>
  <c r="G23" i="21"/>
  <c r="F23" i="21"/>
  <c r="G53" i="21"/>
  <c r="F53" i="21"/>
  <c r="G21" i="21"/>
  <c r="F21" i="21"/>
  <c r="G87" i="21"/>
  <c r="F87" i="21"/>
  <c r="G97" i="21"/>
  <c r="F97" i="21"/>
  <c r="G25" i="21"/>
  <c r="F25" i="21"/>
  <c r="G191" i="21"/>
  <c r="G103" i="21"/>
  <c r="F103" i="21"/>
  <c r="G202" i="21"/>
  <c r="F202" i="21"/>
  <c r="G19" i="21"/>
  <c r="F19" i="21"/>
  <c r="G121" i="21"/>
  <c r="F121" i="21"/>
  <c r="G174" i="21"/>
  <c r="F174" i="21"/>
  <c r="G453" i="21"/>
  <c r="G314" i="21"/>
  <c r="G560" i="21" l="1"/>
  <c r="F150" i="56"/>
  <c r="G150" i="56"/>
  <c r="E158" i="56"/>
  <c r="F158" i="56" s="1"/>
  <c r="E156" i="56"/>
  <c r="G522" i="21"/>
  <c r="G483" i="21"/>
  <c r="F483" i="21"/>
  <c r="E103" i="56"/>
  <c r="G103" i="56" s="1"/>
  <c r="E145" i="56"/>
  <c r="G158" i="56" l="1"/>
  <c r="G156" i="56"/>
  <c r="F156" i="56"/>
  <c r="F103" i="56"/>
  <c r="F145" i="56"/>
  <c r="G145" i="56"/>
</calcChain>
</file>

<file path=xl/sharedStrings.xml><?xml version="1.0" encoding="utf-8"?>
<sst xmlns="http://schemas.openxmlformats.org/spreadsheetml/2006/main" count="35232" uniqueCount="2546">
  <si>
    <t>j</t>
  </si>
  <si>
    <t>1024-57-3</t>
  </si>
  <si>
    <t>87-82-1</t>
  </si>
  <si>
    <t>68631-49-2</t>
  </si>
  <si>
    <t>118-74-1</t>
  </si>
  <si>
    <t>87-68-3</t>
  </si>
  <si>
    <t>319-84-6</t>
  </si>
  <si>
    <t>319-85-7</t>
  </si>
  <si>
    <t>58-89-9</t>
  </si>
  <si>
    <t>608-73-1</t>
  </si>
  <si>
    <t>77-47-4</t>
  </si>
  <si>
    <t>67-72-1</t>
  </si>
  <si>
    <t>70-30-4</t>
  </si>
  <si>
    <t>121-82-4</t>
  </si>
  <si>
    <t>822-06-0</t>
  </si>
  <si>
    <t>110-54-3</t>
  </si>
  <si>
    <t>124-04-9</t>
  </si>
  <si>
    <t>591-78-6</t>
  </si>
  <si>
    <t>51235-04-2</t>
  </si>
  <si>
    <t>302-01-2</t>
  </si>
  <si>
    <t>10034-93-2</t>
  </si>
  <si>
    <t>7647-01-0</t>
  </si>
  <si>
    <t>7664-39-3</t>
  </si>
  <si>
    <t>7783-06-4</t>
  </si>
  <si>
    <t>123-31-9</t>
  </si>
  <si>
    <t>35554-44-0</t>
  </si>
  <si>
    <t>81335-37-7</t>
  </si>
  <si>
    <t>7553-56-2</t>
  </si>
  <si>
    <t>36734-19-7</t>
  </si>
  <si>
    <t>7439-89-6</t>
  </si>
  <si>
    <t>78-83-1</t>
  </si>
  <si>
    <t>78-59-1</t>
  </si>
  <si>
    <t>33820-53-0</t>
  </si>
  <si>
    <t>67-63-0</t>
  </si>
  <si>
    <t>1832-54-8</t>
  </si>
  <si>
    <t>82558-50-7</t>
  </si>
  <si>
    <t>23950-58-5</t>
  </si>
  <si>
    <t>77501-63-4</t>
  </si>
  <si>
    <t>301-04-2</t>
  </si>
  <si>
    <t>7439-92-1</t>
  </si>
  <si>
    <t>1335-32-6</t>
  </si>
  <si>
    <t>78-00-2</t>
  </si>
  <si>
    <t>330-55-2</t>
  </si>
  <si>
    <t>7439-93-2</t>
  </si>
  <si>
    <t>7791-03-9</t>
  </si>
  <si>
    <t>83055-99-6</t>
  </si>
  <si>
    <t>94-74-6</t>
  </si>
  <si>
    <t>94-81-5</t>
  </si>
  <si>
    <t>93-65-2</t>
  </si>
  <si>
    <t>121-75-5</t>
  </si>
  <si>
    <t>108-31-6</t>
  </si>
  <si>
    <t>123-33-1</t>
  </si>
  <si>
    <t>109-77-3</t>
  </si>
  <si>
    <t>8018-01-7</t>
  </si>
  <si>
    <t>12427-38-2</t>
  </si>
  <si>
    <t>7439-96-5</t>
  </si>
  <si>
    <t>950-10-7</t>
  </si>
  <si>
    <t>24307-26-4</t>
  </si>
  <si>
    <t>7487-94-7</t>
  </si>
  <si>
    <t>7439-97-6</t>
  </si>
  <si>
    <t>22967-92-6</t>
  </si>
  <si>
    <t>62-38-4</t>
  </si>
  <si>
    <t>150-50-5</t>
  </si>
  <si>
    <t>78-48-8</t>
  </si>
  <si>
    <t>57837-19-1</t>
  </si>
  <si>
    <t>126-98-7</t>
  </si>
  <si>
    <t>10265-92-6</t>
  </si>
  <si>
    <t>67-56-1</t>
  </si>
  <si>
    <t>950-37-8</t>
  </si>
  <si>
    <t>16752-77-5</t>
  </si>
  <si>
    <t>99-59-2</t>
  </si>
  <si>
    <t>72-43-5</t>
  </si>
  <si>
    <t>110-49-6</t>
  </si>
  <si>
    <t>109-86-4</t>
  </si>
  <si>
    <t>79-20-9</t>
  </si>
  <si>
    <t>96-33-3</t>
  </si>
  <si>
    <t>78-93-3</t>
  </si>
  <si>
    <t>108-10-1</t>
  </si>
  <si>
    <t>624-83-9</t>
  </si>
  <si>
    <t>80-62-6</t>
  </si>
  <si>
    <t>298-00-0</t>
  </si>
  <si>
    <t>993-13-5</t>
  </si>
  <si>
    <t>25013-15-4</t>
  </si>
  <si>
    <t>66-27-3</t>
  </si>
  <si>
    <t>1634-04-4</t>
  </si>
  <si>
    <t>99-55-8</t>
  </si>
  <si>
    <t>70-25-7</t>
  </si>
  <si>
    <t>636-21-5</t>
  </si>
  <si>
    <t>124-58-3</t>
  </si>
  <si>
    <t>56-49-5</t>
  </si>
  <si>
    <t>75-09-2</t>
  </si>
  <si>
    <t>101-14-4</t>
  </si>
  <si>
    <t>101-61-1</t>
  </si>
  <si>
    <t>101-77-9</t>
  </si>
  <si>
    <t>101-68-8</t>
  </si>
  <si>
    <t>98-83-9</t>
  </si>
  <si>
    <t>51218-45-2</t>
  </si>
  <si>
    <t>21087-64-9</t>
  </si>
  <si>
    <t>8012-95-1</t>
  </si>
  <si>
    <t>2385-85-5</t>
  </si>
  <si>
    <t>2212-67-1</t>
  </si>
  <si>
    <t>7439-98-7</t>
  </si>
  <si>
    <t>10599-90-3</t>
  </si>
  <si>
    <t>100-61-8</t>
  </si>
  <si>
    <t>74-31-7</t>
  </si>
  <si>
    <t>300-76-5</t>
  </si>
  <si>
    <t>91-59-8</t>
  </si>
  <si>
    <t>15299-99-7</t>
  </si>
  <si>
    <t>13463-39-3</t>
  </si>
  <si>
    <t>1313-99-1</t>
  </si>
  <si>
    <t>7440-02-0</t>
  </si>
  <si>
    <t>12035-72-2</t>
  </si>
  <si>
    <t>14797-55-8</t>
  </si>
  <si>
    <t>14797-65-0</t>
  </si>
  <si>
    <t>88-74-4</t>
  </si>
  <si>
    <t>100-01-6</t>
  </si>
  <si>
    <t>98-95-3</t>
  </si>
  <si>
    <t>9004-70-0</t>
  </si>
  <si>
    <t>67-20-9</t>
  </si>
  <si>
    <t>59-87-0</t>
  </si>
  <si>
    <t>55-63-0</t>
  </si>
  <si>
    <t>556-88-7</t>
  </si>
  <si>
    <t>75-52-5</t>
  </si>
  <si>
    <t>79-46-9</t>
  </si>
  <si>
    <t>759-73-9</t>
  </si>
  <si>
    <t>684-93-5</t>
  </si>
  <si>
    <t>924-16-3</t>
  </si>
  <si>
    <t>621-64-7</t>
  </si>
  <si>
    <t>1116-54-7</t>
  </si>
  <si>
    <t>55-18-5</t>
  </si>
  <si>
    <t>62-75-9</t>
  </si>
  <si>
    <t>86-30-6</t>
  </si>
  <si>
    <t>10595-95-6</t>
  </si>
  <si>
    <t>59-89-2</t>
  </si>
  <si>
    <t>100-75-4</t>
  </si>
  <si>
    <t>930-55-2</t>
  </si>
  <si>
    <t>99-08-1</t>
  </si>
  <si>
    <t>88-72-2</t>
  </si>
  <si>
    <t>99-99-0</t>
  </si>
  <si>
    <t>111-84-2</t>
  </si>
  <si>
    <t>27314-13-2</t>
  </si>
  <si>
    <t>85509-19-9</t>
  </si>
  <si>
    <t>32536-52-0</t>
  </si>
  <si>
    <t>2691-41-0</t>
  </si>
  <si>
    <t>152-16-9</t>
  </si>
  <si>
    <t>19044-88-3</t>
  </si>
  <si>
    <t>19666-30-9</t>
  </si>
  <si>
    <t>23135-22-0</t>
  </si>
  <si>
    <t>76738-62-0</t>
  </si>
  <si>
    <t>1910-42-5</t>
  </si>
  <si>
    <t>56-38-2</t>
  </si>
  <si>
    <t>1114-71-2</t>
  </si>
  <si>
    <t>40487-42-1</t>
  </si>
  <si>
    <t>32534-81-9</t>
  </si>
  <si>
    <t>60348-60-9</t>
  </si>
  <si>
    <t>608-93-5</t>
  </si>
  <si>
    <t>76-01-7</t>
  </si>
  <si>
    <t>82-68-8</t>
  </si>
  <si>
    <t>87-86-5</t>
  </si>
  <si>
    <t>109-66-0</t>
  </si>
  <si>
    <t>14797-73-0</t>
  </si>
  <si>
    <t>52645-53-1</t>
  </si>
  <si>
    <t>62-44-2</t>
  </si>
  <si>
    <t>13684-63-4</t>
  </si>
  <si>
    <t>108-95-2</t>
  </si>
  <si>
    <t>108-45-2</t>
  </si>
  <si>
    <t>95-54-5</t>
  </si>
  <si>
    <t>106-50-3</t>
  </si>
  <si>
    <t>90-43-7</t>
  </si>
  <si>
    <t>298-02-2</t>
  </si>
  <si>
    <t>75-44-5</t>
  </si>
  <si>
    <t>732-11-6</t>
  </si>
  <si>
    <t>7803-51-2</t>
  </si>
  <si>
    <t>7664-38-2</t>
  </si>
  <si>
    <t>7723-14-0</t>
  </si>
  <si>
    <t>100-21-0</t>
  </si>
  <si>
    <t>85-44-9</t>
  </si>
  <si>
    <t>1918-02-1</t>
  </si>
  <si>
    <t>96-91-3</t>
  </si>
  <si>
    <t>29232-93-7</t>
  </si>
  <si>
    <t>59536-65-1</t>
  </si>
  <si>
    <t>12674-11-2</t>
  </si>
  <si>
    <t>11104-28-2</t>
  </si>
  <si>
    <t>11141-16-5</t>
  </si>
  <si>
    <t>53469-21-9</t>
  </si>
  <si>
    <t>12672-29-6</t>
  </si>
  <si>
    <t>11097-69-1</t>
  </si>
  <si>
    <t>11096-82-5</t>
  </si>
  <si>
    <t>39635-31-9</t>
  </si>
  <si>
    <t>52663-72-6</t>
  </si>
  <si>
    <t>69782-90-7</t>
  </si>
  <si>
    <t>38380-08-4</t>
  </si>
  <si>
    <t>32774-16-6</t>
  </si>
  <si>
    <t>65510-44-3</t>
  </si>
  <si>
    <t>31508-00-6</t>
  </si>
  <si>
    <t>32598-14-4</t>
  </si>
  <si>
    <t>74472-37-0</t>
  </si>
  <si>
    <t>57465-28-8</t>
  </si>
  <si>
    <t>32598-13-3</t>
  </si>
  <si>
    <t>70362-50-4</t>
  </si>
  <si>
    <t>9016-87-9</t>
  </si>
  <si>
    <t>83-32-9</t>
  </si>
  <si>
    <t>120-12-7</t>
  </si>
  <si>
    <t>56-55-3</t>
  </si>
  <si>
    <t>205-82-3</t>
  </si>
  <si>
    <t>50-32-8</t>
  </si>
  <si>
    <t>205-99-2</t>
  </si>
  <si>
    <t>207-08-9</t>
  </si>
  <si>
    <t>218-01-9</t>
  </si>
  <si>
    <t>53-70-3</t>
  </si>
  <si>
    <t>192-65-4</t>
  </si>
  <si>
    <t>57-97-6</t>
  </si>
  <si>
    <t>206-44-0</t>
  </si>
  <si>
    <t>86-73-7</t>
  </si>
  <si>
    <t>193-39-5</t>
  </si>
  <si>
    <t>90-12-0</t>
  </si>
  <si>
    <t>91-57-6</t>
  </si>
  <si>
    <t>91-20-3</t>
  </si>
  <si>
    <t>57835-92-4</t>
  </si>
  <si>
    <t>129-00-0</t>
  </si>
  <si>
    <t>7778-74-7</t>
  </si>
  <si>
    <t>67747-09-5</t>
  </si>
  <si>
    <t>26399-36-0</t>
  </si>
  <si>
    <t>1610-18-0</t>
  </si>
  <si>
    <t>7287-19-6</t>
  </si>
  <si>
    <t>1918-16-7</t>
  </si>
  <si>
    <t>709-98-8</t>
  </si>
  <si>
    <t>2312-35-8</t>
  </si>
  <si>
    <t>107-19-7</t>
  </si>
  <si>
    <t>139-40-2</t>
  </si>
  <si>
    <t>122-42-9</t>
  </si>
  <si>
    <t>60207-90-1</t>
  </si>
  <si>
    <t>123-38-6</t>
  </si>
  <si>
    <t>103-65-1</t>
  </si>
  <si>
    <t>115-07-1</t>
  </si>
  <si>
    <t>57-55-6</t>
  </si>
  <si>
    <t>6423-43-4</t>
  </si>
  <si>
    <t>107-98-2</t>
  </si>
  <si>
    <t>75-56-9</t>
  </si>
  <si>
    <t>81335-77-5</t>
  </si>
  <si>
    <t>51630-58-1</t>
  </si>
  <si>
    <t>110-86-1</t>
  </si>
  <si>
    <t>13593-03-8</t>
  </si>
  <si>
    <t>91-22-5</t>
  </si>
  <si>
    <t>10453-86-8</t>
  </si>
  <si>
    <t>299-84-3</t>
  </si>
  <si>
    <t>83-79-4</t>
  </si>
  <si>
    <t>94-59-7</t>
  </si>
  <si>
    <t>78587-05-0</t>
  </si>
  <si>
    <t>7783-00-8</t>
  </si>
  <si>
    <t>7782-49-2</t>
  </si>
  <si>
    <t>7446-34-6</t>
  </si>
  <si>
    <t>74051-80-2</t>
  </si>
  <si>
    <t>7631-86-9</t>
  </si>
  <si>
    <t>7440-22-4</t>
  </si>
  <si>
    <t>122-34-9</t>
  </si>
  <si>
    <t>62476-59-9</t>
  </si>
  <si>
    <t>26628-22-8</t>
  </si>
  <si>
    <t>148-18-5</t>
  </si>
  <si>
    <t>7681-49-4</t>
  </si>
  <si>
    <t>62-74-8</t>
  </si>
  <si>
    <t>13718-26-8</t>
  </si>
  <si>
    <t>7601-89-0</t>
  </si>
  <si>
    <t>961-11-5</t>
  </si>
  <si>
    <t>7440-24-6</t>
  </si>
  <si>
    <t>57-24-9</t>
  </si>
  <si>
    <t>100-42-5</t>
  </si>
  <si>
    <t>80-07-9</t>
  </si>
  <si>
    <t>7664-93-9</t>
  </si>
  <si>
    <t>88671-89-0</t>
  </si>
  <si>
    <t>21564-17-0</t>
  </si>
  <si>
    <t>34014-18-1</t>
  </si>
  <si>
    <t>3383-96-8</t>
  </si>
  <si>
    <t>5902-51-2</t>
  </si>
  <si>
    <t>13071-79-9</t>
  </si>
  <si>
    <t>886-50-0</t>
  </si>
  <si>
    <t>5436-43-1</t>
  </si>
  <si>
    <t>95-94-3</t>
  </si>
  <si>
    <t>630-20-6</t>
  </si>
  <si>
    <t>79-34-5</t>
  </si>
  <si>
    <t>127-18-4</t>
  </si>
  <si>
    <t>58-90-2</t>
  </si>
  <si>
    <t>5216-25-1</t>
  </si>
  <si>
    <t>3689-24-5</t>
  </si>
  <si>
    <t>811-97-2</t>
  </si>
  <si>
    <t>479-45-8</t>
  </si>
  <si>
    <t>7440-28-0</t>
  </si>
  <si>
    <t>28249-77-6</t>
  </si>
  <si>
    <t>111-48-8</t>
  </si>
  <si>
    <t>39196-18-4</t>
  </si>
  <si>
    <t>23564-05-8</t>
  </si>
  <si>
    <t>137-26-8</t>
  </si>
  <si>
    <t>7440-31-5</t>
  </si>
  <si>
    <t>7550-45-0</t>
  </si>
  <si>
    <t>108-88-3</t>
  </si>
  <si>
    <t>106-49-0</t>
  </si>
  <si>
    <t>8001-35-2</t>
  </si>
  <si>
    <t>66841-25-6</t>
  </si>
  <si>
    <t>IUR Source*</t>
  </si>
  <si>
    <t>RFC Source*</t>
  </si>
  <si>
    <t>source</t>
  </si>
  <si>
    <t>Henry's Law Constant @25°C</t>
  </si>
  <si>
    <t>N</t>
  </si>
  <si>
    <t>Note the "c" at the end of some sources indicates that the value presented in the table is converted from the value included in the reference source.</t>
  </si>
  <si>
    <t>E = The Engineering ToolBox.  Available online at http://www.engineeringtoolbox.com/explosive-concentration-limits-d_423.html</t>
  </si>
  <si>
    <t>2303-17-5</t>
  </si>
  <si>
    <t>82097-50-5</t>
  </si>
  <si>
    <t>615-54-3</t>
  </si>
  <si>
    <t>126-73-8</t>
  </si>
  <si>
    <t>56-35-9</t>
  </si>
  <si>
    <t>76-13-1</t>
  </si>
  <si>
    <t>Trichloroacetic Acid</t>
  </si>
  <si>
    <t>76-03-9</t>
  </si>
  <si>
    <t>33663-50-2</t>
  </si>
  <si>
    <t>634-93-5</t>
  </si>
  <si>
    <t>87-61-6</t>
  </si>
  <si>
    <t>120-82-1</t>
  </si>
  <si>
    <t>71-55-6</t>
  </si>
  <si>
    <t>79-00-5</t>
  </si>
  <si>
    <t>79-01-6</t>
  </si>
  <si>
    <t>75-69-4</t>
  </si>
  <si>
    <t>95-95-4</t>
  </si>
  <si>
    <t>88-06-2</t>
  </si>
  <si>
    <t>93-76-5</t>
  </si>
  <si>
    <t>93-72-1</t>
  </si>
  <si>
    <t>598-77-6</t>
  </si>
  <si>
    <t>96-18-4</t>
  </si>
  <si>
    <t>96-19-5</t>
  </si>
  <si>
    <t>58138-08-2</t>
  </si>
  <si>
    <t>121-44-8</t>
  </si>
  <si>
    <t>1582-09-8</t>
  </si>
  <si>
    <t>512-56-1</t>
  </si>
  <si>
    <t>95-63-6</t>
  </si>
  <si>
    <t>108-67-8</t>
  </si>
  <si>
    <t>99-35-4</t>
  </si>
  <si>
    <t>118-96-7</t>
  </si>
  <si>
    <t>791-28-6</t>
  </si>
  <si>
    <t>115-96-8</t>
  </si>
  <si>
    <t>78-42-2</t>
  </si>
  <si>
    <t>51-79-6</t>
  </si>
  <si>
    <t>1314-62-1</t>
  </si>
  <si>
    <t>1929-77-7</t>
  </si>
  <si>
    <t>50471-44-8</t>
  </si>
  <si>
    <t>108-05-4</t>
  </si>
  <si>
    <t>593-60-2</t>
  </si>
  <si>
    <t>75-01-4</t>
  </si>
  <si>
    <t>81-81-2</t>
  </si>
  <si>
    <t>1330-20-7</t>
  </si>
  <si>
    <t>106-42-3</t>
  </si>
  <si>
    <t>108-38-3</t>
  </si>
  <si>
    <t>95-47-6</t>
  </si>
  <si>
    <t>7440-66-6</t>
  </si>
  <si>
    <t>1314-84-7</t>
  </si>
  <si>
    <t>12122-67-7</t>
  </si>
  <si>
    <t>k
e
y</t>
  </si>
  <si>
    <t>muta-
gen</t>
  </si>
  <si>
    <t>GIABS</t>
  </si>
  <si>
    <t>ABS</t>
  </si>
  <si>
    <t>MCL
(ug/L)</t>
  </si>
  <si>
    <t>J</t>
  </si>
  <si>
    <t>E</t>
  </si>
  <si>
    <t>OSWER VAPOR INTRUSION ASSESSMENT</t>
  </si>
  <si>
    <t>MIN(Cia,c;Cia,nc)</t>
  </si>
  <si>
    <t>LEL</t>
  </si>
  <si>
    <t>(% by vol)</t>
  </si>
  <si>
    <t>CAS</t>
  </si>
  <si>
    <t>Select residential or commercial scenario from pull down list</t>
  </si>
  <si>
    <t>Enter target risk for carcinogens</t>
  </si>
  <si>
    <t>Instructions</t>
  </si>
  <si>
    <t>Enter target hazard quotient for non-carcinogens</t>
  </si>
  <si>
    <t>LEL Source</t>
  </si>
  <si>
    <t>Yes/No 
(MCL ug/L)</t>
  </si>
  <si>
    <r>
      <t>(ug/m</t>
    </r>
    <r>
      <rPr>
        <vertAlign val="superscript"/>
        <sz val="12"/>
        <rFont val="Arial"/>
        <family val="2"/>
      </rPr>
      <t>3</t>
    </r>
    <r>
      <rPr>
        <sz val="12"/>
        <rFont val="Arial"/>
        <family val="2"/>
      </rPr>
      <t>)</t>
    </r>
  </si>
  <si>
    <r>
      <t>(mg/m</t>
    </r>
    <r>
      <rPr>
        <vertAlign val="superscript"/>
        <sz val="12"/>
        <color indexed="8"/>
        <rFont val="Arial"/>
        <family val="2"/>
      </rPr>
      <t>3</t>
    </r>
    <r>
      <rPr>
        <sz val="12"/>
        <color indexed="8"/>
        <rFont val="Arial"/>
        <family val="2"/>
      </rPr>
      <t>)</t>
    </r>
  </si>
  <si>
    <t>92-52-4</t>
  </si>
  <si>
    <t>108-60-1</t>
  </si>
  <si>
    <t>Methylmethacrylate</t>
  </si>
  <si>
    <t>N-Nitroso-di-n-butylamine</t>
  </si>
  <si>
    <t>Trichlorofluoromethane</t>
  </si>
  <si>
    <t>1,2,3-Trichloropropane</t>
  </si>
  <si>
    <t>Endrin</t>
  </si>
  <si>
    <t>Ethylbenzene</t>
  </si>
  <si>
    <t>Heptachlor</t>
  </si>
  <si>
    <t>Hexachlorobenzene</t>
  </si>
  <si>
    <t>Hexachlorocyclopentadiene</t>
  </si>
  <si>
    <t>Hexachloroethane</t>
  </si>
  <si>
    <t>Isophorone</t>
  </si>
  <si>
    <t>Methoxychlor</t>
  </si>
  <si>
    <t>Methyl bromide</t>
  </si>
  <si>
    <t>MTBE</t>
  </si>
  <si>
    <t>m-Xylene</t>
  </si>
  <si>
    <t>Nitrobenzene</t>
  </si>
  <si>
    <t>o-Xylene</t>
  </si>
  <si>
    <t>Pentachlorophenol</t>
  </si>
  <si>
    <t>Phenol</t>
  </si>
  <si>
    <t>p-Xylene</t>
  </si>
  <si>
    <t>Styrene</t>
  </si>
  <si>
    <t>Tetrachloroethylene</t>
  </si>
  <si>
    <t>Toluene</t>
  </si>
  <si>
    <t>Toxaphene</t>
  </si>
  <si>
    <t>Trichloroethylene</t>
  </si>
  <si>
    <t>RfC</t>
  </si>
  <si>
    <t>Pure Component Water Solubility</t>
  </si>
  <si>
    <t>Vapor Pressure</t>
  </si>
  <si>
    <t>Molecular Weight</t>
  </si>
  <si>
    <t>S</t>
  </si>
  <si>
    <t>H</t>
  </si>
  <si>
    <t>Mw</t>
  </si>
  <si>
    <t>(mg/L)</t>
  </si>
  <si>
    <t>(unitless)</t>
  </si>
  <si>
    <t>(mm Hg)</t>
  </si>
  <si>
    <t>(g/mole)</t>
  </si>
  <si>
    <t>(ug/L)</t>
  </si>
  <si>
    <t>1,1,1-Trichloroethane</t>
  </si>
  <si>
    <t>1,1,2,2-Tetrachloroethane</t>
  </si>
  <si>
    <t>1,1,2-Trichloroethane</t>
  </si>
  <si>
    <t>1,1-Dichloroethane</t>
  </si>
  <si>
    <t>1,1-Dichloroethylene</t>
  </si>
  <si>
    <t>1,2,4-Trichlorobenzene</t>
  </si>
  <si>
    <t>1,2-Dichlorobenzene</t>
  </si>
  <si>
    <t>1,2-Dichloroethane</t>
  </si>
  <si>
    <t>1,2-Dichloropropane</t>
  </si>
  <si>
    <t>1,3-Dichloropropene</t>
  </si>
  <si>
    <t>1,4-Dichlorobenzene</t>
  </si>
  <si>
    <t>Acetone</t>
  </si>
  <si>
    <t>Aldrin</t>
  </si>
  <si>
    <t>Benzene</t>
  </si>
  <si>
    <t>Benzoic Acid</t>
  </si>
  <si>
    <t>Bis(2-chloroethyl)ether</t>
  </si>
  <si>
    <t>Bromodichloromethane</t>
  </si>
  <si>
    <t>Bromoform</t>
  </si>
  <si>
    <t>Chlordane</t>
  </si>
  <si>
    <t>Chlorobenzene</t>
  </si>
  <si>
    <t>Chlorodibromomethane</t>
  </si>
  <si>
    <t>Chloroform</t>
  </si>
  <si>
    <t>DDD</t>
  </si>
  <si>
    <t>DDT</t>
  </si>
  <si>
    <t>Dieldrin</t>
  </si>
  <si>
    <t>Endosulfan</t>
  </si>
  <si>
    <t>VP</t>
  </si>
  <si>
    <t>MCL</t>
  </si>
  <si>
    <t>Tetrachloroethane, 1,1,1,2-</t>
  </si>
  <si>
    <t>Trichloroethane, 1,1,1-</t>
  </si>
  <si>
    <t>Tetrachloroethane, 1,1,2,2-</t>
  </si>
  <si>
    <t>Dichloroethylene, 1,1-</t>
  </si>
  <si>
    <t>Dichloropropane, 1,2-</t>
  </si>
  <si>
    <t>Alphabetized List of Compounds</t>
  </si>
  <si>
    <t>Exposure Scenario</t>
  </si>
  <si>
    <t>Scenario</t>
  </si>
  <si>
    <t>Residential</t>
  </si>
  <si>
    <t>Averaging time for carcinogens</t>
  </si>
  <si>
    <t>(yrs)</t>
  </si>
  <si>
    <t>Averaging time for non-carcinogens</t>
  </si>
  <si>
    <t>Exposure duration</t>
  </si>
  <si>
    <t>Exposure frequency</t>
  </si>
  <si>
    <t>(days/yr)</t>
  </si>
  <si>
    <t>Source Medium of Vapors</t>
  </si>
  <si>
    <t xml:space="preserve">Groundwater </t>
  </si>
  <si>
    <t>Generic Attenuation Factors:</t>
  </si>
  <si>
    <t>Symbol</t>
  </si>
  <si>
    <t>Target Indoor Air Conc. for Non-Carcinogens</t>
  </si>
  <si>
    <t>Target Indoor Air Conc. for Carcinogens</t>
  </si>
  <si>
    <t>Inhalation Pathway Exposure Parameters (RME):</t>
  </si>
  <si>
    <t>Tgw</t>
  </si>
  <si>
    <t>( - )</t>
  </si>
  <si>
    <t>Cia,c</t>
  </si>
  <si>
    <t>Cia,nc</t>
  </si>
  <si>
    <t>Csg</t>
  </si>
  <si>
    <t>Formulas</t>
  </si>
  <si>
    <t>Value</t>
  </si>
  <si>
    <t>Cgw</t>
  </si>
  <si>
    <t>Selected Parameters</t>
  </si>
  <si>
    <t>Commercial</t>
  </si>
  <si>
    <t>Notes:</t>
  </si>
  <si>
    <t>(1)</t>
  </si>
  <si>
    <t>Cia, target = MIN( Cia,c; Cia,nc)</t>
  </si>
  <si>
    <t>(2)</t>
  </si>
  <si>
    <t>(3)</t>
  </si>
  <si>
    <t>x</t>
  </si>
  <si>
    <t>ED_R</t>
  </si>
  <si>
    <t>EF_R</t>
  </si>
  <si>
    <t>ED_C</t>
  </si>
  <si>
    <t>EF_C</t>
  </si>
  <si>
    <t>Toxicity Basis</t>
  </si>
  <si>
    <t>(cal/mol)</t>
  </si>
  <si>
    <t>Hc25</t>
  </si>
  <si>
    <t>H'25</t>
  </si>
  <si>
    <t>H'Tgw</t>
  </si>
  <si>
    <t>Henry's Law Constant @ Tgw</t>
  </si>
  <si>
    <t>Diffusivity in air</t>
  </si>
  <si>
    <t>Diffusivity in water</t>
  </si>
  <si>
    <t>Da</t>
  </si>
  <si>
    <t>Dw</t>
  </si>
  <si>
    <t>Tboil</t>
  </si>
  <si>
    <t>Tcrit</t>
  </si>
  <si>
    <t>Koc</t>
  </si>
  <si>
    <t>Normal Boiling Point</t>
  </si>
  <si>
    <t>Critical Temp.</t>
  </si>
  <si>
    <t>Enthalpy of vaporization at the normal boiling point</t>
  </si>
  <si>
    <t>Organic Carbon Partition Coefficient</t>
  </si>
  <si>
    <t>Chemical Name</t>
  </si>
  <si>
    <t>Alternative Chemical Name</t>
  </si>
  <si>
    <t>AFgw_R</t>
  </si>
  <si>
    <t>AFgw_C</t>
  </si>
  <si>
    <t>MW</t>
  </si>
  <si>
    <t>ChemNameChem</t>
  </si>
  <si>
    <t>Sol</t>
  </si>
  <si>
    <t>HTgw</t>
  </si>
  <si>
    <t>H25C</t>
  </si>
  <si>
    <t>Cgw&lt;MCL?</t>
  </si>
  <si>
    <t>C/NC</t>
  </si>
  <si>
    <t>Yes/No</t>
  </si>
  <si>
    <t>VP25</t>
  </si>
  <si>
    <t>VPTgw</t>
  </si>
  <si>
    <t>(ug/m3)</t>
  </si>
  <si>
    <t>Vapor Pressure @ Tgw</t>
  </si>
  <si>
    <t>Exposure time</t>
  </si>
  <si>
    <t>ET_C</t>
  </si>
  <si>
    <t>ET_R</t>
  </si>
  <si>
    <t>Is Target Ground Water Conc. &lt; MCL?</t>
  </si>
  <si>
    <t>P</t>
  </si>
  <si>
    <t>C</t>
  </si>
  <si>
    <t>M</t>
  </si>
  <si>
    <t>Bromobenzene</t>
  </si>
  <si>
    <t>Chloronitrobenzene, o-</t>
  </si>
  <si>
    <t>Chloronitrobenzene, p-</t>
  </si>
  <si>
    <t>Cobalt</t>
  </si>
  <si>
    <t>Decabromodiphenyl ether, 2,2',3,3',4,4',5,5',6,6'- (BDE-209)</t>
  </si>
  <si>
    <t>Diethylene Glycol Monobutyl Ether</t>
  </si>
  <si>
    <t>Diethylene Glycol Monoethyl Ether</t>
  </si>
  <si>
    <t>Diisopropyl Ether</t>
  </si>
  <si>
    <t>Dimethylbenzidine, 3,3'-</t>
  </si>
  <si>
    <t>Dinitro-o-cresol, 4,6-</t>
  </si>
  <si>
    <t>Diphenyl Sulfone</t>
  </si>
  <si>
    <t>Hydroquinone</t>
  </si>
  <si>
    <t>Hexabromodiphenyl ether, 2,2',4,4',5,5'- (BDE-153)</t>
  </si>
  <si>
    <t>Lithium</t>
  </si>
  <si>
    <t>Nitroaniline, 4-</t>
  </si>
  <si>
    <t>Nitrotoluene, m-</t>
  </si>
  <si>
    <t>Pentabromodiphenyl ether, 2,2',4,4',5- (BDE-99)</t>
  </si>
  <si>
    <t>Pentachloroethane</t>
  </si>
  <si>
    <t>Picramic Acid (2-Amino-4,6-dinitrophenol)</t>
  </si>
  <si>
    <t>Sulfonylbis(4-chlorobenzene), 1,1'-</t>
  </si>
  <si>
    <t>Tributyl Phosphate</t>
  </si>
  <si>
    <t>Trichloropropene, 1,2,3-</t>
  </si>
  <si>
    <t>Trimethylbenzene, 1,3,5-</t>
  </si>
  <si>
    <t>Triphenylphosphine Oxide</t>
  </si>
  <si>
    <t>Tris(2-chloroethyl)phosphate</t>
  </si>
  <si>
    <t>Tris(2-ethylhexyl)phosphate</t>
  </si>
  <si>
    <t>Tetrabromodiphenyl ether, 2,2',4,4'- (BDE-47)</t>
  </si>
  <si>
    <t>MW Ref</t>
  </si>
  <si>
    <t>Density Ref</t>
  </si>
  <si>
    <t>S Ref</t>
  </si>
  <si>
    <t>EPI</t>
  </si>
  <si>
    <t>Cadmium (Diet)</t>
  </si>
  <si>
    <t>Chlorotoluene, p-</t>
  </si>
  <si>
    <t>Manganese (Diet)</t>
  </si>
  <si>
    <t>SSL</t>
  </si>
  <si>
    <t>Acetylaminofluorene, 2-</t>
  </si>
  <si>
    <t>Aminobiphenyl, 4-</t>
  </si>
  <si>
    <t>Auramine</t>
  </si>
  <si>
    <t>Bromo-2-chloroethane, 1-</t>
  </si>
  <si>
    <t>Butyl alcohol, sec-</t>
  </si>
  <si>
    <t>Butylated hydroxyanisole</t>
  </si>
  <si>
    <t>Ceric oxide</t>
  </si>
  <si>
    <t>Chlorfenvinphos</t>
  </si>
  <si>
    <t>Chlorobenzoic Acid, p-</t>
  </si>
  <si>
    <t>Chloromethyl Methyl Ether</t>
  </si>
  <si>
    <t>Chloropicrin</t>
  </si>
  <si>
    <t>Chlorozotocin</t>
  </si>
  <si>
    <t>Chromium(III), Insoluble Salts</t>
  </si>
  <si>
    <t>Chromium(VI)</t>
  </si>
  <si>
    <t>Chromium, Total</t>
  </si>
  <si>
    <t>Cresol, p-chloro-m-</t>
  </si>
  <si>
    <t>Cresols</t>
  </si>
  <si>
    <t>Cupferron</t>
  </si>
  <si>
    <t>Dichloro-2-butene, cis-1,4-</t>
  </si>
  <si>
    <t>Dichloro-2-butene, trans-1,4-</t>
  </si>
  <si>
    <t>Dichlorobenzophenone, 4,4'-</t>
  </si>
  <si>
    <t>Diethanolamine</t>
  </si>
  <si>
    <t>Dihydrosafrole</t>
  </si>
  <si>
    <t>Dimethylamino azobenzene [p-]</t>
  </si>
  <si>
    <t>Dimethylhydrazine, 1,1-</t>
  </si>
  <si>
    <t>Dimethylhydrazine, 1,2-</t>
  </si>
  <si>
    <t>Dimethylvinylchloride</t>
  </si>
  <si>
    <t>Ethyleneimine</t>
  </si>
  <si>
    <t>Fluoride</t>
  </si>
  <si>
    <t>Glutaraldehyde</t>
  </si>
  <si>
    <t>Hexanone, 2-</t>
  </si>
  <si>
    <t>Hydrogen Fluoride</t>
  </si>
  <si>
    <t>Iodine</t>
  </si>
  <si>
    <t>Isopropanol</t>
  </si>
  <si>
    <t>JP-7</t>
  </si>
  <si>
    <t>Methyl Isocyanate</t>
  </si>
  <si>
    <t>Methyl Phosphonic Acid</t>
  </si>
  <si>
    <t>Methyl methanesulfonate</t>
  </si>
  <si>
    <t>Methyl-N-nitro-N-nitrosoguanidine, N-</t>
  </si>
  <si>
    <t>Methylcholanthrene, 3-</t>
  </si>
  <si>
    <t>Mineral oils</t>
  </si>
  <si>
    <t>Naphtha, High Flash Aromatic (HFAN)</t>
  </si>
  <si>
    <t>Naphthylamine, 2-</t>
  </si>
  <si>
    <t>Nickel Carbonyl</t>
  </si>
  <si>
    <t>Nickel Oxide</t>
  </si>
  <si>
    <t>Nitroaniline, 2-</t>
  </si>
  <si>
    <t>Nitrocellulose</t>
  </si>
  <si>
    <t>Nitroso-N-methylurea, N-</t>
  </si>
  <si>
    <t>Nitrosomorpholine [N-]</t>
  </si>
  <si>
    <t>Nitrosopiperidine [N-]</t>
  </si>
  <si>
    <t>Nonane, n-</t>
  </si>
  <si>
    <t>Pentane, n-</t>
  </si>
  <si>
    <t>Phenacetin</t>
  </si>
  <si>
    <t>Propionaldehyde</t>
  </si>
  <si>
    <t>Propyl benzene</t>
  </si>
  <si>
    <t>Propylene</t>
  </si>
  <si>
    <t>Safrole</t>
  </si>
  <si>
    <t>Selenium Sulfide</t>
  </si>
  <si>
    <t>Silica (crystalline, respirable)</t>
  </si>
  <si>
    <t>Sodium Fluoride</t>
  </si>
  <si>
    <t>Sulfuric Acid</t>
  </si>
  <si>
    <t>Thiodiglycol</t>
  </si>
  <si>
    <t>Titanium Tetrachloride</t>
  </si>
  <si>
    <t>Trichlorobenzene, 1,2,3-</t>
  </si>
  <si>
    <t>Trichlorophenoxypropionic acid, -2,4,5</t>
  </si>
  <si>
    <t>Urethane</t>
  </si>
  <si>
    <t>JE</t>
  </si>
  <si>
    <t>Henry's Law Constants</t>
  </si>
  <si>
    <t>Density</t>
  </si>
  <si>
    <t>Water Solubility</t>
  </si>
  <si>
    <t>H`
(unitless)</t>
  </si>
  <si>
    <t>H` and HLC Ref</t>
  </si>
  <si>
    <t>S
(mg/L)</t>
  </si>
  <si>
    <t>1596-84-5</t>
  </si>
  <si>
    <t>30560-19-1</t>
  </si>
  <si>
    <t>75-07-0</t>
  </si>
  <si>
    <t>34256-82-1</t>
  </si>
  <si>
    <t>67-64-1</t>
  </si>
  <si>
    <t>75-86-5</t>
  </si>
  <si>
    <t>75-05-8</t>
  </si>
  <si>
    <t>98-86-2</t>
  </si>
  <si>
    <t>53-96-3</t>
  </si>
  <si>
    <t>107-02-8</t>
  </si>
  <si>
    <t>79-06-1</t>
  </si>
  <si>
    <t>79-10-7</t>
  </si>
  <si>
    <t>107-13-1</t>
  </si>
  <si>
    <t>111-69-3</t>
  </si>
  <si>
    <t>15972-60-8</t>
  </si>
  <si>
    <t>116-06-3</t>
  </si>
  <si>
    <t>1646-88-4</t>
  </si>
  <si>
    <t>309-00-2</t>
  </si>
  <si>
    <t>74223-64-6</t>
  </si>
  <si>
    <t>107-18-6</t>
  </si>
  <si>
    <t>107-05-1</t>
  </si>
  <si>
    <t>7429-90-5</t>
  </si>
  <si>
    <t>20859-73-8</t>
  </si>
  <si>
    <t>67485-29-4</t>
  </si>
  <si>
    <t>834-12-8</t>
  </si>
  <si>
    <t>92-67-1</t>
  </si>
  <si>
    <t>591-27-5</t>
  </si>
  <si>
    <t>123-30-8</t>
  </si>
  <si>
    <t>33089-61-1</t>
  </si>
  <si>
    <t>7664-41-7</t>
  </si>
  <si>
    <t>7790-98-9</t>
  </si>
  <si>
    <t>7773-06-0</t>
  </si>
  <si>
    <t>62-53-3</t>
  </si>
  <si>
    <t>7440-36-0</t>
  </si>
  <si>
    <t>1314-60-9</t>
  </si>
  <si>
    <t>1332-81-6</t>
  </si>
  <si>
    <t>1309-64-4</t>
  </si>
  <si>
    <t>74115-24-5</t>
  </si>
  <si>
    <t>140-57-8</t>
  </si>
  <si>
    <t>7440-38-2</t>
  </si>
  <si>
    <t>7784-42-1</t>
  </si>
  <si>
    <t>76578-14-8</t>
  </si>
  <si>
    <t>3337-71-1</t>
  </si>
  <si>
    <t>1912-24-9</t>
  </si>
  <si>
    <t>492-80-8</t>
  </si>
  <si>
    <t>65195-55-3</t>
  </si>
  <si>
    <t>103-33-3</t>
  </si>
  <si>
    <t>7440-39-3</t>
  </si>
  <si>
    <t>114-26-1</t>
  </si>
  <si>
    <t>43121-43-3</t>
  </si>
  <si>
    <t>68359-37-5</t>
  </si>
  <si>
    <t>1861-40-1</t>
  </si>
  <si>
    <t>17804-35-2</t>
  </si>
  <si>
    <t>25057-89-0</t>
  </si>
  <si>
    <t>100-52-7</t>
  </si>
  <si>
    <t>71-43-2</t>
  </si>
  <si>
    <t>108-98-5</t>
  </si>
  <si>
    <t>92-87-5</t>
  </si>
  <si>
    <t>65-85-0</t>
  </si>
  <si>
    <t>98-07-7</t>
  </si>
  <si>
    <t>100-51-6</t>
  </si>
  <si>
    <t>100-44-7</t>
  </si>
  <si>
    <t>7440-41-7</t>
  </si>
  <si>
    <t>141-66-2</t>
  </si>
  <si>
    <t>42576-02-3</t>
  </si>
  <si>
    <t>82657-04-3</t>
  </si>
  <si>
    <t>111-91-1</t>
  </si>
  <si>
    <t>111-44-4</t>
  </si>
  <si>
    <t>117-81-7</t>
  </si>
  <si>
    <t>542-88-1</t>
  </si>
  <si>
    <t>80-05-7</t>
  </si>
  <si>
    <t>7440-42-8</t>
  </si>
  <si>
    <t>7637-07-2</t>
  </si>
  <si>
    <t>15541-45-4</t>
  </si>
  <si>
    <t>107-04-0</t>
  </si>
  <si>
    <t>108-86-1</t>
  </si>
  <si>
    <t>75-27-4</t>
  </si>
  <si>
    <t>75-25-2</t>
  </si>
  <si>
    <t>74-83-9</t>
  </si>
  <si>
    <t>2104-96-3</t>
  </si>
  <si>
    <t>1689-84-5</t>
  </si>
  <si>
    <t>1689-99-2</t>
  </si>
  <si>
    <t>106-99-0</t>
  </si>
  <si>
    <t>71-36-3</t>
  </si>
  <si>
    <t>85-68-7</t>
  </si>
  <si>
    <t>78-92-2</t>
  </si>
  <si>
    <t>2008-41-5</t>
  </si>
  <si>
    <t>25013-16-5</t>
  </si>
  <si>
    <t>85-70-1</t>
  </si>
  <si>
    <t>75-60-5</t>
  </si>
  <si>
    <t>7440-43-9</t>
  </si>
  <si>
    <t>105-60-2</t>
  </si>
  <si>
    <t>2425-06-1</t>
  </si>
  <si>
    <t>133-06-2</t>
  </si>
  <si>
    <t>63-25-2</t>
  </si>
  <si>
    <t>1563-66-2</t>
  </si>
  <si>
    <t>75-15-0</t>
  </si>
  <si>
    <t>56-23-5</t>
  </si>
  <si>
    <t>55285-14-8</t>
  </si>
  <si>
    <t>5234-68-4</t>
  </si>
  <si>
    <t>1306-38-3</t>
  </si>
  <si>
    <t>302-17-0</t>
  </si>
  <si>
    <t>133-90-4</t>
  </si>
  <si>
    <t>118-75-2</t>
  </si>
  <si>
    <t>12789-03-6</t>
  </si>
  <si>
    <t>143-50-0</t>
  </si>
  <si>
    <t>470-90-6</t>
  </si>
  <si>
    <t>90982-32-4</t>
  </si>
  <si>
    <t>7782-50-5</t>
  </si>
  <si>
    <t>10049-04-4</t>
  </si>
  <si>
    <t>7758-19-2</t>
  </si>
  <si>
    <t>75-68-3</t>
  </si>
  <si>
    <t>126-99-8</t>
  </si>
  <si>
    <t>3165-93-3</t>
  </si>
  <si>
    <t>Chloroacetaldehyde, 2-</t>
  </si>
  <si>
    <t>107-20-0</t>
  </si>
  <si>
    <t>79-11-8</t>
  </si>
  <si>
    <t>532-27-4</t>
  </si>
  <si>
    <t>106-47-8</t>
  </si>
  <si>
    <t>108-90-7</t>
  </si>
  <si>
    <t>510-15-6</t>
  </si>
  <si>
    <t>74-11-3</t>
  </si>
  <si>
    <t>98-56-6</t>
  </si>
  <si>
    <t>109-69-3</t>
  </si>
  <si>
    <t>75-45-6</t>
  </si>
  <si>
    <t>67-66-3</t>
  </si>
  <si>
    <t>74-87-3</t>
  </si>
  <si>
    <t>107-30-2</t>
  </si>
  <si>
    <t>91-58-7</t>
  </si>
  <si>
    <t>88-73-3</t>
  </si>
  <si>
    <t>100-00-5</t>
  </si>
  <si>
    <t>95-57-8</t>
  </si>
  <si>
    <t>76-06-2</t>
  </si>
  <si>
    <t>1897-45-6</t>
  </si>
  <si>
    <t>95-49-8</t>
  </si>
  <si>
    <t>106-43-4</t>
  </si>
  <si>
    <t>54749-90-5</t>
  </si>
  <si>
    <t>101-21-3</t>
  </si>
  <si>
    <t>2921-88-2</t>
  </si>
  <si>
    <t>5598-13-0</t>
  </si>
  <si>
    <t>64902-72-3</t>
  </si>
  <si>
    <t>60238-56-4</t>
  </si>
  <si>
    <t>16065-83-1</t>
  </si>
  <si>
    <t>18540-29-9</t>
  </si>
  <si>
    <t>7440-47-3</t>
  </si>
  <si>
    <t>7440-48-4</t>
  </si>
  <si>
    <t>8007-45-2</t>
  </si>
  <si>
    <t>7440-50-8</t>
  </si>
  <si>
    <t>108-39-4</t>
  </si>
  <si>
    <t>95-48-7</t>
  </si>
  <si>
    <t>106-44-5</t>
  </si>
  <si>
    <t>59-50-7</t>
  </si>
  <si>
    <t>1319-77-3</t>
  </si>
  <si>
    <t>123-73-9</t>
  </si>
  <si>
    <t>98-82-8</t>
  </si>
  <si>
    <t>135-20-6</t>
  </si>
  <si>
    <t>21725-46-2</t>
  </si>
  <si>
    <t>592-01-8</t>
  </si>
  <si>
    <t>544-92-3</t>
  </si>
  <si>
    <t>57-12-5</t>
  </si>
  <si>
    <t>460-19-5</t>
  </si>
  <si>
    <t>506-68-3</t>
  </si>
  <si>
    <t>506-77-4</t>
  </si>
  <si>
    <t>74-90-8</t>
  </si>
  <si>
    <t>151-50-8</t>
  </si>
  <si>
    <t>506-61-6</t>
  </si>
  <si>
    <t>506-64-9</t>
  </si>
  <si>
    <t>143-33-9</t>
  </si>
  <si>
    <t>463-56-9</t>
  </si>
  <si>
    <t>557-21-1</t>
  </si>
  <si>
    <t>110-82-7</t>
  </si>
  <si>
    <t>87-84-3</t>
  </si>
  <si>
    <t>108-94-1</t>
  </si>
  <si>
    <t>108-91-8</t>
  </si>
  <si>
    <t>68085-85-8</t>
  </si>
  <si>
    <t>52315-07-8</t>
  </si>
  <si>
    <t>66215-27-8</t>
  </si>
  <si>
    <t>72-54-8</t>
  </si>
  <si>
    <t>72-55-9</t>
  </si>
  <si>
    <t>50-29-3</t>
  </si>
  <si>
    <t>1861-32-1</t>
  </si>
  <si>
    <t>75-99-0</t>
  </si>
  <si>
    <t>1163-19-5</t>
  </si>
  <si>
    <t>8065-48-3</t>
  </si>
  <si>
    <t>103-23-1</t>
  </si>
  <si>
    <t>2303-16-4</t>
  </si>
  <si>
    <t>333-41-5</t>
  </si>
  <si>
    <t>96-12-8</t>
  </si>
  <si>
    <t>106-37-6</t>
  </si>
  <si>
    <t>124-48-1</t>
  </si>
  <si>
    <t>106-93-4</t>
  </si>
  <si>
    <t>74-95-3</t>
  </si>
  <si>
    <t>84-74-2</t>
  </si>
  <si>
    <t>1918-00-9</t>
  </si>
  <si>
    <t>764-41-0</t>
  </si>
  <si>
    <t>1476-11-5</t>
  </si>
  <si>
    <t>110-57-6</t>
  </si>
  <si>
    <t>79-43-6</t>
  </si>
  <si>
    <t>95-50-1</t>
  </si>
  <si>
    <t>106-46-7</t>
  </si>
  <si>
    <t>91-94-1</t>
  </si>
  <si>
    <t>90-98-2</t>
  </si>
  <si>
    <t>75-71-8</t>
  </si>
  <si>
    <t>75-34-3</t>
  </si>
  <si>
    <t>107-06-2</t>
  </si>
  <si>
    <t>75-35-4</t>
  </si>
  <si>
    <t>156-59-2</t>
  </si>
  <si>
    <t>156-60-5</t>
  </si>
  <si>
    <t>120-83-2</t>
  </si>
  <si>
    <t>94-75-7</t>
  </si>
  <si>
    <t>94-82-6</t>
  </si>
  <si>
    <t>78-87-5</t>
  </si>
  <si>
    <t>142-28-9</t>
  </si>
  <si>
    <t>616-23-9</t>
  </si>
  <si>
    <t>542-75-6</t>
  </si>
  <si>
    <t>62-73-7</t>
  </si>
  <si>
    <t>77-73-6</t>
  </si>
  <si>
    <t>60-57-1</t>
  </si>
  <si>
    <t>111-42-2</t>
  </si>
  <si>
    <t>84-66-2</t>
  </si>
  <si>
    <t>112-34-5</t>
  </si>
  <si>
    <t>111-90-0</t>
  </si>
  <si>
    <t>617-84-5</t>
  </si>
  <si>
    <t>56-53-1</t>
  </si>
  <si>
    <t>43222-48-6</t>
  </si>
  <si>
    <t>35367-38-5</t>
  </si>
  <si>
    <t>75-37-6</t>
  </si>
  <si>
    <t>94-58-6</t>
  </si>
  <si>
    <t>108-20-3</t>
  </si>
  <si>
    <t>1445-75-6</t>
  </si>
  <si>
    <t>55290-64-7</t>
  </si>
  <si>
    <t>60-51-5</t>
  </si>
  <si>
    <t>119-90-4</t>
  </si>
  <si>
    <t>756-79-6</t>
  </si>
  <si>
    <t>60-11-7</t>
  </si>
  <si>
    <t>21436-96-4</t>
  </si>
  <si>
    <t>95-68-1</t>
  </si>
  <si>
    <t>121-69-7</t>
  </si>
  <si>
    <t>119-93-7</t>
  </si>
  <si>
    <t>68-12-2</t>
  </si>
  <si>
    <t>57-14-7</t>
  </si>
  <si>
    <t>540-73-8</t>
  </si>
  <si>
    <t>105-67-9</t>
  </si>
  <si>
    <t>576-26-1</t>
  </si>
  <si>
    <t>95-65-8</t>
  </si>
  <si>
    <t>120-61-6</t>
  </si>
  <si>
    <t>513-37-1</t>
  </si>
  <si>
    <t>534-52-1</t>
  </si>
  <si>
    <t>131-89-5</t>
  </si>
  <si>
    <t>528-29-0</t>
  </si>
  <si>
    <t>99-65-0</t>
  </si>
  <si>
    <t>100-25-4</t>
  </si>
  <si>
    <t>51-28-5</t>
  </si>
  <si>
    <t>25321-14-6</t>
  </si>
  <si>
    <t>121-14-2</t>
  </si>
  <si>
    <t>606-20-2</t>
  </si>
  <si>
    <t>35572-78-2</t>
  </si>
  <si>
    <t>19406-51-0</t>
  </si>
  <si>
    <t>88-85-7</t>
  </si>
  <si>
    <t>123-91-1</t>
  </si>
  <si>
    <t>1746-01-6</t>
  </si>
  <si>
    <t>957-51-7</t>
  </si>
  <si>
    <t>127-63-9</t>
  </si>
  <si>
    <t>122-39-4</t>
  </si>
  <si>
    <t>122-66-7</t>
  </si>
  <si>
    <t>85-00-7</t>
  </si>
  <si>
    <t>1937-37-7</t>
  </si>
  <si>
    <t>2602-46-2</t>
  </si>
  <si>
    <t>16071-86-6</t>
  </si>
  <si>
    <t>298-04-4</t>
  </si>
  <si>
    <t>505-29-3</t>
  </si>
  <si>
    <t>330-54-1</t>
  </si>
  <si>
    <t>2439-10-3</t>
  </si>
  <si>
    <t>759-94-4</t>
  </si>
  <si>
    <t>115-29-7</t>
  </si>
  <si>
    <t>145-73-3</t>
  </si>
  <si>
    <t>72-20-8</t>
  </si>
  <si>
    <t>106-89-8</t>
  </si>
  <si>
    <t>106-88-7</t>
  </si>
  <si>
    <t>16672-87-0</t>
  </si>
  <si>
    <t>563-12-2</t>
  </si>
  <si>
    <t>111-15-9</t>
  </si>
  <si>
    <t>110-80-5</t>
  </si>
  <si>
    <t>141-78-6</t>
  </si>
  <si>
    <t>140-88-5</t>
  </si>
  <si>
    <t>75-00-3</t>
  </si>
  <si>
    <t>60-29-7</t>
  </si>
  <si>
    <t>97-63-2</t>
  </si>
  <si>
    <t>2104-64-5</t>
  </si>
  <si>
    <t>100-41-4</t>
  </si>
  <si>
    <t>109-78-4</t>
  </si>
  <si>
    <t>107-15-3</t>
  </si>
  <si>
    <t>107-21-1</t>
  </si>
  <si>
    <t>111-76-2</t>
  </si>
  <si>
    <t>75-21-8</t>
  </si>
  <si>
    <t>96-45-7</t>
  </si>
  <si>
    <t>151-56-4</t>
  </si>
  <si>
    <t>84-72-0</t>
  </si>
  <si>
    <t>101200-48-0</t>
  </si>
  <si>
    <t>22224-92-6</t>
  </si>
  <si>
    <t>39515-41-8</t>
  </si>
  <si>
    <t>2164-17-2</t>
  </si>
  <si>
    <t>16984-48-8</t>
  </si>
  <si>
    <t>7782-41-4</t>
  </si>
  <si>
    <t>59756-60-4</t>
  </si>
  <si>
    <t>56425-91-3</t>
  </si>
  <si>
    <t>66332-96-5</t>
  </si>
  <si>
    <t>69409-94-5</t>
  </si>
  <si>
    <t>133-07-3</t>
  </si>
  <si>
    <t>72178-02-0</t>
  </si>
  <si>
    <t>944-22-9</t>
  </si>
  <si>
    <t>50-00-0</t>
  </si>
  <si>
    <t>64-18-6</t>
  </si>
  <si>
    <t>39148-24-8</t>
  </si>
  <si>
    <t>132-64-9</t>
  </si>
  <si>
    <t>110-00-9</t>
  </si>
  <si>
    <t>67-45-8</t>
  </si>
  <si>
    <t>98-01-1</t>
  </si>
  <si>
    <t>531-82-8</t>
  </si>
  <si>
    <t>60568-05-0</t>
  </si>
  <si>
    <t>77182-82-2</t>
  </si>
  <si>
    <t>111-30-8</t>
  </si>
  <si>
    <t>765-34-4</t>
  </si>
  <si>
    <t>1071-83-6</t>
  </si>
  <si>
    <t>42874-03-3</t>
  </si>
  <si>
    <t>86-50-0</t>
  </si>
  <si>
    <t>69806-40-2</t>
  </si>
  <si>
    <t>79277-27-3</t>
  </si>
  <si>
    <t>76-44-8</t>
  </si>
  <si>
    <t>L</t>
  </si>
  <si>
    <t>X</t>
  </si>
  <si>
    <t>Notation:</t>
  </si>
  <si>
    <t>hr/day</t>
  </si>
  <si>
    <t>Contaminant</t>
  </si>
  <si>
    <t>Toxicity and Chemical-specific Information</t>
  </si>
  <si>
    <t>Analyte</t>
  </si>
  <si>
    <t>CAS No.</t>
  </si>
  <si>
    <t>Acephate</t>
  </si>
  <si>
    <t>V</t>
  </si>
  <si>
    <t>Acetochlor</t>
  </si>
  <si>
    <t>Acetone Cyanohydrin</t>
  </si>
  <si>
    <t>Acrylic Acid</t>
  </si>
  <si>
    <t>Adiponitrile</t>
  </si>
  <si>
    <t>Alachlor</t>
  </si>
  <si>
    <t>Aldicarb</t>
  </si>
  <si>
    <t>Aldicarb Sulfone</t>
  </si>
  <si>
    <t>Allyl Alcohol</t>
  </si>
  <si>
    <t>Allyl Chloride</t>
  </si>
  <si>
    <t>Aluminum</t>
  </si>
  <si>
    <t>Aluminum Phosphide</t>
  </si>
  <si>
    <t>Ametryn</t>
  </si>
  <si>
    <t>Aminophenol, m-</t>
  </si>
  <si>
    <t>Aminophenol, p-</t>
  </si>
  <si>
    <t>Amitraz</t>
  </si>
  <si>
    <t>Ammonia</t>
  </si>
  <si>
    <t>Ammonium Sulfamate</t>
  </si>
  <si>
    <t>Antimony (metallic)</t>
  </si>
  <si>
    <t>Antimony Pentoxide</t>
  </si>
  <si>
    <t>Antimony Tetroxide</t>
  </si>
  <si>
    <t>Antimony Trioxide</t>
  </si>
  <si>
    <t>Arsenic, Inorganic</t>
  </si>
  <si>
    <t>Arsine</t>
  </si>
  <si>
    <t>Asulam</t>
  </si>
  <si>
    <t>Atrazine</t>
  </si>
  <si>
    <t>Avermectin B1</t>
  </si>
  <si>
    <t>Barium</t>
  </si>
  <si>
    <t>Benomyl</t>
  </si>
  <si>
    <t>Bentazon</t>
  </si>
  <si>
    <t>Benzenethiol</t>
  </si>
  <si>
    <t>Benzotrichloride</t>
  </si>
  <si>
    <t>Benzyl Alcohol</t>
  </si>
  <si>
    <t>Benzyl Chloride</t>
  </si>
  <si>
    <t>Beryllium and compounds</t>
  </si>
  <si>
    <t>Bifenox</t>
  </si>
  <si>
    <t>Biphenthrin</t>
  </si>
  <si>
    <t>Biphenyl, 1,1'-</t>
  </si>
  <si>
    <t>Bis(2-chloroethoxy)methane</t>
  </si>
  <si>
    <t>Bis(2-chloro-1-methylethyl) ether</t>
  </si>
  <si>
    <t>Bisphenol A</t>
  </si>
  <si>
    <t>Boron And Borates Only</t>
  </si>
  <si>
    <t>Boron Trifluoride</t>
  </si>
  <si>
    <t>Bromate</t>
  </si>
  <si>
    <t>Bromomethane</t>
  </si>
  <si>
    <t>Bromophos</t>
  </si>
  <si>
    <t>Bromoxynil</t>
  </si>
  <si>
    <t>Bromoxynil Octanoate</t>
  </si>
  <si>
    <t>Butadiene, 1,3-</t>
  </si>
  <si>
    <t>Butanol, N-</t>
  </si>
  <si>
    <t>Butylate</t>
  </si>
  <si>
    <t>Cacodylic Acid</t>
  </si>
  <si>
    <t>Cadmium (Water)</t>
  </si>
  <si>
    <t>Caprolactam</t>
  </si>
  <si>
    <t>Carbaryl</t>
  </si>
  <si>
    <t>Carbofuran</t>
  </si>
  <si>
    <t>Carbon Disulfide</t>
  </si>
  <si>
    <t>Carbon Tetrachloride</t>
  </si>
  <si>
    <t>Carbosulfan</t>
  </si>
  <si>
    <t>Carboxin</t>
  </si>
  <si>
    <t>Chloral Hydrate</t>
  </si>
  <si>
    <t>Chloramben</t>
  </si>
  <si>
    <t>Chloranil</t>
  </si>
  <si>
    <t>Chlordecone (Kepone)</t>
  </si>
  <si>
    <t>Chlorimuron, Ethyl-</t>
  </si>
  <si>
    <t>Chlorine</t>
  </si>
  <si>
    <t>Chlorine Dioxide</t>
  </si>
  <si>
    <t>Chlorite (Sodium Salt)</t>
  </si>
  <si>
    <t>Chloro-1,1-difluoroethane, 1-</t>
  </si>
  <si>
    <t>Chloro-1,3-butadiene, 2-</t>
  </si>
  <si>
    <t>Chloro-2-methylaniline HCl, 4-</t>
  </si>
  <si>
    <t>Chloroacetic Acid</t>
  </si>
  <si>
    <t>Chloroacetophenone, 2-</t>
  </si>
  <si>
    <t>Chloroaniline, p-</t>
  </si>
  <si>
    <t>Chlorobenzilate</t>
  </si>
  <si>
    <t>Chlorobenzotrifluoride, 4-</t>
  </si>
  <si>
    <t>Chlorobutane, 1-</t>
  </si>
  <si>
    <t>Chloromethane</t>
  </si>
  <si>
    <t>Chlorophenol, 2-</t>
  </si>
  <si>
    <t>Chlorotoluene, o-</t>
  </si>
  <si>
    <t>Chlorpropham</t>
  </si>
  <si>
    <t>Chlorpyrifos</t>
  </si>
  <si>
    <t>Chlorpyrifos Methyl</t>
  </si>
  <si>
    <t>Chlorsulfuron</t>
  </si>
  <si>
    <t>Chlorthiophos</t>
  </si>
  <si>
    <t>Coke Oven Emissions</t>
  </si>
  <si>
    <t>Copper</t>
  </si>
  <si>
    <t>Cresol, m-</t>
  </si>
  <si>
    <t>Cresol, o-</t>
  </si>
  <si>
    <t>Cresol, p-</t>
  </si>
  <si>
    <t>Crotonaldehyde, trans-</t>
  </si>
  <si>
    <t>Cyanazine</t>
  </si>
  <si>
    <t>Cyanides</t>
  </si>
  <si>
    <t>Cyclohexane</t>
  </si>
  <si>
    <t>Cyclohexane, 1,2,3,4,5-pentabromo-6-chloro-</t>
  </si>
  <si>
    <t>Cyclohexanone</t>
  </si>
  <si>
    <t>Cyclohexylamine</t>
  </si>
  <si>
    <t>Cypermethrin</t>
  </si>
  <si>
    <t>Cyromazine</t>
  </si>
  <si>
    <t>Dalapon</t>
  </si>
  <si>
    <t>DDE, p,p'-</t>
  </si>
  <si>
    <t>Demeton</t>
  </si>
  <si>
    <t>Di(2-ethylhexyl)adipate</t>
  </si>
  <si>
    <t>Diallate</t>
  </si>
  <si>
    <t>Diazinon</t>
  </si>
  <si>
    <t>Dibromo-3-chloropropane, 1,2-</t>
  </si>
  <si>
    <t>Dibromobenzene, 1,4-</t>
  </si>
  <si>
    <t>Dibromochloromethane</t>
  </si>
  <si>
    <t>Dibromoethane, 1,2-</t>
  </si>
  <si>
    <t>Dibromomethane (Methylene Bromide)</t>
  </si>
  <si>
    <t>Dibutyltin Compounds</t>
  </si>
  <si>
    <t>Dicamba</t>
  </si>
  <si>
    <t>Dichloro-2-butene, 1,4-</t>
  </si>
  <si>
    <t>Dichloroacetic Acid</t>
  </si>
  <si>
    <t>Dichlorobenzene, 1,2-</t>
  </si>
  <si>
    <t>Dichlorobenzene, 1,4-</t>
  </si>
  <si>
    <t>Dichlorobenzidine, 3,3'-</t>
  </si>
  <si>
    <t>Dichloroethane, 1,1-</t>
  </si>
  <si>
    <t>Dichloroethane, 1,2-</t>
  </si>
  <si>
    <t>Dichloroethylene, 1,2-cis-</t>
  </si>
  <si>
    <t>Dichloroethylene, 1,2-trans-</t>
  </si>
  <si>
    <t>Dichlorophenol, 2,4-</t>
  </si>
  <si>
    <t>Dichlorophenoxy Acetic Acid, 2,4-</t>
  </si>
  <si>
    <t>Dichloropropane, 1,3-</t>
  </si>
  <si>
    <t>Dichloropropanol, 2,3-</t>
  </si>
  <si>
    <t>Dichloropropene, 1,3-</t>
  </si>
  <si>
    <t>Dicyclopentadiene</t>
  </si>
  <si>
    <t>Diesel Engine Exhaust</t>
  </si>
  <si>
    <t>Diethylformamide</t>
  </si>
  <si>
    <t>Difenzoquat</t>
  </si>
  <si>
    <t>Diflubenzuron</t>
  </si>
  <si>
    <t>Difluoroethane, 1,1-</t>
  </si>
  <si>
    <t>Diisopropyl Methylphosphonate</t>
  </si>
  <si>
    <t>Dimethipin</t>
  </si>
  <si>
    <t>Dimethoate</t>
  </si>
  <si>
    <t>Dimethoxybenzidine, 3,3'-</t>
  </si>
  <si>
    <t>Dimethyl methylphosphonate</t>
  </si>
  <si>
    <t>Dimethylaniline HCl, 2,4-</t>
  </si>
  <si>
    <t>Dimethylaniline, 2,4-</t>
  </si>
  <si>
    <t>Dimethylaniline, N,N-</t>
  </si>
  <si>
    <t>Dimethylformamide</t>
  </si>
  <si>
    <t>Dimethylphenol, 2,4-</t>
  </si>
  <si>
    <t>Dimethylphenol, 2,6-</t>
  </si>
  <si>
    <t>Dimethylphenol, 3,4-</t>
  </si>
  <si>
    <t>Dinitro-o-cyclohexyl Phenol, 4,6-</t>
  </si>
  <si>
    <t>Dinitrobenzene, 1,2-</t>
  </si>
  <si>
    <t>Dinitrobenzene, 1,3-</t>
  </si>
  <si>
    <t>Dinitrobenzene, 1,4-</t>
  </si>
  <si>
    <t>Dinitrophenol, 2,4-</t>
  </si>
  <si>
    <t>Dinitrotoluene Mixture, 2,4/2,6-</t>
  </si>
  <si>
    <t>Dinitrotoluene, 2,4-</t>
  </si>
  <si>
    <t>Dinitrotoluene, 2,6-</t>
  </si>
  <si>
    <t>Dinitrotoluene, 2-Amino-4,6-</t>
  </si>
  <si>
    <t>Dinitrotoluene, 4-Amino-2,6-</t>
  </si>
  <si>
    <t>Dinoseb</t>
  </si>
  <si>
    <t>Dioxane, 1,4-</t>
  </si>
  <si>
    <t>Dioxins</t>
  </si>
  <si>
    <t>Diphenamid</t>
  </si>
  <si>
    <t>Diphenylamine</t>
  </si>
  <si>
    <t>Diphenylhydrazine, 1,2-</t>
  </si>
  <si>
    <t>Diquat</t>
  </si>
  <si>
    <t>Direct Black 38</t>
  </si>
  <si>
    <t>Direct Blue 6</t>
  </si>
  <si>
    <t>Direct Brown 95</t>
  </si>
  <si>
    <t>Disulfoton</t>
  </si>
  <si>
    <t>Dithiane, 1,4-</t>
  </si>
  <si>
    <t>Diuron</t>
  </si>
  <si>
    <t>Dodine</t>
  </si>
  <si>
    <t>Endothall</t>
  </si>
  <si>
    <t>Epoxybutane, 1,2-</t>
  </si>
  <si>
    <t>EPTC</t>
  </si>
  <si>
    <t>Ethephon</t>
  </si>
  <si>
    <t>Ethion</t>
  </si>
  <si>
    <t>Ethoxyethanol Acetate, 2-</t>
  </si>
  <si>
    <t>Ethoxyethanol, 2-</t>
  </si>
  <si>
    <t>Ethyl Acetate</t>
  </si>
  <si>
    <t>Ethyl Acrylate</t>
  </si>
  <si>
    <t>Ethyl Ether</t>
  </si>
  <si>
    <t>Ethyl Methacrylate</t>
  </si>
  <si>
    <t>Ethyl-p-nitrophenyl Phosphonate</t>
  </si>
  <si>
    <t>Ethylene Cyanohydrin</t>
  </si>
  <si>
    <t>Ethylene Diamine</t>
  </si>
  <si>
    <t>Ethylene Glycol</t>
  </si>
  <si>
    <t>Ethylene Glycol Monobutyl Ether</t>
  </si>
  <si>
    <t>Ethylene Oxide</t>
  </si>
  <si>
    <t>Ethylene Thiourea</t>
  </si>
  <si>
    <t>Ethylphthalyl Ethyl Glycolate</t>
  </si>
  <si>
    <t>Fenamiphos</t>
  </si>
  <si>
    <t>Fenpropathrin</t>
  </si>
  <si>
    <t>Fluometuron</t>
  </si>
  <si>
    <t>Fluorine (Soluble Fluoride)</t>
  </si>
  <si>
    <t>Fluridone</t>
  </si>
  <si>
    <t>Flurprimidol</t>
  </si>
  <si>
    <t>Flutolanil</t>
  </si>
  <si>
    <t>Fluvalinate</t>
  </si>
  <si>
    <t>Folpet</t>
  </si>
  <si>
    <t>Fomesafen</t>
  </si>
  <si>
    <t>Fonofos</t>
  </si>
  <si>
    <t>Formic Acid</t>
  </si>
  <si>
    <t>Fosetyl-AL</t>
  </si>
  <si>
    <t>Furans</t>
  </si>
  <si>
    <t>Furazolidone</t>
  </si>
  <si>
    <t>Furfural</t>
  </si>
  <si>
    <t>Furium</t>
  </si>
  <si>
    <t>Glufosinate, Ammonium</t>
  </si>
  <si>
    <t>Glycidyl</t>
  </si>
  <si>
    <t>Glyphosate</t>
  </si>
  <si>
    <t>Haloxyfop, Methyl</t>
  </si>
  <si>
    <t>Heptachlor Epoxide</t>
  </si>
  <si>
    <t>Hexabromobenzene</t>
  </si>
  <si>
    <t>Hexachlorobutadiene</t>
  </si>
  <si>
    <t>Hexachlorocyclohexane, Alpha-</t>
  </si>
  <si>
    <t>Hexachlorocyclohexane, Beta-</t>
  </si>
  <si>
    <t>Hexachlorocyclohexane, Gamma- (Lindane)</t>
  </si>
  <si>
    <t>Hexachlorocyclohexane, Technical</t>
  </si>
  <si>
    <t>Hexachlorophene</t>
  </si>
  <si>
    <t>Hexahydro-1,3,5-trinitro-1,3,5-triazine (RDX)</t>
  </si>
  <si>
    <t>Hexamethylene Diisocyanate, 1,6-</t>
  </si>
  <si>
    <t>Hexane, N-</t>
  </si>
  <si>
    <t>Hexanedioic Acid</t>
  </si>
  <si>
    <t>Hexazinone</t>
  </si>
  <si>
    <t>Hydrazine Sulfate</t>
  </si>
  <si>
    <t>Hydrogen Chloride</t>
  </si>
  <si>
    <t>Hydrogen Sulfide</t>
  </si>
  <si>
    <t>Imazalil</t>
  </si>
  <si>
    <t>Imazaquin</t>
  </si>
  <si>
    <t>Iprodione</t>
  </si>
  <si>
    <t>Iron</t>
  </si>
  <si>
    <t>Isobutyl Alcohol</t>
  </si>
  <si>
    <t>Isopropalin</t>
  </si>
  <si>
    <t>Isopropyl Methyl Phosphonic Acid</t>
  </si>
  <si>
    <t>Isoxaben</t>
  </si>
  <si>
    <t>Lactofen</t>
  </si>
  <si>
    <t>Lead Compounds</t>
  </si>
  <si>
    <t>Linuron</t>
  </si>
  <si>
    <t>Malathion</t>
  </si>
  <si>
    <t>Maleic Anhydride</t>
  </si>
  <si>
    <t>Maleic Hydrazide</t>
  </si>
  <si>
    <t>Malononitrile</t>
  </si>
  <si>
    <t>Mancozeb</t>
  </si>
  <si>
    <t>Maneb</t>
  </si>
  <si>
    <t>MCPA</t>
  </si>
  <si>
    <t>MCPB</t>
  </si>
  <si>
    <t>MCPP</t>
  </si>
  <si>
    <t>Mephosfolan</t>
  </si>
  <si>
    <t>Mepiquat Chloride</t>
  </si>
  <si>
    <t>Mercury Compounds</t>
  </si>
  <si>
    <t>Merphos</t>
  </si>
  <si>
    <t>Merphos Oxide</t>
  </si>
  <si>
    <t>Metalaxyl</t>
  </si>
  <si>
    <t>Methamidophos</t>
  </si>
  <si>
    <t>Methanol</t>
  </si>
  <si>
    <t>Methidathion</t>
  </si>
  <si>
    <t>Methomyl</t>
  </si>
  <si>
    <t>Methoxy-5-nitroaniline, 2-</t>
  </si>
  <si>
    <t>Methoxyethanol Acetate, 2-</t>
  </si>
  <si>
    <t>Methoxyethanol, 2-</t>
  </si>
  <si>
    <t>Methyl Acetate</t>
  </si>
  <si>
    <t>Methyl Acrylate</t>
  </si>
  <si>
    <t>Methyl Ethyl Ketone (2-Butanone)</t>
  </si>
  <si>
    <t>Methyl Isobutyl Ketone (4-methyl-2-pentanone)</t>
  </si>
  <si>
    <t>Methyl Methacrylate</t>
  </si>
  <si>
    <t>Methyl Parathion</t>
  </si>
  <si>
    <t>Methyl Styrene (Mixed Isomers)</t>
  </si>
  <si>
    <t>Methyl tert-Butyl Ether (MTBE)</t>
  </si>
  <si>
    <t>Methyl-5-Nitroaniline, 2-</t>
  </si>
  <si>
    <t>Methylaniline Hydrochloride, 2-</t>
  </si>
  <si>
    <t>Methylarsonic acid</t>
  </si>
  <si>
    <t>Methylene Chloride</t>
  </si>
  <si>
    <t>Methylene-bis(2-chloroaniline), 4,4'-</t>
  </si>
  <si>
    <t>Methylene-bis(N,N-dimethyl) Aniline, 4,4'-</t>
  </si>
  <si>
    <t>Methylenebisbenzenamine, 4,4'-</t>
  </si>
  <si>
    <t>Methylenediphenyl Diisocyanate</t>
  </si>
  <si>
    <t>Methylstyrene, Alpha-</t>
  </si>
  <si>
    <t>Metolachlor</t>
  </si>
  <si>
    <t>Metribuzin</t>
  </si>
  <si>
    <t>Molinate</t>
  </si>
  <si>
    <t>Molybdenum</t>
  </si>
  <si>
    <t>Monochloramine</t>
  </si>
  <si>
    <t>Monomethylaniline</t>
  </si>
  <si>
    <t>N,N'-Diphenyl-1,4-benzenediamine</t>
  </si>
  <si>
    <t>Naled</t>
  </si>
  <si>
    <t>Napropamide</t>
  </si>
  <si>
    <t>Nickel Refinery Dust</t>
  </si>
  <si>
    <t>Nickel Soluble Salts</t>
  </si>
  <si>
    <t>Nickel Subsulfide</t>
  </si>
  <si>
    <t>Nitrate</t>
  </si>
  <si>
    <t>Nitrite</t>
  </si>
  <si>
    <t>Nitrofurantoin</t>
  </si>
  <si>
    <t>Nitroglycerin</t>
  </si>
  <si>
    <t>Nitroguanidine</t>
  </si>
  <si>
    <t>Nitromethane</t>
  </si>
  <si>
    <t>Nitropropane, 2-</t>
  </si>
  <si>
    <t>Nitroso-di-N-butylamine, N-</t>
  </si>
  <si>
    <t>Nitroso-di-N-propylamine, N-</t>
  </si>
  <si>
    <t>Nitroso-N-ethylurea, N-</t>
  </si>
  <si>
    <t>Nitrosodiethanolamine, N-</t>
  </si>
  <si>
    <t>Nitrosodiethylamine, N-</t>
  </si>
  <si>
    <t>Nitrosodimethylamine, N-</t>
  </si>
  <si>
    <t>Nitrosodiphenylamine, N-</t>
  </si>
  <si>
    <t>Nitrosomethylethylamine, N-</t>
  </si>
  <si>
    <t>Nitrosopyrrolidine, N-</t>
  </si>
  <si>
    <t>Nitrotoluene, o-</t>
  </si>
  <si>
    <t>Nitrotoluene, p-</t>
  </si>
  <si>
    <t>Norflurazon</t>
  </si>
  <si>
    <t>Octabromodiphenyl Ether</t>
  </si>
  <si>
    <t>Octamethylpyrophosphoramide</t>
  </si>
  <si>
    <t>Oryzalin</t>
  </si>
  <si>
    <t>Oxadiazon</t>
  </si>
  <si>
    <t>Oxamyl</t>
  </si>
  <si>
    <t>Paclobutrazol</t>
  </si>
  <si>
    <t>Polynuclear Aromatic Hydrocarbons (PAHs)</t>
  </si>
  <si>
    <t>Paraquat Dichloride</t>
  </si>
  <si>
    <t>Parathion</t>
  </si>
  <si>
    <t>Polychlorinated Biphenyls (PCBs)</t>
  </si>
  <si>
    <t>Pebulate</t>
  </si>
  <si>
    <t>Pendimethalin</t>
  </si>
  <si>
    <t>Pentabromodiphenyl Ether</t>
  </si>
  <si>
    <t>Pentachlorobenzene</t>
  </si>
  <si>
    <t>Pentachloronitrobenzene</t>
  </si>
  <si>
    <t>Permethrin</t>
  </si>
  <si>
    <t>Phenmedipham</t>
  </si>
  <si>
    <t>Phenylenediamine, m-</t>
  </si>
  <si>
    <t>Phenylenediamine, o-</t>
  </si>
  <si>
    <t>Phenylenediamine, p-</t>
  </si>
  <si>
    <t>Phenylphenol, 2-</t>
  </si>
  <si>
    <t>Phorate</t>
  </si>
  <si>
    <t>Phosgene</t>
  </si>
  <si>
    <t>Phosmet</t>
  </si>
  <si>
    <t>Phosphine</t>
  </si>
  <si>
    <t>Phosphoric Acid</t>
  </si>
  <si>
    <t>Phosphorus, White</t>
  </si>
  <si>
    <t>Picloram</t>
  </si>
  <si>
    <t>Pirimiphos, Methyl</t>
  </si>
  <si>
    <t>Polybrominated Biphenyls</t>
  </si>
  <si>
    <t>Polymeric Methylene Diphenyl Diisocyanate (PMDI)</t>
  </si>
  <si>
    <t>Prochloraz</t>
  </si>
  <si>
    <t>Profluralin</t>
  </si>
  <si>
    <t>Prometon</t>
  </si>
  <si>
    <t>Prometryn</t>
  </si>
  <si>
    <t>Propachlor</t>
  </si>
  <si>
    <t>Propanil</t>
  </si>
  <si>
    <t>Propargite</t>
  </si>
  <si>
    <t>Propargyl Alcohol</t>
  </si>
  <si>
    <t>Propazine</t>
  </si>
  <si>
    <t>Propham</t>
  </si>
  <si>
    <t>Propiconazole</t>
  </si>
  <si>
    <t>Propylene Glycol</t>
  </si>
  <si>
    <t>Propylene Glycol Dinitrate</t>
  </si>
  <si>
    <t>Propylene Glycol Monomethyl Ether</t>
  </si>
  <si>
    <t>Propylene Oxide</t>
  </si>
  <si>
    <t>Quinalphos</t>
  </si>
  <si>
    <t>Quinoline</t>
  </si>
  <si>
    <t>Refractory Ceramic Fibers</t>
  </si>
  <si>
    <t>Resmethrin</t>
  </si>
  <si>
    <t>Ronnel</t>
  </si>
  <si>
    <t>Rotenone</t>
  </si>
  <si>
    <t>Selenious Acid</t>
  </si>
  <si>
    <t>Selenium</t>
  </si>
  <si>
    <t>Sethoxydim</t>
  </si>
  <si>
    <t>Silver</t>
  </si>
  <si>
    <t>Simazine</t>
  </si>
  <si>
    <t>Sodium Acifluorfen</t>
  </si>
  <si>
    <t>Sodium Azide</t>
  </si>
  <si>
    <t>Sodium Diethyldithiocarbamate</t>
  </si>
  <si>
    <t>Sodium Fluoroacetate</t>
  </si>
  <si>
    <t>Sodium Metavanadate</t>
  </si>
  <si>
    <t>Stirofos (Tetrachlorovinphos)</t>
  </si>
  <si>
    <t>Strontium, Stable</t>
  </si>
  <si>
    <t>Strychnine</t>
  </si>
  <si>
    <t>TCMTB</t>
  </si>
  <si>
    <t>Tebuthiuron</t>
  </si>
  <si>
    <t>Temephos</t>
  </si>
  <si>
    <t>Terbacil</t>
  </si>
  <si>
    <t>Terbufos</t>
  </si>
  <si>
    <t>Terbutryn</t>
  </si>
  <si>
    <t>Tetrachlorobenzene, 1,2,4,5-</t>
  </si>
  <si>
    <t>Tetrachlorophenol, 2,3,4,6-</t>
  </si>
  <si>
    <t>Tetrachlorotoluene, p- alpha, alpha, alpha-</t>
  </si>
  <si>
    <t>Tetraethyl Dithiopyrophosphate</t>
  </si>
  <si>
    <t>Tetrafluoroethane, 1,1,1,2-</t>
  </si>
  <si>
    <t>Tetryl (Trinitrophenylmethylnitramine)</t>
  </si>
  <si>
    <t>Thallium (Soluble Salts)</t>
  </si>
  <si>
    <t>Thiobencarb</t>
  </si>
  <si>
    <t>Thiofanox</t>
  </si>
  <si>
    <t>Thiophanate, Methyl</t>
  </si>
  <si>
    <t>Thiram</t>
  </si>
  <si>
    <t>Tin</t>
  </si>
  <si>
    <t>Toluidine, p-</t>
  </si>
  <si>
    <t>Tralomethrin</t>
  </si>
  <si>
    <t>Triallate</t>
  </si>
  <si>
    <t>Triasulfuron</t>
  </si>
  <si>
    <t>Tribromobenzene, 1,2,4-</t>
  </si>
  <si>
    <t>Tributyltin Compounds</t>
  </si>
  <si>
    <t>Tributyltin Oxide</t>
  </si>
  <si>
    <t>Trichloro-1,2,2-trifluoroethane, 1,1,2-</t>
  </si>
  <si>
    <t>Trichloroaniline HCl, 2,4,6-</t>
  </si>
  <si>
    <t>Trichloroaniline, 2,4,6-</t>
  </si>
  <si>
    <t>Trichlorobenzene, 1,2,4-</t>
  </si>
  <si>
    <t>Trichloroethane, 1,1,2-</t>
  </si>
  <si>
    <t>Trichlorophenol, 2,4,5-</t>
  </si>
  <si>
    <t>Trichlorophenol, 2,4,6-</t>
  </si>
  <si>
    <t>Trichlorophenoxyacetic Acid, 2,4,5-</t>
  </si>
  <si>
    <t>Trichloropropane, 1,1,2-</t>
  </si>
  <si>
    <t>Trichloropropane, 1,2,3-</t>
  </si>
  <si>
    <t>Tridiphane</t>
  </si>
  <si>
    <t>Triethylamine</t>
  </si>
  <si>
    <t>Trifluralin</t>
  </si>
  <si>
    <t>Trimethyl Phosphate</t>
  </si>
  <si>
    <t>Trimethylbenzene, 1,2,4-</t>
  </si>
  <si>
    <t>Trinitrobenzene, 1,3,5-</t>
  </si>
  <si>
    <t>Trinitrotoluene, 2,4,6-</t>
  </si>
  <si>
    <t>Tri-n-butyltin</t>
  </si>
  <si>
    <t>Uranium (Soluble Salts)</t>
  </si>
  <si>
    <t>Vanadium Pentoxide</t>
  </si>
  <si>
    <t>Vanadium and Compounds</t>
  </si>
  <si>
    <t>Vernolate</t>
  </si>
  <si>
    <t>Vinclozolin</t>
  </si>
  <si>
    <t>Vinyl Acetate</t>
  </si>
  <si>
    <t>Vinyl Bromide</t>
  </si>
  <si>
    <t>Vinyl Chloride</t>
  </si>
  <si>
    <t>Warfarin</t>
  </si>
  <si>
    <t>Xylene, Mixture</t>
  </si>
  <si>
    <t>Xylene, P-</t>
  </si>
  <si>
    <t>Xylene, m-</t>
  </si>
  <si>
    <t>Xylene, o-</t>
  </si>
  <si>
    <t>Zinc Phosphide</t>
  </si>
  <si>
    <t>Zineb</t>
  </si>
  <si>
    <t>Acrylamide</t>
  </si>
  <si>
    <t>Azobenzene</t>
  </si>
  <si>
    <t>Benzidine</t>
  </si>
  <si>
    <t>Captafol</t>
  </si>
  <si>
    <t>Captan</t>
  </si>
  <si>
    <t>Chlorothalonil</t>
  </si>
  <si>
    <t>Dichlorvos</t>
  </si>
  <si>
    <t>Diethylstilbestrol</t>
  </si>
  <si>
    <t>Formaldehyde</t>
  </si>
  <si>
    <t>Furmecyclox</t>
  </si>
  <si>
    <t>Hydrazine</t>
  </si>
  <si>
    <t>Mirex</t>
  </si>
  <si>
    <t>Nitrofurazone</t>
  </si>
  <si>
    <t>IUR</t>
  </si>
  <si>
    <t>Units</t>
  </si>
  <si>
    <t>I</t>
  </si>
  <si>
    <t/>
  </si>
  <si>
    <t>A</t>
  </si>
  <si>
    <t>Benzaldehyde</t>
  </si>
  <si>
    <t>Benzylchloride</t>
  </si>
  <si>
    <t>Biphenyl</t>
  </si>
  <si>
    <t>Ethylacetate</t>
  </si>
  <si>
    <t>Ethylmethacrylate</t>
  </si>
  <si>
    <t>n-Propylbenzene</t>
  </si>
  <si>
    <t>Pyridine</t>
  </si>
  <si>
    <t>1,1,1,2-Tetrachloroethane</t>
  </si>
  <si>
    <t>1,1,2-Trichloro-1,2,2-trifluoroethane</t>
  </si>
  <si>
    <t>1,2,4-Trimethylbenzene</t>
  </si>
  <si>
    <t>1,2-Dibromo-3-chloropropane</t>
  </si>
  <si>
    <t>1,3-Butadiene</t>
  </si>
  <si>
    <t>2-Nitropropane</t>
  </si>
  <si>
    <t>Acetaldehyde</t>
  </si>
  <si>
    <t>Acetonitrile</t>
  </si>
  <si>
    <t>Acetophenone</t>
  </si>
  <si>
    <t>Acrolein</t>
  </si>
  <si>
    <t>Acrylonitrile</t>
  </si>
  <si>
    <t>Aniline</t>
  </si>
  <si>
    <t>Bis(2-chloroisopropyl)ether</t>
  </si>
  <si>
    <t>Bis(chloromethyl)ether</t>
  </si>
  <si>
    <t>Chlorodifluoromethane</t>
  </si>
  <si>
    <t>Cumene</t>
  </si>
  <si>
    <t>Dichlorodifluoromethane</t>
  </si>
  <si>
    <t>Epichlorohydrin</t>
  </si>
  <si>
    <t>Hexane</t>
  </si>
  <si>
    <t>Methacrylonitrile</t>
  </si>
  <si>
    <t>688-73-3</t>
  </si>
  <si>
    <t>Exposure scenario</t>
  </si>
  <si>
    <t>Target risk for carcinogens</t>
  </si>
  <si>
    <t>Target hazard quotient for non-carcinogens</t>
  </si>
  <si>
    <t>Average groundwater temperature</t>
  </si>
  <si>
    <t>Column</t>
  </si>
  <si>
    <t>Heading</t>
  </si>
  <si>
    <t>Data type</t>
  </si>
  <si>
    <t>Options</t>
  </si>
  <si>
    <t>Description</t>
  </si>
  <si>
    <t>variable</t>
  </si>
  <si>
    <t>x or blank</t>
  </si>
  <si>
    <t>B</t>
  </si>
  <si>
    <t>fixed</t>
  </si>
  <si>
    <t>numerical value</t>
  </si>
  <si>
    <t>The Chemical Abstracts Service (CAS) Number associated with a chemical.</t>
  </si>
  <si>
    <t>text</t>
  </si>
  <si>
    <t>The chemical name.</t>
  </si>
  <si>
    <t>D</t>
  </si>
  <si>
    <t>calculated</t>
  </si>
  <si>
    <t>F</t>
  </si>
  <si>
    <t>G</t>
  </si>
  <si>
    <t>Cia,target</t>
  </si>
  <si>
    <t>ug/L</t>
  </si>
  <si>
    <t>K</t>
  </si>
  <si>
    <t>MCL = ug/L</t>
  </si>
  <si>
    <t>Cgw&lt;MCL</t>
  </si>
  <si>
    <t>Yes, No, --</t>
  </si>
  <si>
    <t>linked to data table</t>
  </si>
  <si>
    <t>blank</t>
  </si>
  <si>
    <t>Inhalation Unit Risk</t>
  </si>
  <si>
    <t>numerical value or blank</t>
  </si>
  <si>
    <t>O</t>
  </si>
  <si>
    <t>letter for reference</t>
  </si>
  <si>
    <t>Q</t>
  </si>
  <si>
    <t>R</t>
  </si>
  <si>
    <t>yrs</t>
  </si>
  <si>
    <t>days/yr</t>
  </si>
  <si>
    <t>(-)</t>
  </si>
  <si>
    <t>alphanumeric value</t>
  </si>
  <si>
    <t>The name of the chemical.</t>
  </si>
  <si>
    <t>An alternative name of the chemical if there is one, or if not, the name of the chemical is repeated.</t>
  </si>
  <si>
    <r>
      <t>The table below describes the types of data provided in the</t>
    </r>
    <r>
      <rPr>
        <b/>
        <sz val="10"/>
        <rFont val="Arial"/>
        <family val="2"/>
      </rPr>
      <t xml:space="preserve"> Chem Props</t>
    </r>
    <r>
      <rPr>
        <sz val="10"/>
        <rFont val="Arial"/>
        <family val="2"/>
      </rPr>
      <t xml:space="preserve"> sheet.</t>
    </r>
  </si>
  <si>
    <t>Molecular weight</t>
  </si>
  <si>
    <t>g/mole</t>
  </si>
  <si>
    <t>fixed or linked to data table</t>
  </si>
  <si>
    <t>Molecular weight source</t>
  </si>
  <si>
    <t>mm Hg</t>
  </si>
  <si>
    <t>The source of the vapor pressure of the chemical.</t>
  </si>
  <si>
    <t>mg/L</t>
  </si>
  <si>
    <t>Pure Component Water Solubility source</t>
  </si>
  <si>
    <t>The source of the water solubility of the chemical.</t>
  </si>
  <si>
    <t>unitless</t>
  </si>
  <si>
    <t>The source of the Henry's Law Constant for the chemical.</t>
  </si>
  <si>
    <t>Henry's Law Constant @ 25⁰C</t>
  </si>
  <si>
    <r>
      <t>atm-m</t>
    </r>
    <r>
      <rPr>
        <vertAlign val="superscript"/>
        <sz val="10"/>
        <rFont val="Arial"/>
        <family val="2"/>
      </rPr>
      <t>3</t>
    </r>
    <r>
      <rPr>
        <sz val="10"/>
        <rFont val="Arial"/>
        <family val="2"/>
      </rPr>
      <t>/mol</t>
    </r>
  </si>
  <si>
    <t>Henry's Law Constant @ 25⁰C source</t>
  </si>
  <si>
    <r>
      <t>cm</t>
    </r>
    <r>
      <rPr>
        <vertAlign val="superscript"/>
        <sz val="10"/>
        <rFont val="Arial"/>
        <family val="2"/>
      </rPr>
      <t>2</t>
    </r>
    <r>
      <rPr>
        <sz val="10"/>
        <rFont val="Arial"/>
        <family val="2"/>
      </rPr>
      <t>/s</t>
    </r>
  </si>
  <si>
    <t>Diffusivity in air source</t>
  </si>
  <si>
    <t>The source of the diffusivity of the chemical in air.</t>
  </si>
  <si>
    <t>T</t>
  </si>
  <si>
    <t>Diffusivity in water source</t>
  </si>
  <si>
    <t>U</t>
  </si>
  <si>
    <t>Normal Boiling Point source</t>
  </si>
  <si>
    <t>The source of the normal boiling point of the chemical.</t>
  </si>
  <si>
    <t>W</t>
  </si>
  <si>
    <t>Critical Temp. source</t>
  </si>
  <si>
    <t>The source of the critical temperature of the chemical.</t>
  </si>
  <si>
    <t>Y</t>
  </si>
  <si>
    <t>cal/mol</t>
  </si>
  <si>
    <r>
      <t>DH</t>
    </r>
    <r>
      <rPr>
        <vertAlign val="subscript"/>
        <sz val="10"/>
        <rFont val="Arial"/>
        <family val="2"/>
      </rPr>
      <t>v,b</t>
    </r>
  </si>
  <si>
    <t>Z</t>
  </si>
  <si>
    <t>Enthalpy of vaporization at the normal boiling point source</t>
  </si>
  <si>
    <t>The source of the enthalpy of vaporization of the chemical.</t>
  </si>
  <si>
    <t>AA</t>
  </si>
  <si>
    <r>
      <t>cm</t>
    </r>
    <r>
      <rPr>
        <vertAlign val="superscript"/>
        <sz val="10"/>
        <rFont val="Arial"/>
        <family val="2"/>
      </rPr>
      <t>3</t>
    </r>
    <r>
      <rPr>
        <sz val="10"/>
        <rFont val="Arial"/>
        <family val="2"/>
      </rPr>
      <t>/g</t>
    </r>
  </si>
  <si>
    <t>AB</t>
  </si>
  <si>
    <t>Organic Carbon Partition Coefficient source</t>
  </si>
  <si>
    <t>The source of the organic carbon partition coefficient.</t>
  </si>
  <si>
    <t>Value/Instructions</t>
  </si>
  <si>
    <t xml:space="preserve">Be sure to enable macros to use full functionality of the calculator.  </t>
  </si>
  <si>
    <t>Lower Explosive Limit</t>
  </si>
  <si>
    <t>% by volume</t>
  </si>
  <si>
    <t>The source of the LEL value (see notes E, N, M).</t>
  </si>
  <si>
    <t>AFss_R</t>
  </si>
  <si>
    <t>AFss_C</t>
  </si>
  <si>
    <t>ATnc_C</t>
  </si>
  <si>
    <t>ATc_C</t>
  </si>
  <si>
    <t>The source of the molecular weight of the chemical.</t>
  </si>
  <si>
    <t xml:space="preserve"> </t>
  </si>
  <si>
    <t>1.5E+01(F)</t>
  </si>
  <si>
    <t>Manganese (Non-diet)</t>
  </si>
  <si>
    <r>
      <t>Pure Phase Vapor Conc. @ 25</t>
    </r>
    <r>
      <rPr>
        <b/>
        <vertAlign val="superscript"/>
        <sz val="12"/>
        <rFont val="Arial"/>
        <family val="2"/>
      </rPr>
      <t>o</t>
    </r>
    <r>
      <rPr>
        <b/>
        <sz val="12"/>
        <rFont val="Arial"/>
        <family val="2"/>
      </rPr>
      <t>C</t>
    </r>
  </si>
  <si>
    <t>HLC</t>
  </si>
  <si>
    <r>
      <t>(u</t>
    </r>
    <r>
      <rPr>
        <sz val="12"/>
        <color indexed="8"/>
        <rFont val="Arial"/>
        <family val="2"/>
      </rPr>
      <t>g/m</t>
    </r>
    <r>
      <rPr>
        <vertAlign val="superscript"/>
        <sz val="12"/>
        <color indexed="8"/>
        <rFont val="Arial"/>
        <family val="2"/>
      </rPr>
      <t>3</t>
    </r>
    <r>
      <rPr>
        <sz val="12"/>
        <color indexed="8"/>
        <rFont val="Arial"/>
        <family val="2"/>
      </rPr>
      <t>)</t>
    </r>
    <r>
      <rPr>
        <vertAlign val="superscript"/>
        <sz val="12"/>
        <color indexed="8"/>
        <rFont val="Arial"/>
        <family val="2"/>
      </rPr>
      <t>-1</t>
    </r>
  </si>
  <si>
    <t>AC</t>
  </si>
  <si>
    <t>Henry's Law Constant Used in Calculator</t>
  </si>
  <si>
    <t>Introduction:</t>
  </si>
  <si>
    <t>Note that changes to supporting data may affect the results of the calculator.  As such, some cells have been locked to protect the integrity of the tool.</t>
  </si>
  <si>
    <r>
      <t xml:space="preserve">The table below describes the types of data provided in the </t>
    </r>
    <r>
      <rPr>
        <b/>
        <sz val="10"/>
        <rFont val="Arial"/>
        <family val="2"/>
      </rPr>
      <t>VISL</t>
    </r>
    <r>
      <rPr>
        <sz val="10"/>
        <rFont val="Arial"/>
        <family val="2"/>
      </rPr>
      <t xml:space="preserve"> sheet.</t>
    </r>
  </si>
  <si>
    <t>blank, used to improve readability of table</t>
  </si>
  <si>
    <t>IUR Source</t>
  </si>
  <si>
    <t>RFC Source</t>
  </si>
  <si>
    <t>MolWt</t>
  </si>
  <si>
    <t>Henry's Law Constant Used in Calcs</t>
  </si>
  <si>
    <t>Cvp</t>
  </si>
  <si>
    <t>Chc</t>
  </si>
  <si>
    <t>NVT = Not sufficiently volatile and/or toxic to pose inhalation risk in selected exposure scenario for the indicated medium</t>
  </si>
  <si>
    <t>C = Carcinogenic</t>
  </si>
  <si>
    <t>NC = Non-carcinogenic</t>
  </si>
  <si>
    <t>Lower Explosive Limit**</t>
  </si>
  <si>
    <t>**Lower explosive limit is the minimum concentration of the compound in air (% by volume) that is needed for the gas to ignite and explode.</t>
  </si>
  <si>
    <t>Mutagenic Indicator</t>
  </si>
  <si>
    <t>Exposure duration for mutagenic-mode-of-action</t>
  </si>
  <si>
    <t>EDM_R</t>
  </si>
  <si>
    <t>Anthraquinone, 9,10-</t>
  </si>
  <si>
    <t>84-65-1</t>
  </si>
  <si>
    <t>Benzenediamine-2-methyl sulfate, 1,4-</t>
  </si>
  <si>
    <t>6369-59-1</t>
  </si>
  <si>
    <t>Bromochloromethane</t>
  </si>
  <si>
    <t>74-97-5</t>
  </si>
  <si>
    <t>Butylbenzene, n-</t>
  </si>
  <si>
    <t>104-51-8</t>
  </si>
  <si>
    <t>Chloro-2-methylaniline, 4-</t>
  </si>
  <si>
    <t>95-69-2</t>
  </si>
  <si>
    <t>Methyl Hydrazine</t>
  </si>
  <si>
    <t>60-34-4</t>
  </si>
  <si>
    <t>Methyl-1,4-benzenediamine dihydrochloride, 2-</t>
  </si>
  <si>
    <t>615-45-2</t>
  </si>
  <si>
    <t>Methylbenzene,1-4-diamine monohydrochloride, 2-</t>
  </si>
  <si>
    <t>74612-12-7</t>
  </si>
  <si>
    <t>Methylbenzene-1,4-diamine sulfate, 2-</t>
  </si>
  <si>
    <t>615-50-9</t>
  </si>
  <si>
    <t>Pentaerythritol tetranitrate (PETN)</t>
  </si>
  <si>
    <t>78-11-5</t>
  </si>
  <si>
    <t>Perchlorates</t>
  </si>
  <si>
    <t>Phenothiazine</t>
  </si>
  <si>
    <t>92-84-2</t>
  </si>
  <si>
    <t>Phosphates, Inorganic</t>
  </si>
  <si>
    <t>13776-88-0</t>
  </si>
  <si>
    <t>68333-79-9</t>
  </si>
  <si>
    <t>7790-76-3</t>
  </si>
  <si>
    <t>7783-28-0</t>
  </si>
  <si>
    <t>7757-93-9</t>
  </si>
  <si>
    <t>7782-75-4</t>
  </si>
  <si>
    <t>7758-11-4</t>
  </si>
  <si>
    <t>7558-79-4</t>
  </si>
  <si>
    <t>13530-50-2</t>
  </si>
  <si>
    <t>7722-76-1</t>
  </si>
  <si>
    <t>7758-23-8</t>
  </si>
  <si>
    <t>7757-86-0</t>
  </si>
  <si>
    <t>7778-77-0</t>
  </si>
  <si>
    <t>7558-80-7</t>
  </si>
  <si>
    <t>8017-16-1</t>
  </si>
  <si>
    <t>13845-36-8</t>
  </si>
  <si>
    <t>7758-16-9</t>
  </si>
  <si>
    <t>7785-88-8</t>
  </si>
  <si>
    <t>10279-59-1</t>
  </si>
  <si>
    <t>10305-76-7</t>
  </si>
  <si>
    <t>10124-56-8</t>
  </si>
  <si>
    <t>68915-31-1</t>
  </si>
  <si>
    <t>7785-84-4</t>
  </si>
  <si>
    <t>7758-29-4</t>
  </si>
  <si>
    <t>7320-34-5</t>
  </si>
  <si>
    <t>7722-88-5</t>
  </si>
  <si>
    <t>15136-87-5</t>
  </si>
  <si>
    <t>7758-87-4</t>
  </si>
  <si>
    <t>7757-87-1</t>
  </si>
  <si>
    <t>7778-53-2</t>
  </si>
  <si>
    <t>7601-54-9</t>
  </si>
  <si>
    <t>Toluene-2,5-diamine</t>
  </si>
  <si>
    <t>95-70-5</t>
  </si>
  <si>
    <t>Trimethylbenzene, 1,2,3-</t>
  </si>
  <si>
    <t>526-73-8</t>
  </si>
  <si>
    <t>Xylenes</t>
  </si>
  <si>
    <t>Zinc and Compounds</t>
  </si>
  <si>
    <t>CRC89</t>
  </si>
  <si>
    <t>LANGE</t>
  </si>
  <si>
    <t>PHYSPROP</t>
  </si>
  <si>
    <t>PERRY</t>
  </si>
  <si>
    <t>YAWS</t>
  </si>
  <si>
    <t>ED</t>
  </si>
  <si>
    <t>ET</t>
  </si>
  <si>
    <t>EF</t>
  </si>
  <si>
    <t>AFgw</t>
  </si>
  <si>
    <t>Is Chemical Sufficiently Volatile and Toxic to Pose Inhalation Risk Via Vapor Intrusion from Groundwater Source?</t>
  </si>
  <si>
    <t>Is Chemical Sufficiently Volatile and Toxic to Pose Inhalation Risk Via Vapor Intrusion from Soil Source?</t>
  </si>
  <si>
    <t>Reference Concentration</t>
  </si>
  <si>
    <t>(4)</t>
  </si>
  <si>
    <t>Special Case Chemicals</t>
  </si>
  <si>
    <t>IURTCE_R</t>
  </si>
  <si>
    <t>IURTCE_C</t>
  </si>
  <si>
    <t>IURTCE</t>
  </si>
  <si>
    <t>Critical Temperature</t>
  </si>
  <si>
    <t>q</t>
  </si>
  <si>
    <t>Groundwater Vapor Conc.</t>
  </si>
  <si>
    <t>Temperature for Groundwater Vapor Conc.</t>
  </si>
  <si>
    <t>v</t>
  </si>
  <si>
    <t>Tgw or 25</t>
  </si>
  <si>
    <r>
      <t>ug/m</t>
    </r>
    <r>
      <rPr>
        <vertAlign val="superscript"/>
        <sz val="10"/>
        <rFont val="Arial"/>
        <family val="2"/>
      </rPr>
      <t>3</t>
    </r>
  </si>
  <si>
    <r>
      <t>Pure Phase Vapor Conc. @ 25</t>
    </r>
    <r>
      <rPr>
        <vertAlign val="superscript"/>
        <sz val="10"/>
        <rFont val="Arial"/>
        <family val="2"/>
      </rPr>
      <t>o</t>
    </r>
    <r>
      <rPr>
        <sz val="10"/>
        <rFont val="Arial"/>
        <family val="2"/>
      </rPr>
      <t>C</t>
    </r>
  </si>
  <si>
    <t>⁰C</t>
  </si>
  <si>
    <r>
      <t>(ug/m</t>
    </r>
    <r>
      <rPr>
        <vertAlign val="superscript"/>
        <sz val="10"/>
        <rFont val="Arial"/>
        <family val="2"/>
      </rPr>
      <t>3</t>
    </r>
    <r>
      <rPr>
        <sz val="10"/>
        <rFont val="Arial"/>
        <family val="2"/>
      </rPr>
      <t>)</t>
    </r>
    <r>
      <rPr>
        <vertAlign val="superscript"/>
        <sz val="10"/>
        <rFont val="Arial"/>
        <family val="2"/>
      </rPr>
      <t>-1</t>
    </r>
  </si>
  <si>
    <r>
      <t>mg/m</t>
    </r>
    <r>
      <rPr>
        <vertAlign val="superscript"/>
        <sz val="10"/>
        <rFont val="Arial"/>
        <family val="2"/>
      </rPr>
      <t>3</t>
    </r>
  </si>
  <si>
    <t>The Maximum Contaminant Level for the chemical, if applicable, in micrograms per liter.</t>
  </si>
  <si>
    <t>The source of the diffusivity of the chemical in water.</t>
  </si>
  <si>
    <t>jc</t>
  </si>
  <si>
    <t>hhc</t>
  </si>
  <si>
    <t>i</t>
  </si>
  <si>
    <t>No DHv,b</t>
  </si>
  <si>
    <t>No Tboil</t>
  </si>
  <si>
    <t>No Tcrit</t>
  </si>
  <si>
    <t>S = See RSL User Guide, Section 5</t>
  </si>
  <si>
    <t>X = PPRTV Appendix</t>
  </si>
  <si>
    <r>
      <t>Henry's Law Constant @25°C</t>
    </r>
    <r>
      <rPr>
        <b/>
        <vertAlign val="superscript"/>
        <sz val="10"/>
        <color indexed="8"/>
        <rFont val="Arial"/>
        <family val="2"/>
      </rPr>
      <t>g</t>
    </r>
  </si>
  <si>
    <r>
      <t>Henry's Law Constant @ Tgw</t>
    </r>
    <r>
      <rPr>
        <b/>
        <vertAlign val="superscript"/>
        <sz val="10"/>
        <color indexed="8"/>
        <rFont val="Arial"/>
        <family val="2"/>
      </rPr>
      <t>g</t>
    </r>
  </si>
  <si>
    <r>
      <t>Vapor Pressure @ Tgw</t>
    </r>
    <r>
      <rPr>
        <b/>
        <vertAlign val="superscript"/>
        <sz val="10"/>
        <color indexed="8"/>
        <rFont val="Arial"/>
        <family val="2"/>
      </rPr>
      <t>g</t>
    </r>
  </si>
  <si>
    <r>
      <t xml:space="preserve">Diffusivity in air </t>
    </r>
    <r>
      <rPr>
        <b/>
        <vertAlign val="superscript"/>
        <sz val="10"/>
        <color indexed="8"/>
        <rFont val="Arial"/>
        <family val="2"/>
      </rPr>
      <t>m</t>
    </r>
  </si>
  <si>
    <r>
      <t xml:space="preserve">Diffusivity in water </t>
    </r>
    <r>
      <rPr>
        <b/>
        <vertAlign val="superscript"/>
        <sz val="10"/>
        <color indexed="8"/>
        <rFont val="Arial"/>
        <family val="2"/>
      </rPr>
      <t>m</t>
    </r>
  </si>
  <si>
    <r>
      <t xml:space="preserve">Organic Carbon Partition Coefficient </t>
    </r>
    <r>
      <rPr>
        <b/>
        <vertAlign val="superscript"/>
        <sz val="10"/>
        <color indexed="8"/>
        <rFont val="Arial"/>
        <family val="2"/>
      </rPr>
      <t>m</t>
    </r>
  </si>
  <si>
    <r>
      <t>DH</t>
    </r>
    <r>
      <rPr>
        <vertAlign val="subscript"/>
        <sz val="10"/>
        <color indexed="8"/>
        <rFont val="Arial"/>
        <family val="2"/>
      </rPr>
      <t>v,b</t>
    </r>
  </si>
  <si>
    <r>
      <t>(atm-m</t>
    </r>
    <r>
      <rPr>
        <vertAlign val="superscript"/>
        <sz val="10"/>
        <color indexed="8"/>
        <rFont val="Arial"/>
        <family val="2"/>
      </rPr>
      <t>3</t>
    </r>
    <r>
      <rPr>
        <sz val="10"/>
        <color indexed="8"/>
        <rFont val="Arial"/>
        <family val="2"/>
      </rPr>
      <t>/mol)</t>
    </r>
  </si>
  <si>
    <r>
      <t>(cm</t>
    </r>
    <r>
      <rPr>
        <vertAlign val="superscript"/>
        <sz val="10"/>
        <color indexed="8"/>
        <rFont val="Arial"/>
        <family val="2"/>
      </rPr>
      <t>2</t>
    </r>
    <r>
      <rPr>
        <sz val="10"/>
        <color indexed="8"/>
        <rFont val="Arial"/>
        <family val="2"/>
      </rPr>
      <t>/s)</t>
    </r>
  </si>
  <si>
    <r>
      <t>(</t>
    </r>
    <r>
      <rPr>
        <vertAlign val="superscript"/>
        <sz val="10"/>
        <color indexed="8"/>
        <rFont val="Arial"/>
        <family val="2"/>
      </rPr>
      <t>o</t>
    </r>
    <r>
      <rPr>
        <sz val="10"/>
        <color indexed="8"/>
        <rFont val="Arial"/>
        <family val="2"/>
      </rPr>
      <t>K)</t>
    </r>
  </si>
  <si>
    <r>
      <t>(cm</t>
    </r>
    <r>
      <rPr>
        <vertAlign val="superscript"/>
        <sz val="10"/>
        <color indexed="8"/>
        <rFont val="Arial"/>
        <family val="2"/>
      </rPr>
      <t>3</t>
    </r>
    <r>
      <rPr>
        <sz val="10"/>
        <color indexed="8"/>
        <rFont val="Arial"/>
        <family val="2"/>
      </rPr>
      <t>/g)</t>
    </r>
  </si>
  <si>
    <t>Permeability Coefficient</t>
  </si>
  <si>
    <t>RAGSE</t>
  </si>
  <si>
    <t>Yaws 2008</t>
  </si>
  <si>
    <t>NOTE:</t>
  </si>
  <si>
    <t>m</t>
  </si>
  <si>
    <t xml:space="preserve">Experimental values. USEPA 2009.  Estimation Programs Interface Suite™ for Microsoft® Windows, v 4.00. United States Environmental Protection Agency, Washington, DC, USA.  </t>
  </si>
  <si>
    <t xml:space="preserve">USEPA 1996.  Soil Screening Guidance.  Attachment C: Chemical Properties for SSL Development.  EPA540/R-96/018.  July, 1996.  </t>
  </si>
  <si>
    <t>CRC Handbook of Chemistry and Physics, 76th Edition</t>
  </si>
  <si>
    <t>USEPA, 2001.  FACT SHEET Correcting the Henry's Law Constant for Soil Temperature.  Attachment.</t>
  </si>
  <si>
    <t>Weast, Robert C. CRC Handbook of Chemistry and Physics 1984-1985, 65th edition. Pages F-62 through F-64.</t>
  </si>
  <si>
    <t>McKay, D., et al. Handbook of Physical-Chemical Properties and Environmental Fate for Organic Chemicals.  Second Edition.</t>
  </si>
  <si>
    <t xml:space="preserve">The Merck Index, 10th Edition  </t>
  </si>
  <si>
    <t>Weiss, G.  Hazardous Chemicals Data Book, Second Edition, Noyes Data Corporation, 1986.</t>
  </si>
  <si>
    <t>DECHEMA Web Database, March 2003.</t>
  </si>
  <si>
    <t>No chemical property information available for this chemical, although toxicity data are available.</t>
  </si>
  <si>
    <t>Approximated using Tcrit = 1.5 x Tboil.</t>
  </si>
  <si>
    <t>Note that the Tox Summary and Parameters Summary worksheets are downloaded from EPA's RSL website at http://www.epa.gov/reg3hwmd/risk/human/rb-concentration_table/index.htm.</t>
  </si>
  <si>
    <t>These properties are not used for any calculations in the spreadsheet, but are included to maintain consistency with other spreadsheet tools that do use these properties.</t>
  </si>
  <si>
    <t>Variable Name</t>
  </si>
  <si>
    <t>TCR</t>
  </si>
  <si>
    <t>THQ</t>
  </si>
  <si>
    <t>www.epa.gov/osw/hazard/correctiveaction/eis/vapor/complete.pdf</t>
  </si>
  <si>
    <r>
      <t xml:space="preserve">EPA. (2002). </t>
    </r>
    <r>
      <rPr>
        <i/>
        <sz val="10"/>
        <rFont val="Arial"/>
        <family val="2"/>
      </rPr>
      <t>OSWER Draft Guidance for Evaluating the Vapor Intrusion to Indoor Air Pathway from Groundwater and Soils (Subsurface Vapor Intrusion Guidance).</t>
    </r>
    <r>
      <rPr>
        <sz val="10"/>
        <rFont val="Arial"/>
        <family val="2"/>
      </rPr>
      <t xml:space="preserve"> November. EPA 530-D-02-004. </t>
    </r>
  </si>
  <si>
    <r>
      <t xml:space="preserve">EPA. (2009). </t>
    </r>
    <r>
      <rPr>
        <i/>
        <sz val="10"/>
        <rFont val="Arial"/>
        <family val="2"/>
      </rPr>
      <t xml:space="preserve">Risk Assessment Guidance for Superfund. Volume I: Human Health Evaluation Manual (Part F, Supplemental Guidance for Inhalation Risk Assessment). </t>
    </r>
    <r>
      <rPr>
        <sz val="10"/>
        <rFont val="Arial"/>
        <family val="2"/>
      </rPr>
      <t>January. EPA 540-R-070-002.</t>
    </r>
  </si>
  <si>
    <t xml:space="preserve">EPA. (2010). Review of the Draft 2002 Subsurface Vapor Intrusion Guidance. Office of Solid Waste and Emergency Response. </t>
  </si>
  <si>
    <t xml:space="preserve">www.epa.gov/oswer/vaporintrusion/documents/review_of_2002_draft_vi_guidance_final.pdf </t>
  </si>
  <si>
    <t>www.epa.gov/reg3hwmd/risk/human/rb-concentration_table/index.htm</t>
  </si>
  <si>
    <t>Sub-Slab and Exterior Soil Gas</t>
  </si>
  <si>
    <t>The column shows whether the groundwater vapor concentration was calculated using a Henry's Law Constant at the groundwater temperature (Tgw) or at 25 ⁰C.</t>
  </si>
  <si>
    <t>The lower explosive limit for the chemical (LEL), which is the minimum concentration of the stated compound in air (% by volume) that is needed for the gas to ignite and explode.</t>
  </si>
  <si>
    <t>Mut, TCE, or VC</t>
  </si>
  <si>
    <t>This indicator is used to trigger special case calculations for mutagenic mode of action (Mut), as well as chemical-specific equations or toxicity values for trichloroethylene (TCE) and vinyl chloride (VC).</t>
  </si>
  <si>
    <t>The table below summarizes the reasonable maximum exposure parameters used to calculate VISLs (EPA 2009).</t>
  </si>
  <si>
    <t>The table below summarizes the generic attenuation factors used to calculate VISLs (EPA 2002).</t>
  </si>
  <si>
    <t>numerical value, No VP, or No MW</t>
  </si>
  <si>
    <t>See the Navigation Guide equation for Cia,c for vinyl chloride.</t>
  </si>
  <si>
    <t>The pure phase vapor concentration at 25 degrees C.  The equation is as follows:
           MW x VP x (1E+06 ug/g) x (1E+03 L/m3)
Cvp =   -----------------------------------------------------------
                    R x T x (760 mmHg/atm)
where MW is the molecular weight in g/mol, VP is the vapor pressure in millimeters of mercury, R is the universal gas constant (0.082057 L-atm/mol-K)
and T is the temperature (298.15 K or 25 C).
The other possible answers are:
No VP, which means there was no vapor pressure for the chemical.
No MW, which means there was no molecular weight for the chemical.</t>
  </si>
  <si>
    <t>The molecular weight of the chemical in grams per mole.  If "No MW" is listed, no molecular weight was available for the chemical.</t>
  </si>
  <si>
    <t>The vapor pressure of the chemical in millimeters of mercury.  If "No VP" is listed, no vapor pressure was available for the chemical.</t>
  </si>
  <si>
    <t>The unitless Henry's Law Constant for the chemical at the groundwater temperature.  This is the ratio of the concentration of the chemical in the aqueous phase to the concentration of the chemical in the gas phase at the groundwater temperature.
H'Tgw = Hc25 x exp{ ( DHv,b/RC) x [ (1-Tgw/Tcrit) / (1-Tboil/Tcrit) ] }n x [(1/Tgw)-(1/298.15 K)]
where DHv,b is the enthalpy of vaporization at the normal boiling point in cal/mol, RC is the universal gas constant (1.9872 cal/mol-K), Tgw is the groundwater temperature in K, Tcrit is the critical temperature in K, Tboil is the normal boiling point in K, and n = 0.3 if Tboil/Tcrit &lt; 0.57, n = 0.41 if Tboil/Tcrit &gt; 0.71, and n = (0.74 x Tboil/Tcrit - 0.116) if 0.57 ≤ Tboil/Tcrit ≤ 0.71.
If the cell is blank, then a value for Hc25, Tcrit, or DHv,b was not available.</t>
  </si>
  <si>
    <t>The unitless Henry's Law Constant used in the calculator.  If H'Tgw can be calculated, this value is used; otherwise H'25 is used.
If the cell is blank, then a value for Hc25 was not available.</t>
  </si>
  <si>
    <r>
      <t>The vapor pressure of the chemical in millimeters of mercury.
               VP x MW x (1E+06 ug/g) x (1E+03 L/m</t>
    </r>
    <r>
      <rPr>
        <vertAlign val="superscript"/>
        <sz val="10"/>
        <rFont val="Arial"/>
        <family val="2"/>
      </rPr>
      <t>3</t>
    </r>
    <r>
      <rPr>
        <sz val="10"/>
        <rFont val="Arial"/>
        <family val="2"/>
      </rPr>
      <t>) x H'Tgw
VPTgw = ---------------------------------------------------------------------
                           Hc25 x R x T x (760 mmHg/atm)
where R is the universal gas constant (0.082057 L-atm/mol-K)
and T is the temperature (298.15 K or 25 C).
If the cell is blank, then a value for VP was not available.</t>
    </r>
  </si>
  <si>
    <t>The diffusivity of the chemical in air.  If no diffusivity in air was available, "No Da" is listed.</t>
  </si>
  <si>
    <t>The diffusivity of the chemical in water.  If no diffusivity in water was available, "No Dw" is listed.</t>
  </si>
  <si>
    <t>The normal boiling point of the chemical (the boiling point at 1 atmosphere pressure).  If no boiling point was available, "No Tboil" is listed.</t>
  </si>
  <si>
    <t>The critical temperature of the chemical (the temperature at which solid, liquid, and gas can all coexist).  If no critical temperature was available, "No Tcrit" is listed.</t>
  </si>
  <si>
    <t>The enthalpy of vaporization of the chemical at the normal boiling point.  If no enthalpy of vaporization was available, "No DHv,b" is listed.</t>
  </si>
  <si>
    <t>The Henry's Law Constant for the chemical at 25 degrees Celsius.  If "No Hc25" is listed, no Henry's Law Constant for the chemical at 25 degrees Celsius was available.</t>
  </si>
  <si>
    <r>
      <t>The unitless Henry's Law Constant for the chemical at 25 degrees Celsius.  This is the ratio of the concentration of the chemical in the aqueous phase to the concentration of the chemical in the gas phase at 25 degrees Celsius.
             Hc25 x (1000 L/m</t>
    </r>
    <r>
      <rPr>
        <vertAlign val="superscript"/>
        <sz val="10"/>
        <rFont val="Arial"/>
        <family val="2"/>
      </rPr>
      <t>3</t>
    </r>
    <r>
      <rPr>
        <sz val="10"/>
        <rFont val="Arial"/>
        <family val="2"/>
      </rPr>
      <t>)       
H'25 =  ---------------------------------   
                 R x (298.15 K)
where R is the universal gas constant (0.082057 L-atm/mol-K).
If the cell is blank, no value for Hc25 was available.</t>
    </r>
  </si>
  <si>
    <t>The partition coefficient of the chemical between organic carbon and water.  If no partition coefficient between organic carbon and water was available, "No Koc" is listed.</t>
  </si>
  <si>
    <t>numerical value or No MW</t>
  </si>
  <si>
    <t>numerical value or No VP</t>
  </si>
  <si>
    <t>numerical value or No Hc25</t>
  </si>
  <si>
    <t>numerical value or No Da</t>
  </si>
  <si>
    <t>numerical value or No Dw</t>
  </si>
  <si>
    <t>numerical value or No Tboil</t>
  </si>
  <si>
    <t>numerical value or No Tcrit</t>
  </si>
  <si>
    <t>numerical value or No DHv,b</t>
  </si>
  <si>
    <t>numerical value or No Koc</t>
  </si>
  <si>
    <t>mIURTCE_R</t>
  </si>
  <si>
    <t>mIURTCE_C</t>
  </si>
  <si>
    <t>mIURTCE</t>
  </si>
  <si>
    <t>Mutagenic Chemicals</t>
  </si>
  <si>
    <t>The exposure durations and age-dependent adjustment factors for mutagenic-mode-of-action are listed in the table below:</t>
  </si>
  <si>
    <t>Age Cohort</t>
  </si>
  <si>
    <t>Exposure Duration (years)</t>
  </si>
  <si>
    <t>Age-dependent adjustment factor</t>
  </si>
  <si>
    <t>0 - 2 years</t>
  </si>
  <si>
    <t>2 - 6 years</t>
  </si>
  <si>
    <t>6 - 16 years</t>
  </si>
  <si>
    <t>Note: This section applies to trichloroethylene and other mutagenic chemicals, but not to vinyl chloride.</t>
  </si>
  <si>
    <t>This factor is used in the equations for mutagenic chemicals.</t>
  </si>
  <si>
    <t>Mutagenic-mode-of-action (MMOA) adjustment factor</t>
  </si>
  <si>
    <t>For questions, please contact:</t>
  </si>
  <si>
    <t>Office of Superfund Remediation &amp; Technology Innovation</t>
  </si>
  <si>
    <t>Cia,c (ug/m3) = TCR x ATc x (365 days/yr)  x (24 hrs/day) / (ED x EF x ET x IUR)</t>
  </si>
  <si>
    <t>Cia,nc (ug/m3) = THQ x ATnc x (365 days/yr) x (24 hrs/day) x RfC x (1000 ug/mg) / (ED x EF x ET)</t>
  </si>
  <si>
    <t>(hr/day)</t>
  </si>
  <si>
    <t>Mut = Chemical acts according to the mutagenic-mode-of-action, special exposure parameters apply (see footnote (4) above).</t>
  </si>
  <si>
    <t>VC = Special exposure equation for vinyl chloride applies (see Navigation Guide for equation).</t>
  </si>
  <si>
    <t>TCE = Special mutagenic and non-mutagenic IURs for trichloroethylene apply (see footnote (4) above).</t>
  </si>
  <si>
    <t>ATc_R</t>
  </si>
  <si>
    <t>ATnc_R</t>
  </si>
  <si>
    <t>ATc</t>
  </si>
  <si>
    <t>ATnc</t>
  </si>
  <si>
    <t>AFss</t>
  </si>
  <si>
    <t>http://www.epa.gov/reg3hwmd/risk/human/rb-concentration_table/usersguide.htm</t>
  </si>
  <si>
    <t>Values not currently included in the chemical parameter Regional screening table (see footnote a) were derived following the hierarchy outlined in the Regional Screening Tables User's Guide.</t>
  </si>
  <si>
    <t xml:space="preserve">Available online at: </t>
  </si>
  <si>
    <t>Available online at:</t>
  </si>
  <si>
    <t>http://www.epa.gov/opptintr/exposure/pubs/episuite.htm</t>
  </si>
  <si>
    <t xml:space="preserve">USEPA 2001.  USEPA WATER9, Version 2.0.  United States Environmental Protection Agency, Research Triangle Park, NC, USA. </t>
  </si>
  <si>
    <t>http://www.epa.gov/ttn/chief/software/water/index.html</t>
  </si>
  <si>
    <t>http://www.syrres.com/what-we-do/databaseforms.aspx?id=386</t>
  </si>
  <si>
    <t>http://webbook.nist.gov/chemistry/</t>
  </si>
  <si>
    <t xml:space="preserve">http://toxnet.nlm.nih.gov/ </t>
  </si>
  <si>
    <t>I  = IRIS: EPA Integrated Risk Information System (IRIS).  Available online at:</t>
  </si>
  <si>
    <t xml:space="preserve">  http://www.epa.gov/iris/subst/index.html</t>
  </si>
  <si>
    <t>P = PPRTV. EPA Provisional Peer Reviewed Toxicity Values (PPRTVs).  Available online at:</t>
  </si>
  <si>
    <t>http://hhpprtv.ornl.gov/pprtv.shtml</t>
  </si>
  <si>
    <t>A = Agency for Toxic Substances and Disease Registry (ATSDR) Minimum Risk Levels (MRLs).  Available online at:</t>
  </si>
  <si>
    <t>http://www.atsdr.cdc.gov/mrls/index.html</t>
  </si>
  <si>
    <t>CA = California Environmental Protection Agency/Office of Environmental Health Hazard Assessment assessments.  Available online at:</t>
  </si>
  <si>
    <t>http://www.oehha.ca.gov/risk/ChemicalDB/index.asp</t>
  </si>
  <si>
    <t xml:space="preserve">H = HEAST.  EPA Superfund Health Effects Assessment Summary Tables (HEAST) database.  Available online at: </t>
  </si>
  <si>
    <t>http://epa-heast.ornl.gov/heast.shtml</t>
  </si>
  <si>
    <t>N = Centers for Disease Control and Prevention (CDC) National Institute for Occupational Safety and Health (NIOSH). Pocket Guide to Chemical Hazards. Available online at:</t>
  </si>
  <si>
    <t>http://www.cdc.gov/niosh/npg/default.html</t>
  </si>
  <si>
    <t>Enter a numerical value</t>
  </si>
  <si>
    <t>Select either "residential" or "commercial"</t>
  </si>
  <si>
    <t>Enter average of the stabilized groundwater temperature to correct Henry's Law Constant for groundwater target concentrations</t>
  </si>
  <si>
    <t>In order to use this functionality, macros must be enabled for Excel.</t>
  </si>
  <si>
    <t>The worksheets are protected using the password "visl"; advanced users may wish to unlock the worksheets for alternate exposure scenarios or use of pivot tables, etc.</t>
  </si>
  <si>
    <t>The VISL worksheet is ordered by chemical name.  The user can select "view checked chemicals" or "view all chemicals."  To view a select, site-specific set of chemicals, enter "x" in column A adjacent to chemicals of interest.</t>
  </si>
  <si>
    <t>Target Indoor Air Conc. @ TCR=VALUE or THQ=VALUE</t>
  </si>
  <si>
    <t>Target Sub-Slab and Exterior Soil Gas Conc. @ TCR=VALUE or THQ=VALUE</t>
  </si>
  <si>
    <t>Target Ground Water Conc. @ TCR=VALUE or THQ=VALUE</t>
  </si>
  <si>
    <t>If the chemical has an MCL, "Yes" or "No" shown to indicate whether Cgw exceeds the MCL.  Either way, the MCL is listed in parentheses after the "Yes" or "No".  If no MCL is available, "--" is listed.</t>
  </si>
  <si>
    <t>M = Chemical-specific MSDS</t>
  </si>
  <si>
    <t>Chemical-specific MSDS</t>
  </si>
  <si>
    <t>Alternative Chemical Name 1</t>
  </si>
  <si>
    <t>Alternative Chemical Name 2</t>
  </si>
  <si>
    <t>Chloroethene</t>
  </si>
  <si>
    <t>4-Methyl-2-pentanone</t>
  </si>
  <si>
    <t>2-Butanone</t>
  </si>
  <si>
    <t>Methyl chloride</t>
  </si>
  <si>
    <t>2-Hexanone</t>
  </si>
  <si>
    <t>1,6-Hexamethylene Diisocyanate</t>
  </si>
  <si>
    <t>1-Bromo-2-chloroethane</t>
  </si>
  <si>
    <t>1,1'-Biphenyl</t>
  </si>
  <si>
    <t>1-Chloro-1,1-difluoroethane</t>
  </si>
  <si>
    <t>Chloroprene</t>
  </si>
  <si>
    <t>2-Chloro-1,3-butadiene</t>
  </si>
  <si>
    <t>4-Chlorobenzotrifluoride</t>
  </si>
  <si>
    <t>Chloroethane</t>
  </si>
  <si>
    <t>Ethylene dibromide</t>
  </si>
  <si>
    <t>1,2-Dibromoethane</t>
  </si>
  <si>
    <t>1,4-Dichloro-2-butene</t>
  </si>
  <si>
    <t>cis-1,4-Dichloro-2-butene</t>
  </si>
  <si>
    <t>trans-1,4-Dichloro-2-butene</t>
  </si>
  <si>
    <t>1,1-Difluoroethane</t>
  </si>
  <si>
    <t>1,2-Epoxybutane</t>
  </si>
  <si>
    <t>Propylbenzene, n-</t>
  </si>
  <si>
    <t>Enter a numerical value (in Celsius).  This temperature should reflect actual site conditions if possible (for example, stabilized temperature measured during well purging prior to groundwater sampling).</t>
  </si>
  <si>
    <t>Target Risk for Carcinogens</t>
  </si>
  <si>
    <t>Target Hazard Quotient for Non-Carcinogens</t>
  </si>
  <si>
    <r>
      <t>Average Groundwater Temperature (</t>
    </r>
    <r>
      <rPr>
        <vertAlign val="superscript"/>
        <sz val="12"/>
        <rFont val="Arial"/>
        <family val="2"/>
      </rPr>
      <t>o</t>
    </r>
    <r>
      <rPr>
        <sz val="12"/>
        <rFont val="Arial"/>
        <family val="2"/>
      </rPr>
      <t>C)</t>
    </r>
  </si>
  <si>
    <t>Parameter</t>
  </si>
  <si>
    <t>Yellow highlighting indicates site-specific parameters that may be edited by the user.</t>
  </si>
  <si>
    <t>VI Carcinogenic Risk</t>
  </si>
  <si>
    <t>VI Hazard</t>
  </si>
  <si>
    <t>Cia</t>
  </si>
  <si>
    <t>Selected (based on scenario)</t>
  </si>
  <si>
    <t>Version</t>
  </si>
  <si>
    <t>Date</t>
  </si>
  <si>
    <t>Original Version</t>
  </si>
  <si>
    <t>Changes</t>
  </si>
  <si>
    <r>
      <t>Henry's Law Constant @ Tgw_GW</t>
    </r>
    <r>
      <rPr>
        <b/>
        <vertAlign val="superscript"/>
        <sz val="10"/>
        <color indexed="8"/>
        <rFont val="Arial"/>
        <family val="2"/>
      </rPr>
      <t>g</t>
    </r>
  </si>
  <si>
    <t>Henry's Law Constant Used in Calcs for GW-IA_calc</t>
  </si>
  <si>
    <t>H'Tgw_GW</t>
  </si>
  <si>
    <t>HLC_GW</t>
  </si>
  <si>
    <t>Calculated Indoor Air Concentration</t>
  </si>
  <si>
    <t>Site Groundwater Concentration</t>
  </si>
  <si>
    <t>Site Indoor Air Concentration</t>
  </si>
  <si>
    <t>109-99-9</t>
  </si>
  <si>
    <t>Hexamethylphosphoramide</t>
  </si>
  <si>
    <t>680-31-9</t>
  </si>
  <si>
    <t>Sulfolane</t>
  </si>
  <si>
    <t>126-33-0</t>
  </si>
  <si>
    <t>Worksheet Name</t>
  </si>
  <si>
    <t>SG_IA_calc</t>
  </si>
  <si>
    <t>Acronym definition</t>
  </si>
  <si>
    <t>VISL</t>
  </si>
  <si>
    <t>GW_IA_calc</t>
  </si>
  <si>
    <t>IA_risk_calc</t>
  </si>
  <si>
    <t>ChemProps</t>
  </si>
  <si>
    <t>N/A</t>
  </si>
  <si>
    <t>Parameters Summary</t>
  </si>
  <si>
    <t>VISL = Vapor intrusion screening level</t>
  </si>
  <si>
    <t>SG_IA_calc = Soil gas to indoor air calculator</t>
  </si>
  <si>
    <t>GW_IA_calc = Groundwater to indoor air calculator</t>
  </si>
  <si>
    <t>IA_risk_calc = Indoor air to risk calculator</t>
  </si>
  <si>
    <t>Tox = Toxicity</t>
  </si>
  <si>
    <t>Tox Summary</t>
  </si>
  <si>
    <t>Version Notes</t>
  </si>
  <si>
    <t>Lists changes made to each version of the VISL calculator workbook.</t>
  </si>
  <si>
    <r>
      <t>The table below describes the types of data provided in the</t>
    </r>
    <r>
      <rPr>
        <b/>
        <sz val="10"/>
        <rFont val="Arial"/>
        <family val="2"/>
      </rPr>
      <t xml:space="preserve"> SG_IA_calc</t>
    </r>
    <r>
      <rPr>
        <sz val="10"/>
        <rFont val="Arial"/>
        <family val="2"/>
      </rPr>
      <t xml:space="preserve"> sheet.</t>
    </r>
  </si>
  <si>
    <r>
      <t>The table below describes the types of data provided in the</t>
    </r>
    <r>
      <rPr>
        <b/>
        <sz val="10"/>
        <rFont val="Arial"/>
        <family val="2"/>
      </rPr>
      <t xml:space="preserve"> IA_risk_calc</t>
    </r>
    <r>
      <rPr>
        <sz val="10"/>
        <rFont val="Arial"/>
        <family val="2"/>
      </rPr>
      <t xml:space="preserve"> sheet.</t>
    </r>
  </si>
  <si>
    <r>
      <t>The table below describes the types of data provided in the</t>
    </r>
    <r>
      <rPr>
        <b/>
        <sz val="10"/>
        <rFont val="Arial"/>
        <family val="2"/>
      </rPr>
      <t xml:space="preserve"> GW_IA_calc</t>
    </r>
    <r>
      <rPr>
        <sz val="10"/>
        <rFont val="Arial"/>
        <family val="2"/>
      </rPr>
      <t xml:space="preserve"> sheet.</t>
    </r>
  </si>
  <si>
    <t>CR</t>
  </si>
  <si>
    <t>HQ</t>
  </si>
  <si>
    <t>numerical value, blank, or "No IUR"</t>
  </si>
  <si>
    <t>numerical value, blank, or "No RfC"</t>
  </si>
  <si>
    <t>The indoor air concentration, as entered by the user.</t>
  </si>
  <si>
    <t>Groundwater concentration</t>
  </si>
  <si>
    <t>Enter a numerical value (in ug/L) for the site groundwater concentration for each chemical in column D of the main table (see description for column D below).</t>
  </si>
  <si>
    <t>Indoor air concentration</t>
  </si>
  <si>
    <t>Chem Props Worksheet</t>
  </si>
  <si>
    <t>IA_risk_calc Worksheet</t>
  </si>
  <si>
    <t>GW_IA_calc Worksheet</t>
  </si>
  <si>
    <t>SG_IA_calc Worksheet</t>
  </si>
  <si>
    <t>VISL Worksheet</t>
  </si>
  <si>
    <t>Workbook Overview</t>
  </si>
  <si>
    <r>
      <t>The table below describes the types of data provided in the</t>
    </r>
    <r>
      <rPr>
        <b/>
        <sz val="10"/>
        <rFont val="Arial"/>
        <family val="2"/>
      </rPr>
      <t xml:space="preserve"> Version Notes</t>
    </r>
    <r>
      <rPr>
        <sz val="10"/>
        <rFont val="Arial"/>
        <family val="2"/>
      </rPr>
      <t xml:space="preserve"> sheet.</t>
    </r>
  </si>
  <si>
    <t>The version number.</t>
  </si>
  <si>
    <t>The date of the version.</t>
  </si>
  <si>
    <t>date</t>
  </si>
  <si>
    <t>A description of the changes made for the version.</t>
  </si>
  <si>
    <t>Version Notes Worksheet</t>
  </si>
  <si>
    <t>s</t>
  </si>
  <si>
    <t>Updated to May 2012 RSL toxicity and chemical parameter values.
Forward risk calculation worksheets (SG-IA_calc, GW-IA_calc, and IA-risk_calc) were added.
Erroneous values in the LEL column of the VISL worksheet were corrected.  Nine new chemicals identified as volatile in the RSL tables were added (2-Chloroacetaldehyde, Dihydrosafrole, Dimethylvinylchloride, 1,4-Dithiane, Ethyleneimine, Methyl Isocyanate, Mineral Oils, Propylene, and Tetrahydrofuran).  Three chemicals formerly identified as volatile in the RSL tables were removed (Cresols, Isobutyl Alcohol, and Propylene Glycol Dinitrate).  All chemicals were reordered alphabetically.</t>
  </si>
  <si>
    <t>concentration entered by user or leave blank</t>
  </si>
  <si>
    <t>numerical value, "No VP," "No MW," or blank</t>
  </si>
  <si>
    <t>numerical value, "No VP," "No IUR," or blank</t>
  </si>
  <si>
    <t xml:space="preserve">The noncancer hazard from the vapor intrusion pathway for the chemical, calculated using the equation:
                                           Cia x EF x ED x ET
HQ =   --------------------------------------------------------------------------------------------
            RfC x ATnc x 365 (days/year) x 24 (hours/day) x 1,000 (ug/mg)
where Cia is the indoor air concentration, RfC is the reference concentration, and ATnc, EF, ED, and ET are the default exposure parameters for residential or commercial exposure as appropriate.
</t>
  </si>
  <si>
    <t>Enter average of the stabilized groundwater temperature to correct Henry's Law Constant for groundwater target concentrations.  This temperature should reflect actual site conditions if possible (for example, stabilized temperature measured during well purging prior to groundwater sampling).</t>
  </si>
  <si>
    <t>numerical value, "No HLC," or blank</t>
  </si>
  <si>
    <t>numerical value, "No HLC," "No IUR," or blank</t>
  </si>
  <si>
    <t>numerical value, "No HLC," "No RfC," or blank</t>
  </si>
  <si>
    <t>The indoor air concentration for non-carcinogenic chemicals (Cia,nc) that results in a target hazard quotient for non-carcinogens equal to THQ.  The concentration is calculated using the reference concentration and several exposure parameters for residential or commercial exposure to the chemical in air.  See table below for the inhalation pathway exposure parameters used.  The equation is as follows:
                    THQ x RfC x ATnc x 365 (days/year) x 24 (hours/day) x 1,000 (ug/mg)
Cia,nc =    ---------------------------------------------------------------------------------------------
                                                              EF x ED x ET 
where THQ is the target hazard for non-carcinogens, RfC is the reference concentration, and ATnc, EF, ED, and ET are the default exposure parameters for residential or commercial exposure as appropriate.</t>
  </si>
  <si>
    <t>Site Sub-slab or Exterior Soil Gas Concentration</t>
  </si>
  <si>
    <r>
      <t>Enter a numerical value (in ug/m</t>
    </r>
    <r>
      <rPr>
        <vertAlign val="superscript"/>
        <sz val="10"/>
        <rFont val="Arial"/>
        <family val="2"/>
      </rPr>
      <t>3</t>
    </r>
    <r>
      <rPr>
        <sz val="10"/>
        <rFont val="Arial"/>
        <family val="2"/>
      </rPr>
      <t>) for the site sub-slab or exterior soil gas concentration for each chemical in column D of the main table (see description for column D below).</t>
    </r>
  </si>
  <si>
    <t>The site sub-slab or exterior soil gas concentration, as entered by the user.</t>
  </si>
  <si>
    <t>The indoor air concentration is calculated from the site sub-slab or exterior soil gas concentration, using the generic attenuation factor for indoor air from sub-slab and exterior soil gas.</t>
  </si>
  <si>
    <t>The site groundwater concentration, as entered by the user.</t>
  </si>
  <si>
    <r>
      <t>Enter a numerical value (in ug/m</t>
    </r>
    <r>
      <rPr>
        <vertAlign val="superscript"/>
        <sz val="10"/>
        <rFont val="Arial"/>
        <family val="2"/>
      </rPr>
      <t>3</t>
    </r>
    <r>
      <rPr>
        <sz val="10"/>
        <rFont val="Arial"/>
        <family val="2"/>
      </rPr>
      <t>) for the site indoor air concentration for each chemical in column D of the main table (see description for column D below).</t>
    </r>
  </si>
  <si>
    <t>numerical value, "No VP,", "No MW," or blank</t>
  </si>
  <si>
    <t>numerical value, "No VP," or blank</t>
  </si>
  <si>
    <t>Pink highlighting indicates VI carcinogenic risk greater than the target risk for carcinogens (TCR) or VI Hazard greater than or equal to the target hazard quotient for non-carcinogens (THQ).</t>
  </si>
  <si>
    <t>Calculated as average of m-xylene, o-xylene, and p-xylene isomers.</t>
  </si>
  <si>
    <t xml:space="preserve">Blue highlighting indicates exposure factors that are based on Risk Assessment Guidance for Superfund (RAGS) or EPA vapor intrusion guidance, which generally should not be changed. </t>
  </si>
  <si>
    <t>In the column where target groundwater concentration is calculated, a unit consistency error was corrected in the comparison of target groundwater concentration to solubility.</t>
  </si>
  <si>
    <t>Supporting worksheet that contains a compilation of physical and chemical properties of each chemical, which are used in the calculations for the VISL worksheet.  Not all parameters in the ChemProps table are used in the VISL.</t>
  </si>
  <si>
    <t>ATc_R_SG</t>
  </si>
  <si>
    <t>ATnc_R_SG</t>
  </si>
  <si>
    <t>ED_R_SG</t>
  </si>
  <si>
    <t>EF_R_SG</t>
  </si>
  <si>
    <t>ET_R_SG</t>
  </si>
  <si>
    <t>ATc_C_SG</t>
  </si>
  <si>
    <t>ATnc_C_SG</t>
  </si>
  <si>
    <t>ED_C_SG</t>
  </si>
  <si>
    <t>EF_C_SG</t>
  </si>
  <si>
    <t>ET_C_SG</t>
  </si>
  <si>
    <t>AFgw_C_SG</t>
  </si>
  <si>
    <t>AFss_C_SG</t>
  </si>
  <si>
    <t>AFgw_R_SG</t>
  </si>
  <si>
    <t>AFss_R_SG</t>
  </si>
  <si>
    <t>mIURTCE_R_SG</t>
  </si>
  <si>
    <t>IURTCE_R_SG</t>
  </si>
  <si>
    <t>mIURTCE_C_SG</t>
  </si>
  <si>
    <t>IURTCE_C_SG</t>
  </si>
  <si>
    <t>mIURTCE_SG</t>
  </si>
  <si>
    <t>IURTCE_SG</t>
  </si>
  <si>
    <t>AFss_SG</t>
  </si>
  <si>
    <t>AFgw_SG</t>
  </si>
  <si>
    <t>ET_SG</t>
  </si>
  <si>
    <t>EF_SG</t>
  </si>
  <si>
    <t>ED_SG</t>
  </si>
  <si>
    <t>ATnc_SG</t>
  </si>
  <si>
    <t>ATc_SG</t>
  </si>
  <si>
    <t>ATc_R_GW</t>
  </si>
  <si>
    <t>ATnc_R_GW</t>
  </si>
  <si>
    <t>ED_R_GW</t>
  </si>
  <si>
    <t>EF_R_GW</t>
  </si>
  <si>
    <t>ET_R_GW</t>
  </si>
  <si>
    <t>ATc_C_GW</t>
  </si>
  <si>
    <t>ATnc_C_GW</t>
  </si>
  <si>
    <t>ED_C_GW</t>
  </si>
  <si>
    <t>EF_C_GW</t>
  </si>
  <si>
    <t>ET_C_GW</t>
  </si>
  <si>
    <t>mIURTCE_GW</t>
  </si>
  <si>
    <t>IURTCE_GW</t>
  </si>
  <si>
    <t>ATc_GW</t>
  </si>
  <si>
    <t>Atnc_GW</t>
  </si>
  <si>
    <t>ED_GW</t>
  </si>
  <si>
    <t>EF_GW</t>
  </si>
  <si>
    <t>ET_GW</t>
  </si>
  <si>
    <t>AFgw_GW</t>
  </si>
  <si>
    <t>AFss_GW</t>
  </si>
  <si>
    <t>AFgw_R_GW</t>
  </si>
  <si>
    <t>AFss_R_GW</t>
  </si>
  <si>
    <t>AFgw_C_GW</t>
  </si>
  <si>
    <t>AFss_C_GW</t>
  </si>
  <si>
    <t>mIURTCE_R_GW</t>
  </si>
  <si>
    <t>IURTCE_R_GW</t>
  </si>
  <si>
    <t>mIURTCE_C_GW</t>
  </si>
  <si>
    <t>IURTCE_C_GW</t>
  </si>
  <si>
    <t>ATc_R_IA</t>
  </si>
  <si>
    <t>ATnc_R_IA</t>
  </si>
  <si>
    <t>ED_R_IA</t>
  </si>
  <si>
    <t>EF_R_IA</t>
  </si>
  <si>
    <t>ET_R_IA</t>
  </si>
  <si>
    <t>ATc_C_IA</t>
  </si>
  <si>
    <t>ATnc_C_IA</t>
  </si>
  <si>
    <t>ED_C_IA</t>
  </si>
  <si>
    <t>EF_C_IA</t>
  </si>
  <si>
    <t>ET_C_IA</t>
  </si>
  <si>
    <t>ATc_IA</t>
  </si>
  <si>
    <t>ATnc_IA</t>
  </si>
  <si>
    <t>ED_IA</t>
  </si>
  <si>
    <t>EF_IA</t>
  </si>
  <si>
    <t>ET_IA</t>
  </si>
  <si>
    <t>AFgw_IA</t>
  </si>
  <si>
    <t>AFss_IA</t>
  </si>
  <si>
    <t>AFgw_R_IA</t>
  </si>
  <si>
    <t>AFss_R_IA</t>
  </si>
  <si>
    <t>AFgw_C_IA</t>
  </si>
  <si>
    <t>AFss_C_IA</t>
  </si>
  <si>
    <t>mIURTCE_R_IA</t>
  </si>
  <si>
    <t>IURTCE_R_IA</t>
  </si>
  <si>
    <t>mIURTCE_C_IA</t>
  </si>
  <si>
    <t>IURTCE_C_IA</t>
  </si>
  <si>
    <t>mIURTCE_IA</t>
  </si>
  <si>
    <t>IURTCE_IA</t>
  </si>
  <si>
    <t>Enter target risk for carcinogens (for comparison to the calculated VI carcinogenic risk in column F)</t>
  </si>
  <si>
    <t>Enter target hazard quotient for non-carcinogens (for comparison to the calculated VI hazard in column G)</t>
  </si>
  <si>
    <t>Enter target risk for carcinogens (for comparison to the calculated VI carcinogenic risk in column E)</t>
  </si>
  <si>
    <t>Enter target hazard quotient for non-carcinogens (for comparison to the calculated VI hazard in column F)</t>
  </si>
  <si>
    <t>TCR_SG</t>
  </si>
  <si>
    <t>THQ_SG</t>
  </si>
  <si>
    <t>United States National Library of Medicine.  National Institutes of Health.  TOXNET Toxicology Data Network.</t>
  </si>
  <si>
    <t>National Institute of Standards and Technology (NIST).  Chemistry WebBook.</t>
  </si>
  <si>
    <t>Syracuse Research Corporation (SRC). 2005. PHYSPROP Database. SRC. Syracuse, NY.</t>
  </si>
  <si>
    <t>Cyclohexene</t>
  </si>
  <si>
    <t>110-83-8</t>
  </si>
  <si>
    <t>The indoor air concentration for carcinogenic chemicals (Cia,c) that results in a target risk for carcinogens equal to TCR.  The concentration is calculated using the inhalation unit risk and several exposure parameters for residential or commercial exposure to the chemical in air.  See table below for the inhalation pathway exposure parameters used.  The equation is as follows:
                  TCR x ATc x 365 (days/year) x 24 (hours/day)
Cia,c =      ----------------------------------------------------------------------
                                  EF x ED x ET x IUR
where TCR is the target risk for carcinogens, IUR is the inhalation unit risk, and  ATc, EF, ED, and ET are the default exposure parameters for residential or commercial exposure as appropriate.</t>
  </si>
  <si>
    <t>For vinyl chloride, the equation is:
                                                        TCR 
Cia,c =      --------------------------------------------------------------------------------------
                                 (IUR x EF x ED x ET x (1 day / 24 hours )
                      IUR +  ---------------------------------------------------------------
                                           (ATc x 365 (days/year)</t>
  </si>
  <si>
    <t>Aldicarb sulfoxide</t>
  </si>
  <si>
    <t>1646-87-3</t>
  </si>
  <si>
    <t>Boron Trichloride</t>
  </si>
  <si>
    <t>10294-34-5</t>
  </si>
  <si>
    <t>Chloroethanol, 2-</t>
  </si>
  <si>
    <t>107-07-3</t>
  </si>
  <si>
    <t>Nitrate + Nitrite (as N)</t>
  </si>
  <si>
    <t>117-84-0</t>
  </si>
  <si>
    <t>Thallium (I) Nitrate</t>
  </si>
  <si>
    <t>10102-45-1</t>
  </si>
  <si>
    <t>Thallium Acetate</t>
  </si>
  <si>
    <t>563-68-8</t>
  </si>
  <si>
    <t>Thallium Carbonate</t>
  </si>
  <si>
    <t>6533-73-9</t>
  </si>
  <si>
    <t>Thallium Chloride</t>
  </si>
  <si>
    <t>7791-12-0</t>
  </si>
  <si>
    <t>Thallium Sulfate</t>
  </si>
  <si>
    <t>7446-18-6</t>
  </si>
  <si>
    <t>Triacetin</t>
  </si>
  <si>
    <t>102-76-1</t>
  </si>
  <si>
    <t>Tris(1-chloro-2-propyl)phosphate</t>
  </si>
  <si>
    <t>13674-84-5</t>
  </si>
  <si>
    <t>Zirconium</t>
  </si>
  <si>
    <t>7440-67-7</t>
  </si>
  <si>
    <t>Cvp&gt;Cia,target</t>
  </si>
  <si>
    <t>Cvp &gt; Cia,target?</t>
  </si>
  <si>
    <r>
      <t>The AF</t>
    </r>
    <r>
      <rPr>
        <vertAlign val="subscript"/>
        <sz val="10"/>
        <rFont val="Arial"/>
        <family val="2"/>
      </rPr>
      <t>SS</t>
    </r>
    <r>
      <rPr>
        <sz val="10"/>
        <rFont val="Arial"/>
        <family val="2"/>
      </rPr>
      <t xml:space="preserve"> and AF</t>
    </r>
    <r>
      <rPr>
        <vertAlign val="subscript"/>
        <sz val="10"/>
        <rFont val="Arial"/>
        <family val="2"/>
      </rPr>
      <t>GW</t>
    </r>
    <r>
      <rPr>
        <sz val="10"/>
        <rFont val="Arial"/>
        <family val="2"/>
      </rPr>
      <t xml:space="preserve"> terms were removed from the calculation of whether the chemical is volatile and toxic enough to pose an inhalation risk or hazard via vapor intrusion.  Updated to November 2012 RSL toxicity and chemical parameter values.  One new chemical added (cyclohexene), and one chemical deleted (thiocyanate).  Toxicological parameters were updated for acetone cyanohydrin and methacrylonitrile.</t>
    </r>
  </si>
  <si>
    <t>numerical value, No HLC, or No S</t>
  </si>
  <si>
    <t>The vapor concentration above groundwater from the Henry's Law Constant and the pure component water solubility.
The other possible answers are:
No HLC, which means there was no Henry's Law Constant for the chemical.
No S, which means there was no pure component water solubility for the chemical.</t>
  </si>
  <si>
    <t>numerical value or No S</t>
  </si>
  <si>
    <t>The solubility of the chemical as a pure component in water.   If "No S" is listed, no pure component water solubility was available for the chemical.</t>
  </si>
  <si>
    <t>Chc&gt;Cia,target</t>
  </si>
  <si>
    <t>Chc &gt; Cia,target?</t>
  </si>
  <si>
    <t>Butylbenzene, sec-</t>
  </si>
  <si>
    <t>135-98-8</t>
  </si>
  <si>
    <t>Butylbenzene, tert-</t>
  </si>
  <si>
    <t>98-06-6</t>
  </si>
  <si>
    <t>Dinitrotoluene, Technical grade</t>
  </si>
  <si>
    <t>Tricresyl Phosphate (TCP)</t>
  </si>
  <si>
    <t>1330-78-5</t>
  </si>
  <si>
    <t>Tris(1,3-Dichloro-2-propyl) Phosphate</t>
  </si>
  <si>
    <t>13674-87-8</t>
  </si>
  <si>
    <t>7440-62-2</t>
  </si>
  <si>
    <t>PPRTV</t>
  </si>
  <si>
    <t>Yaws</t>
  </si>
  <si>
    <t>Updated to May 2013 RSL toxicity and chemical parameter values.  Two new chemicals identified as volatile in the RSL tables were added (sec-Butylbenzene and tert-Butylbenzene).</t>
  </si>
  <si>
    <t>Amyl Alcohol, tert-</t>
  </si>
  <si>
    <t>75-85-4</t>
  </si>
  <si>
    <t>Butylated hydroxytoluene</t>
  </si>
  <si>
    <t>128-37-0</t>
  </si>
  <si>
    <t>Dibenzothiophene</t>
  </si>
  <si>
    <t>132-65-0</t>
  </si>
  <si>
    <t>Ethyl Chloride (Chloroethane)</t>
  </si>
  <si>
    <t>Octahydro-1,3,5,7-tetranitro-1,3,5,7-tetrazocine (HMX)</t>
  </si>
  <si>
    <t>Phthalates</t>
  </si>
  <si>
    <t>Total Petroleum Hydrocarbons (Aliphatic High)</t>
  </si>
  <si>
    <t>Total Petroleum Hydrocarbons (Aliphatic Low)</t>
  </si>
  <si>
    <t>Total Petroleum Hydrocarbons (Aliphatic Medium)</t>
  </si>
  <si>
    <t>Total Petroleum Hydrocarbons (Aromatic High)</t>
  </si>
  <si>
    <t>Total Petroleum Hydrocarbons (Aromatic Low)</t>
  </si>
  <si>
    <t>Total Petroleum Hydrocarbons (Aromatic Medium)</t>
  </si>
  <si>
    <t>Updated to November 2013 RSL toxicity and chemical parameter values.  Six new chemicals identified as volatile in the RSL tables were added (tert-Amyl Alcohol, Dibenzothiophene, Total Petroleum Hydrocarbons (Aliphatic Low), Total Petroleum Hydrocarbons (Aliphatic Medium),Total Petroleum Hydrocarbons Aromatic Low), and Total Petroleum Hydrocarbons Aromatic Medium)).  The User's Guide was updated to discuss the representative compounds used for chemical data for the Total Petroleum Hydrocarbon chemicals.</t>
  </si>
  <si>
    <t>The user can enter the following information into the VISL worksheet to calculate target values for groundwater, soil gas (sub-slab and exterior), and indoor air:</t>
  </si>
  <si>
    <t>The original source of the inhalation unit risk factor in the EPA RSL worksheet.</t>
  </si>
  <si>
    <t>The reference concentration for the chemical (RfC), from the EPA RSL worksheet.  This is the potential noncancer hazard per unit concentration exposure associated with inhalation of the chemical.</t>
  </si>
  <si>
    <t>The original source of the reference concentration in the EPA RSL worksheet.</t>
  </si>
  <si>
    <t>The user can enter the following information into the SG_IA_calc worksheet to calculate risks and hazards from soil gas concentrations.</t>
  </si>
  <si>
    <t>The inhalation unit risk factor for the chemical (IUR), from the EPA RSL worksheet.  This is the potential carcinogenic risk per unit concentration exposure associated with inhalation of the chemical.</t>
  </si>
  <si>
    <t>The user can enter the following information into the GW_IA_calc worksheet to calculate risks and hazards from groundwater concentrations.</t>
  </si>
  <si>
    <t>The user can enter the following information into the IA_risk_calc worksheet to calculate risks and hazards from soil gas concentrations.</t>
  </si>
  <si>
    <t>Worksheet Summary:</t>
  </si>
  <si>
    <t>Worksheet Use:</t>
  </si>
  <si>
    <t>If modifications are made to values or scenarios, it is suggested the user save each file in order to capture those changes for future reproducibility.</t>
  </si>
  <si>
    <t xml:space="preserve">The user can enter an "x" into Column A to indicate which rows will be displayed.  To show only the chemicals with an "x" in Column A, use the "View Checked Chemicals" button, or use the autofilter arrow in cell A12 to uncheck the box for "(Blanks)".  The "View All Chemicals" button or the autofilter can be used to show all chemicals. </t>
  </si>
  <si>
    <t xml:space="preserve">The user can enter an "x" into Column A of the VISL worksheet to indicate which rows will be displayed. The values shown on the SG_IA_calc worksheet are carried over from the VISL worksheet. To show only the chemicals with an "x" in Column A, use the autofilter arrow in cell A12 to uncheck the box for "(Blanks)". The autofilter can also be used to show all chemicals. </t>
  </si>
  <si>
    <t xml:space="preserve">The user can enter an "x" into Column A of the VISL worksheet to indicate which rows will be displayed.  The values shown on the GW_IA_calc worksheet are carried over from the VISL worksheet. To show only the chemicals with an "x" in Column A, use the autofilter arrow in cell A12 to uncheck the box for "(Blanks)". The autofilter can also be used to show all chemicals. </t>
  </si>
  <si>
    <t xml:space="preserve">The user can enter an "x" into Column A of the VISL worksheet to indicate which rows will be displayed.  The values shown on the IA_risk_calc worksheet are carried over from the VISL worksheet. To show only the chemicals with an "x" in Column A, use the autofilter arrow in cell A12 to uncheck the box for "(Blanks)". The autofilter can also be used to show all chemicals. </t>
  </si>
  <si>
    <t>3.2.1</t>
  </si>
  <si>
    <t>Change to worksheet protection to re-enable the use of Autofilters on the VISL, SG_IA_calc, GW_IA_calc, and IA_risk_calc worksheets.  Minor editorial changes to the Column A descriptions for all four worksheets on the Navigation Guide.</t>
  </si>
  <si>
    <t>For trichloroethylene, two Cia,c values are calculated using the mutagenic and non-mutagenic components of the IUR, and the reciprocal of the sum of the reciprocals of those Cia,c values is used to calculate the Cia,c value, in accordance with the RSL guidance (EPA 2014).</t>
  </si>
  <si>
    <t>The carcinogenic risk from the vapor intrusion pathway for the chemical, calculated using the equation:
                           Cia x EF x ED x ET x IUR
CR =      ------------------------------------------------------------------
                   ATc x 365 (days/year) x 24 (hours/day)
where Cia is the indoor air concentration, IUR is the inhalation unit risk, and  ATc, EF, ED, and ET are the default exposure parameters for residential or commercial exposure as appropriate.
Special cases are used for mutagenic chemicals, vinyl chloride, and trichloroethylene.  For the equations used for these cases, refer to the VISL section of this Navigation Guide or the EPA RSL User's Guide (EPA 2014).</t>
  </si>
  <si>
    <t xml:space="preserve">Based on values reported in the U.S. EPA Regional Screening Tables.  May 2014.  </t>
  </si>
  <si>
    <t>Key: I = IRIS; P = PPRTV; A = ATSDR; C = Cal EPA; X = APPENDIX PPRTV SCREEN (See FAQ #27); H = HEAST; J = New Jersey; O = EPA Office of Water; F = See FAQ; E = Environmental Criteria and Assessment Office; S = see user guide Section 5; L = see user guide on lead; M = mutagen; V = volatile; R = RBA applied (See User Guide for Arsenic notice) ;  c = cancer; * = where: n SL &lt; 100X c SL; ** = where n SL &lt; 10X c SL; n = noncancer; m = Concentration may exceed ceiling limit (See User Guide); s = Concentration may exceed Csat (See User Guide); SSL values are based on DAF=1</t>
  </si>
  <si>
    <t>Azodicarbonamide</t>
  </si>
  <si>
    <t>123-77-3</t>
  </si>
  <si>
    <t>8.0E+01(F)</t>
  </si>
  <si>
    <t>Guanidine</t>
  </si>
  <si>
    <t>113-00-8</t>
  </si>
  <si>
    <t>Guanidine Chloride</t>
  </si>
  <si>
    <t>50-01-1</t>
  </si>
  <si>
    <t>11126-42-4</t>
  </si>
  <si>
    <t>GuideChem</t>
  </si>
  <si>
    <t>CHEM GUIDE</t>
  </si>
  <si>
    <t>16 - 26 years</t>
  </si>
  <si>
    <t>For mutagens, the same equation is used, except that an adjusted exposure duration is used in place of the standard exposure duration:
                  TCR x ATc x 365 (days/year) x 24 (hours/day)
Cia,c =      ----------------------------------------------------------------------
                                  EF x EDMMOA x ET x IUR
EDMMOA is calculated using the equation:
EDMMOA = (ED0-2 x AF0-2) + (ED2-6 x AF2-6) + (ED6-16 x AF6-16) + (ED16-26 x AF16-26)
where EDx-y is the exposure duration for the age cohort, and AFx-y is 10 for ages 0 to 2, 3 for ages 2 to 6 and 6 to 16, and 1 for ages 16 to 26 (EPA 2014).</t>
  </si>
  <si>
    <t>No, Yes, No VP, or No MW</t>
  </si>
  <si>
    <t>NVT, No VP, No MW, or numerical value</t>
  </si>
  <si>
    <t>The target indoor air concentration (Cia,target) will be one of the following depending on whether the chemical has an IUR, a RfC, or both:
IUR only:  Target indoor air concentration = Target indoor air concentration for carcinogens (Cia,c)
RfC only:  Target indoor air concentration = Target indoor air concentration for non-carcinogens (Cia,nc)
IUR and RfC: Target indoor air concentration = Minimum of target indoor air concentrations for carcinogens (Cia,c) and non-carcinogens (Cia,nc).
If the calculated target indoor air concentration is higher than the pure phase vapor concentration at 25 C, then "NVT" (for not sufficiently volatile and/or toxic to pose inhalation risk in selected exposure scenario for the indicated medium) is entered instead of a concentration value.
The other possible answers are:
No VP, which means there was no vapor pressure for the chemical.
No MW, which means there was no molecular weight for the chemical.</t>
  </si>
  <si>
    <t>Yes/no question with several other options:
Yes and no are self-explanatory, and are derived from logical inspection of the target sub-slab and exterior soil gas concentration.  Note that the soil gas attenuation factor is not used in this assessment.
The other possible answers are:
No VP, which means there was no vapor pressure for the chemical.
No MW, which means there was no molecular weight for the chemical.
Cvp is calculated in column K, which is hidden.</t>
  </si>
  <si>
    <t>Yes/no question with a several other options:
Yes and no are self-explanatory, and are derived from logical inspection of the target groundwater concentration.  Note that the groundwater attenuation factor is not used in this assessment.
The other possible answers are:
No VP, which means there was no vapor pressure for the chemical.
No MW, which means there was no molecular weight for the chemical.
Chc is calculated in column L, which is hidden.</t>
  </si>
  <si>
    <t>C or NC</t>
  </si>
  <si>
    <t>The toxicity basis for the target indoor air concentration, either carcinogenic (C) or non-carcinogenic (NC).</t>
  </si>
  <si>
    <t>3.3.1</t>
  </si>
  <si>
    <t>Reinstated 6 chemicals that were inadvertently deleted from the SG_IA_calc worksheet during the version 3.3 update.</t>
  </si>
  <si>
    <t>p,p'-DDE</t>
  </si>
  <si>
    <t>1,1-Dimethylhydrazine</t>
  </si>
  <si>
    <t>1,2-Dimethylhydrazine</t>
  </si>
  <si>
    <t>1,4-Dioxiane</t>
  </si>
  <si>
    <t>2-Ethyoxyethanol Acetate</t>
  </si>
  <si>
    <t>2-Ethyoxyethanol</t>
  </si>
  <si>
    <t>2-Methoxyethanol Acetate</t>
  </si>
  <si>
    <t>N-Nitrosodimethylamine</t>
  </si>
  <si>
    <t>N-Nitrosomethylethylamine</t>
  </si>
  <si>
    <t>hc</t>
  </si>
  <si>
    <t>2,3,7,8-Tetrachlorodibenzo-p-dioxin</t>
  </si>
  <si>
    <t>If the source has a trailing "e" the value is an estimated value rather than an experimental value.</t>
  </si>
  <si>
    <t>NVT, No VP, No MW, No S, No HLC, or numerical value</t>
  </si>
  <si>
    <r>
      <t>The equation for the target groundwater concentration (Cgw) is:
                     Cia,target
Cgw = ------------------------------------------
            AFgw x (1000 L/m</t>
    </r>
    <r>
      <rPr>
        <vertAlign val="superscript"/>
        <sz val="10"/>
        <rFont val="Arial"/>
        <family val="2"/>
      </rPr>
      <t>3</t>
    </r>
    <r>
      <rPr>
        <sz val="10"/>
        <rFont val="Arial"/>
        <family val="2"/>
      </rPr>
      <t>) x HLC
where Cia is the target indoor air concentration, AFgw is the generic attenuation factor for groundwater (default value = 0.001) and HLC is Henry's Law Constant.
If the calculated target groundwater concentration is higher than the pure component water solubility, then "NVT" (for not sufficiently volatile and/or toxic to pose inhalation risk in selected exposure scenario for the indicated medium) is entered instead of a concentration value.
The other possible answers are:
No VP, which means there was no vapor pressure for the chemical.
No MW, which means there was no molecular weight for the chemical.
No S, which means there was no water solubility for the chemical.
No HLC, which means that there was no Henry's Law Constant for the chemical.</t>
    </r>
  </si>
  <si>
    <t>An "r" suffix indicates that the reported boiling point is a range.  The lowest value of the range was used.</t>
  </si>
  <si>
    <t>The indoor air concentration is calculated from the site groundwater concentration, using the generic attenuation factor for indoor air from groundwater.  No HLC means that there was no Henry's Law Constant for the chemical.</t>
  </si>
  <si>
    <t>Dibromobenzene, 1,3-</t>
  </si>
  <si>
    <t>108-36-1</t>
  </si>
  <si>
    <t>7446-27-7</t>
  </si>
  <si>
    <t>64742-95-6</t>
  </si>
  <si>
    <t>Nickel Acetate</t>
  </si>
  <si>
    <t>373-02-4</t>
  </si>
  <si>
    <t>Nickel Carbonate</t>
  </si>
  <si>
    <t>3333-67-3</t>
  </si>
  <si>
    <t>Nickel Hydroxide</t>
  </si>
  <si>
    <t>12054-48-7</t>
  </si>
  <si>
    <t>Nickelocene</t>
  </si>
  <si>
    <t>1271-28-9</t>
  </si>
  <si>
    <t>375-73-5</t>
  </si>
  <si>
    <t>Potassium Perfluorobutane Sulfonate</t>
  </si>
  <si>
    <t>29420-49-3</t>
  </si>
  <si>
    <t>Styrene-Acrylonitrile (SAN) Trimer</t>
  </si>
  <si>
    <t>Sulfur Trioxide</t>
  </si>
  <si>
    <t>Triethylene Glycol</t>
  </si>
  <si>
    <t>112-27-6</t>
  </si>
  <si>
    <t>n-Butylbenzene</t>
  </si>
  <si>
    <t>sec-Butylbenzene</t>
  </si>
  <si>
    <t>tert-Butylbenzene</t>
  </si>
  <si>
    <t>2-Chloroacetaldehyde</t>
  </si>
  <si>
    <t>1-Chlorobutane</t>
  </si>
  <si>
    <t>beta-Chloronaphthalene</t>
  </si>
  <si>
    <t>2-Chlorophenol</t>
  </si>
  <si>
    <t>o-Chlorotoluene</t>
  </si>
  <si>
    <t>p-Chlorotoluene</t>
  </si>
  <si>
    <t>2-Butenal</t>
  </si>
  <si>
    <t>cis-1,2-Dichloroethylene</t>
  </si>
  <si>
    <t>trans-1,2-Dichloroethylene</t>
  </si>
  <si>
    <t>1,3-Dichloropropane</t>
  </si>
  <si>
    <t>N,N-Dimethylaniline</t>
  </si>
  <si>
    <t>1,4-Dithiane</t>
  </si>
  <si>
    <t>1-Methylnaphthalene</t>
  </si>
  <si>
    <t>2-Methylnaphthalene</t>
  </si>
  <si>
    <t>r</t>
  </si>
  <si>
    <t>o-Nitrotoluene</t>
  </si>
  <si>
    <t>1,3,5-Trimethylbenzene</t>
  </si>
  <si>
    <t xml:space="preserve">Does the chemical meet the definition for volatility? </t>
  </si>
  <si>
    <t>Soil Partition Coefficients</t>
  </si>
  <si>
    <t>BAES</t>
  </si>
  <si>
    <t>Water Partition Coefficient</t>
  </si>
  <si>
    <t>ChemProps?</t>
  </si>
  <si>
    <t>ToxSum?</t>
  </si>
  <si>
    <t>Diffusivity in Air and Water</t>
  </si>
  <si>
    <t xml:space="preserve">California Environmental Protection Agency.  Consumer Products Solvents Database.  Entry for "Aromatic 150".  2004. </t>
  </si>
  <si>
    <t>If the source has a trailing "ex" the value is an extrapolated value. Extrapolated data is based upon experimental measurement outside the temperature range of the reported value.</t>
  </si>
  <si>
    <t>D. Perry. Handbook of Inorganic Compounds, 2nd Edition (May 2011)</t>
  </si>
  <si>
    <t>Does chemical have inhalation toxicity data?</t>
  </si>
  <si>
    <t>(IUR and/or RfC)</t>
  </si>
  <si>
    <t>Has Tox Data?</t>
  </si>
  <si>
    <t>on chemprops page</t>
  </si>
  <si>
    <t>NA (Thiocyanates)</t>
  </si>
  <si>
    <t>NA (Dibutyltin Compounds)</t>
  </si>
  <si>
    <t>NA (Diesel Engine Exhaust)</t>
  </si>
  <si>
    <t>NA (Dinitrotoluene Mixture)</t>
  </si>
  <si>
    <t>NA (Nickel Refinery Dust)</t>
  </si>
  <si>
    <t>NA (Nitrate + Nitrite)</t>
  </si>
  <si>
    <t>NA (Ceramic Fibers)</t>
  </si>
  <si>
    <t>NA (Tributyltin Compounds)</t>
  </si>
  <si>
    <t>NA (Uranium Salts)</t>
  </si>
  <si>
    <t>NA (Hexachlorodibenzo-p-dioxin, Mixture)</t>
  </si>
  <si>
    <t>Main worksheet where the user can enter the scenario, risk information, and select chemicals to calculate the target values for groundwater, soil gas (sub-slab and exterior), and indoor air.  The tool calculates target values for cancer risk (including mutagenic-mode-of-action) and noncancer hazard.  It is designed to correctly handle chemicals such as trichloroethylene (which has cancer risk from both the standard and  mutagenic modes of action), and vinyl chloride (which uses a special cancer risk equation). Note that all chemicals from the RSLs are included on this worksheet, but screening levels are only calculated for chemicals that are both volatile and have inhalation toxicity data. For convenience, the cells are filtered to display only the chemicals with screening levels, but users can change this setting.</t>
  </si>
  <si>
    <t>Forward risk calculator where the user can enter the scenario, risk information, soil gas concentrations, and select chemicals to calculate indoor air concentration and indoor air risk. Only includes volatile chemicals with inhalation toxicity data.</t>
  </si>
  <si>
    <t>Forward risk calculator where the user can enter the scenario, risk information, groundwater concentrations, and select chemicals to calculate indoor air concentration and indoor air risk. Only includes volatile chemicals with inhalation toxicity data.</t>
  </si>
  <si>
    <t>Forward risk calculator where the user can enter the scenario, risk information, indoor air concentrations, and select chemicals to calculate indoor air risk. Only includes volatile chemicals with inhalation toxicity data.</t>
  </si>
  <si>
    <t>Supporting worksheet that is a duplicate of the "Summary" table from the latest update (Nov. 2014) of the EPA RSL table.</t>
  </si>
  <si>
    <t>Supporting worksheet that is a duplicate of the "Parameters" table from the latest update (Nov. 2014) of the EPA RSL table.</t>
  </si>
  <si>
    <t>M (this column is hidden)</t>
  </si>
  <si>
    <t>N (this column is hidden)</t>
  </si>
  <si>
    <t>Does the chemical meet the definition for volatility?</t>
  </si>
  <si>
    <t>Yes, No, Unknown</t>
  </si>
  <si>
    <t>Yes, No</t>
  </si>
  <si>
    <t>This column indicates if a chemical meets the criteria for volatility, either a Vapor Pressure &gt; 1, or a Henry's Law Constant &gt; 10E-5. If those values are not available, then it is listed as unknown.</t>
  </si>
  <si>
    <t xml:space="preserve">Indicates if a chemical has an RfC or an IUR. </t>
  </si>
  <si>
    <t>VC</t>
  </si>
  <si>
    <t>TCE</t>
  </si>
  <si>
    <t>Is Volatile? VP&gt;1 or HLC&gt;10E-5</t>
  </si>
  <si>
    <t>yes/no/unknown</t>
  </si>
  <si>
    <t>Does the chemical meet the criteria for volatility (HLC &gt; 10E-5 and/or VP &gt; 1)</t>
  </si>
  <si>
    <t>(HLC&gt;1E-5 or VP&gt;1)</t>
  </si>
  <si>
    <t>Tris(2,3-dibromopropyl)phosphate</t>
  </si>
  <si>
    <t>126-72-7</t>
  </si>
  <si>
    <t>HSDB</t>
  </si>
  <si>
    <t>PubChem</t>
  </si>
  <si>
    <t>OTHER</t>
  </si>
  <si>
    <t>PhysProp</t>
  </si>
  <si>
    <t>MSDS</t>
  </si>
  <si>
    <t>VP Ref</t>
  </si>
  <si>
    <t>NIOSH</t>
  </si>
  <si>
    <t>ChemNet</t>
  </si>
  <si>
    <t>LookChem</t>
  </si>
  <si>
    <t>USDA ARS</t>
  </si>
  <si>
    <t>l</t>
  </si>
  <si>
    <t>has tox?</t>
  </si>
  <si>
    <t>No HLC</t>
  </si>
  <si>
    <t>WATER9</t>
  </si>
  <si>
    <t>EPISUITE</t>
  </si>
  <si>
    <t>NIST</t>
  </si>
  <si>
    <t xml:space="preserve">Perry </t>
  </si>
  <si>
    <t>TOXNET</t>
  </si>
  <si>
    <t>TOXNET (range)</t>
  </si>
  <si>
    <t>EPI (converted)</t>
  </si>
  <si>
    <t>TOXNET (converted)</t>
  </si>
  <si>
    <t>TOXNET (converted) (range)</t>
  </si>
  <si>
    <t>Approx. from Tcrit=1.5xTBoil</t>
  </si>
  <si>
    <t>CRC</t>
  </si>
  <si>
    <t>MSDS (converted)</t>
  </si>
  <si>
    <t>Merck</t>
  </si>
  <si>
    <t>Weiss</t>
  </si>
  <si>
    <t>DECHEMA</t>
  </si>
  <si>
    <t>NIST (converted)</t>
  </si>
  <si>
    <t>Weast</t>
  </si>
  <si>
    <t>Aroclor 1016</t>
  </si>
  <si>
    <t>Aroclor 1221</t>
  </si>
  <si>
    <t>Aroclor 1232</t>
  </si>
  <si>
    <t>Aroclor 1242</t>
  </si>
  <si>
    <t>Aroclor 1248</t>
  </si>
  <si>
    <t>Aroclor 1254</t>
  </si>
  <si>
    <t>Aroclor 1260</t>
  </si>
  <si>
    <t>Benz[a]anthracene</t>
  </si>
  <si>
    <t>Cyanide (CN-)</t>
  </si>
  <si>
    <t>Heptachlorobiphenyl, 2,3,3',4,4',5,5'- (PCB 189)</t>
  </si>
  <si>
    <t>Hexachlorobiphenyl, 2,3,3',4,4',5- (PCB 156)</t>
  </si>
  <si>
    <t>Hexachlorobiphenyl, 2,3,3',4,4',5'- (PCB 157)</t>
  </si>
  <si>
    <t>Hexachlorobiphenyl, 2,3',4,4',5,5'- (PCB 167)</t>
  </si>
  <si>
    <t>Hexachlorobiphenyl, 3,3',4,4',5,5'- (PCB 169)</t>
  </si>
  <si>
    <t>Hydrogen Cyanide</t>
  </si>
  <si>
    <t>Mercury (elemental)</t>
  </si>
  <si>
    <t>Naphthalene</t>
  </si>
  <si>
    <t>Pentachlorobiphenyl, 2,3,3',4,4'- (PCB 105)</t>
  </si>
  <si>
    <t>Pentachlorobiphenyl, 2,3,4,4',5- (PCB 114)</t>
  </si>
  <si>
    <t>Pentachlorobiphenyl, 2,3',4,4',5- (PCB 118)</t>
  </si>
  <si>
    <t>Pentachlorobiphenyl, 2',3,4,4',5- (PCB 123)</t>
  </si>
  <si>
    <t>Pentachlorobiphenyl, 3,3',4,4',5- (PCB 126)</t>
  </si>
  <si>
    <t>TCDD, 2,3,7,8-</t>
  </si>
  <si>
    <t>Tetrachlorobiphenyl, 3,4,4',5- (PCB 81)</t>
  </si>
  <si>
    <t>Tetrahydrofuran</t>
  </si>
  <si>
    <t>RSLS</t>
  </si>
  <si>
    <t>SSG</t>
  </si>
  <si>
    <t>EPA2001</t>
  </si>
  <si>
    <t>McKay</t>
  </si>
  <si>
    <t>Perry</t>
  </si>
  <si>
    <t>This Vapor Intrusion Screening Level (VISL) Calculator is a technical resource, developed by the U.S. Environmental Protection Agency (EPA) that: (1) identifies chemicals considered to be typically vapor-forming under environmental conditions and known to pose a potential cancer risk or noncancer hazard through the inhalation pathway; (2) provides generally recommended screening-level concentrations for groundwater, near-source soil gas (exterior to buildings), sub-slab soil gas, and indoor air; and (3) facilitates calculation of site-specific screening levels and/or candidate risk-based cleanup levels based on user-defined target risk levels, exposure scenarios, and semi-site-specific or site-specific attenuation factors.</t>
  </si>
  <si>
    <t>Please refer to OSWER Publication 9200.2-154 (OSWER Technical Guide for Assessing and Mitigating the Vapor Intrusion Pathway From Subsurface Vapor Sources to Indoor Air) (EPA 2015) for additional information on vapor intrusion and EPA’s recommendations for assessing the vapor intrusion pathway pursuant to the Comprehensive Environmental Response, Compensation, and Liability Act (CERCLA) and the Resource Conservation and Recovery Act.</t>
  </si>
  <si>
    <t>The list of vapor-forming substances warranting consideration for potential vapor intrusion and the VISL values may be modified in the future. For example, new inhalation toxicity values may become available in the future.</t>
  </si>
  <si>
    <t>Citations:</t>
  </si>
  <si>
    <t>http://www.epa.gov/oswer/vaporintrusion/ </t>
  </si>
  <si>
    <r>
      <t xml:space="preserve">EPA (2015). </t>
    </r>
    <r>
      <rPr>
        <i/>
        <sz val="10"/>
        <rFont val="Arial"/>
        <family val="2"/>
      </rPr>
      <t>OSWER Technical Guide for Assessing and Mitigating the Vapor Intrusion Pathway from Subsurface Vapor Sources to Indoor Air</t>
    </r>
    <r>
      <rPr>
        <sz val="10"/>
        <rFont val="Arial"/>
        <family val="2"/>
      </rPr>
      <t xml:space="preserve">. Office of Solid Waste and Emergency Response, Washington, DC.  OSWER Publication 9200.2-154. June. </t>
    </r>
  </si>
  <si>
    <t>EPA. (2014). Human Health Evaluation Manual, Supplemental Guidance: Update of Standard Default Exposure Factors. Memorandum from Dana Stalcup. Office of Superfund Remediation and Technology Innovation, Washington, D.C. February 6.</t>
  </si>
  <si>
    <t>http://www.epa.gov/oswer/riskassessment/pdf/superfund-hh-exposure/OSWER-Directive-9200-1-120-ExposureFactors.pdf</t>
  </si>
  <si>
    <t>http://www.epa.gov/oswer/riskassessment/ragsf/index.htm</t>
  </si>
  <si>
    <t>EPA. (2015). Regional Screening Levels for Chemical Contaminants at Superfund Sites.  June.</t>
  </si>
  <si>
    <t>The primary objective of risk-based screening is to identify sites or buildings unlikely to pose a health concern through the vapor intrusion pathway. Generally, at properties where subsurface concentrations of vapor-forming chemicals (e.g., groundwater or “near source” soil gas concentrations) fall below screening levels (i.e., VISLs), no further action or study is warranted, so long as the exposure assumptions match those taken into account by the calculations and the site fulfills the conditions and assumptions of the generic conceptual model underlying the screening levels. In a similar fashion, the results of risk-based screening can help the data review team identify areas, buildings, and/or chemicals that can be eliminated from further assessment. The generic conceptual model underlying these screening levels is described in OSWER Publication 9200.2-154 (OSWER Technical Guide for Assessing and Mitigating the Vapor Intrusion Pathway From Subsurface Vapor Sources to Indoor Air) (EPA 2015; Section 6.5)</t>
  </si>
  <si>
    <t>EPA developed vapor intrusion screening levels (VISLs) for human health protection that are generally recommended, medium-specific, risk-based screening-level concentrations intended for use in identifying areas or buildings that may warrant further investigation of the vapor intrusion pathway. These VISLs are based on: current toxicity values selected considering OSWER’s hierarchy of sources for toxicity values (EPA 2003); physical-chemical parameters for vapor-forming chemicals (available on the 'Chem Props' tab); and EPA-recommended approaches for human health risk assessment (e.g., EPA 2009, 2014).</t>
  </si>
  <si>
    <t>1336-36-3</t>
  </si>
  <si>
    <t>7446-11-9</t>
  </si>
  <si>
    <t>Toxnet HSDB</t>
  </si>
  <si>
    <t>ATSDR Profile</t>
  </si>
  <si>
    <t>3.4.1</t>
  </si>
  <si>
    <t>3.4.2</t>
  </si>
  <si>
    <t>Bug fix: mutagenic indicator column notation corrected for TCE in the forward risk calculators</t>
  </si>
  <si>
    <t>3.4.3</t>
  </si>
  <si>
    <t>3.4.4</t>
  </si>
  <si>
    <t>Bug fix: formula in chem props column O (HLC at T_GW) was not applied to all cells. Corrected formula.</t>
  </si>
  <si>
    <t>463-58-1</t>
  </si>
  <si>
    <t>Carbonyl Sulfide</t>
  </si>
  <si>
    <t>111-77-3</t>
  </si>
  <si>
    <t>541-25-3</t>
  </si>
  <si>
    <t>Lewisite</t>
  </si>
  <si>
    <t>88-89-1</t>
  </si>
  <si>
    <t>Picric Acid (2,4,6-Trinitrophenol)</t>
  </si>
  <si>
    <t>13472-45-2</t>
  </si>
  <si>
    <t>10213-10-2</t>
  </si>
  <si>
    <t>Sodium Tungstate</t>
  </si>
  <si>
    <t>Sodium Tungstate Dihydrate</t>
  </si>
  <si>
    <t>420-46-2</t>
  </si>
  <si>
    <t>25167-70-8</t>
  </si>
  <si>
    <t>7440-33-7</t>
  </si>
  <si>
    <t>Trifluoroethane, 1,1,1-</t>
  </si>
  <si>
    <t>Trimethylpentene, 2,4,4-</t>
  </si>
  <si>
    <t>Tungsten</t>
  </si>
  <si>
    <t>Ethanol, 2-(2-methoxyethoxy)-</t>
  </si>
  <si>
    <t>No Hc25</t>
  </si>
  <si>
    <t>Azinphos-methyl</t>
  </si>
  <si>
    <t>Benfluralin</t>
  </si>
  <si>
    <t>Bensulfuron-methyl</t>
  </si>
  <si>
    <t>Butyl Benzyl Phthalate</t>
  </si>
  <si>
    <t>Chlorthal-dimethyl</t>
  </si>
  <si>
    <t>Clofentezine</t>
  </si>
  <si>
    <t>Cyfluthrin</t>
  </si>
  <si>
    <t>Cyhalothrin</t>
  </si>
  <si>
    <t>Daminozide</t>
  </si>
  <si>
    <t>Dicrotophos</t>
  </si>
  <si>
    <t>Fenvalerate</t>
  </si>
  <si>
    <t>Flusilazole</t>
  </si>
  <si>
    <t>Hexythiazox</t>
  </si>
  <si>
    <t>Hydramethylnon</t>
  </si>
  <si>
    <t>Imazethapyr</t>
  </si>
  <si>
    <t>Metsulfuron-methyl</t>
  </si>
  <si>
    <t>Myclobutanil</t>
  </si>
  <si>
    <t>Oxyfluorfen</t>
  </si>
  <si>
    <t>Propyzamide</t>
  </si>
  <si>
    <t>Quizalofop-ethyl</t>
  </si>
  <si>
    <t>Sulfurous acid, 2-chloroethyl 2-[4-(1,1-dimethylethyl)phenoxy]-1-methylethyl ester</t>
  </si>
  <si>
    <t>Thifensulfuron-methyl</t>
  </si>
  <si>
    <t>Triadimefon</t>
  </si>
  <si>
    <t>Tribenuron-methyl</t>
  </si>
  <si>
    <t>NCBI</t>
  </si>
  <si>
    <t>Tetrachlorobiphenyl, 3,3',4,4'- (PCB 77)</t>
  </si>
  <si>
    <t>Acenaphthene</t>
  </si>
  <si>
    <t>Anthracene</t>
  </si>
  <si>
    <t>Chloronaphthalene, Beta-</t>
  </si>
  <si>
    <t>Cyanogen</t>
  </si>
  <si>
    <t>Cyanogen Chloride</t>
  </si>
  <si>
    <t>Dibenzofuran</t>
  </si>
  <si>
    <t>Dimethylterephthalate</t>
  </si>
  <si>
    <t>Fluorene</t>
  </si>
  <si>
    <t>Furan</t>
  </si>
  <si>
    <t>Methylnaphthalene, 1-</t>
  </si>
  <si>
    <t>Methylnaphthalene, 2-</t>
  </si>
  <si>
    <t>Pyrene</t>
  </si>
  <si>
    <t>Cyanogen Bromide</t>
  </si>
  <si>
    <t>Tetraethyl Lead</t>
  </si>
  <si>
    <t>Phenylmercuric Acetate</t>
  </si>
  <si>
    <t>Bis(2-ethylhexyl)phthalate</t>
  </si>
  <si>
    <t>Butylphthalyl Butylglycolate</t>
  </si>
  <si>
    <t>Dibutyl Phthalate</t>
  </si>
  <si>
    <t>Diethyl Phthalate</t>
  </si>
  <si>
    <t>Octyl Phthalate, di-N-</t>
  </si>
  <si>
    <t>Phthalic Acid, P-</t>
  </si>
  <si>
    <t>Phthalic Anhydride</t>
  </si>
  <si>
    <t>Aroclor 5460</t>
  </si>
  <si>
    <t>Benzo(j)fluoranthene</t>
  </si>
  <si>
    <t>Benzo[a]pyrene</t>
  </si>
  <si>
    <t>Benzo[b]fluoranthene</t>
  </si>
  <si>
    <t>Benzo[k]fluoranthene</t>
  </si>
  <si>
    <t>Chrysene</t>
  </si>
  <si>
    <t>Dibenz[a,h]anthracene</t>
  </si>
  <si>
    <t>Dibenzo(a,e)pyrene</t>
  </si>
  <si>
    <t>Dimethylbenz(a)anthracene, 7,12-</t>
  </si>
  <si>
    <t>Fluoranthene</t>
  </si>
  <si>
    <t>Indeno[1,2,3-cd]pyrene</t>
  </si>
  <si>
    <t>Nitropyrene, 4-</t>
  </si>
  <si>
    <t>Mercuric Chloride (and other Mercury salts)</t>
  </si>
  <si>
    <t>Monosodium phosphate</t>
  </si>
  <si>
    <t>Tetrasodium pyrophosphate</t>
  </si>
  <si>
    <t>Trisodium phosphate</t>
  </si>
  <si>
    <t>Calcium Cyanide</t>
  </si>
  <si>
    <t>Copper Cyanide</t>
  </si>
  <si>
    <t>Potassium Cyanide</t>
  </si>
  <si>
    <t>Potassium Silver Cyanide</t>
  </si>
  <si>
    <t>Silver Cyanide</t>
  </si>
  <si>
    <t>Sodium Cyanide</t>
  </si>
  <si>
    <t>Thiocyanic Acid</t>
  </si>
  <si>
    <t>Zinc Cyanide</t>
  </si>
  <si>
    <t>Lead Phosphate</t>
  </si>
  <si>
    <t>Lead acetate</t>
  </si>
  <si>
    <t>Lead and Compounds</t>
  </si>
  <si>
    <t>Lead subacetate</t>
  </si>
  <si>
    <t>Methyl Mercury</t>
  </si>
  <si>
    <t>Ammonium Perchlorate</t>
  </si>
  <si>
    <t>Lithium Perchlorate</t>
  </si>
  <si>
    <t>Perchlorate and Perchlorate Salts</t>
  </si>
  <si>
    <t>Potassium Perchlorate</t>
  </si>
  <si>
    <t>Sodium Perchlorate</t>
  </si>
  <si>
    <t>Aluminum metaphosphate</t>
  </si>
  <si>
    <t>Ammonium polyphosphate</t>
  </si>
  <si>
    <t>Calcium pyrophosphate</t>
  </si>
  <si>
    <t>Diammonium phosphate</t>
  </si>
  <si>
    <t>Dicalcium phosphate</t>
  </si>
  <si>
    <t>Dimagnesium phosphate</t>
  </si>
  <si>
    <t>Dipotassium phosphate</t>
  </si>
  <si>
    <t>Disodium phosphate</t>
  </si>
  <si>
    <t>Monoaluminum phosphate</t>
  </si>
  <si>
    <t>Monoammonium phosphate</t>
  </si>
  <si>
    <t>Monocalcium phosphate</t>
  </si>
  <si>
    <t>Monomagnesium phosphate</t>
  </si>
  <si>
    <t>Monopotassium phosphate</t>
  </si>
  <si>
    <t>Polyphosphoric acid</t>
  </si>
  <si>
    <t>Potassium tripolyphosphate</t>
  </si>
  <si>
    <t>Sodium acid pyrophosphate</t>
  </si>
  <si>
    <t>Sodium aluminum phosphate (acidic)</t>
  </si>
  <si>
    <t>Sodium aluminum phosphate (anhydrous)</t>
  </si>
  <si>
    <t>Sodium aluminum phosphate (tetrahydrate)</t>
  </si>
  <si>
    <t>Sodium hexametaphosphate</t>
  </si>
  <si>
    <t>Sodium polyphosphate</t>
  </si>
  <si>
    <t>Sodium trimetaphosphate</t>
  </si>
  <si>
    <t>Sodium tripolyphosphate</t>
  </si>
  <si>
    <t>Tetrapotassium phosphate</t>
  </si>
  <si>
    <t>Trialuminum sodium tetra decahydrogenoctaorthophosphate (dihydrate)</t>
  </si>
  <si>
    <t>Tricalcium phosphate</t>
  </si>
  <si>
    <t>Trimagnesium phosphate</t>
  </si>
  <si>
    <t>Tripotassium phosphate</t>
  </si>
  <si>
    <t>Thiocyanates</t>
  </si>
  <si>
    <t>Hexachlorodibenzo-p-dioxin, Mixture</t>
  </si>
  <si>
    <t>MP Ref</t>
  </si>
  <si>
    <t>Polychlorinated Biphenyls (high risk)</t>
  </si>
  <si>
    <t>Polychlorinated Biphenyls (low risk)</t>
  </si>
  <si>
    <t>Polychlorinated Biphenyls (lowest risk)</t>
  </si>
  <si>
    <t>3.4.5</t>
  </si>
  <si>
    <t>No MW</t>
  </si>
  <si>
    <t>Maximum Groundwater Vapor Conc.</t>
  </si>
  <si>
    <t>Bug fix: removed filters that were confusing some users; removed SL calculations for chemicals not meeting criteria for volatility and toxicity</t>
  </si>
  <si>
    <t>Bug fix: navigation tab documentation updated to reflect change in default attenuation factors</t>
  </si>
  <si>
    <t>Temperature for Max. Groundwater Vapor Conc.</t>
  </si>
  <si>
    <t>Incorporated all chemicals with toxicity values and RSLs. Added columns to indicate if they met volatility and toxicity criteria to be designated as "vapor-forming chemicals." Screening levels (SLs) are provided only for chemicals meeting both criteria. Updated attenuation factors to match recommendations in OSWER VI Guide. Incorporated volatility criteria from OSWER VI Guide (VP&gt;1 OR HLC&gt;0.00001). Removed TPHs and JP-7 (petroleum exclusion) and "Total PCBs." Corrected code throughout, fixed selector function, removed highlighting. Up to date with tox values from the spring 2015 RSLs.</t>
  </si>
  <si>
    <t>Updated to May 2014 RSL toxicity and chemical parameter values.  Removed chemicals with no reference concentration and no inhalation unit risk.  Removed TPH analytes, including JP-7 and HFAN.  Corrected a bug on the SG_IA_calc worksheet that displayed the attenuation factor for groundwater incorrectly for the commercial scenario (note that this value is not used on that worksheet, so no modeled results were affected in previous version).  Because the reference concentration for trans-1,2-dichloroethylene was removed from the RSL table, that chemical was also removed from the VISL.  Toxicological parameters were updated for dicyclopentadiene.  Residential exposure duration changed from 30 year to 26 years to agree with updates to the default exposure factors in OSWER Directive 9200.1-120.</t>
  </si>
  <si>
    <t>Updated chemical list, physical properties, and toxicity data to align with Nov 2015 RSLs. Minor editorial changes to Version Notes and some header cells in VISL Tab.</t>
  </si>
  <si>
    <t>Mut</t>
  </si>
  <si>
    <t>3.4.6</t>
  </si>
  <si>
    <t>Updated and corrected mutagen indicators, added code to prevent future discrepancies between sheets in workbook.</t>
  </si>
  <si>
    <t>The target sub-slab and exterior soil gas concentration (Csg) is the target indoor air concentration divided by the generic attenuation factor for soil gas (default value = 0.03).
                     Cia,target
Csg = --------------------------
                      AFss
If the calculated target soil gas concentration is higher than the pure phase vapor concentration at 25 C, then "NVT" (for not sufficiently volatile and/or toxic to pose inhalation risk in selected exposure scenario for the indicated medium) is entered instead of a concentration value.
The other possible answers are:
No VP, which means there was no vapor pressure for the chemical.
No MW, which means there was no molecular weight for the chemical.</t>
  </si>
  <si>
    <t>Butanoic acid, 4-(2,4-dichlorophenoxy)-</t>
  </si>
  <si>
    <t>Perfluorobutane sulfonic acid (PFBS)</t>
  </si>
  <si>
    <t>Phenol, 2-(1-methylethoxy)-, methylcarbamate</t>
  </si>
  <si>
    <t>Toluidine, o- (Methylaniline, 2-)</t>
  </si>
  <si>
    <t>95-53-4</t>
  </si>
  <si>
    <t>No</t>
  </si>
  <si>
    <t>Yes</t>
  </si>
  <si>
    <t>WATER9 (U.S. EPA, 2001)</t>
  </si>
  <si>
    <t>No DW</t>
  </si>
  <si>
    <t>IRIS Profile</t>
  </si>
  <si>
    <t>CHR Australia</t>
  </si>
  <si>
    <t>No VP</t>
  </si>
  <si>
    <t>No S</t>
  </si>
  <si>
    <t>Ma  et al 2010</t>
  </si>
  <si>
    <t>PHYSPROP VP/S</t>
  </si>
  <si>
    <t>Aminophenol, o-</t>
  </si>
  <si>
    <t>95-55-6</t>
  </si>
  <si>
    <t>Chlorobenzene sulfonic acid, p-</t>
  </si>
  <si>
    <t>98-66-8</t>
  </si>
  <si>
    <t>Guanidine Nitrate</t>
  </si>
  <si>
    <t>506-93-4</t>
  </si>
  <si>
    <t>Heptane, N-</t>
  </si>
  <si>
    <t>142-82-5</t>
  </si>
  <si>
    <t>Mercaptobenzothiazole, 2-</t>
  </si>
  <si>
    <t>149-30-4</t>
  </si>
  <si>
    <t>Perfluorobutanesulfonate</t>
  </si>
  <si>
    <t>45187-15-3</t>
  </si>
  <si>
    <t>Phenyl Isothiocyanate</t>
  </si>
  <si>
    <t>103-72-0</t>
  </si>
  <si>
    <t>Thallic Oxide</t>
  </si>
  <si>
    <t>1314-32-5</t>
  </si>
  <si>
    <t>Thallium Selenite</t>
  </si>
  <si>
    <t>12039-52-0</t>
  </si>
  <si>
    <t>Toluene-2,4-diisocyanate</t>
  </si>
  <si>
    <t>584-84-9</t>
  </si>
  <si>
    <t>Toluene-2,6-diisocyanate</t>
  </si>
  <si>
    <t>91-08-7</t>
  </si>
  <si>
    <t>Tribromophenol, 2,4,6-</t>
  </si>
  <si>
    <t>118-79-6</t>
  </si>
  <si>
    <t>ChemID</t>
  </si>
  <si>
    <t>ChemicalBook</t>
  </si>
  <si>
    <t>WebBook</t>
  </si>
  <si>
    <t>EPA SRS</t>
  </si>
  <si>
    <t>Spectrum Chemical</t>
  </si>
  <si>
    <t>NTP</t>
  </si>
  <si>
    <t>Updated chemical list, physical properties, and toxicity data to align with June 2017 RSLs.</t>
  </si>
  <si>
    <t>Removed reference that caused warning message on user's machines; changed version number at request of RK.</t>
  </si>
  <si>
    <t>Vapor Intrusion Screening Level (VISL) Calculator Version 3.5, June 2017 RSLs</t>
  </si>
  <si>
    <t>Sub-slab or Exterior Soil Gas Concentration to Indoor Air Concentration (SGC-IAC) Calculator Version 3.5 June 2017 RSLs</t>
  </si>
  <si>
    <t>Groundwater Concentration to Indoor Air Concentration (GWC-IAC) Calculator Version 3.5, June 2017 RSLs</t>
  </si>
  <si>
    <t>Indoor Air Concentration to Risk (IAC-Risk) Calculator Version 3.5, June 2017 RSLs</t>
  </si>
  <si>
    <t>Updated chemical list and toxicity data to align with May 2016 RSLs. Updated water solubility, Henry's law coefficient, vapor pressure, and diffusion coefficients for chemicals with new inhalation toxicity values.</t>
  </si>
  <si>
    <t>3.5.1</t>
  </si>
  <si>
    <t>Updated headers and footers in various tabs to reflect the correct version.</t>
  </si>
  <si>
    <t>3.5.2</t>
  </si>
  <si>
    <t>visl</t>
  </si>
  <si>
    <t>Updated toxicity value for 1,3,5-trimethylbenzene, added 5 volatile chemicals to SG_IA_calc, GW_IA_calc, and IA_risk_calc tabs.</t>
  </si>
  <si>
    <r>
      <t>SFO
(mg/kg-day)</t>
    </r>
    <r>
      <rPr>
        <b/>
        <vertAlign val="superscript"/>
        <sz val="12"/>
        <rFont val="Arial"/>
        <family val="2"/>
      </rPr>
      <t>-1</t>
    </r>
  </si>
  <si>
    <r>
      <t>IUR
(ug/m</t>
    </r>
    <r>
      <rPr>
        <b/>
        <vertAlign val="superscript"/>
        <sz val="12"/>
        <rFont val="Arial"/>
        <family val="2"/>
      </rPr>
      <t>3</t>
    </r>
    <r>
      <rPr>
        <sz val="12"/>
        <rFont val="Arial"/>
        <family val="2"/>
      </rPr>
      <t>)</t>
    </r>
    <r>
      <rPr>
        <b/>
        <vertAlign val="superscript"/>
        <sz val="12"/>
        <rFont val="Arial"/>
        <family val="2"/>
      </rPr>
      <t>-1</t>
    </r>
  </si>
  <si>
    <r>
      <t>RfD</t>
    </r>
    <r>
      <rPr>
        <b/>
        <vertAlign val="subscript"/>
        <sz val="12"/>
        <rFont val="Arial"/>
        <family val="2"/>
      </rPr>
      <t>o</t>
    </r>
    <r>
      <rPr>
        <sz val="12"/>
        <rFont val="Arial"/>
        <family val="2"/>
      </rPr>
      <t xml:space="preserve">
(mg/kg-day)</t>
    </r>
  </si>
  <si>
    <r>
      <t>RfC</t>
    </r>
    <r>
      <rPr>
        <b/>
        <vertAlign val="subscript"/>
        <sz val="12"/>
        <rFont val="Arial"/>
        <family val="2"/>
      </rPr>
      <t>i</t>
    </r>
    <r>
      <rPr>
        <sz val="12"/>
        <rFont val="Arial"/>
        <family val="2"/>
      </rPr>
      <t xml:space="preserve">
(mg/m</t>
    </r>
    <r>
      <rPr>
        <b/>
        <vertAlign val="superscript"/>
        <sz val="12"/>
        <rFont val="Arial"/>
        <family val="2"/>
      </rPr>
      <t>3</t>
    </r>
    <r>
      <rPr>
        <sz val="12"/>
        <rFont val="Arial"/>
        <family val="2"/>
      </rPr>
      <t>)</t>
    </r>
  </si>
  <si>
    <t>v
o
l</t>
  </si>
  <si>
    <r>
      <t>C</t>
    </r>
    <r>
      <rPr>
        <b/>
        <vertAlign val="subscript"/>
        <sz val="12"/>
        <rFont val="Arial"/>
        <family val="2"/>
      </rPr>
      <t>sat</t>
    </r>
    <r>
      <rPr>
        <sz val="12"/>
        <rFont val="Arial"/>
        <family val="2"/>
      </rPr>
      <t xml:space="preserve">
(mg/kg)</t>
    </r>
  </si>
  <si>
    <t>Bromo-3-fluorobenzene, 1-</t>
  </si>
  <si>
    <t>1073-06-9</t>
  </si>
  <si>
    <t>Bromo-4-fluorobenzene, 1-</t>
  </si>
  <si>
    <t>460-00-4</t>
  </si>
  <si>
    <t>Bromopropane, 1-</t>
  </si>
  <si>
    <t>106-94-5</t>
  </si>
  <si>
    <t>DDD, p,p`- (DDD)</t>
  </si>
  <si>
    <t>Difluoropropane, 2,2-</t>
  </si>
  <si>
    <t>420-45-1</t>
  </si>
  <si>
    <t>Diphenyl Ether</t>
  </si>
  <si>
    <t>101-84-8</t>
  </si>
  <si>
    <t>Heptanal, n-</t>
  </si>
  <si>
    <t>111-71-7</t>
  </si>
  <si>
    <t>E1737665</t>
  </si>
  <si>
    <t>Lactonitrile</t>
  </si>
  <si>
    <t>78-97-7</t>
  </si>
  <si>
    <t>Methyl-2-Pentanol, 4-</t>
  </si>
  <si>
    <t>108-11-2</t>
  </si>
  <si>
    <t>Toluic Acid, p-</t>
  </si>
  <si>
    <t>99-94-5</t>
  </si>
  <si>
    <t>E1790670</t>
  </si>
  <si>
    <t>E1790666</t>
  </si>
  <si>
    <t>E1790668</t>
  </si>
  <si>
    <t>E1790676</t>
  </si>
  <si>
    <t>E1790672</t>
  </si>
  <si>
    <t>E1790674</t>
  </si>
  <si>
    <r>
      <t>HLC
(atm-m</t>
    </r>
    <r>
      <rPr>
        <b/>
        <vertAlign val="superscript"/>
        <sz val="14"/>
        <rFont val="Arial"/>
        <family val="2"/>
      </rPr>
      <t>3</t>
    </r>
    <r>
      <rPr>
        <sz val="14"/>
        <rFont val="Arial"/>
        <family val="2"/>
      </rPr>
      <t>/mole)</t>
    </r>
  </si>
  <si>
    <t>EPA HCD</t>
  </si>
  <si>
    <t>SURROGATE</t>
  </si>
  <si>
    <t>VP
mmHg</t>
  </si>
  <si>
    <t>MP
C</t>
  </si>
  <si>
    <r>
      <t>Density
(g/cm</t>
    </r>
    <r>
      <rPr>
        <b/>
        <vertAlign val="superscript"/>
        <sz val="14"/>
        <rFont val="Arial"/>
        <family val="2"/>
      </rPr>
      <t>3</t>
    </r>
    <r>
      <rPr>
        <sz val="14"/>
        <rFont val="Arial"/>
        <family val="2"/>
      </rPr>
      <t>)</t>
    </r>
  </si>
  <si>
    <r>
      <t>Dia
(cm</t>
    </r>
    <r>
      <rPr>
        <b/>
        <vertAlign val="superscript"/>
        <sz val="14"/>
        <rFont val="Arial"/>
        <family val="2"/>
      </rPr>
      <t>2</t>
    </r>
    <r>
      <rPr>
        <sz val="14"/>
        <rFont val="Arial"/>
        <family val="2"/>
      </rPr>
      <t>/s)</t>
    </r>
  </si>
  <si>
    <r>
      <t>Diw
(cm</t>
    </r>
    <r>
      <rPr>
        <b/>
        <vertAlign val="superscript"/>
        <sz val="14"/>
        <rFont val="Arial"/>
        <family val="2"/>
      </rPr>
      <t>2</t>
    </r>
    <r>
      <rPr>
        <sz val="14"/>
        <rFont val="Arial"/>
        <family val="2"/>
      </rPr>
      <t>/s)</t>
    </r>
  </si>
  <si>
    <r>
      <t>D</t>
    </r>
    <r>
      <rPr>
        <b/>
        <vertAlign val="subscript"/>
        <sz val="14"/>
        <rFont val="Arial"/>
        <family val="2"/>
      </rPr>
      <t>ia</t>
    </r>
    <r>
      <rPr>
        <sz val="14"/>
        <rFont val="Arial"/>
        <family val="2"/>
      </rPr>
      <t xml:space="preserve"> and D</t>
    </r>
    <r>
      <rPr>
        <b/>
        <vertAlign val="subscript"/>
        <sz val="14"/>
        <rFont val="Arial"/>
        <family val="2"/>
      </rPr>
      <t>iw</t>
    </r>
    <r>
      <rPr>
        <sz val="14"/>
        <rFont val="Arial"/>
        <family val="2"/>
      </rPr>
      <t xml:space="preserve"> Ref</t>
    </r>
  </si>
  <si>
    <r>
      <t>K</t>
    </r>
    <r>
      <rPr>
        <b/>
        <vertAlign val="subscript"/>
        <sz val="14"/>
        <rFont val="Arial"/>
        <family val="2"/>
      </rPr>
      <t>d</t>
    </r>
    <r>
      <rPr>
        <sz val="14"/>
        <rFont val="Arial"/>
        <family val="2"/>
      </rPr>
      <t xml:space="preserve">
(L/kg)</t>
    </r>
  </si>
  <si>
    <r>
      <t>K</t>
    </r>
    <r>
      <rPr>
        <b/>
        <vertAlign val="subscript"/>
        <sz val="14"/>
        <rFont val="Arial"/>
        <family val="2"/>
      </rPr>
      <t>d</t>
    </r>
    <r>
      <rPr>
        <sz val="14"/>
        <rFont val="Arial"/>
        <family val="2"/>
      </rPr>
      <t xml:space="preserve"> Ref</t>
    </r>
  </si>
  <si>
    <r>
      <t>K</t>
    </r>
    <r>
      <rPr>
        <b/>
        <vertAlign val="subscript"/>
        <sz val="14"/>
        <rFont val="Arial"/>
        <family val="2"/>
      </rPr>
      <t>oc</t>
    </r>
    <r>
      <rPr>
        <sz val="14"/>
        <rFont val="Arial"/>
        <family val="2"/>
      </rPr>
      <t xml:space="preserve">
(L/kg)</t>
    </r>
  </si>
  <si>
    <r>
      <t>K</t>
    </r>
    <r>
      <rPr>
        <b/>
        <vertAlign val="subscript"/>
        <sz val="14"/>
        <rFont val="Arial"/>
        <family val="2"/>
      </rPr>
      <t>oc</t>
    </r>
    <r>
      <rPr>
        <sz val="14"/>
        <rFont val="Arial"/>
        <family val="2"/>
      </rPr>
      <t xml:space="preserve"> Ref</t>
    </r>
  </si>
  <si>
    <t>Guelfo and Higgins</t>
  </si>
  <si>
    <r>
      <t>log K</t>
    </r>
    <r>
      <rPr>
        <b/>
        <vertAlign val="subscript"/>
        <sz val="14"/>
        <rFont val="Arial"/>
        <family val="2"/>
      </rPr>
      <t>ow</t>
    </r>
    <r>
      <rPr>
        <sz val="14"/>
        <rFont val="Arial"/>
        <family val="2"/>
      </rPr>
      <t xml:space="preserve">
(unitless)</t>
    </r>
  </si>
  <si>
    <r>
      <t>log K</t>
    </r>
    <r>
      <rPr>
        <b/>
        <vertAlign val="subscript"/>
        <sz val="14"/>
        <rFont val="Arial"/>
        <family val="2"/>
      </rPr>
      <t>ow</t>
    </r>
    <r>
      <rPr>
        <sz val="14"/>
        <rFont val="Arial"/>
        <family val="2"/>
      </rPr>
      <t xml:space="preserve"> Ref</t>
    </r>
  </si>
  <si>
    <r>
      <t>K</t>
    </r>
    <r>
      <rPr>
        <b/>
        <vertAlign val="subscript"/>
        <sz val="14"/>
        <rFont val="Arial"/>
        <family val="2"/>
      </rPr>
      <t>p</t>
    </r>
    <r>
      <rPr>
        <sz val="14"/>
        <rFont val="Arial"/>
        <family val="2"/>
      </rPr>
      <t xml:space="preserve">
(cm/hr)</t>
    </r>
  </si>
  <si>
    <r>
      <t>K</t>
    </r>
    <r>
      <rPr>
        <b/>
        <vertAlign val="subscript"/>
        <sz val="14"/>
        <rFont val="Arial"/>
        <family val="2"/>
      </rPr>
      <t>p</t>
    </r>
    <r>
      <rPr>
        <sz val="14"/>
        <rFont val="Arial"/>
        <family val="2"/>
      </rPr>
      <t xml:space="preserve"> Ref</t>
    </r>
  </si>
  <si>
    <t>No Da</t>
  </si>
  <si>
    <t>No Dw</t>
  </si>
  <si>
    <t>No Inhal. Tox. Info</t>
  </si>
  <si>
    <t>No KoC</t>
  </si>
  <si>
    <t>Mututa-
gen</t>
  </si>
  <si>
    <t>CASRN</t>
  </si>
  <si>
    <t>Updated with fall 2017 RSLs, Fixed groundwater temperature based calculations</t>
  </si>
  <si>
    <t>Rich Kapuscinski</t>
  </si>
  <si>
    <t xml:space="preserve">703-305-7411 </t>
  </si>
  <si>
    <t>Email: Kapuscinski.Rich@epa.gov</t>
  </si>
  <si>
    <t>Corrected bug in column E on the VISL tab (does chemical have inhal. tox data); changed contact information to Rich Kapuscinski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</si>
</sst>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E+00"/>
    <numFmt numFmtId="165" formatCode="0.0"/>
  </numFmts>
  <fonts count="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10"/>
      <color indexed="8"/>
      <name val="Arial"/>
      <family val="2"/>
    </font>
    <font>
      <b/>
      <sz val="10"/>
      <name val="Arial"/>
      <family val="2"/>
    </font>
    <font>
      <vertAlign val="superscript"/>
      <sz val="10"/>
      <name val="Arial"/>
      <family val="2"/>
    </font>
    <font>
      <vertAlign val="subscript"/>
      <sz val="10"/>
      <name val="Arial"/>
      <family val="2"/>
    </font>
    <font>
      <sz val="12"/>
      <name val="Arial"/>
      <family val="2"/>
    </font>
    <font>
      <b/>
      <sz val="12"/>
      <name val="Arial"/>
      <family val="2"/>
    </font>
    <font>
      <sz val="12"/>
      <color indexed="8"/>
      <name val="Arial"/>
      <family val="2"/>
    </font>
    <font>
      <b/>
      <sz val="12"/>
      <color indexed="8"/>
      <name val="Arial"/>
      <family val="2"/>
    </font>
    <font>
      <vertAlign val="superscript"/>
      <sz val="12"/>
      <name val="Arial"/>
      <family val="2"/>
    </font>
    <font>
      <b/>
      <u/>
      <sz val="12"/>
      <name val="Arial"/>
      <family val="2"/>
    </font>
    <font>
      <vertAlign val="superscript"/>
      <sz val="12"/>
      <color indexed="8"/>
      <name val="Arial"/>
      <family val="2"/>
    </font>
    <font>
      <b/>
      <vertAlign val="superscript"/>
      <sz val="12"/>
      <name val="Arial"/>
      <family val="2"/>
    </font>
    <font>
      <i/>
      <sz val="10"/>
      <name val="Arial"/>
      <family val="2"/>
    </font>
    <font>
      <sz val="11"/>
      <color theme="1"/>
      <name val="Calibri"/>
      <family val="2"/>
      <scheme val="minor"/>
    </font>
    <font>
      <sz val="12"/>
      <color rgb="FFFF0000"/>
      <name val="Arial"/>
      <family val="2"/>
    </font>
    <font>
      <b/>
      <sz val="12"/>
      <color rgb="FFFF0000"/>
      <name val="Arial"/>
      <family val="2"/>
    </font>
    <font>
      <b/>
      <sz val="10"/>
      <color indexed="8"/>
      <name val="Arial"/>
      <family val="2"/>
    </font>
    <font>
      <b/>
      <vertAlign val="superscript"/>
      <sz val="10"/>
      <color indexed="8"/>
      <name val="Arial"/>
      <family val="2"/>
    </font>
    <font>
      <vertAlign val="subscript"/>
      <sz val="10"/>
      <color indexed="8"/>
      <name val="Arial"/>
      <family val="2"/>
    </font>
    <font>
      <vertAlign val="superscript"/>
      <sz val="10"/>
      <color indexed="8"/>
      <name val="Arial"/>
      <family val="2"/>
    </font>
    <font>
      <u/>
      <sz val="9"/>
      <color theme="10"/>
      <name val="Arial"/>
      <family val="2"/>
    </font>
    <font>
      <u/>
      <sz val="10"/>
      <color theme="10"/>
      <name val="Arial"/>
      <family val="2"/>
    </font>
    <font>
      <sz val="12"/>
      <color theme="0"/>
      <name val="Arial"/>
      <family val="2"/>
    </font>
    <font>
      <u/>
      <sz val="11"/>
      <color theme="10"/>
      <name val="Arial"/>
      <family val="2"/>
    </font>
    <font>
      <u/>
      <sz val="12"/>
      <color theme="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Arial"/>
      <family val="2"/>
    </font>
    <font>
      <sz val="18"/>
      <color theme="3"/>
      <name val="Cambria"/>
      <family val="2"/>
      <scheme val="major"/>
    </font>
    <font>
      <b/>
      <sz val="11"/>
      <name val="Arial"/>
      <family val="2"/>
    </font>
    <font>
      <sz val="10"/>
      <color theme="1"/>
      <name val="Arial"/>
      <family val="2"/>
    </font>
    <font>
      <sz val="8"/>
      <name val="Calibri"/>
      <family val="2"/>
    </font>
    <font>
      <sz val="8"/>
      <color rgb="FF262C31"/>
      <name val="Lucida Sans Unicode"/>
      <family val="2"/>
    </font>
    <font>
      <sz val="8"/>
      <name val="Arial"/>
      <family val="2"/>
    </font>
    <font>
      <b/>
      <vertAlign val="subscript"/>
      <sz val="12"/>
      <name val="Arial"/>
      <family val="2"/>
    </font>
    <font>
      <b/>
      <sz val="14"/>
      <color indexed="62"/>
      <name val="Arial"/>
      <family val="2"/>
    </font>
    <font>
      <sz val="14"/>
      <name val="Arial"/>
      <family val="2"/>
    </font>
    <font>
      <b/>
      <vertAlign val="superscript"/>
      <sz val="14"/>
      <name val="Arial"/>
      <family val="2"/>
    </font>
    <font>
      <b/>
      <vertAlign val="subscript"/>
      <sz val="14"/>
      <name val="Arial"/>
      <family val="2"/>
    </font>
  </fonts>
  <fills count="52">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rgb="FFCCFFFF"/>
        <bgColor indexed="64"/>
      </patternFill>
    </fill>
    <fill>
      <patternFill patternType="solid">
        <fgColor rgb="FFFFFFFF"/>
        <bgColor indexed="64"/>
      </patternFill>
    </fill>
    <fill>
      <patternFill patternType="solid">
        <fgColor rgb="FFCCFF99"/>
        <bgColor indexed="64"/>
      </patternFill>
    </fill>
    <fill>
      <patternFill patternType="solid">
        <fgColor rgb="FFFFCC99"/>
        <bgColor indexed="64"/>
      </patternFill>
    </fill>
    <fill>
      <patternFill patternType="solid">
        <fgColor rgb="FFFF99CC"/>
        <bgColor indexed="64"/>
      </patternFill>
    </fill>
    <fill>
      <patternFill patternType="solid">
        <fgColor rgb="FFFFFF99"/>
        <bgColor indexed="64"/>
      </patternFill>
    </fill>
    <fill>
      <patternFill patternType="solid">
        <fgColor rgb="FFCCCCFF"/>
        <bgColor indexed="64"/>
      </patternFill>
    </fill>
    <fill>
      <patternFill patternType="solid">
        <fgColor rgb="FFFF9900"/>
        <bgColor indexed="64"/>
      </patternFill>
    </fill>
    <fill>
      <patternFill patternType="solid">
        <fgColor rgb="FFCCFFCC"/>
        <bgColor indexed="64"/>
      </patternFill>
    </fill>
    <fill>
      <patternFill patternType="solid">
        <fgColor rgb="FFFFFFCC"/>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5" tint="0.79998168889431442"/>
        <bgColor indexed="64"/>
      </patternFill>
    </fill>
    <fill>
      <patternFill patternType="solid">
        <fgColor indexed="65"/>
        <bgColor indexed="64"/>
      </patternFill>
    </fill>
    <fill>
      <patternFill patternType="solid">
        <fgColor rgb="FF00FFFF"/>
        <bgColor indexed="64"/>
      </patternFill>
    </fill>
    <fill>
      <patternFill patternType="solid">
        <fgColor rgb="FF9966FF"/>
        <bgColor indexed="64"/>
      </patternFill>
    </fill>
    <fill>
      <patternFill patternType="solid">
        <fgColor rgb="FFCC66FF"/>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54">
    <xf numFmtId="0" fontId="0" fillId="0" borderId="0"/>
    <xf numFmtId="0" fontId="23" fillId="0" borderId="0"/>
    <xf numFmtId="0" fontId="9" fillId="0" borderId="0"/>
    <xf numFmtId="0" fontId="8" fillId="0" borderId="0"/>
    <xf numFmtId="0" fontId="30" fillId="0" borderId="0" applyNumberFormat="0" applyFill="0" applyBorder="0" applyAlignment="0" applyProtection="0">
      <alignment vertical="top"/>
      <protection locked="0"/>
    </xf>
    <xf numFmtId="0" fontId="7" fillId="0" borderId="0"/>
    <xf numFmtId="0" fontId="35" fillId="0" borderId="0" applyNumberFormat="0" applyFill="0" applyBorder="0" applyAlignment="0" applyProtection="0"/>
    <xf numFmtId="0" fontId="36" fillId="0" borderId="24" applyNumberFormat="0" applyFill="0" applyAlignment="0" applyProtection="0"/>
    <xf numFmtId="0" fontId="37" fillId="0" borderId="25" applyNumberFormat="0" applyFill="0" applyAlignment="0" applyProtection="0"/>
    <xf numFmtId="0" fontId="38" fillId="0" borderId="26" applyNumberFormat="0" applyFill="0" applyAlignment="0" applyProtection="0"/>
    <xf numFmtId="0" fontId="38" fillId="0" borderId="0" applyNumberFormat="0" applyFill="0" applyBorder="0" applyAlignment="0" applyProtection="0"/>
    <xf numFmtId="0" fontId="39" fillId="15" borderId="0" applyNumberFormat="0" applyBorder="0" applyAlignment="0" applyProtection="0"/>
    <xf numFmtId="0" fontId="40" fillId="16" borderId="0" applyNumberFormat="0" applyBorder="0" applyAlignment="0" applyProtection="0"/>
    <xf numFmtId="0" fontId="41" fillId="17" borderId="0" applyNumberFormat="0" applyBorder="0" applyAlignment="0" applyProtection="0"/>
    <xf numFmtId="0" fontId="42" fillId="18" borderId="27" applyNumberFormat="0" applyAlignment="0" applyProtection="0"/>
    <xf numFmtId="0" fontId="43" fillId="19" borderId="28" applyNumberFormat="0" applyAlignment="0" applyProtection="0"/>
    <xf numFmtId="0" fontId="44" fillId="19" borderId="27" applyNumberFormat="0" applyAlignment="0" applyProtection="0"/>
    <xf numFmtId="0" fontId="45" fillId="0" borderId="29" applyNumberFormat="0" applyFill="0" applyAlignment="0" applyProtection="0"/>
    <xf numFmtId="0" fontId="46" fillId="20" borderId="30"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32" applyNumberFormat="0" applyFill="0" applyAlignment="0" applyProtection="0"/>
    <xf numFmtId="0" fontId="5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0" fillId="45" borderId="0" applyNumberFormat="0" applyBorder="0" applyAlignment="0" applyProtection="0"/>
    <xf numFmtId="0" fontId="6" fillId="0" borderId="0"/>
    <xf numFmtId="0" fontId="6" fillId="21" borderId="31" applyNumberFormat="0" applyFont="0" applyAlignment="0" applyProtection="0"/>
    <xf numFmtId="0" fontId="5" fillId="0" borderId="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21" borderId="31" applyNumberFormat="0" applyFont="0" applyAlignment="0" applyProtection="0"/>
    <xf numFmtId="0" fontId="4" fillId="0" borderId="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21" borderId="31" applyNumberFormat="0" applyFont="0" applyAlignment="0" applyProtection="0"/>
    <xf numFmtId="0" fontId="3" fillId="0" borderId="0"/>
    <xf numFmtId="0" fontId="53" fillId="0" borderId="0" applyNumberFormat="0" applyFill="0" applyBorder="0" applyAlignment="0" applyProtection="0"/>
    <xf numFmtId="0" fontId="3" fillId="21" borderId="31" applyNumberFormat="0" applyFont="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52" fillId="0" borderId="0"/>
    <xf numFmtId="0" fontId="3" fillId="0" borderId="0"/>
    <xf numFmtId="0" fontId="3" fillId="0" borderId="0"/>
    <xf numFmtId="0" fontId="35" fillId="0" borderId="0" applyNumberFormat="0" applyFill="0" applyBorder="0" applyAlignment="0" applyProtection="0"/>
    <xf numFmtId="0" fontId="3" fillId="0" borderId="0"/>
    <xf numFmtId="0" fontId="3" fillId="21" borderId="31" applyNumberFormat="0" applyFont="0" applyAlignment="0" applyProtection="0"/>
    <xf numFmtId="0" fontId="3" fillId="0" borderId="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21" borderId="31" applyNumberFormat="0" applyFont="0" applyAlignment="0" applyProtection="0"/>
    <xf numFmtId="0" fontId="3" fillId="0" borderId="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21" borderId="31" applyNumberFormat="0" applyFont="0" applyAlignment="0" applyProtection="0"/>
    <xf numFmtId="0" fontId="8" fillId="0" borderId="0"/>
    <xf numFmtId="0" fontId="2" fillId="0" borderId="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21" borderId="31"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31" applyNumberFormat="0" applyFont="0" applyAlignment="0" applyProtection="0"/>
  </cellStyleXfs>
  <cellXfs count="601">
    <xf numFmtId="0" fontId="0" fillId="0" borderId="0" xfId="0"/>
    <xf numFmtId="11" fontId="17" fillId="2" borderId="1" xfId="2" applyNumberFormat="1" applyFont="1" applyFill="1" applyBorder="1" applyAlignment="1" applyProtection="1">
      <alignment horizontal="center" wrapText="1"/>
    </xf>
    <xf numFmtId="11" fontId="17" fillId="2" borderId="10" xfId="2" applyNumberFormat="1" applyFont="1" applyFill="1" applyBorder="1" applyAlignment="1" applyProtection="1">
      <alignment horizontal="center" wrapText="1"/>
    </xf>
    <xf numFmtId="11" fontId="17" fillId="3" borderId="0" xfId="2" applyNumberFormat="1" applyFont="1" applyFill="1" applyBorder="1" applyAlignment="1" applyProtection="1">
      <alignment horizontal="center" wrapText="1"/>
    </xf>
    <xf numFmtId="11" fontId="15" fillId="2" borderId="1" xfId="2" applyNumberFormat="1" applyFont="1" applyFill="1" applyBorder="1" applyAlignment="1" applyProtection="1">
      <alignment horizontal="center" wrapText="1"/>
    </xf>
    <xf numFmtId="0" fontId="14" fillId="3" borderId="0" xfId="0" applyFont="1" applyFill="1" applyBorder="1" applyAlignment="1" applyProtection="1">
      <alignment horizontal="center"/>
      <protection locked="0"/>
    </xf>
    <xf numFmtId="11" fontId="10" fillId="0" borderId="1" xfId="2" applyNumberFormat="1" applyFont="1" applyFill="1" applyBorder="1" applyAlignment="1" applyProtection="1">
      <alignment horizontal="left" vertical="center" wrapText="1"/>
    </xf>
    <xf numFmtId="11" fontId="14" fillId="0" borderId="2" xfId="0" applyNumberFormat="1" applyFont="1" applyFill="1" applyBorder="1" applyAlignment="1" applyProtection="1">
      <alignment horizontal="center"/>
    </xf>
    <xf numFmtId="11" fontId="10" fillId="0" borderId="10" xfId="2" applyNumberFormat="1" applyFont="1" applyFill="1" applyBorder="1" applyAlignment="1" applyProtection="1">
      <alignment horizontal="left" vertical="center" wrapText="1"/>
    </xf>
    <xf numFmtId="0" fontId="8" fillId="0" borderId="1" xfId="3" applyFont="1" applyFill="1" applyBorder="1" applyAlignment="1" applyProtection="1">
      <alignment horizontal="center"/>
    </xf>
    <xf numFmtId="0" fontId="8" fillId="0" borderId="1" xfId="3" applyFont="1" applyFill="1" applyBorder="1" applyAlignment="1" applyProtection="1">
      <alignment horizontal="center" vertical="center"/>
    </xf>
    <xf numFmtId="11" fontId="10" fillId="3" borderId="4" xfId="2" applyNumberFormat="1" applyFont="1" applyFill="1" applyBorder="1" applyAlignment="1" applyProtection="1">
      <alignment horizontal="center" wrapText="1"/>
    </xf>
    <xf numFmtId="11" fontId="10" fillId="3" borderId="0" xfId="2" applyNumberFormat="1" applyFont="1" applyFill="1" applyBorder="1" applyAlignment="1" applyProtection="1">
      <alignment horizontal="center" wrapText="1"/>
    </xf>
    <xf numFmtId="0" fontId="10" fillId="3" borderId="8" xfId="2" applyNumberFormat="1" applyFont="1" applyFill="1" applyBorder="1" applyAlignment="1" applyProtection="1">
      <alignment horizontal="center" wrapText="1"/>
    </xf>
    <xf numFmtId="11" fontId="10" fillId="3" borderId="9" xfId="2" applyNumberFormat="1" applyFont="1" applyFill="1" applyBorder="1" applyAlignment="1" applyProtection="1">
      <alignment horizontal="center" wrapText="1"/>
    </xf>
    <xf numFmtId="11" fontId="10" fillId="3" borderId="8" xfId="2" applyNumberFormat="1" applyFont="1" applyFill="1" applyBorder="1" applyAlignment="1" applyProtection="1">
      <alignment horizontal="center" wrapText="1"/>
    </xf>
    <xf numFmtId="11" fontId="26" fillId="2" borderId="3" xfId="2" applyNumberFormat="1" applyFont="1" applyFill="1" applyBorder="1" applyAlignment="1" applyProtection="1">
      <alignment horizontal="center" wrapText="1"/>
    </xf>
    <xf numFmtId="164" fontId="10" fillId="2" borderId="4" xfId="2" applyNumberFormat="1" applyFont="1" applyFill="1" applyBorder="1" applyAlignment="1" applyProtection="1">
      <alignment horizontal="center"/>
    </xf>
    <xf numFmtId="0" fontId="31" fillId="0" borderId="0" xfId="4" applyFont="1" applyFill="1" applyAlignment="1" applyProtection="1">
      <alignment horizontal="left" indent="3"/>
    </xf>
    <xf numFmtId="0" fontId="30" fillId="0" borderId="0" xfId="4" applyAlignment="1" applyProtection="1"/>
    <xf numFmtId="0" fontId="30" fillId="0" borderId="0" xfId="4" applyAlignment="1" applyProtection="1">
      <alignment horizontal="left" vertical="center"/>
    </xf>
    <xf numFmtId="0" fontId="30" fillId="0" borderId="0" xfId="4" applyAlignment="1" applyProtection="1">
      <alignment horizontal="left"/>
    </xf>
    <xf numFmtId="0" fontId="30" fillId="0" borderId="0" xfId="4" applyAlignment="1" applyProtection="1">
      <alignment horizontal="right" indent="10"/>
    </xf>
    <xf numFmtId="0" fontId="30" fillId="0" borderId="0" xfId="4" applyAlignment="1" applyProtection="1">
      <alignment horizontal="right" indent="15"/>
    </xf>
    <xf numFmtId="0" fontId="30" fillId="0" borderId="0" xfId="4" applyAlignment="1" applyProtection="1">
      <alignment horizontal="right" indent="24"/>
    </xf>
    <xf numFmtId="11" fontId="17" fillId="12" borderId="1" xfId="2" applyNumberFormat="1" applyFont="1" applyFill="1" applyBorder="1" applyAlignment="1" applyProtection="1">
      <alignment horizontal="center" wrapText="1"/>
    </xf>
    <xf numFmtId="164" fontId="10" fillId="2" borderId="8" xfId="2" applyNumberFormat="1" applyFont="1" applyFill="1" applyBorder="1" applyAlignment="1" applyProtection="1">
      <alignment horizontal="center"/>
    </xf>
    <xf numFmtId="11" fontId="26" fillId="2" borderId="7" xfId="2" applyNumberFormat="1" applyFont="1" applyFill="1" applyBorder="1" applyAlignment="1" applyProtection="1">
      <alignment horizontal="center" wrapText="1"/>
    </xf>
    <xf numFmtId="0" fontId="8" fillId="0" borderId="0" xfId="3" applyFont="1" applyFill="1" applyProtection="1">
      <protection locked="0"/>
    </xf>
    <xf numFmtId="0" fontId="8" fillId="0" borderId="0" xfId="0" applyFont="1" applyProtection="1">
      <protection locked="0"/>
    </xf>
    <xf numFmtId="0" fontId="11" fillId="0" borderId="0" xfId="3" applyFont="1" applyFill="1" applyProtection="1"/>
    <xf numFmtId="0" fontId="8" fillId="0" borderId="0" xfId="3" applyFont="1" applyFill="1" applyProtection="1"/>
    <xf numFmtId="0" fontId="8" fillId="0" borderId="0" xfId="3" applyFont="1" applyFill="1" applyBorder="1" applyAlignment="1" applyProtection="1"/>
    <xf numFmtId="0" fontId="8" fillId="0" borderId="0" xfId="3" applyFont="1" applyFill="1" applyAlignment="1" applyProtection="1"/>
    <xf numFmtId="0" fontId="11" fillId="0" borderId="1" xfId="3" applyFont="1" applyFill="1" applyBorder="1" applyProtection="1"/>
    <xf numFmtId="0" fontId="11" fillId="0" borderId="1" xfId="3" applyFont="1" applyFill="1" applyBorder="1" applyAlignment="1" applyProtection="1">
      <alignment wrapText="1"/>
    </xf>
    <xf numFmtId="0" fontId="8" fillId="0" borderId="1" xfId="3" applyFont="1" applyFill="1" applyBorder="1" applyAlignment="1" applyProtection="1">
      <alignment vertical="top" wrapText="1"/>
    </xf>
    <xf numFmtId="0" fontId="8" fillId="0" borderId="0" xfId="3" applyFont="1" applyFill="1" applyAlignment="1" applyProtection="1">
      <alignment horizontal="left" indent="2"/>
    </xf>
    <xf numFmtId="0" fontId="8" fillId="0" borderId="1" xfId="3" applyFont="1" applyFill="1" applyBorder="1" applyAlignment="1" applyProtection="1">
      <alignment vertical="center" wrapText="1"/>
    </xf>
    <xf numFmtId="0" fontId="11" fillId="0" borderId="1" xfId="3" applyFont="1" applyFill="1" applyBorder="1" applyAlignment="1" applyProtection="1">
      <alignment vertical="center" wrapText="1"/>
    </xf>
    <xf numFmtId="0" fontId="8" fillId="0" borderId="1" xfId="3" applyFont="1" applyFill="1" applyBorder="1" applyAlignment="1" applyProtection="1">
      <alignment wrapText="1"/>
    </xf>
    <xf numFmtId="0" fontId="8" fillId="0" borderId="0" xfId="3" applyFont="1" applyFill="1" applyBorder="1" applyAlignment="1" applyProtection="1">
      <alignment wrapText="1"/>
    </xf>
    <xf numFmtId="0" fontId="8" fillId="0" borderId="0" xfId="3" applyFont="1" applyFill="1" applyAlignment="1" applyProtection="1">
      <alignment wrapText="1"/>
    </xf>
    <xf numFmtId="0" fontId="11" fillId="0" borderId="1" xfId="3" applyFont="1" applyFill="1" applyBorder="1" applyAlignment="1" applyProtection="1">
      <alignment horizontal="center" wrapText="1"/>
    </xf>
    <xf numFmtId="0" fontId="8" fillId="0" borderId="1" xfId="3" applyFont="1" applyFill="1" applyBorder="1" applyAlignment="1" applyProtection="1">
      <alignment horizontal="center" wrapText="1"/>
    </xf>
    <xf numFmtId="0" fontId="8" fillId="0" borderId="1" xfId="3" applyFont="1" applyFill="1" applyBorder="1" applyAlignment="1" applyProtection="1">
      <alignment vertical="center"/>
    </xf>
    <xf numFmtId="0" fontId="8" fillId="0" borderId="0" xfId="3" applyFont="1" applyFill="1" applyBorder="1" applyAlignment="1" applyProtection="1">
      <alignment horizontal="center" wrapText="1"/>
    </xf>
    <xf numFmtId="0" fontId="8" fillId="0" borderId="0" xfId="3" applyFont="1" applyFill="1" applyBorder="1" applyProtection="1"/>
    <xf numFmtId="0" fontId="8" fillId="0" borderId="0" xfId="0" applyFont="1" applyProtection="1"/>
    <xf numFmtId="0" fontId="14" fillId="0" borderId="0" xfId="0" applyFont="1" applyFill="1" applyProtection="1">
      <protection locked="0"/>
    </xf>
    <xf numFmtId="0" fontId="14" fillId="0" borderId="0" xfId="0" applyFont="1" applyFill="1" applyBorder="1" applyProtection="1">
      <protection locked="0"/>
    </xf>
    <xf numFmtId="0" fontId="14" fillId="0" borderId="0" xfId="2" applyFont="1" applyFill="1" applyBorder="1" applyAlignment="1" applyProtection="1">
      <alignment horizontal="left"/>
      <protection locked="0"/>
    </xf>
    <xf numFmtId="0" fontId="14" fillId="0" borderId="0" xfId="0" applyFont="1" applyFill="1" applyAlignment="1" applyProtection="1">
      <alignment horizontal="center"/>
      <protection locked="0"/>
    </xf>
    <xf numFmtId="0" fontId="14" fillId="0" borderId="0" xfId="0" applyFont="1" applyFill="1" applyAlignment="1" applyProtection="1">
      <protection locked="0"/>
    </xf>
    <xf numFmtId="0" fontId="15" fillId="3" borderId="0" xfId="0" applyFont="1" applyFill="1" applyProtection="1"/>
    <xf numFmtId="0" fontId="14" fillId="3" borderId="0" xfId="0" applyFont="1" applyFill="1" applyAlignment="1" applyProtection="1">
      <alignment horizontal="center"/>
    </xf>
    <xf numFmtId="0" fontId="14" fillId="3" borderId="0" xfId="0" applyFont="1" applyFill="1" applyProtection="1"/>
    <xf numFmtId="0" fontId="24" fillId="3" borderId="0" xfId="0" applyFont="1" applyFill="1" applyProtection="1"/>
    <xf numFmtId="0" fontId="14" fillId="3" borderId="0" xfId="0" applyFont="1" applyFill="1" applyBorder="1" applyProtection="1"/>
    <xf numFmtId="0" fontId="15" fillId="2" borderId="10" xfId="0" applyFont="1" applyFill="1" applyBorder="1" applyProtection="1"/>
    <xf numFmtId="0" fontId="14" fillId="2" borderId="11" xfId="0" applyFont="1" applyFill="1" applyBorder="1" applyProtection="1"/>
    <xf numFmtId="0" fontId="15" fillId="12" borderId="1" xfId="0" applyFont="1" applyFill="1" applyBorder="1" applyAlignment="1" applyProtection="1">
      <alignment horizontal="center"/>
    </xf>
    <xf numFmtId="0" fontId="15" fillId="2" borderId="11" xfId="0" applyFont="1" applyFill="1" applyBorder="1" applyAlignment="1" applyProtection="1">
      <alignment horizontal="center"/>
    </xf>
    <xf numFmtId="0" fontId="14" fillId="3" borderId="0" xfId="0" applyFont="1" applyFill="1" applyBorder="1" applyAlignment="1" applyProtection="1">
      <alignment horizontal="center"/>
    </xf>
    <xf numFmtId="0" fontId="15" fillId="2" borderId="3" xfId="0" applyFont="1" applyFill="1" applyBorder="1" applyAlignment="1" applyProtection="1">
      <alignment horizontal="right"/>
    </xf>
    <xf numFmtId="0" fontId="15" fillId="2" borderId="1" xfId="2" applyFont="1" applyFill="1" applyBorder="1" applyAlignment="1" applyProtection="1">
      <alignment horizontal="center" wrapText="1"/>
    </xf>
    <xf numFmtId="0" fontId="14" fillId="2" borderId="4" xfId="0" applyFont="1" applyFill="1" applyBorder="1" applyProtection="1"/>
    <xf numFmtId="11" fontId="14" fillId="2" borderId="1" xfId="0" applyNumberFormat="1" applyFont="1" applyFill="1" applyBorder="1" applyAlignment="1" applyProtection="1">
      <alignment horizontal="center"/>
    </xf>
    <xf numFmtId="0" fontId="14" fillId="2" borderId="1" xfId="2" applyFont="1" applyFill="1" applyBorder="1" applyAlignment="1" applyProtection="1">
      <alignment horizontal="center"/>
    </xf>
    <xf numFmtId="0" fontId="14" fillId="2" borderId="1" xfId="0" applyFont="1" applyFill="1" applyBorder="1" applyAlignment="1" applyProtection="1">
      <alignment horizontal="center"/>
    </xf>
    <xf numFmtId="11" fontId="14" fillId="3" borderId="0" xfId="0" applyNumberFormat="1" applyFont="1" applyFill="1" applyBorder="1" applyAlignment="1" applyProtection="1">
      <alignment horizontal="center"/>
    </xf>
    <xf numFmtId="0" fontId="15" fillId="2" borderId="2" xfId="0" applyFont="1" applyFill="1" applyBorder="1" applyAlignment="1" applyProtection="1">
      <alignment horizontal="left"/>
    </xf>
    <xf numFmtId="11" fontId="14" fillId="2" borderId="2" xfId="0" applyNumberFormat="1" applyFont="1" applyFill="1" applyBorder="1" applyAlignment="1" applyProtection="1">
      <alignment horizontal="center"/>
    </xf>
    <xf numFmtId="0" fontId="14" fillId="2" borderId="5" xfId="0" applyFont="1" applyFill="1" applyBorder="1" applyAlignment="1" applyProtection="1">
      <alignment horizontal="center"/>
    </xf>
    <xf numFmtId="0" fontId="14" fillId="2" borderId="2" xfId="2" applyFont="1" applyFill="1" applyBorder="1" applyAlignment="1" applyProtection="1">
      <alignment horizontal="center"/>
    </xf>
    <xf numFmtId="0" fontId="14" fillId="2" borderId="2" xfId="0" applyFont="1" applyFill="1" applyBorder="1" applyAlignment="1" applyProtection="1">
      <alignment horizontal="center" wrapText="1"/>
    </xf>
    <xf numFmtId="164" fontId="14" fillId="0" borderId="1" xfId="0" applyNumberFormat="1" applyFont="1" applyFill="1" applyBorder="1" applyAlignment="1" applyProtection="1">
      <alignment horizontal="center"/>
    </xf>
    <xf numFmtId="0" fontId="8" fillId="0" borderId="0" xfId="0" applyFont="1" applyAlignment="1" applyProtection="1">
      <alignment horizontal="left"/>
      <protection locked="0"/>
    </xf>
    <xf numFmtId="0" fontId="8" fillId="0" borderId="0" xfId="0" applyFont="1" applyAlignment="1" applyProtection="1">
      <alignment horizontal="center"/>
      <protection locked="0"/>
    </xf>
    <xf numFmtId="0" fontId="8" fillId="0" borderId="0" xfId="0" applyFont="1" applyFill="1" applyProtection="1">
      <protection locked="0"/>
    </xf>
    <xf numFmtId="0" fontId="8" fillId="0" borderId="0" xfId="0" applyNumberFormat="1" applyFont="1" applyFill="1" applyBorder="1" applyAlignment="1" applyProtection="1">
      <alignment horizontal="center"/>
      <protection locked="0"/>
    </xf>
    <xf numFmtId="0" fontId="8" fillId="0" borderId="0" xfId="0" applyFont="1" applyFill="1" applyBorder="1" applyProtection="1">
      <protection locked="0"/>
    </xf>
    <xf numFmtId="11" fontId="8" fillId="0" borderId="0" xfId="0" applyNumberFormat="1" applyFont="1" applyAlignment="1" applyProtection="1">
      <alignment horizontal="center"/>
      <protection locked="0"/>
    </xf>
    <xf numFmtId="0" fontId="8" fillId="0" borderId="0" xfId="0" applyFont="1" applyFill="1" applyAlignment="1" applyProtection="1">
      <alignment horizontal="center"/>
      <protection locked="0"/>
    </xf>
    <xf numFmtId="0" fontId="8" fillId="0" borderId="0" xfId="0" applyFont="1" applyAlignment="1" applyProtection="1">
      <alignment horizontal="left"/>
    </xf>
    <xf numFmtId="0" fontId="8" fillId="0" borderId="0" xfId="0" applyFont="1" applyAlignment="1" applyProtection="1">
      <alignment horizontal="center"/>
    </xf>
    <xf numFmtId="0" fontId="11" fillId="2" borderId="3" xfId="0" applyFont="1" applyFill="1" applyBorder="1" applyAlignment="1" applyProtection="1">
      <alignment horizontal="right"/>
    </xf>
    <xf numFmtId="0" fontId="8" fillId="0" borderId="0" xfId="0" applyFont="1" applyBorder="1" applyProtection="1"/>
    <xf numFmtId="0" fontId="11" fillId="2" borderId="3" xfId="0" applyFont="1" applyFill="1" applyBorder="1" applyProtection="1"/>
    <xf numFmtId="0" fontId="8" fillId="2" borderId="4" xfId="0" applyFont="1" applyFill="1" applyBorder="1" applyProtection="1"/>
    <xf numFmtId="0" fontId="11" fillId="2" borderId="2" xfId="0" applyFont="1" applyFill="1" applyBorder="1" applyProtection="1"/>
    <xf numFmtId="11" fontId="8" fillId="0" borderId="1" xfId="2" applyNumberFormat="1" applyFont="1" applyFill="1" applyBorder="1" applyAlignment="1" applyProtection="1">
      <alignment horizontal="center"/>
    </xf>
    <xf numFmtId="0" fontId="8" fillId="0" borderId="0" xfId="0" applyFont="1" applyFill="1" applyBorder="1" applyProtection="1"/>
    <xf numFmtId="11" fontId="8" fillId="0" borderId="1" xfId="0" applyNumberFormat="1" applyFont="1" applyFill="1" applyBorder="1" applyAlignment="1" applyProtection="1">
      <alignment horizontal="center"/>
    </xf>
    <xf numFmtId="0" fontId="8" fillId="0" borderId="1" xfId="0" applyFont="1" applyFill="1" applyBorder="1" applyProtection="1"/>
    <xf numFmtId="1" fontId="8" fillId="0" borderId="1" xfId="0" applyNumberFormat="1" applyFont="1" applyFill="1" applyBorder="1" applyProtection="1"/>
    <xf numFmtId="11" fontId="8" fillId="0" borderId="1" xfId="2" applyNumberFormat="1" applyFont="1" applyFill="1" applyBorder="1" applyAlignment="1" applyProtection="1">
      <alignment horizontal="left"/>
    </xf>
    <xf numFmtId="0" fontId="8" fillId="0" borderId="1" xfId="0" applyFont="1" applyFill="1" applyBorder="1" applyAlignment="1" applyProtection="1">
      <alignment horizontal="center"/>
    </xf>
    <xf numFmtId="0" fontId="8" fillId="0" borderId="0" xfId="0" applyFont="1" applyFill="1" applyAlignment="1" applyProtection="1">
      <alignment horizontal="center"/>
    </xf>
    <xf numFmtId="0" fontId="8" fillId="0" borderId="0" xfId="0" applyFont="1" applyAlignment="1" applyProtection="1">
      <alignment horizontal="left" indent="2"/>
    </xf>
    <xf numFmtId="0" fontId="8" fillId="0" borderId="0" xfId="0" applyFont="1" applyFill="1" applyAlignment="1" applyProtection="1">
      <alignment horizontal="left"/>
    </xf>
    <xf numFmtId="0" fontId="8" fillId="0" borderId="0" xfId="0" applyFont="1" applyFill="1" applyProtection="1"/>
    <xf numFmtId="0" fontId="8" fillId="0" borderId="0" xfId="0" applyFont="1" applyAlignment="1" applyProtection="1">
      <alignment vertical="center"/>
    </xf>
    <xf numFmtId="0" fontId="8" fillId="0" borderId="0" xfId="0" applyFont="1" applyAlignment="1" applyProtection="1">
      <alignment vertical="center" wrapText="1"/>
    </xf>
    <xf numFmtId="0" fontId="8" fillId="0" borderId="0" xfId="0" applyFont="1" applyAlignment="1" applyProtection="1">
      <alignment horizontal="left" vertical="center" indent="2"/>
    </xf>
    <xf numFmtId="0" fontId="8" fillId="0" borderId="0" xfId="0" applyFont="1" applyAlignment="1" applyProtection="1">
      <alignment horizontal="left" vertical="center" wrapText="1"/>
    </xf>
    <xf numFmtId="0" fontId="8" fillId="0" borderId="0" xfId="0" applyFont="1" applyFill="1" applyBorder="1" applyAlignment="1" applyProtection="1">
      <alignment horizontal="left" indent="2"/>
    </xf>
    <xf numFmtId="0" fontId="8" fillId="0" borderId="0" xfId="0" applyFont="1" applyFill="1" applyBorder="1" applyAlignment="1" applyProtection="1"/>
    <xf numFmtId="0" fontId="14" fillId="3" borderId="0" xfId="0" applyFont="1" applyFill="1" applyAlignment="1" applyProtection="1">
      <alignment horizontal="left"/>
    </xf>
    <xf numFmtId="0" fontId="14" fillId="5" borderId="10" xfId="0" applyFont="1" applyFill="1" applyBorder="1" applyAlignment="1" applyProtection="1">
      <alignment vertical="center"/>
    </xf>
    <xf numFmtId="0" fontId="14" fillId="5" borderId="11" xfId="0" applyFont="1" applyFill="1" applyBorder="1" applyAlignment="1" applyProtection="1">
      <alignment horizontal="center"/>
    </xf>
    <xf numFmtId="0" fontId="14" fillId="5" borderId="1" xfId="0" applyFont="1" applyFill="1" applyBorder="1" applyAlignment="1" applyProtection="1">
      <alignment horizontal="center"/>
    </xf>
    <xf numFmtId="0" fontId="14" fillId="5" borderId="5" xfId="0" applyFont="1" applyFill="1" applyBorder="1" applyAlignment="1" applyProtection="1"/>
    <xf numFmtId="0" fontId="14" fillId="5" borderId="13" xfId="0" applyFont="1" applyFill="1" applyBorder="1" applyAlignment="1" applyProtection="1">
      <alignment horizontal="center"/>
    </xf>
    <xf numFmtId="0" fontId="14" fillId="5" borderId="0" xfId="0" applyFont="1" applyFill="1" applyBorder="1" applyProtection="1"/>
    <xf numFmtId="0" fontId="32" fillId="5" borderId="0" xfId="0" applyFont="1" applyFill="1" applyAlignment="1" applyProtection="1">
      <alignment horizontal="center"/>
      <protection locked="0"/>
    </xf>
    <xf numFmtId="0" fontId="32" fillId="5" borderId="0" xfId="0" applyFont="1" applyFill="1" applyBorder="1" applyAlignment="1" applyProtection="1">
      <alignment horizontal="center"/>
      <protection locked="0"/>
    </xf>
    <xf numFmtId="0" fontId="14" fillId="13" borderId="5" xfId="0" applyFont="1" applyFill="1" applyBorder="1" applyAlignment="1" applyProtection="1">
      <alignment horizontal="center" vertical="center"/>
      <protection locked="0"/>
    </xf>
    <xf numFmtId="11" fontId="14" fillId="13" borderId="10" xfId="0" applyNumberFormat="1" applyFont="1" applyFill="1" applyBorder="1" applyAlignment="1" applyProtection="1">
      <alignment horizontal="center"/>
      <protection locked="0"/>
    </xf>
    <xf numFmtId="0" fontId="14" fillId="13" borderId="10" xfId="0" applyFont="1" applyFill="1" applyBorder="1" applyAlignment="1" applyProtection="1">
      <alignment horizontal="center"/>
      <protection locked="0"/>
    </xf>
    <xf numFmtId="0" fontId="14" fillId="5" borderId="0" xfId="0" applyFont="1" applyFill="1" applyBorder="1" applyAlignment="1" applyProtection="1">
      <alignment horizontal="center"/>
      <protection locked="0"/>
    </xf>
    <xf numFmtId="11" fontId="14" fillId="5" borderId="2" xfId="0" applyNumberFormat="1" applyFont="1" applyFill="1" applyBorder="1" applyAlignment="1" applyProtection="1">
      <alignment horizontal="center"/>
    </xf>
    <xf numFmtId="164" fontId="14" fillId="5" borderId="1" xfId="0" applyNumberFormat="1" applyFont="1" applyFill="1" applyBorder="1" applyAlignment="1" applyProtection="1">
      <alignment horizontal="center"/>
    </xf>
    <xf numFmtId="164" fontId="14" fillId="5" borderId="2" xfId="0" applyNumberFormat="1" applyFont="1" applyFill="1" applyBorder="1" applyAlignment="1" applyProtection="1">
      <alignment horizontal="center"/>
    </xf>
    <xf numFmtId="0" fontId="14" fillId="5" borderId="0" xfId="0" applyFont="1" applyFill="1" applyBorder="1" applyAlignment="1" applyProtection="1">
      <alignment horizontal="center"/>
    </xf>
    <xf numFmtId="11" fontId="14" fillId="5" borderId="0" xfId="0" applyNumberFormat="1" applyFont="1" applyFill="1" applyBorder="1" applyAlignment="1" applyProtection="1">
      <alignment horizontal="center"/>
      <protection locked="0"/>
    </xf>
    <xf numFmtId="0" fontId="15" fillId="5" borderId="0" xfId="0" applyFont="1" applyFill="1" applyBorder="1" applyAlignment="1" applyProtection="1">
      <alignment horizontal="center"/>
    </xf>
    <xf numFmtId="0" fontId="14" fillId="5" borderId="0" xfId="0" applyFont="1" applyFill="1" applyBorder="1" applyAlignment="1" applyProtection="1">
      <alignment horizontal="center" vertical="center"/>
    </xf>
    <xf numFmtId="0" fontId="14" fillId="5" borderId="0" xfId="0" applyFont="1" applyFill="1" applyBorder="1" applyAlignment="1" applyProtection="1"/>
    <xf numFmtId="0" fontId="24" fillId="5" borderId="0" xfId="0" applyFont="1" applyFill="1" applyBorder="1" applyAlignment="1" applyProtection="1"/>
    <xf numFmtId="0" fontId="14" fillId="5" borderId="0" xfId="0" applyFont="1" applyFill="1" applyBorder="1" applyAlignment="1" applyProtection="1">
      <protection locked="0"/>
    </xf>
    <xf numFmtId="0" fontId="15" fillId="5" borderId="0" xfId="0" applyFont="1" applyFill="1" applyBorder="1" applyAlignment="1" applyProtection="1">
      <alignment horizontal="left" vertical="center"/>
    </xf>
    <xf numFmtId="0" fontId="14" fillId="5" borderId="0" xfId="0" quotePrefix="1" applyFont="1" applyFill="1" applyBorder="1" applyAlignment="1" applyProtection="1">
      <alignment horizontal="center" vertical="center"/>
    </xf>
    <xf numFmtId="0" fontId="19" fillId="5" borderId="0" xfId="0" applyFont="1" applyFill="1" applyBorder="1" applyAlignment="1" applyProtection="1">
      <alignment horizontal="left" vertical="center"/>
    </xf>
    <xf numFmtId="0" fontId="24" fillId="5" borderId="0" xfId="0" applyFont="1" applyFill="1" applyBorder="1" applyProtection="1"/>
    <xf numFmtId="0" fontId="14" fillId="5" borderId="0" xfId="0" applyFont="1" applyFill="1" applyBorder="1" applyAlignment="1" applyProtection="1">
      <alignment horizontal="left" vertical="center"/>
    </xf>
    <xf numFmtId="0" fontId="14" fillId="5" borderId="0" xfId="0" applyFont="1" applyFill="1" applyBorder="1" applyProtection="1">
      <protection locked="0"/>
    </xf>
    <xf numFmtId="0" fontId="15" fillId="5" borderId="0" xfId="0" applyFont="1" applyFill="1" applyBorder="1" applyAlignment="1" applyProtection="1">
      <alignment vertical="center"/>
    </xf>
    <xf numFmtId="0" fontId="14" fillId="5" borderId="0" xfId="0" applyFont="1" applyFill="1" applyBorder="1" applyAlignment="1" applyProtection="1">
      <alignment vertical="center"/>
    </xf>
    <xf numFmtId="0" fontId="16" fillId="5" borderId="0" xfId="0" applyNumberFormat="1" applyFont="1" applyFill="1" applyBorder="1" applyAlignment="1" applyProtection="1">
      <alignment horizontal="center" vertical="center"/>
    </xf>
    <xf numFmtId="0" fontId="16" fillId="5" borderId="0" xfId="0" applyNumberFormat="1" applyFont="1" applyFill="1" applyBorder="1" applyAlignment="1" applyProtection="1">
      <alignment horizontal="center" vertical="center" wrapText="1"/>
    </xf>
    <xf numFmtId="11" fontId="14" fillId="5" borderId="0" xfId="0" applyNumberFormat="1" applyFont="1" applyFill="1" applyBorder="1" applyAlignment="1" applyProtection="1">
      <protection locked="0"/>
    </xf>
    <xf numFmtId="164" fontId="14" fillId="5" borderId="0" xfId="0" applyNumberFormat="1" applyFont="1" applyFill="1" applyBorder="1" applyAlignment="1" applyProtection="1">
      <alignment horizontal="center"/>
      <protection locked="0"/>
    </xf>
    <xf numFmtId="0" fontId="14" fillId="5" borderId="0" xfId="2" applyFont="1" applyFill="1" applyBorder="1" applyAlignment="1" applyProtection="1">
      <alignment horizontal="left"/>
    </xf>
    <xf numFmtId="11" fontId="14" fillId="5" borderId="0" xfId="2" applyNumberFormat="1" applyFont="1" applyFill="1" applyBorder="1" applyAlignment="1" applyProtection="1">
      <alignment horizontal="right"/>
      <protection locked="0"/>
    </xf>
    <xf numFmtId="0" fontId="24" fillId="5" borderId="0" xfId="0" applyFont="1" applyFill="1" applyBorder="1" applyAlignment="1" applyProtection="1">
      <alignment horizontal="center" vertical="center"/>
    </xf>
    <xf numFmtId="0" fontId="25" fillId="5" borderId="0" xfId="0" applyFont="1" applyFill="1" applyBorder="1" applyProtection="1"/>
    <xf numFmtId="0" fontId="15" fillId="5" borderId="0" xfId="0" applyFont="1" applyFill="1" applyBorder="1" applyProtection="1"/>
    <xf numFmtId="0" fontId="14" fillId="5" borderId="0" xfId="0" applyFont="1" applyFill="1" applyBorder="1" applyAlignment="1" applyProtection="1">
      <alignment horizontal="left"/>
    </xf>
    <xf numFmtId="0" fontId="14" fillId="5" borderId="0" xfId="0" applyFont="1" applyFill="1" applyBorder="1" applyAlignment="1" applyProtection="1">
      <alignment horizontal="left" vertical="top"/>
    </xf>
    <xf numFmtId="0" fontId="15" fillId="5" borderId="0" xfId="0" applyFont="1" applyFill="1" applyBorder="1" applyAlignment="1" applyProtection="1">
      <alignment vertical="center" wrapText="1"/>
    </xf>
    <xf numFmtId="0" fontId="15" fillId="5" borderId="0" xfId="0" applyFont="1" applyFill="1" applyBorder="1" applyAlignment="1" applyProtection="1">
      <alignment horizontal="right"/>
    </xf>
    <xf numFmtId="0" fontId="14" fillId="5" borderId="0" xfId="0" applyFont="1" applyFill="1" applyBorder="1" applyAlignment="1" applyProtection="1">
      <alignment horizontal="right"/>
    </xf>
    <xf numFmtId="0" fontId="33" fillId="5" borderId="0" xfId="4" applyFont="1" applyFill="1" applyBorder="1" applyAlignment="1" applyProtection="1">
      <alignment horizontal="right" indent="3"/>
    </xf>
    <xf numFmtId="0" fontId="34" fillId="5" borderId="0" xfId="4" applyFont="1" applyFill="1" applyBorder="1" applyAlignment="1" applyProtection="1">
      <alignment horizontal="right" indent="3"/>
    </xf>
    <xf numFmtId="0" fontId="34" fillId="5" borderId="0" xfId="4" applyFont="1" applyFill="1" applyBorder="1" applyAlignment="1" applyProtection="1">
      <alignment horizontal="right"/>
    </xf>
    <xf numFmtId="0" fontId="34" fillId="5" borderId="0" xfId="4" applyFont="1" applyFill="1" applyBorder="1" applyAlignment="1" applyProtection="1">
      <alignment horizontal="right" indent="2"/>
    </xf>
    <xf numFmtId="0" fontId="14" fillId="9" borderId="0" xfId="0" applyFont="1" applyFill="1" applyBorder="1" applyAlignment="1" applyProtection="1">
      <alignment horizontal="left"/>
    </xf>
    <xf numFmtId="0" fontId="14" fillId="9" borderId="0" xfId="0" applyFont="1" applyFill="1" applyBorder="1" applyProtection="1"/>
    <xf numFmtId="0" fontId="14" fillId="5" borderId="0" xfId="0" applyFont="1" applyFill="1" applyBorder="1" applyAlignment="1" applyProtection="1">
      <alignment horizontal="center" vertical="center"/>
      <protection locked="0"/>
    </xf>
    <xf numFmtId="0" fontId="24" fillId="0" borderId="0" xfId="0" applyFont="1" applyFill="1" applyProtection="1">
      <protection locked="0"/>
    </xf>
    <xf numFmtId="0" fontId="16" fillId="14" borderId="0" xfId="0" applyNumberFormat="1" applyFont="1" applyFill="1" applyBorder="1" applyAlignment="1" applyProtection="1">
      <alignment horizontal="center" vertical="center"/>
    </xf>
    <xf numFmtId="0" fontId="16" fillId="14" borderId="0" xfId="0" applyNumberFormat="1" applyFont="1" applyFill="1" applyBorder="1" applyAlignment="1" applyProtection="1">
      <alignment horizontal="center" vertical="center" wrapText="1"/>
    </xf>
    <xf numFmtId="0" fontId="14" fillId="14" borderId="0" xfId="0" applyFont="1" applyFill="1" applyBorder="1" applyAlignment="1" applyProtection="1">
      <alignment horizontal="center"/>
    </xf>
    <xf numFmtId="0" fontId="24" fillId="14" borderId="0" xfId="0" applyFont="1" applyFill="1" applyBorder="1" applyProtection="1"/>
    <xf numFmtId="0" fontId="14" fillId="14" borderId="0" xfId="0" applyFont="1" applyFill="1" applyBorder="1" applyProtection="1"/>
    <xf numFmtId="0" fontId="14" fillId="14" borderId="0" xfId="0" applyFont="1" applyFill="1" applyBorder="1" applyAlignment="1" applyProtection="1">
      <alignment horizontal="right" vertical="center"/>
    </xf>
    <xf numFmtId="11" fontId="14" fillId="14" borderId="0" xfId="0" applyNumberFormat="1" applyFont="1" applyFill="1" applyBorder="1" applyAlignment="1" applyProtection="1">
      <alignment horizontal="center"/>
    </xf>
    <xf numFmtId="0" fontId="14" fillId="14" borderId="0" xfId="0" applyFont="1" applyFill="1" applyBorder="1" applyAlignment="1" applyProtection="1">
      <alignment horizontal="left"/>
    </xf>
    <xf numFmtId="0" fontId="14" fillId="3" borderId="0" xfId="0" applyFont="1" applyFill="1" applyProtection="1">
      <protection locked="0"/>
    </xf>
    <xf numFmtId="0" fontId="14" fillId="3" borderId="0" xfId="0" applyFont="1" applyFill="1" applyAlignment="1" applyProtection="1">
      <alignment horizontal="center"/>
      <protection locked="0"/>
    </xf>
    <xf numFmtId="0" fontId="0" fillId="5" borderId="0" xfId="0" applyFill="1" applyProtection="1">
      <protection locked="0"/>
    </xf>
    <xf numFmtId="0" fontId="14" fillId="3" borderId="13" xfId="0" applyFont="1" applyFill="1" applyBorder="1" applyProtection="1">
      <protection locked="0"/>
    </xf>
    <xf numFmtId="0" fontId="15" fillId="3" borderId="0" xfId="0" applyFont="1" applyFill="1" applyProtection="1">
      <protection locked="0"/>
    </xf>
    <xf numFmtId="0" fontId="24" fillId="3" borderId="0" xfId="0" applyFont="1" applyFill="1" applyProtection="1">
      <protection locked="0"/>
    </xf>
    <xf numFmtId="0" fontId="14" fillId="3" borderId="0" xfId="0" applyFont="1" applyFill="1" applyBorder="1" applyProtection="1">
      <protection locked="0"/>
    </xf>
    <xf numFmtId="0" fontId="14" fillId="5" borderId="0" xfId="0" applyFont="1" applyFill="1" applyAlignment="1" applyProtection="1">
      <alignment horizontal="center"/>
      <protection locked="0"/>
    </xf>
    <xf numFmtId="0" fontId="14" fillId="5" borderId="0" xfId="0" applyFont="1" applyFill="1" applyProtection="1">
      <protection locked="0"/>
    </xf>
    <xf numFmtId="0" fontId="24" fillId="5" borderId="0" xfId="0" applyFont="1" applyFill="1" applyProtection="1">
      <protection locked="0"/>
    </xf>
    <xf numFmtId="11" fontId="14" fillId="5" borderId="0" xfId="0" applyNumberFormat="1" applyFont="1" applyFill="1" applyProtection="1">
      <protection locked="0"/>
    </xf>
    <xf numFmtId="1" fontId="14" fillId="5" borderId="0" xfId="0" applyNumberFormat="1" applyFont="1" applyFill="1" applyBorder="1" applyProtection="1">
      <protection locked="0"/>
    </xf>
    <xf numFmtId="11" fontId="24" fillId="5" borderId="0" xfId="0" applyNumberFormat="1" applyFont="1" applyFill="1" applyBorder="1" applyAlignment="1" applyProtection="1">
      <alignment horizontal="center"/>
      <protection locked="0"/>
    </xf>
    <xf numFmtId="0" fontId="15" fillId="5" borderId="0" xfId="0" applyFont="1" applyFill="1" applyBorder="1" applyAlignment="1" applyProtection="1">
      <alignment horizontal="left" vertical="center" wrapText="1"/>
      <protection locked="0"/>
    </xf>
    <xf numFmtId="0" fontId="14" fillId="5" borderId="0" xfId="2" applyFont="1" applyFill="1" applyBorder="1" applyAlignment="1" applyProtection="1">
      <alignment horizontal="left"/>
      <protection locked="0"/>
    </xf>
    <xf numFmtId="0" fontId="24" fillId="5" borderId="0" xfId="0" applyFont="1" applyFill="1" applyBorder="1" applyProtection="1">
      <protection locked="0"/>
    </xf>
    <xf numFmtId="0" fontId="14" fillId="5" borderId="0" xfId="0" applyFont="1" applyFill="1" applyAlignment="1" applyProtection="1">
      <protection locked="0"/>
    </xf>
    <xf numFmtId="0" fontId="14" fillId="14" borderId="0"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15" fillId="2" borderId="2" xfId="0" applyFont="1" applyFill="1" applyBorder="1" applyAlignment="1" applyProtection="1">
      <alignment horizontal="center"/>
    </xf>
    <xf numFmtId="0" fontId="15" fillId="2" borderId="3" xfId="0" applyFont="1" applyFill="1" applyBorder="1" applyAlignment="1">
      <alignment horizontal="center" wrapText="1"/>
    </xf>
    <xf numFmtId="0" fontId="0" fillId="0" borderId="0" xfId="0"/>
    <xf numFmtId="11" fontId="17" fillId="3" borderId="0" xfId="2" applyNumberFormat="1" applyFont="1" applyFill="1" applyBorder="1" applyAlignment="1" applyProtection="1">
      <alignment horizontal="center" wrapText="1"/>
    </xf>
    <xf numFmtId="0" fontId="14" fillId="3" borderId="0" xfId="0" applyFont="1" applyFill="1" applyBorder="1" applyAlignment="1" applyProtection="1">
      <alignment horizontal="center"/>
      <protection locked="0"/>
    </xf>
    <xf numFmtId="0" fontId="14" fillId="3" borderId="0" xfId="0" applyFont="1" applyFill="1" applyAlignment="1" applyProtection="1">
      <alignment horizontal="center"/>
    </xf>
    <xf numFmtId="11" fontId="14" fillId="0" borderId="2" xfId="0" applyNumberFormat="1" applyFont="1" applyFill="1" applyBorder="1" applyAlignment="1">
      <alignment horizontal="center"/>
    </xf>
    <xf numFmtId="0" fontId="15" fillId="2" borderId="3" xfId="0" applyFont="1" applyFill="1" applyBorder="1" applyAlignment="1">
      <alignment horizontal="center" wrapText="1"/>
    </xf>
    <xf numFmtId="11" fontId="17" fillId="12" borderId="1" xfId="2" applyNumberFormat="1" applyFont="1" applyFill="1" applyBorder="1" applyAlignment="1" applyProtection="1">
      <alignment horizontal="center" vertical="center" wrapText="1"/>
    </xf>
    <xf numFmtId="0" fontId="14" fillId="12" borderId="1" xfId="2" applyFont="1" applyFill="1" applyBorder="1" applyAlignment="1" applyProtection="1">
      <alignment horizontal="center" vertical="center"/>
    </xf>
    <xf numFmtId="0" fontId="14" fillId="2" borderId="1" xfId="2" applyFont="1" applyFill="1" applyBorder="1" applyAlignment="1" applyProtection="1">
      <alignment horizontal="center" vertical="center"/>
    </xf>
    <xf numFmtId="0" fontId="14" fillId="2" borderId="2" xfId="2" applyFont="1" applyFill="1" applyBorder="1" applyAlignment="1" applyProtection="1">
      <alignment horizontal="center" vertical="center"/>
    </xf>
    <xf numFmtId="11" fontId="14" fillId="13" borderId="2" xfId="0" applyNumberFormat="1" applyFont="1" applyFill="1" applyBorder="1" applyAlignment="1" applyProtection="1">
      <alignment horizontal="center"/>
      <protection locked="0"/>
    </xf>
    <xf numFmtId="164" fontId="14" fillId="13" borderId="2" xfId="0" applyNumberFormat="1" applyFont="1" applyFill="1" applyBorder="1" applyAlignment="1" applyProtection="1">
      <alignment horizontal="center"/>
      <protection locked="0"/>
    </xf>
    <xf numFmtId="0" fontId="14" fillId="13" borderId="0" xfId="0" applyFont="1" applyFill="1" applyBorder="1" applyProtection="1"/>
    <xf numFmtId="0" fontId="24" fillId="0" borderId="0" xfId="0" applyFont="1" applyFill="1" applyBorder="1" applyAlignment="1" applyProtection="1"/>
    <xf numFmtId="0" fontId="0" fillId="0" borderId="0" xfId="0" applyAlignment="1">
      <alignment vertical="top"/>
    </xf>
    <xf numFmtId="0" fontId="0" fillId="0" borderId="0" xfId="0" applyAlignment="1">
      <alignment horizontal="center" vertical="top"/>
    </xf>
    <xf numFmtId="0" fontId="11" fillId="0" borderId="1" xfId="0" applyFont="1" applyBorder="1" applyAlignment="1">
      <alignment horizontal="center" vertical="top"/>
    </xf>
    <xf numFmtId="0" fontId="11" fillId="0" borderId="1" xfId="0" applyFont="1" applyBorder="1" applyAlignment="1">
      <alignment vertical="top"/>
    </xf>
    <xf numFmtId="165" fontId="0" fillId="0" borderId="1" xfId="0" applyNumberFormat="1" applyBorder="1" applyAlignment="1">
      <alignment horizontal="center" vertical="top"/>
    </xf>
    <xf numFmtId="14" fontId="0" fillId="0" borderId="1" xfId="0" applyNumberFormat="1" applyBorder="1" applyAlignment="1">
      <alignment horizontal="center" vertical="top"/>
    </xf>
    <xf numFmtId="0" fontId="8" fillId="0" borderId="1" xfId="0" applyFont="1" applyBorder="1" applyAlignment="1">
      <alignment vertical="top"/>
    </xf>
    <xf numFmtId="0" fontId="0" fillId="0" borderId="1" xfId="0" applyBorder="1" applyAlignment="1">
      <alignment horizontal="center" vertical="top"/>
    </xf>
    <xf numFmtId="0" fontId="8" fillId="0" borderId="1" xfId="0" applyFont="1" applyBorder="1" applyAlignment="1">
      <alignment vertical="top" wrapText="1"/>
    </xf>
    <xf numFmtId="164" fontId="10" fillId="2" borderId="8" xfId="2" applyNumberFormat="1" applyFont="1" applyFill="1" applyBorder="1" applyAlignment="1" applyProtection="1">
      <alignment horizontal="center"/>
    </xf>
    <xf numFmtId="11" fontId="26" fillId="2" borderId="7" xfId="2" applyNumberFormat="1" applyFont="1" applyFill="1" applyBorder="1" applyAlignment="1" applyProtection="1">
      <alignment horizontal="center" wrapText="1"/>
    </xf>
    <xf numFmtId="0" fontId="8" fillId="0" borderId="1" xfId="3" applyFont="1" applyFill="1" applyBorder="1" applyAlignment="1" applyProtection="1">
      <alignment wrapText="1"/>
    </xf>
    <xf numFmtId="0" fontId="11" fillId="0" borderId="1" xfId="3" applyFont="1" applyFill="1" applyBorder="1" applyAlignment="1" applyProtection="1">
      <alignment wrapText="1"/>
    </xf>
    <xf numFmtId="0" fontId="14" fillId="3" borderId="33" xfId="0" applyFont="1" applyFill="1" applyBorder="1" applyProtection="1">
      <protection locked="0"/>
    </xf>
    <xf numFmtId="164" fontId="16" fillId="5" borderId="10" xfId="0" applyNumberFormat="1" applyFont="1" applyFill="1" applyBorder="1" applyAlignment="1" applyProtection="1">
      <alignment vertical="center"/>
    </xf>
    <xf numFmtId="164" fontId="16" fillId="5" borderId="11" xfId="0" applyNumberFormat="1" applyFont="1" applyFill="1" applyBorder="1" applyAlignment="1" applyProtection="1">
      <alignment vertical="center"/>
    </xf>
    <xf numFmtId="164" fontId="16" fillId="5" borderId="12" xfId="0" applyNumberFormat="1" applyFont="1" applyFill="1" applyBorder="1" applyAlignment="1" applyProtection="1">
      <alignment vertical="center"/>
    </xf>
    <xf numFmtId="0" fontId="15" fillId="2" borderId="10" xfId="0" applyFont="1" applyFill="1" applyBorder="1" applyAlignment="1" applyProtection="1"/>
    <xf numFmtId="0" fontId="15" fillId="2" borderId="11" xfId="0" applyFont="1" applyFill="1" applyBorder="1" applyAlignment="1" applyProtection="1"/>
    <xf numFmtId="0" fontId="15" fillId="2" borderId="12" xfId="0" applyFont="1" applyFill="1" applyBorder="1" applyAlignment="1" applyProtection="1"/>
    <xf numFmtId="0" fontId="14" fillId="0" borderId="1" xfId="0" applyFont="1" applyFill="1" applyBorder="1" applyAlignment="1" applyProtection="1">
      <alignment horizontal="center"/>
    </xf>
    <xf numFmtId="0" fontId="8" fillId="0" borderId="1" xfId="3" applyFont="1" applyFill="1" applyBorder="1" applyAlignment="1" applyProtection="1">
      <alignment vertical="top"/>
    </xf>
    <xf numFmtId="0" fontId="11" fillId="0" borderId="1" xfId="3" applyFont="1" applyFill="1" applyBorder="1" applyAlignment="1" applyProtection="1"/>
    <xf numFmtId="0" fontId="8" fillId="0" borderId="33" xfId="3" applyFont="1" applyFill="1" applyBorder="1" applyAlignment="1" applyProtection="1">
      <alignment vertical="top"/>
    </xf>
    <xf numFmtId="0" fontId="15" fillId="2" borderId="1" xfId="0" applyFont="1" applyFill="1" applyBorder="1" applyAlignment="1">
      <alignment horizontal="center" vertical="center" wrapText="1"/>
    </xf>
    <xf numFmtId="0" fontId="14" fillId="0" borderId="0" xfId="0" applyFont="1" applyFill="1" applyBorder="1" applyAlignment="1" applyProtection="1">
      <alignment horizontal="center"/>
    </xf>
    <xf numFmtId="11" fontId="14" fillId="13" borderId="2" xfId="0" quotePrefix="1" applyNumberFormat="1" applyFont="1" applyFill="1" applyBorder="1" applyAlignment="1" applyProtection="1">
      <alignment horizontal="center"/>
      <protection locked="0"/>
    </xf>
    <xf numFmtId="11" fontId="16" fillId="2" borderId="2" xfId="2" applyNumberFormat="1" applyFont="1" applyFill="1" applyBorder="1" applyAlignment="1" applyProtection="1">
      <alignment horizontal="center" vertical="center" wrapText="1"/>
    </xf>
    <xf numFmtId="0" fontId="14" fillId="47" borderId="0" xfId="0" applyFont="1" applyFill="1" applyBorder="1" applyAlignment="1" applyProtection="1">
      <alignment horizontal="left"/>
    </xf>
    <xf numFmtId="0" fontId="14" fillId="47" borderId="0" xfId="0" applyFont="1" applyFill="1" applyBorder="1" applyProtection="1"/>
    <xf numFmtId="0" fontId="24" fillId="47" borderId="0" xfId="0" applyFont="1" applyFill="1" applyBorder="1" applyProtection="1"/>
    <xf numFmtId="0" fontId="8" fillId="0" borderId="1" xfId="3" applyFont="1" applyFill="1" applyBorder="1" applyAlignment="1" applyProtection="1">
      <alignment vertical="center" wrapText="1"/>
    </xf>
    <xf numFmtId="0" fontId="8" fillId="0" borderId="1" xfId="3" applyFont="1" applyFill="1" applyBorder="1" applyAlignment="1" applyProtection="1">
      <alignment wrapText="1"/>
    </xf>
    <xf numFmtId="0" fontId="11" fillId="0" borderId="1" xfId="3" applyFont="1" applyFill="1" applyBorder="1" applyAlignment="1" applyProtection="1">
      <alignment wrapText="1"/>
    </xf>
    <xf numFmtId="0" fontId="24" fillId="0" borderId="0" xfId="0" applyFont="1" applyFill="1" applyBorder="1" applyProtection="1"/>
    <xf numFmtId="0" fontId="8" fillId="0" borderId="0" xfId="3" applyFont="1" applyFill="1" applyBorder="1" applyAlignment="1" applyProtection="1">
      <alignment vertical="top" wrapText="1"/>
    </xf>
    <xf numFmtId="0" fontId="8" fillId="0" borderId="0" xfId="3" applyFont="1" applyFill="1" applyBorder="1" applyAlignment="1" applyProtection="1">
      <alignment horizontal="left" vertical="top" wrapText="1"/>
    </xf>
    <xf numFmtId="165" fontId="0" fillId="0" borderId="1" xfId="0" applyNumberFormat="1" applyFill="1" applyBorder="1" applyAlignment="1">
      <alignment horizontal="center" vertical="top"/>
    </xf>
    <xf numFmtId="0" fontId="8" fillId="0" borderId="1" xfId="0" applyFont="1" applyFill="1" applyBorder="1" applyAlignment="1">
      <alignment vertical="top" wrapText="1"/>
    </xf>
    <xf numFmtId="0" fontId="0" fillId="0" borderId="0" xfId="0" applyFill="1"/>
    <xf numFmtId="164" fontId="14" fillId="13" borderId="2" xfId="0" quotePrefix="1" applyNumberFormat="1" applyFont="1" applyFill="1" applyBorder="1" applyAlignment="1" applyProtection="1">
      <alignment horizontal="center"/>
      <protection locked="0"/>
    </xf>
    <xf numFmtId="0" fontId="14" fillId="14" borderId="0" xfId="0" applyFont="1" applyFill="1" applyBorder="1" applyAlignment="1" applyProtection="1">
      <alignment horizontal="right"/>
    </xf>
    <xf numFmtId="0" fontId="34" fillId="5" borderId="0" xfId="4" applyFont="1" applyFill="1" applyBorder="1" applyAlignment="1" applyProtection="1"/>
    <xf numFmtId="0" fontId="30" fillId="0" borderId="0" xfId="4" applyFill="1" applyAlignment="1" applyProtection="1">
      <alignment horizontal="left" indent="1"/>
    </xf>
    <xf numFmtId="0" fontId="8" fillId="0" borderId="0" xfId="0" applyFont="1" applyFill="1" applyAlignment="1" applyProtection="1">
      <alignment horizontal="left" indent="1"/>
    </xf>
    <xf numFmtId="0" fontId="30" fillId="0" borderId="0" xfId="4" applyAlignment="1" applyProtection="1">
      <alignment horizontal="center"/>
    </xf>
    <xf numFmtId="0" fontId="30" fillId="0" borderId="0" xfId="4" applyAlignment="1" applyProtection="1">
      <alignment horizontal="right" indent="7"/>
    </xf>
    <xf numFmtId="0" fontId="30" fillId="0" borderId="0" xfId="4" applyFill="1" applyAlignment="1" applyProtection="1">
      <alignment horizontal="left"/>
    </xf>
    <xf numFmtId="14" fontId="8" fillId="0" borderId="1" xfId="0" applyNumberFormat="1" applyFont="1" applyFill="1" applyBorder="1" applyAlignment="1">
      <alignment horizontal="center" vertical="top"/>
    </xf>
    <xf numFmtId="14" fontId="0" fillId="0" borderId="1" xfId="0" applyNumberFormat="1" applyFill="1" applyBorder="1" applyAlignment="1">
      <alignment horizontal="center" vertical="top"/>
    </xf>
    <xf numFmtId="0" fontId="0" fillId="0" borderId="1" xfId="0" applyFill="1" applyBorder="1" applyAlignment="1">
      <alignment horizontal="center" vertical="top"/>
    </xf>
    <xf numFmtId="0" fontId="0" fillId="6" borderId="15" xfId="0" applyNumberFormat="1" applyFont="1" applyFill="1" applyBorder="1" applyAlignment="1" applyProtection="1">
      <alignment horizontal="center" wrapText="1"/>
    </xf>
    <xf numFmtId="0" fontId="8" fillId="0" borderId="0" xfId="0" applyFont="1" applyFill="1" applyAlignment="1" applyProtection="1">
      <alignment horizontal="left" indent="2"/>
    </xf>
    <xf numFmtId="0" fontId="30" fillId="0" borderId="0" xfId="4" applyFill="1" applyAlignment="1" applyProtection="1"/>
    <xf numFmtId="0" fontId="8" fillId="0" borderId="1" xfId="3" applyFont="1" applyFill="1" applyBorder="1" applyAlignment="1" applyProtection="1">
      <alignment vertical="center" wrapText="1"/>
    </xf>
    <xf numFmtId="0" fontId="0" fillId="48" borderId="0" xfId="0" applyNumberFormat="1" applyFont="1" applyFill="1" applyBorder="1" applyAlignment="1" applyProtection="1"/>
    <xf numFmtId="0" fontId="14" fillId="14" borderId="0" xfId="0" applyFont="1" applyFill="1" applyBorder="1" applyAlignment="1" applyProtection="1">
      <alignment horizontal="center" vertical="center"/>
    </xf>
    <xf numFmtId="0" fontId="0" fillId="5" borderId="22" xfId="0" applyNumberFormat="1" applyFont="1" applyFill="1" applyBorder="1" applyAlignment="1" applyProtection="1">
      <alignment horizontal="center" wrapText="1"/>
    </xf>
    <xf numFmtId="1" fontId="8" fillId="0" borderId="0" xfId="0" applyNumberFormat="1" applyFont="1" applyFill="1" applyBorder="1" applyProtection="1"/>
    <xf numFmtId="11" fontId="8" fillId="0" borderId="0" xfId="2" applyNumberFormat="1" applyFont="1" applyFill="1" applyBorder="1" applyAlignment="1" applyProtection="1">
      <alignment horizontal="left"/>
    </xf>
    <xf numFmtId="0" fontId="8" fillId="0" borderId="2" xfId="0" applyFont="1" applyFill="1" applyBorder="1" applyProtection="1"/>
    <xf numFmtId="0" fontId="14" fillId="0" borderId="0" xfId="0" applyFont="1" applyFill="1" applyBorder="1" applyAlignment="1" applyProtection="1">
      <alignment horizontal="center"/>
      <protection locked="0"/>
    </xf>
    <xf numFmtId="11" fontId="14" fillId="0" borderId="0" xfId="0" applyNumberFormat="1" applyFont="1" applyFill="1" applyBorder="1" applyAlignment="1" applyProtection="1">
      <alignment horizontal="center"/>
    </xf>
    <xf numFmtId="164" fontId="14" fillId="0" borderId="0" xfId="0"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0" fontId="14" fillId="0" borderId="1" xfId="0" applyFont="1" applyFill="1" applyBorder="1" applyProtection="1"/>
    <xf numFmtId="0" fontId="14" fillId="0" borderId="5" xfId="0" applyFont="1" applyFill="1" applyBorder="1" applyAlignment="1" applyProtection="1">
      <alignment horizontal="center"/>
    </xf>
    <xf numFmtId="11" fontId="14" fillId="0" borderId="1" xfId="0" applyNumberFormat="1" applyFont="1" applyFill="1" applyBorder="1" applyAlignment="1" applyProtection="1">
      <alignment horizontal="center"/>
    </xf>
    <xf numFmtId="164" fontId="14" fillId="0" borderId="2" xfId="0" applyNumberFormat="1" applyFont="1" applyFill="1" applyBorder="1" applyAlignment="1" applyProtection="1">
      <alignment horizontal="center"/>
    </xf>
    <xf numFmtId="0" fontId="14" fillId="0" borderId="2" xfId="0" applyFont="1" applyFill="1" applyBorder="1" applyAlignment="1" applyProtection="1">
      <alignment horizontal="center"/>
    </xf>
    <xf numFmtId="14" fontId="14" fillId="0" borderId="1" xfId="0" quotePrefix="1" applyNumberFormat="1" applyFont="1" applyFill="1" applyBorder="1" applyProtection="1"/>
    <xf numFmtId="0" fontId="30" fillId="0" borderId="0" xfId="4" applyFill="1" applyAlignment="1" applyProtection="1">
      <alignment horizontal="center"/>
    </xf>
    <xf numFmtId="0" fontId="30" fillId="0" borderId="0" xfId="4" applyFill="1" applyAlignment="1" applyProtection="1">
      <alignment horizontal="right" indent="24"/>
    </xf>
    <xf numFmtId="0" fontId="8" fillId="0" borderId="0" xfId="0" applyFont="1" applyFill="1" applyAlignment="1" applyProtection="1">
      <alignment horizontal="left" vertical="center" indent="2"/>
    </xf>
    <xf numFmtId="0" fontId="8" fillId="0" borderId="0" xfId="0" applyFont="1" applyFill="1" applyAlignment="1" applyProtection="1">
      <alignment horizontal="left" vertical="center" wrapText="1"/>
    </xf>
    <xf numFmtId="0" fontId="30" fillId="0" borderId="0" xfId="4" applyFill="1" applyAlignment="1" applyProtection="1">
      <alignment horizontal="left" vertical="center"/>
    </xf>
    <xf numFmtId="0" fontId="14" fillId="0" borderId="2" xfId="0" applyFont="1" applyFill="1" applyBorder="1" applyProtection="1"/>
    <xf numFmtId="0" fontId="15" fillId="2" borderId="3" xfId="0" applyFont="1" applyFill="1" applyBorder="1" applyAlignment="1" applyProtection="1">
      <alignment horizontal="center" vertical="center" wrapText="1"/>
    </xf>
    <xf numFmtId="0" fontId="14" fillId="2" borderId="4" xfId="0" applyFont="1" applyFill="1" applyBorder="1" applyAlignment="1" applyProtection="1">
      <alignment horizontal="center"/>
    </xf>
    <xf numFmtId="0" fontId="14" fillId="2" borderId="2" xfId="0" applyFont="1" applyFill="1" applyBorder="1" applyAlignment="1" applyProtection="1">
      <alignment horizontal="center"/>
    </xf>
    <xf numFmtId="0" fontId="8" fillId="0" borderId="0" xfId="0" applyFont="1" applyAlignment="1" applyProtection="1">
      <alignment horizontal="right"/>
    </xf>
    <xf numFmtId="0" fontId="8" fillId="0" borderId="0" xfId="0" applyFont="1" applyAlignment="1" applyProtection="1">
      <alignment horizontal="right"/>
      <protection locked="0"/>
    </xf>
    <xf numFmtId="0" fontId="8" fillId="0" borderId="0" xfId="0" applyFont="1" applyFill="1" applyAlignment="1" applyProtection="1">
      <alignment horizontal="right"/>
    </xf>
    <xf numFmtId="2" fontId="8" fillId="0" borderId="0" xfId="0" applyNumberFormat="1" applyFont="1" applyAlignment="1" applyProtection="1">
      <alignment horizontal="center"/>
    </xf>
    <xf numFmtId="2" fontId="8" fillId="0" borderId="0" xfId="0" applyNumberFormat="1" applyFont="1" applyProtection="1"/>
    <xf numFmtId="1" fontId="8" fillId="0" borderId="0" xfId="0" applyNumberFormat="1" applyFont="1" applyAlignment="1" applyProtection="1">
      <alignment horizontal="center"/>
    </xf>
    <xf numFmtId="1" fontId="8" fillId="0" borderId="1" xfId="2" applyNumberFormat="1" applyFont="1" applyFill="1" applyBorder="1" applyAlignment="1" applyProtection="1">
      <alignment horizontal="center"/>
    </xf>
    <xf numFmtId="1" fontId="8" fillId="0" borderId="0" xfId="0" applyNumberFormat="1" applyFont="1" applyFill="1" applyProtection="1"/>
    <xf numFmtId="1" fontId="8" fillId="0" borderId="0" xfId="0" applyNumberFormat="1" applyFont="1" applyProtection="1"/>
    <xf numFmtId="1" fontId="8" fillId="0" borderId="0" xfId="0" applyNumberFormat="1" applyFont="1" applyAlignment="1" applyProtection="1">
      <alignment vertical="center" wrapText="1"/>
    </xf>
    <xf numFmtId="1" fontId="8" fillId="0" borderId="0" xfId="0" applyNumberFormat="1" applyFont="1" applyAlignment="1" applyProtection="1">
      <alignment horizontal="left" vertical="center" wrapText="1"/>
    </xf>
    <xf numFmtId="1" fontId="8" fillId="0" borderId="0" xfId="0" applyNumberFormat="1" applyFont="1" applyFill="1" applyAlignment="1" applyProtection="1">
      <alignment horizontal="left" vertical="center" wrapText="1"/>
    </xf>
    <xf numFmtId="1" fontId="8" fillId="0" borderId="0" xfId="0" applyNumberFormat="1" applyFont="1" applyAlignment="1" applyProtection="1">
      <alignment horizontal="center"/>
      <protection locked="0"/>
    </xf>
    <xf numFmtId="0" fontId="8" fillId="0" borderId="0" xfId="0" applyFont="1" applyFill="1" applyBorder="1" applyAlignment="1" applyProtection="1">
      <alignment horizontal="center"/>
    </xf>
    <xf numFmtId="11" fontId="8" fillId="0" borderId="0" xfId="2" applyNumberFormat="1" applyFont="1" applyFill="1" applyBorder="1" applyAlignment="1" applyProtection="1">
      <alignment horizontal="center"/>
    </xf>
    <xf numFmtId="0" fontId="54" fillId="0" borderId="0" xfId="0" applyFont="1" applyAlignment="1" applyProtection="1">
      <alignment horizontal="right" indent="16"/>
    </xf>
    <xf numFmtId="2" fontId="8" fillId="0" borderId="0" xfId="2" applyNumberFormat="1" applyFont="1" applyFill="1" applyBorder="1" applyAlignment="1" applyProtection="1">
      <alignment horizontal="center"/>
    </xf>
    <xf numFmtId="11" fontId="8" fillId="0" borderId="0" xfId="0" applyNumberFormat="1" applyFont="1" applyFill="1" applyBorder="1" applyAlignment="1" applyProtection="1">
      <alignment horizontal="center"/>
    </xf>
    <xf numFmtId="0" fontId="8" fillId="0" borderId="1" xfId="3" applyFont="1" applyFill="1" applyBorder="1" applyAlignment="1" applyProtection="1">
      <alignment vertical="center" wrapText="1"/>
    </xf>
    <xf numFmtId="0" fontId="8" fillId="0" borderId="1" xfId="3" applyFont="1" applyFill="1" applyBorder="1" applyAlignment="1" applyProtection="1">
      <alignment wrapText="1"/>
    </xf>
    <xf numFmtId="0" fontId="15" fillId="5" borderId="0" xfId="0" applyFont="1" applyFill="1" applyBorder="1" applyAlignment="1" applyProtection="1">
      <alignment horizontal="center" vertical="center"/>
    </xf>
    <xf numFmtId="0" fontId="14" fillId="14" borderId="0" xfId="0" applyFont="1" applyFill="1" applyBorder="1" applyAlignment="1" applyProtection="1">
      <alignment horizontal="center" vertical="center"/>
    </xf>
    <xf numFmtId="164" fontId="10" fillId="2" borderId="9" xfId="2" applyNumberFormat="1" applyFont="1" applyFill="1" applyBorder="1" applyAlignment="1" applyProtection="1">
      <alignment horizontal="center"/>
    </xf>
    <xf numFmtId="0" fontId="14" fillId="0" borderId="0" xfId="0" applyFont="1" applyFill="1" applyBorder="1" applyProtection="1"/>
    <xf numFmtId="11" fontId="14" fillId="12" borderId="1" xfId="0" applyNumberFormat="1" applyFont="1" applyFill="1" applyBorder="1" applyAlignment="1" applyProtection="1">
      <alignment horizontal="center"/>
    </xf>
    <xf numFmtId="0" fontId="8" fillId="0" borderId="1" xfId="0" applyFont="1" applyFill="1" applyBorder="1" applyAlignment="1">
      <alignment horizontal="center"/>
    </xf>
    <xf numFmtId="0" fontId="8" fillId="0" borderId="8" xfId="0" applyFont="1" applyBorder="1" applyProtection="1"/>
    <xf numFmtId="11" fontId="8" fillId="0" borderId="8" xfId="2" applyNumberFormat="1" applyFont="1" applyFill="1" applyBorder="1" applyAlignment="1" applyProtection="1">
      <alignment horizontal="left"/>
    </xf>
    <xf numFmtId="0" fontId="8" fillId="0" borderId="8" xfId="0" applyNumberFormat="1" applyFont="1" applyFill="1" applyBorder="1" applyAlignment="1" applyProtection="1">
      <alignment horizontal="center"/>
      <protection locked="0"/>
    </xf>
    <xf numFmtId="0" fontId="8" fillId="0" borderId="8" xfId="0" applyFont="1" applyFill="1" applyBorder="1" applyProtection="1">
      <protection locked="0"/>
    </xf>
    <xf numFmtId="0" fontId="8" fillId="0" borderId="8" xfId="0" applyFont="1" applyBorder="1" applyProtection="1">
      <protection locked="0"/>
    </xf>
    <xf numFmtId="0" fontId="8" fillId="0" borderId="2" xfId="0" applyFont="1" applyBorder="1" applyAlignment="1" applyProtection="1">
      <alignment horizontal="center"/>
    </xf>
    <xf numFmtId="0" fontId="8" fillId="0" borderId="0" xfId="0" applyFont="1" applyBorder="1" applyAlignment="1" applyProtection="1">
      <alignment horizontal="center"/>
    </xf>
    <xf numFmtId="11" fontId="17" fillId="12" borderId="10" xfId="2" applyNumberFormat="1" applyFont="1" applyFill="1" applyBorder="1" applyAlignment="1" applyProtection="1">
      <alignment horizontal="center" textRotation="90" wrapText="1"/>
    </xf>
    <xf numFmtId="11" fontId="17" fillId="12" borderId="12" xfId="2" applyNumberFormat="1" applyFont="1" applyFill="1" applyBorder="1" applyAlignment="1" applyProtection="1">
      <alignment horizontal="center" wrapText="1"/>
    </xf>
    <xf numFmtId="11" fontId="17" fillId="0" borderId="0" xfId="2" applyNumberFormat="1" applyFont="1" applyFill="1" applyBorder="1" applyAlignment="1" applyProtection="1">
      <alignment horizontal="center" wrapText="1"/>
    </xf>
    <xf numFmtId="0" fontId="14" fillId="0" borderId="0" xfId="0" applyFont="1" applyFill="1" applyBorder="1" applyAlignment="1" applyProtection="1"/>
    <xf numFmtId="0" fontId="14" fillId="0" borderId="0" xfId="2" applyFont="1" applyFill="1" applyBorder="1" applyAlignment="1" applyProtection="1">
      <alignment horizontal="left"/>
    </xf>
    <xf numFmtId="11" fontId="14" fillId="2" borderId="3" xfId="0" applyNumberFormat="1" applyFont="1" applyFill="1" applyBorder="1" applyAlignment="1" applyProtection="1">
      <alignment horizontal="center"/>
    </xf>
    <xf numFmtId="11" fontId="14" fillId="12" borderId="3" xfId="0" applyNumberFormat="1" applyFont="1" applyFill="1" applyBorder="1" applyAlignment="1" applyProtection="1">
      <alignment horizontal="center"/>
    </xf>
    <xf numFmtId="11" fontId="14" fillId="12" borderId="7" xfId="0" applyNumberFormat="1" applyFont="1" applyFill="1" applyBorder="1" applyAlignment="1" applyProtection="1">
      <alignment horizontal="center"/>
    </xf>
    <xf numFmtId="0" fontId="14" fillId="12" borderId="14" xfId="2" applyFont="1" applyFill="1" applyBorder="1" applyAlignment="1" applyProtection="1">
      <alignment horizontal="center"/>
    </xf>
    <xf numFmtId="0" fontId="14" fillId="0" borderId="1" xfId="0" applyNumberFormat="1" applyFont="1" applyFill="1" applyBorder="1" applyAlignment="1" applyProtection="1">
      <alignment horizontal="center"/>
    </xf>
    <xf numFmtId="0" fontId="11" fillId="2" borderId="7" xfId="0" applyFont="1" applyFill="1" applyBorder="1" applyProtection="1"/>
    <xf numFmtId="0" fontId="8" fillId="2" borderId="8" xfId="0" applyFont="1" applyFill="1" applyBorder="1" applyProtection="1"/>
    <xf numFmtId="0" fontId="11" fillId="2" borderId="5" xfId="0" applyFont="1" applyFill="1" applyBorder="1" applyProtection="1"/>
    <xf numFmtId="11" fontId="8" fillId="0" borderId="10" xfId="2" applyNumberFormat="1" applyFont="1" applyFill="1" applyBorder="1" applyAlignment="1" applyProtection="1">
      <alignment horizontal="left"/>
    </xf>
    <xf numFmtId="11" fontId="8" fillId="0" borderId="5" xfId="2" applyNumberFormat="1" applyFont="1" applyFill="1" applyBorder="1" applyAlignment="1" applyProtection="1">
      <alignment horizontal="left"/>
    </xf>
    <xf numFmtId="0" fontId="14" fillId="0" borderId="0" xfId="0" applyFont="1" applyFill="1"/>
    <xf numFmtId="0" fontId="14" fillId="0" borderId="1" xfId="0" applyFont="1" applyFill="1" applyBorder="1"/>
    <xf numFmtId="11" fontId="14" fillId="0" borderId="0" xfId="2" applyNumberFormat="1" applyFont="1" applyFill="1" applyBorder="1" applyAlignment="1" applyProtection="1">
      <alignment horizontal="left"/>
    </xf>
    <xf numFmtId="11" fontId="14" fillId="0" borderId="0" xfId="0" applyNumberFormat="1" applyFont="1" applyFill="1" applyBorder="1" applyAlignment="1" applyProtection="1">
      <alignment horizontal="center"/>
      <protection locked="0"/>
    </xf>
    <xf numFmtId="0" fontId="8" fillId="0" borderId="1" xfId="3" applyFont="1" applyFill="1" applyBorder="1" applyAlignment="1" applyProtection="1">
      <alignment horizontal="center" vertical="center" wrapText="1"/>
    </xf>
    <xf numFmtId="0" fontId="0" fillId="5" borderId="22" xfId="0" applyNumberFormat="1" applyFont="1" applyFill="1" applyBorder="1" applyAlignment="1" applyProtection="1">
      <alignment horizontal="center" wrapText="1"/>
    </xf>
    <xf numFmtId="0" fontId="55" fillId="48" borderId="0" xfId="0" applyNumberFormat="1" applyFont="1" applyFill="1" applyBorder="1" applyAlignment="1" applyProtection="1"/>
    <xf numFmtId="0" fontId="55" fillId="5" borderId="23" xfId="0" applyNumberFormat="1" applyFont="1" applyFill="1" applyBorder="1" applyAlignment="1" applyProtection="1">
      <alignment horizontal="center" wrapText="1"/>
    </xf>
    <xf numFmtId="164" fontId="55" fillId="48" borderId="0" xfId="0" applyNumberFormat="1" applyFont="1" applyFill="1" applyBorder="1" applyAlignment="1" applyProtection="1"/>
    <xf numFmtId="11" fontId="8" fillId="0" borderId="0" xfId="0" applyNumberFormat="1" applyFont="1" applyAlignment="1" applyProtection="1">
      <alignment horizontal="right"/>
    </xf>
    <xf numFmtId="164" fontId="26" fillId="2" borderId="8" xfId="2" applyNumberFormat="1" applyFont="1" applyFill="1" applyBorder="1" applyAlignment="1" applyProtection="1">
      <alignment horizontal="center" wrapText="1"/>
    </xf>
    <xf numFmtId="164" fontId="26" fillId="2" borderId="7" xfId="2" applyNumberFormat="1" applyFont="1" applyFill="1" applyBorder="1" applyAlignment="1" applyProtection="1">
      <alignment horizontal="center" wrapText="1"/>
    </xf>
    <xf numFmtId="11" fontId="14" fillId="0" borderId="1" xfId="2" applyNumberFormat="1" applyFont="1" applyFill="1" applyBorder="1" applyAlignment="1" applyProtection="1">
      <alignment horizontal="left"/>
    </xf>
    <xf numFmtId="1" fontId="14" fillId="0" borderId="1" xfId="0" applyNumberFormat="1" applyFont="1" applyFill="1" applyBorder="1" applyProtection="1"/>
    <xf numFmtId="1" fontId="14" fillId="0" borderId="2" xfId="0" applyNumberFormat="1" applyFont="1" applyFill="1" applyBorder="1" applyProtection="1"/>
    <xf numFmtId="2" fontId="8" fillId="0" borderId="1" xfId="2" applyNumberFormat="1" applyFont="1" applyFill="1" applyBorder="1" applyAlignment="1" applyProtection="1">
      <alignment horizontal="center"/>
    </xf>
    <xf numFmtId="0" fontId="8" fillId="0" borderId="0" xfId="0" applyFont="1"/>
    <xf numFmtId="0" fontId="30" fillId="0" borderId="0" xfId="4" applyAlignment="1" applyProtection="1">
      <alignment horizontal="left" indent="3"/>
    </xf>
    <xf numFmtId="0" fontId="56" fillId="0" borderId="0" xfId="0" quotePrefix="1" applyFont="1" applyAlignment="1">
      <alignment horizontal="left" vertical="center" indent="3"/>
    </xf>
    <xf numFmtId="0" fontId="8" fillId="0" borderId="0" xfId="3" applyFont="1" applyFill="1" applyAlignment="1" applyProtection="1">
      <alignment horizontal="left" indent="3"/>
    </xf>
    <xf numFmtId="0" fontId="8" fillId="0" borderId="0" xfId="3" applyFont="1" applyFill="1" applyAlignment="1" applyProtection="1">
      <alignment horizontal="left" indent="3"/>
      <protection locked="0"/>
    </xf>
    <xf numFmtId="0" fontId="30" fillId="0" borderId="0" xfId="4" applyFill="1" applyAlignment="1" applyProtection="1">
      <alignment horizontal="left" indent="3"/>
    </xf>
    <xf numFmtId="0" fontId="14" fillId="2" borderId="13" xfId="0" applyFont="1" applyFill="1" applyBorder="1" applyProtection="1"/>
    <xf numFmtId="0" fontId="15" fillId="12" borderId="2" xfId="0" applyFont="1" applyFill="1" applyBorder="1" applyAlignment="1" applyProtection="1">
      <alignment horizontal="center"/>
    </xf>
    <xf numFmtId="0" fontId="15" fillId="2" borderId="6" xfId="0" applyFont="1" applyFill="1" applyBorder="1" applyAlignment="1" applyProtection="1">
      <alignment horizontal="center"/>
    </xf>
    <xf numFmtId="2" fontId="0" fillId="48" borderId="0" xfId="0" applyNumberFormat="1" applyFont="1" applyFill="1" applyBorder="1" applyAlignment="1" applyProtection="1"/>
    <xf numFmtId="49" fontId="14" fillId="0" borderId="1" xfId="2" applyNumberFormat="1" applyFont="1" applyFill="1" applyBorder="1" applyAlignment="1" applyProtection="1">
      <alignment horizontal="left"/>
    </xf>
    <xf numFmtId="49" fontId="8" fillId="0" borderId="1" xfId="2" applyNumberFormat="1" applyFont="1" applyFill="1" applyBorder="1" applyAlignment="1" applyProtection="1">
      <alignment horizontal="left"/>
    </xf>
    <xf numFmtId="0" fontId="0" fillId="0" borderId="1" xfId="0" applyBorder="1" applyAlignment="1">
      <alignment vertical="top"/>
    </xf>
    <xf numFmtId="0" fontId="15" fillId="5" borderId="0" xfId="0" applyFont="1" applyFill="1" applyBorder="1" applyAlignment="1" applyProtection="1">
      <alignment horizontal="center" vertical="center"/>
    </xf>
    <xf numFmtId="164" fontId="10" fillId="2" borderId="8" xfId="2" applyNumberFormat="1" applyFont="1" applyFill="1" applyBorder="1" applyAlignment="1" applyProtection="1">
      <alignment horizontal="center"/>
    </xf>
    <xf numFmtId="164" fontId="10" fillId="2" borderId="9" xfId="2" applyNumberFormat="1" applyFont="1" applyFill="1" applyBorder="1" applyAlignment="1" applyProtection="1">
      <alignment horizontal="center"/>
    </xf>
    <xf numFmtId="164" fontId="10" fillId="2" borderId="8" xfId="2" applyNumberFormat="1" applyFont="1" applyFill="1" applyBorder="1" applyAlignment="1" applyProtection="1">
      <alignment horizontal="left"/>
    </xf>
    <xf numFmtId="164" fontId="10" fillId="2" borderId="9" xfId="2" applyNumberFormat="1" applyFont="1" applyFill="1" applyBorder="1" applyAlignment="1" applyProtection="1">
      <alignment horizontal="left"/>
    </xf>
    <xf numFmtId="1" fontId="10" fillId="2" borderId="8" xfId="2" applyNumberFormat="1" applyFont="1" applyFill="1" applyBorder="1" applyAlignment="1" applyProtection="1">
      <alignment horizontal="center"/>
    </xf>
    <xf numFmtId="0" fontId="0" fillId="5" borderId="22" xfId="0" applyNumberFormat="1" applyFont="1" applyFill="1" applyBorder="1" applyAlignment="1" applyProtection="1">
      <alignment horizontal="center" wrapText="1"/>
    </xf>
    <xf numFmtId="11" fontId="8" fillId="0" borderId="0" xfId="0" applyNumberFormat="1" applyFont="1" applyFill="1" applyBorder="1" applyAlignment="1" applyProtection="1">
      <alignment horizontal="left"/>
    </xf>
    <xf numFmtId="164" fontId="0" fillId="0" borderId="0" xfId="0" applyNumberFormat="1" applyFont="1" applyFill="1" applyBorder="1" applyAlignment="1" applyProtection="1">
      <alignment horizontal="center" wrapText="1"/>
    </xf>
    <xf numFmtId="164" fontId="0" fillId="0" borderId="0" xfId="0" applyNumberFormat="1" applyFont="1" applyFill="1" applyBorder="1" applyAlignment="1" applyProtection="1">
      <alignment horizontal="left" wrapText="1"/>
    </xf>
    <xf numFmtId="11" fontId="8" fillId="13" borderId="0" xfId="2" applyNumberFormat="1" applyFont="1" applyFill="1" applyBorder="1" applyAlignment="1" applyProtection="1">
      <alignment horizontal="left"/>
    </xf>
    <xf numFmtId="0" fontId="8" fillId="13" borderId="0" xfId="0" applyFont="1" applyFill="1" applyBorder="1" applyProtection="1"/>
    <xf numFmtId="11" fontId="8" fillId="13" borderId="8" xfId="2" applyNumberFormat="1" applyFont="1" applyFill="1" applyBorder="1" applyAlignment="1" applyProtection="1">
      <alignment horizontal="left"/>
    </xf>
    <xf numFmtId="0" fontId="8" fillId="13" borderId="8" xfId="0" applyFont="1" applyFill="1" applyBorder="1" applyProtection="1">
      <protection locked="0"/>
    </xf>
    <xf numFmtId="0" fontId="8" fillId="13" borderId="0" xfId="0" applyFont="1" applyFill="1" applyBorder="1" applyProtection="1">
      <protection locked="0"/>
    </xf>
    <xf numFmtId="0" fontId="11" fillId="2" borderId="4" xfId="0" applyFont="1" applyFill="1" applyBorder="1" applyAlignment="1" applyProtection="1">
      <alignment horizontal="left"/>
    </xf>
    <xf numFmtId="164" fontId="26" fillId="2" borderId="4" xfId="2" applyNumberFormat="1" applyFont="1" applyFill="1" applyBorder="1" applyAlignment="1" applyProtection="1">
      <alignment horizontal="left"/>
    </xf>
    <xf numFmtId="164" fontId="10" fillId="2" borderId="9" xfId="2" applyNumberFormat="1" applyFont="1" applyFill="1" applyBorder="1" applyAlignment="1" applyProtection="1"/>
    <xf numFmtId="11" fontId="8" fillId="0" borderId="1" xfId="0" applyNumberFormat="1" applyFont="1" applyFill="1" applyBorder="1" applyAlignment="1" applyProtection="1">
      <alignment horizontal="left"/>
    </xf>
    <xf numFmtId="0" fontId="8" fillId="0" borderId="1" xfId="0" applyNumberFormat="1" applyFont="1" applyFill="1" applyBorder="1" applyAlignment="1" applyProtection="1">
      <alignment horizontal="center"/>
    </xf>
    <xf numFmtId="0" fontId="8" fillId="0" borderId="1" xfId="2" applyNumberFormat="1" applyFont="1" applyFill="1" applyBorder="1" applyAlignment="1" applyProtection="1">
      <alignment horizontal="center"/>
    </xf>
    <xf numFmtId="0" fontId="8" fillId="0" borderId="3" xfId="0" applyFont="1" applyFill="1" applyBorder="1" applyProtection="1"/>
    <xf numFmtId="0" fontId="8" fillId="0" borderId="0" xfId="0" applyFont="1" applyBorder="1" applyAlignment="1" applyProtection="1">
      <alignment horizontal="center"/>
      <protection locked="0"/>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4" fontId="0" fillId="0" borderId="1" xfId="0" applyNumberFormat="1" applyBorder="1" applyAlignment="1">
      <alignment horizontal="center" vertical="center"/>
    </xf>
    <xf numFmtId="0" fontId="57" fillId="0" borderId="0" xfId="0" applyFont="1"/>
    <xf numFmtId="0" fontId="16" fillId="6" borderId="16" xfId="0" applyNumberFormat="1" applyFont="1" applyFill="1" applyBorder="1" applyAlignment="1" applyProtection="1">
      <alignment horizontal="left" wrapText="1"/>
    </xf>
    <xf numFmtId="0" fontId="16" fillId="6" borderId="17" xfId="0" applyNumberFormat="1" applyFont="1" applyFill="1" applyBorder="1" applyAlignment="1" applyProtection="1">
      <alignment horizontal="left" wrapText="1"/>
    </xf>
    <xf numFmtId="0" fontId="16" fillId="6" borderId="18" xfId="0" applyNumberFormat="1" applyFont="1" applyFill="1" applyBorder="1" applyAlignment="1" applyProtection="1">
      <alignment horizontal="left" wrapText="1"/>
    </xf>
    <xf numFmtId="0" fontId="16" fillId="6" borderId="20" xfId="0" applyNumberFormat="1" applyFont="1" applyFill="1" applyBorder="1" applyAlignment="1" applyProtection="1">
      <alignment horizontal="left" wrapText="1"/>
    </xf>
    <xf numFmtId="164" fontId="16" fillId="4" borderId="0" xfId="0" applyNumberFormat="1" applyFont="1" applyFill="1" applyBorder="1" applyAlignment="1" applyProtection="1">
      <alignment horizontal="center" wrapText="1"/>
    </xf>
    <xf numFmtId="164" fontId="16" fillId="4" borderId="17" xfId="0" applyNumberFormat="1" applyFont="1" applyFill="1" applyBorder="1" applyAlignment="1" applyProtection="1">
      <alignment horizontal="center" wrapText="1"/>
    </xf>
    <xf numFmtId="164" fontId="16" fillId="4" borderId="19" xfId="0" applyNumberFormat="1" applyFont="1" applyFill="1" applyBorder="1" applyAlignment="1" applyProtection="1">
      <alignment horizontal="center" wrapText="1"/>
    </xf>
    <xf numFmtId="164" fontId="16" fillId="4" borderId="20" xfId="0" applyNumberFormat="1" applyFont="1" applyFill="1" applyBorder="1" applyAlignment="1" applyProtection="1">
      <alignment horizontal="center" wrapText="1"/>
    </xf>
    <xf numFmtId="164" fontId="16" fillId="4" borderId="0" xfId="0" applyNumberFormat="1" applyFont="1" applyFill="1" applyBorder="1" applyAlignment="1" applyProtection="1">
      <alignment horizontal="right" wrapText="1"/>
    </xf>
    <xf numFmtId="164" fontId="16" fillId="4" borderId="19" xfId="0" applyNumberFormat="1" applyFont="1" applyFill="1" applyBorder="1" applyAlignment="1" applyProtection="1">
      <alignment horizontal="right" wrapText="1"/>
    </xf>
    <xf numFmtId="0" fontId="58" fillId="6" borderId="0" xfId="0" applyNumberFormat="1" applyFont="1" applyFill="1" applyBorder="1" applyAlignment="1" applyProtection="1">
      <alignment horizontal="left"/>
    </xf>
    <xf numFmtId="164" fontId="58" fillId="0" borderId="0" xfId="0" applyNumberFormat="1" applyFont="1" applyFill="1" applyBorder="1" applyAlignment="1" applyProtection="1">
      <alignment horizontal="center"/>
    </xf>
    <xf numFmtId="0" fontId="58" fillId="48" borderId="0" xfId="0" applyNumberFormat="1" applyFont="1" applyFill="1" applyBorder="1" applyAlignment="1" applyProtection="1"/>
    <xf numFmtId="164" fontId="16" fillId="4" borderId="16" xfId="0" applyNumberFormat="1" applyFont="1" applyFill="1" applyBorder="1" applyAlignment="1" applyProtection="1">
      <alignment horizontal="right" wrapText="1"/>
    </xf>
    <xf numFmtId="0" fontId="16" fillId="4" borderId="0" xfId="0" applyNumberFormat="1" applyFont="1" applyFill="1" applyBorder="1" applyAlignment="1" applyProtection="1">
      <alignment horizontal="left" wrapText="1"/>
    </xf>
    <xf numFmtId="0" fontId="16" fillId="4" borderId="0" xfId="0" applyNumberFormat="1" applyFont="1" applyFill="1" applyBorder="1" applyAlignment="1" applyProtection="1">
      <alignment horizontal="center" wrapText="1"/>
    </xf>
    <xf numFmtId="164" fontId="16" fillId="4" borderId="17" xfId="0" applyNumberFormat="1" applyFont="1" applyFill="1" applyBorder="1" applyAlignment="1" applyProtection="1">
      <alignment horizontal="right" wrapText="1"/>
    </xf>
    <xf numFmtId="164" fontId="16" fillId="4" borderId="18" xfId="0" applyNumberFormat="1" applyFont="1" applyFill="1" applyBorder="1" applyAlignment="1" applyProtection="1">
      <alignment horizontal="right" wrapText="1"/>
    </xf>
    <xf numFmtId="0" fontId="16" fillId="4" borderId="19" xfId="0" applyNumberFormat="1" applyFont="1" applyFill="1" applyBorder="1" applyAlignment="1" applyProtection="1">
      <alignment horizontal="left" wrapText="1"/>
    </xf>
    <xf numFmtId="0" fontId="16" fillId="4" borderId="19" xfId="0" applyNumberFormat="1" applyFont="1" applyFill="1" applyBorder="1" applyAlignment="1" applyProtection="1">
      <alignment horizontal="center" wrapText="1"/>
    </xf>
    <xf numFmtId="164" fontId="16" fillId="4" borderId="20" xfId="0" applyNumberFormat="1" applyFont="1" applyFill="1" applyBorder="1" applyAlignment="1" applyProtection="1">
      <alignment horizontal="right" wrapText="1"/>
    </xf>
    <xf numFmtId="0" fontId="16" fillId="4" borderId="0" xfId="0" applyNumberFormat="1" applyFont="1" applyFill="1" applyBorder="1" applyAlignment="1" applyProtection="1">
      <alignment horizontal="right" wrapText="1"/>
    </xf>
    <xf numFmtId="164" fontId="16" fillId="4" borderId="18" xfId="0" applyNumberFormat="1" applyFont="1" applyFill="1" applyBorder="1" applyAlignment="1" applyProtection="1">
      <alignment horizontal="center" wrapText="1"/>
    </xf>
    <xf numFmtId="0" fontId="16" fillId="4" borderId="19" xfId="0" applyNumberFormat="1" applyFont="1" applyFill="1" applyBorder="1" applyAlignment="1" applyProtection="1">
      <alignment horizontal="right" wrapText="1"/>
    </xf>
    <xf numFmtId="164" fontId="16" fillId="7" borderId="17" xfId="0" applyNumberFormat="1" applyFont="1" applyFill="1" applyBorder="1" applyAlignment="1" applyProtection="1">
      <alignment horizontal="left" wrapText="1"/>
    </xf>
    <xf numFmtId="164" fontId="16" fillId="7" borderId="20" xfId="0" applyNumberFormat="1" applyFont="1" applyFill="1" applyBorder="1" applyAlignment="1" applyProtection="1">
      <alignment horizontal="center" wrapText="1"/>
    </xf>
    <xf numFmtId="164" fontId="16" fillId="7" borderId="20" xfId="0" applyNumberFormat="1" applyFont="1" applyFill="1" applyBorder="1" applyAlignment="1" applyProtection="1">
      <alignment horizontal="left" wrapText="1"/>
    </xf>
    <xf numFmtId="1" fontId="55" fillId="48" borderId="0" xfId="0" applyNumberFormat="1" applyFont="1" applyFill="1" applyBorder="1" applyAlignment="1" applyProtection="1"/>
    <xf numFmtId="1" fontId="8" fillId="0" borderId="0" xfId="0" applyNumberFormat="1" applyFont="1" applyAlignment="1" applyProtection="1">
      <alignment horizontal="left"/>
      <protection locked="0"/>
    </xf>
    <xf numFmtId="0" fontId="14" fillId="0" borderId="1" xfId="0" applyFont="1" applyBorder="1" applyAlignment="1" applyProtection="1">
      <alignment horizontal="left"/>
    </xf>
    <xf numFmtId="0" fontId="8" fillId="0" borderId="1" xfId="0" applyFont="1" applyBorder="1" applyAlignment="1">
      <alignment horizontal="center" vertical="top" wrapText="1"/>
    </xf>
    <xf numFmtId="14" fontId="0" fillId="0" borderId="1" xfId="0" applyNumberFormat="1" applyBorder="1" applyAlignment="1">
      <alignment horizontal="center" vertical="top" wrapText="1"/>
    </xf>
    <xf numFmtId="164" fontId="14" fillId="4" borderId="15" xfId="0" applyNumberFormat="1" applyFont="1" applyFill="1" applyBorder="1" applyAlignment="1" applyProtection="1">
      <alignment horizontal="center" wrapText="1"/>
    </xf>
    <xf numFmtId="0" fontId="14" fillId="4" borderId="15" xfId="0" applyNumberFormat="1" applyFont="1" applyFill="1" applyBorder="1" applyAlignment="1" applyProtection="1">
      <alignment horizontal="center" wrapText="1"/>
    </xf>
    <xf numFmtId="0" fontId="14" fillId="6" borderId="15" xfId="0" applyNumberFormat="1" applyFont="1" applyFill="1" applyBorder="1" applyAlignment="1" applyProtection="1">
      <alignment horizontal="center" wrapText="1"/>
    </xf>
    <xf numFmtId="0" fontId="16" fillId="6" borderId="0" xfId="0" applyNumberFormat="1" applyFont="1" applyFill="1" applyBorder="1" applyAlignment="1" applyProtection="1">
      <alignment horizontal="left" wrapText="1"/>
    </xf>
    <xf numFmtId="0" fontId="16" fillId="6" borderId="19" xfId="0" applyNumberFormat="1" applyFont="1" applyFill="1" applyBorder="1" applyAlignment="1" applyProtection="1">
      <alignment horizontal="left" wrapText="1"/>
    </xf>
    <xf numFmtId="164" fontId="16" fillId="4" borderId="16" xfId="0" applyNumberFormat="1" applyFont="1" applyFill="1" applyBorder="1" applyAlignment="1" applyProtection="1">
      <alignment horizontal="center" wrapText="1"/>
    </xf>
    <xf numFmtId="164" fontId="14" fillId="7" borderId="15" xfId="0" applyNumberFormat="1" applyFont="1" applyFill="1" applyBorder="1" applyAlignment="1" applyProtection="1">
      <alignment horizontal="center" wrapText="1"/>
    </xf>
    <xf numFmtId="164" fontId="16" fillId="7" borderId="17" xfId="0" applyNumberFormat="1" applyFont="1" applyFill="1" applyBorder="1" applyAlignment="1" applyProtection="1">
      <alignment horizontal="center" wrapText="1"/>
    </xf>
    <xf numFmtId="0" fontId="60" fillId="6" borderId="15" xfId="0" applyNumberFormat="1" applyFont="1" applyFill="1" applyBorder="1" applyAlignment="1" applyProtection="1">
      <alignment horizontal="center" wrapText="1"/>
    </xf>
    <xf numFmtId="164" fontId="60" fillId="8" borderId="15" xfId="0" applyNumberFormat="1" applyFont="1" applyFill="1" applyBorder="1" applyAlignment="1" applyProtection="1">
      <alignment horizontal="center" wrapText="1"/>
    </xf>
    <xf numFmtId="164" fontId="60" fillId="9" borderId="15" xfId="0" applyNumberFormat="1" applyFont="1" applyFill="1" applyBorder="1" applyAlignment="1" applyProtection="1">
      <alignment horizontal="center" wrapText="1"/>
    </xf>
    <xf numFmtId="164" fontId="61" fillId="9" borderId="15" xfId="0" applyNumberFormat="1" applyFont="1" applyFill="1" applyBorder="1" applyAlignment="1" applyProtection="1">
      <alignment horizontal="center" wrapText="1"/>
    </xf>
    <xf numFmtId="164" fontId="16" fillId="8" borderId="0" xfId="0" applyNumberFormat="1" applyFont="1" applyFill="1" applyBorder="1" applyAlignment="1" applyProtection="1">
      <alignment horizontal="center" wrapText="1"/>
    </xf>
    <xf numFmtId="164" fontId="16" fillId="8" borderId="17" xfId="0" applyNumberFormat="1" applyFont="1" applyFill="1" applyBorder="1" applyAlignment="1" applyProtection="1">
      <alignment horizontal="center" wrapText="1"/>
    </xf>
    <xf numFmtId="164" fontId="16" fillId="9" borderId="0" xfId="0" applyNumberFormat="1" applyFont="1" applyFill="1" applyBorder="1" applyAlignment="1" applyProtection="1">
      <alignment horizontal="center" wrapText="1"/>
    </xf>
    <xf numFmtId="164" fontId="16" fillId="9" borderId="17" xfId="0" applyNumberFormat="1" applyFont="1" applyFill="1" applyBorder="1" applyAlignment="1" applyProtection="1">
      <alignment horizontal="center" wrapText="1"/>
    </xf>
    <xf numFmtId="164" fontId="16" fillId="8" borderId="19" xfId="0" applyNumberFormat="1" applyFont="1" applyFill="1" applyBorder="1" applyAlignment="1" applyProtection="1">
      <alignment horizontal="center" wrapText="1"/>
    </xf>
    <xf numFmtId="164" fontId="16" fillId="8" borderId="20" xfId="0" applyNumberFormat="1" applyFont="1" applyFill="1" applyBorder="1" applyAlignment="1" applyProtection="1">
      <alignment horizontal="center" wrapText="1"/>
    </xf>
    <xf numFmtId="164" fontId="16" fillId="9" borderId="19" xfId="0" applyNumberFormat="1" applyFont="1" applyFill="1" applyBorder="1" applyAlignment="1" applyProtection="1">
      <alignment horizontal="center" wrapText="1"/>
    </xf>
    <xf numFmtId="164" fontId="16" fillId="9" borderId="20" xfId="0" applyNumberFormat="1" applyFont="1" applyFill="1" applyBorder="1" applyAlignment="1" applyProtection="1">
      <alignment horizontal="center" wrapText="1"/>
    </xf>
    <xf numFmtId="164" fontId="16" fillId="9" borderId="19" xfId="0" applyNumberFormat="1" applyFont="1" applyFill="1" applyBorder="1" applyAlignment="1" applyProtection="1">
      <alignment horizontal="right" wrapText="1"/>
    </xf>
    <xf numFmtId="164" fontId="16" fillId="9" borderId="20" xfId="0" applyNumberFormat="1" applyFont="1" applyFill="1" applyBorder="1" applyAlignment="1" applyProtection="1">
      <alignment horizontal="left" wrapText="1"/>
    </xf>
    <xf numFmtId="164" fontId="16" fillId="9" borderId="0" xfId="0" applyNumberFormat="1" applyFont="1" applyFill="1" applyBorder="1" applyAlignment="1" applyProtection="1">
      <alignment horizontal="right" wrapText="1"/>
    </xf>
    <xf numFmtId="164" fontId="16" fillId="9" borderId="17" xfId="0" applyNumberFormat="1" applyFont="1" applyFill="1" applyBorder="1" applyAlignment="1" applyProtection="1">
      <alignment horizontal="left" wrapText="1"/>
    </xf>
    <xf numFmtId="164" fontId="16" fillId="8" borderId="0" xfId="0" applyNumberFormat="1" applyFont="1" applyFill="1" applyBorder="1" applyAlignment="1" applyProtection="1">
      <alignment horizontal="right" wrapText="1"/>
    </xf>
    <xf numFmtId="164" fontId="16" fillId="8" borderId="17" xfId="0" applyNumberFormat="1" applyFont="1" applyFill="1" applyBorder="1" applyAlignment="1" applyProtection="1">
      <alignment horizontal="left" wrapText="1"/>
    </xf>
    <xf numFmtId="164" fontId="16" fillId="8" borderId="19" xfId="0" applyNumberFormat="1" applyFont="1" applyFill="1" applyBorder="1" applyAlignment="1" applyProtection="1">
      <alignment horizontal="right" wrapText="1"/>
    </xf>
    <xf numFmtId="164" fontId="16" fillId="8" borderId="20" xfId="0" applyNumberFormat="1" applyFont="1" applyFill="1" applyBorder="1" applyAlignment="1" applyProtection="1">
      <alignment horizontal="left" wrapText="1"/>
    </xf>
    <xf numFmtId="164" fontId="60" fillId="49" borderId="15" xfId="0" applyNumberFormat="1" applyFont="1" applyFill="1" applyBorder="1" applyAlignment="1" applyProtection="1">
      <alignment horizontal="center" wrapText="1"/>
    </xf>
    <xf numFmtId="164" fontId="61" fillId="10" borderId="15" xfId="0" applyNumberFormat="1" applyFont="1" applyFill="1" applyBorder="1" applyAlignment="1" applyProtection="1">
      <alignment horizontal="center" wrapText="1"/>
    </xf>
    <xf numFmtId="164" fontId="60" fillId="10" borderId="15" xfId="0" applyNumberFormat="1" applyFont="1" applyFill="1" applyBorder="1" applyAlignment="1" applyProtection="1">
      <alignment horizontal="center" wrapText="1"/>
    </xf>
    <xf numFmtId="164" fontId="16" fillId="49" borderId="0" xfId="0" applyNumberFormat="1" applyFont="1" applyFill="1" applyBorder="1" applyAlignment="1" applyProtection="1">
      <alignment horizontal="center" wrapText="1"/>
    </xf>
    <xf numFmtId="164" fontId="16" fillId="49" borderId="17" xfId="0" applyNumberFormat="1" applyFont="1" applyFill="1" applyBorder="1" applyAlignment="1" applyProtection="1">
      <alignment horizontal="center" wrapText="1"/>
    </xf>
    <xf numFmtId="164" fontId="16" fillId="10" borderId="0" xfId="0" applyNumberFormat="1" applyFont="1" applyFill="1" applyBorder="1" applyAlignment="1" applyProtection="1">
      <alignment horizontal="center" wrapText="1"/>
    </xf>
    <xf numFmtId="164" fontId="16" fillId="10" borderId="17" xfId="0" applyNumberFormat="1" applyFont="1" applyFill="1" applyBorder="1" applyAlignment="1" applyProtection="1">
      <alignment horizontal="center" wrapText="1"/>
    </xf>
    <xf numFmtId="164" fontId="16" fillId="49" borderId="19" xfId="0" applyNumberFormat="1" applyFont="1" applyFill="1" applyBorder="1" applyAlignment="1" applyProtection="1">
      <alignment horizontal="center" wrapText="1"/>
    </xf>
    <xf numFmtId="164" fontId="16" fillId="49" borderId="20" xfId="0" applyNumberFormat="1" applyFont="1" applyFill="1" applyBorder="1" applyAlignment="1" applyProtection="1">
      <alignment horizontal="center" wrapText="1"/>
    </xf>
    <xf numFmtId="164" fontId="16" fillId="10" borderId="19" xfId="0" applyNumberFormat="1" applyFont="1" applyFill="1" applyBorder="1" applyAlignment="1" applyProtection="1">
      <alignment horizontal="center" wrapText="1"/>
    </xf>
    <xf numFmtId="164" fontId="16" fillId="10" borderId="20" xfId="0" applyNumberFormat="1" applyFont="1" applyFill="1" applyBorder="1" applyAlignment="1" applyProtection="1">
      <alignment horizontal="center" wrapText="1"/>
    </xf>
    <xf numFmtId="164" fontId="16" fillId="10" borderId="0" xfId="0" applyNumberFormat="1" applyFont="1" applyFill="1" applyBorder="1" applyAlignment="1" applyProtection="1">
      <alignment horizontal="right" wrapText="1"/>
    </xf>
    <xf numFmtId="164" fontId="16" fillId="10" borderId="17" xfId="0" applyNumberFormat="1" applyFont="1" applyFill="1" applyBorder="1" applyAlignment="1" applyProtection="1">
      <alignment horizontal="left" wrapText="1"/>
    </xf>
    <xf numFmtId="164" fontId="16" fillId="10" borderId="19" xfId="0" applyNumberFormat="1" applyFont="1" applyFill="1" applyBorder="1" applyAlignment="1" applyProtection="1">
      <alignment horizontal="right" wrapText="1"/>
    </xf>
    <xf numFmtId="164" fontId="16" fillId="10" borderId="20" xfId="0" applyNumberFormat="1" applyFont="1" applyFill="1" applyBorder="1" applyAlignment="1" applyProtection="1">
      <alignment horizontal="left" wrapText="1"/>
    </xf>
    <xf numFmtId="164" fontId="16" fillId="49" borderId="0" xfId="0" applyNumberFormat="1" applyFont="1" applyFill="1" applyBorder="1" applyAlignment="1" applyProtection="1">
      <alignment horizontal="right" wrapText="1"/>
    </xf>
    <xf numFmtId="164" fontId="16" fillId="49" borderId="17" xfId="0" applyNumberFormat="1" applyFont="1" applyFill="1" applyBorder="1" applyAlignment="1" applyProtection="1">
      <alignment horizontal="left" wrapText="1"/>
    </xf>
    <xf numFmtId="164" fontId="16" fillId="49" borderId="19" xfId="0" applyNumberFormat="1" applyFont="1" applyFill="1" applyBorder="1" applyAlignment="1" applyProtection="1">
      <alignment horizontal="right" wrapText="1"/>
    </xf>
    <xf numFmtId="164" fontId="16" fillId="49" borderId="20" xfId="0" applyNumberFormat="1" applyFont="1" applyFill="1" applyBorder="1" applyAlignment="1" applyProtection="1">
      <alignment horizontal="left" wrapText="1"/>
    </xf>
    <xf numFmtId="164" fontId="61" fillId="50" borderId="15" xfId="0" applyNumberFormat="1" applyFont="1" applyFill="1" applyBorder="1" applyAlignment="1" applyProtection="1">
      <alignment horizontal="center" wrapText="1"/>
    </xf>
    <xf numFmtId="164" fontId="61" fillId="6" borderId="15" xfId="0" applyNumberFormat="1" applyFont="1" applyFill="1" applyBorder="1" applyAlignment="1" applyProtection="1">
      <alignment horizontal="center" wrapText="1"/>
    </xf>
    <xf numFmtId="164" fontId="16" fillId="50" borderId="0" xfId="0" applyNumberFormat="1" applyFont="1" applyFill="1" applyBorder="1" applyAlignment="1" applyProtection="1">
      <alignment horizontal="center" wrapText="1"/>
    </xf>
    <xf numFmtId="164" fontId="16" fillId="50" borderId="17" xfId="0" applyNumberFormat="1" applyFont="1" applyFill="1" applyBorder="1" applyAlignment="1" applyProtection="1">
      <alignment horizontal="center" wrapText="1"/>
    </xf>
    <xf numFmtId="164" fontId="16" fillId="6" borderId="0" xfId="0" applyNumberFormat="1" applyFont="1" applyFill="1" applyBorder="1" applyAlignment="1" applyProtection="1">
      <alignment horizontal="right" wrapText="1"/>
    </xf>
    <xf numFmtId="164" fontId="16" fillId="6" borderId="0" xfId="0" applyNumberFormat="1" applyFont="1" applyFill="1" applyBorder="1" applyAlignment="1" applyProtection="1">
      <alignment horizontal="left" wrapText="1"/>
    </xf>
    <xf numFmtId="164" fontId="16" fillId="50" borderId="19" xfId="0" applyNumberFormat="1" applyFont="1" applyFill="1" applyBorder="1" applyAlignment="1" applyProtection="1">
      <alignment horizontal="center" wrapText="1"/>
    </xf>
    <xf numFmtId="164" fontId="16" fillId="50" borderId="20" xfId="0" applyNumberFormat="1" applyFont="1" applyFill="1" applyBorder="1" applyAlignment="1" applyProtection="1">
      <alignment horizontal="center" wrapText="1"/>
    </xf>
    <xf numFmtId="164" fontId="16" fillId="6" borderId="19" xfId="0" applyNumberFormat="1" applyFont="1" applyFill="1" applyBorder="1" applyAlignment="1" applyProtection="1">
      <alignment horizontal="right" wrapText="1"/>
    </xf>
    <xf numFmtId="164" fontId="16" fillId="6" borderId="19" xfId="0" applyNumberFormat="1" applyFont="1" applyFill="1" applyBorder="1" applyAlignment="1" applyProtection="1">
      <alignment horizontal="left" wrapText="1"/>
    </xf>
    <xf numFmtId="164" fontId="16" fillId="50" borderId="19" xfId="0" applyNumberFormat="1" applyFont="1" applyFill="1" applyBorder="1" applyAlignment="1" applyProtection="1">
      <alignment horizontal="right" wrapText="1"/>
    </xf>
    <xf numFmtId="164" fontId="16" fillId="50" borderId="20" xfId="0" applyNumberFormat="1" applyFont="1" applyFill="1" applyBorder="1" applyAlignment="1" applyProtection="1">
      <alignment horizontal="left" wrapText="1"/>
    </xf>
    <xf numFmtId="164" fontId="16" fillId="6" borderId="19" xfId="0" applyNumberFormat="1" applyFont="1" applyFill="1" applyBorder="1" applyAlignment="1" applyProtection="1">
      <alignment horizontal="center" wrapText="1"/>
    </xf>
    <xf numFmtId="164" fontId="16" fillId="50" borderId="0" xfId="0" applyNumberFormat="1" applyFont="1" applyFill="1" applyBorder="1" applyAlignment="1" applyProtection="1">
      <alignment horizontal="right" wrapText="1"/>
    </xf>
    <xf numFmtId="164" fontId="16" fillId="50" borderId="17" xfId="0" applyNumberFormat="1" applyFont="1" applyFill="1" applyBorder="1" applyAlignment="1" applyProtection="1">
      <alignment horizontal="left" wrapText="1"/>
    </xf>
    <xf numFmtId="164" fontId="16" fillId="6" borderId="0" xfId="0" applyNumberFormat="1" applyFont="1" applyFill="1" applyBorder="1" applyAlignment="1" applyProtection="1">
      <alignment horizontal="center" wrapText="1"/>
    </xf>
    <xf numFmtId="164" fontId="60" fillId="11" borderId="15" xfId="0" applyNumberFormat="1" applyFont="1" applyFill="1" applyBorder="1" applyAlignment="1" applyProtection="1">
      <alignment horizontal="center" wrapText="1"/>
    </xf>
    <xf numFmtId="164" fontId="16" fillId="11" borderId="0" xfId="0" applyNumberFormat="1" applyFont="1" applyFill="1" applyBorder="1" applyAlignment="1" applyProtection="1">
      <alignment horizontal="center" wrapText="1"/>
    </xf>
    <xf numFmtId="164" fontId="16" fillId="11" borderId="17" xfId="0" applyNumberFormat="1" applyFont="1" applyFill="1" applyBorder="1" applyAlignment="1" applyProtection="1">
      <alignment horizontal="center" wrapText="1"/>
    </xf>
    <xf numFmtId="164" fontId="16" fillId="11" borderId="19" xfId="0" applyNumberFormat="1" applyFont="1" applyFill="1" applyBorder="1" applyAlignment="1" applyProtection="1">
      <alignment horizontal="center" wrapText="1"/>
    </xf>
    <xf numFmtId="164" fontId="16" fillId="11" borderId="20" xfId="0" applyNumberFormat="1" applyFont="1" applyFill="1" applyBorder="1" applyAlignment="1" applyProtection="1">
      <alignment horizontal="center" wrapText="1"/>
    </xf>
    <xf numFmtId="164" fontId="16" fillId="11" borderId="19" xfId="0" applyNumberFormat="1" applyFont="1" applyFill="1" applyBorder="1" applyAlignment="1" applyProtection="1">
      <alignment horizontal="right" wrapText="1"/>
    </xf>
    <xf numFmtId="164" fontId="16" fillId="11" borderId="20" xfId="0" applyNumberFormat="1" applyFont="1" applyFill="1" applyBorder="1" applyAlignment="1" applyProtection="1">
      <alignment horizontal="left" wrapText="1"/>
    </xf>
    <xf numFmtId="164" fontId="16" fillId="11" borderId="0" xfId="0" applyNumberFormat="1" applyFont="1" applyFill="1" applyBorder="1" applyAlignment="1" applyProtection="1">
      <alignment horizontal="right" wrapText="1"/>
    </xf>
    <xf numFmtId="164" fontId="16" fillId="11" borderId="17" xfId="0" applyNumberFormat="1" applyFont="1" applyFill="1" applyBorder="1" applyAlignment="1" applyProtection="1">
      <alignment horizontal="left" wrapText="1"/>
    </xf>
    <xf numFmtId="164" fontId="61" fillId="51" borderId="15" xfId="0" applyNumberFormat="1" applyFont="1" applyFill="1" applyBorder="1" applyAlignment="1" applyProtection="1">
      <alignment horizontal="center" wrapText="1"/>
    </xf>
    <xf numFmtId="164" fontId="16" fillId="51" borderId="0" xfId="0" applyNumberFormat="1" applyFont="1" applyFill="1" applyBorder="1" applyAlignment="1" applyProtection="1">
      <alignment horizontal="center" wrapText="1"/>
    </xf>
    <xf numFmtId="164" fontId="16" fillId="51" borderId="17" xfId="0" applyNumberFormat="1" applyFont="1" applyFill="1" applyBorder="1" applyAlignment="1" applyProtection="1">
      <alignment horizontal="center" wrapText="1"/>
    </xf>
    <xf numFmtId="164" fontId="16" fillId="51" borderId="19" xfId="0" applyNumberFormat="1" applyFont="1" applyFill="1" applyBorder="1" applyAlignment="1" applyProtection="1">
      <alignment horizontal="center" wrapText="1"/>
    </xf>
    <xf numFmtId="164" fontId="16" fillId="51" borderId="20" xfId="0" applyNumberFormat="1" applyFont="1" applyFill="1" applyBorder="1" applyAlignment="1" applyProtection="1">
      <alignment horizontal="center" wrapText="1"/>
    </xf>
    <xf numFmtId="164" fontId="16" fillId="51" borderId="19" xfId="0" applyNumberFormat="1" applyFont="1" applyFill="1" applyBorder="1" applyAlignment="1" applyProtection="1">
      <alignment horizontal="right" wrapText="1"/>
    </xf>
    <xf numFmtId="164" fontId="16" fillId="51" borderId="20" xfId="0" applyNumberFormat="1" applyFont="1" applyFill="1" applyBorder="1" applyAlignment="1" applyProtection="1">
      <alignment horizontal="left" wrapText="1"/>
    </xf>
    <xf numFmtId="164" fontId="16" fillId="51" borderId="0" xfId="0" applyNumberFormat="1" applyFont="1" applyFill="1" applyBorder="1" applyAlignment="1" applyProtection="1">
      <alignment horizontal="right" wrapText="1"/>
    </xf>
    <xf numFmtId="164" fontId="16" fillId="51" borderId="17" xfId="0" applyNumberFormat="1" applyFont="1" applyFill="1" applyBorder="1" applyAlignment="1" applyProtection="1">
      <alignment horizontal="left" wrapText="1"/>
    </xf>
    <xf numFmtId="164" fontId="61" fillId="4" borderId="15" xfId="0" applyNumberFormat="1" applyFont="1" applyFill="1" applyBorder="1" applyAlignment="1" applyProtection="1">
      <alignment horizontal="center" wrapText="1"/>
    </xf>
    <xf numFmtId="164" fontId="16" fillId="4" borderId="17" xfId="0" applyNumberFormat="1" applyFont="1" applyFill="1" applyBorder="1" applyAlignment="1" applyProtection="1">
      <alignment horizontal="left" wrapText="1"/>
    </xf>
    <xf numFmtId="164" fontId="16" fillId="4" borderId="20" xfId="0" applyNumberFormat="1" applyFont="1" applyFill="1" applyBorder="1" applyAlignment="1" applyProtection="1">
      <alignment horizontal="left" wrapText="1"/>
    </xf>
    <xf numFmtId="11" fontId="8" fillId="0" borderId="17" xfId="2" applyNumberFormat="1" applyFont="1" applyFill="1" applyBorder="1" applyAlignment="1" applyProtection="1">
      <alignment horizontal="left"/>
    </xf>
    <xf numFmtId="0" fontId="16" fillId="6" borderId="1" xfId="0" applyNumberFormat="1" applyFont="1" applyFill="1" applyBorder="1" applyAlignment="1" applyProtection="1">
      <alignment horizontal="left" wrapText="1"/>
    </xf>
    <xf numFmtId="11" fontId="8" fillId="0" borderId="20" xfId="2" applyNumberFormat="1" applyFont="1" applyFill="1" applyBorder="1" applyAlignment="1" applyProtection="1">
      <alignment horizontal="left"/>
    </xf>
    <xf numFmtId="0" fontId="14" fillId="0" borderId="1" xfId="0" applyFont="1" applyFill="1" applyBorder="1" applyAlignment="1" applyProtection="1">
      <alignment horizontal="left"/>
    </xf>
    <xf numFmtId="0" fontId="32" fillId="0" borderId="0" xfId="0" applyFont="1" applyFill="1" applyAlignment="1" applyProtection="1">
      <alignment horizontal="center"/>
      <protection locked="0"/>
    </xf>
    <xf numFmtId="0" fontId="32" fillId="0" borderId="0" xfId="0" applyFont="1" applyFill="1" applyBorder="1" applyAlignment="1" applyProtection="1">
      <alignment horizontal="center"/>
      <protection locked="0"/>
    </xf>
    <xf numFmtId="0" fontId="8" fillId="0" borderId="1" xfId="3" applyFont="1" applyFill="1" applyBorder="1" applyAlignment="1" applyProtection="1">
      <alignment wrapText="1"/>
    </xf>
    <xf numFmtId="0" fontId="8" fillId="0" borderId="1" xfId="3" applyFont="1" applyBorder="1" applyAlignment="1" applyProtection="1">
      <alignment wrapText="1"/>
    </xf>
    <xf numFmtId="0" fontId="11" fillId="0" borderId="1" xfId="3" applyFont="1" applyFill="1" applyBorder="1" applyAlignment="1" applyProtection="1">
      <alignment vertical="center" wrapText="1"/>
    </xf>
    <xf numFmtId="0" fontId="8" fillId="0" borderId="3" xfId="3" applyFont="1" applyFill="1" applyBorder="1" applyAlignment="1" applyProtection="1">
      <alignment vertical="center" wrapText="1"/>
    </xf>
    <xf numFmtId="0" fontId="8" fillId="0" borderId="3" xfId="3" applyFont="1" applyFill="1" applyBorder="1" applyAlignment="1" applyProtection="1">
      <alignment wrapText="1"/>
    </xf>
    <xf numFmtId="0" fontId="8" fillId="0" borderId="1" xfId="3" applyFont="1" applyFill="1" applyBorder="1" applyAlignment="1" applyProtection="1">
      <alignment horizontal="left" vertical="top" wrapText="1"/>
    </xf>
    <xf numFmtId="0" fontId="51" fillId="46" borderId="34" xfId="3" applyFont="1" applyFill="1" applyBorder="1" applyAlignment="1" applyProtection="1">
      <alignment horizontal="center"/>
      <protection locked="0"/>
    </xf>
    <xf numFmtId="0" fontId="51" fillId="46" borderId="35" xfId="3" applyFont="1" applyFill="1" applyBorder="1" applyAlignment="1" applyProtection="1">
      <alignment horizontal="center"/>
      <protection locked="0"/>
    </xf>
    <xf numFmtId="0" fontId="51" fillId="46" borderId="36" xfId="3" applyFont="1" applyFill="1" applyBorder="1" applyAlignment="1" applyProtection="1">
      <alignment horizontal="center"/>
      <protection locked="0"/>
    </xf>
    <xf numFmtId="0" fontId="11" fillId="0" borderId="1" xfId="3" applyFont="1" applyFill="1" applyBorder="1" applyAlignment="1" applyProtection="1">
      <alignment wrapText="1"/>
    </xf>
    <xf numFmtId="0" fontId="11" fillId="0" borderId="1" xfId="3" applyFont="1" applyFill="1" applyBorder="1" applyAlignment="1" applyProtection="1">
      <alignment horizontal="left"/>
    </xf>
    <xf numFmtId="0" fontId="8" fillId="0" borderId="1" xfId="3" applyFont="1" applyFill="1" applyBorder="1" applyAlignment="1" applyProtection="1">
      <alignment vertical="center" wrapText="1"/>
    </xf>
    <xf numFmtId="0" fontId="8" fillId="0" borderId="1" xfId="3" applyFont="1" applyFill="1" applyBorder="1" applyAlignment="1" applyProtection="1">
      <alignment vertical="top" wrapText="1"/>
    </xf>
    <xf numFmtId="0" fontId="8" fillId="0" borderId="10" xfId="3" applyFont="1" applyFill="1" applyBorder="1" applyAlignment="1" applyProtection="1">
      <alignment horizontal="left" vertical="top" wrapText="1"/>
    </xf>
    <xf numFmtId="0" fontId="8" fillId="0" borderId="11" xfId="3" applyFont="1" applyFill="1" applyBorder="1" applyAlignment="1" applyProtection="1">
      <alignment horizontal="left" vertical="top" wrapText="1"/>
    </xf>
    <xf numFmtId="0" fontId="8" fillId="0" borderId="12" xfId="3" applyFont="1" applyFill="1" applyBorder="1" applyAlignment="1" applyProtection="1">
      <alignment horizontal="left" vertical="top" wrapText="1"/>
    </xf>
    <xf numFmtId="0" fontId="11" fillId="0" borderId="10" xfId="3" applyFont="1" applyFill="1" applyBorder="1" applyAlignment="1" applyProtection="1">
      <alignment horizontal="left"/>
    </xf>
    <xf numFmtId="0" fontId="11" fillId="0" borderId="11" xfId="3" applyFont="1" applyFill="1" applyBorder="1" applyAlignment="1" applyProtection="1">
      <alignment horizontal="left"/>
    </xf>
    <xf numFmtId="0" fontId="11" fillId="0" borderId="12" xfId="3" applyFont="1" applyFill="1" applyBorder="1" applyAlignment="1" applyProtection="1">
      <alignment horizontal="left"/>
    </xf>
    <xf numFmtId="0" fontId="8" fillId="0" borderId="10" xfId="3" applyFont="1" applyFill="1" applyBorder="1" applyAlignment="1" applyProtection="1">
      <alignment vertical="top" wrapText="1"/>
    </xf>
    <xf numFmtId="0" fontId="8" fillId="0" borderId="12" xfId="3" applyFont="1" applyFill="1" applyBorder="1" applyAlignment="1" applyProtection="1">
      <alignment vertical="top" wrapText="1"/>
    </xf>
    <xf numFmtId="0" fontId="8" fillId="0" borderId="10" xfId="3" applyFont="1" applyFill="1" applyBorder="1" applyAlignment="1" applyProtection="1">
      <alignment vertical="center" wrapText="1"/>
    </xf>
    <xf numFmtId="0" fontId="8" fillId="0" borderId="12" xfId="3" applyFont="1" applyFill="1" applyBorder="1" applyAlignment="1" applyProtection="1">
      <alignment vertical="center" wrapText="1"/>
    </xf>
    <xf numFmtId="0" fontId="8" fillId="0" borderId="10" xfId="3" applyFont="1" applyFill="1" applyBorder="1" applyAlignment="1" applyProtection="1">
      <alignment horizontal="center" wrapText="1"/>
    </xf>
    <xf numFmtId="0" fontId="8" fillId="0" borderId="12" xfId="3" applyFont="1" applyFill="1" applyBorder="1" applyAlignment="1" applyProtection="1">
      <alignment horizontal="center" wrapText="1"/>
    </xf>
    <xf numFmtId="0" fontId="8" fillId="0" borderId="10" xfId="3" applyFont="1" applyFill="1" applyBorder="1" applyAlignment="1" applyProtection="1">
      <alignment horizontal="left" vertical="center" wrapText="1"/>
    </xf>
    <xf numFmtId="0" fontId="8" fillId="0" borderId="12" xfId="3" applyFont="1" applyFill="1" applyBorder="1" applyAlignment="1" applyProtection="1">
      <alignment horizontal="left" vertical="center" wrapText="1"/>
    </xf>
    <xf numFmtId="0" fontId="8" fillId="0" borderId="10" xfId="3" applyFont="1" applyFill="1" applyBorder="1" applyAlignment="1" applyProtection="1">
      <alignment horizontal="center" vertical="center" wrapText="1"/>
    </xf>
    <xf numFmtId="0" fontId="8" fillId="0" borderId="12" xfId="3" applyFont="1" applyFill="1" applyBorder="1" applyAlignment="1" applyProtection="1">
      <alignment horizontal="center" vertical="center" wrapText="1"/>
    </xf>
    <xf numFmtId="0" fontId="8" fillId="0" borderId="10" xfId="3" applyFont="1" applyFill="1" applyBorder="1" applyAlignment="1" applyProtection="1">
      <alignment horizontal="left" wrapText="1"/>
    </xf>
    <xf numFmtId="0" fontId="8" fillId="0" borderId="12" xfId="3" applyFont="1" applyFill="1" applyBorder="1" applyAlignment="1" applyProtection="1">
      <alignment horizontal="left" wrapText="1"/>
    </xf>
    <xf numFmtId="0" fontId="8" fillId="0" borderId="3" xfId="3" applyFont="1" applyFill="1" applyBorder="1" applyAlignment="1" applyProtection="1">
      <alignment horizontal="left" vertical="center" wrapText="1"/>
    </xf>
    <xf numFmtId="0" fontId="8" fillId="0" borderId="4" xfId="3" applyFont="1" applyFill="1" applyBorder="1" applyAlignment="1" applyProtection="1">
      <alignment horizontal="left" vertical="center" wrapText="1"/>
    </xf>
    <xf numFmtId="0" fontId="8" fillId="0" borderId="2" xfId="3" applyFont="1" applyFill="1" applyBorder="1" applyAlignment="1" applyProtection="1">
      <alignment horizontal="left" vertical="center" wrapText="1"/>
    </xf>
    <xf numFmtId="0" fontId="8" fillId="0" borderId="5" xfId="3" applyFont="1" applyFill="1" applyBorder="1" applyAlignment="1" applyProtection="1">
      <alignment horizontal="left" vertical="center" wrapText="1"/>
    </xf>
    <xf numFmtId="0" fontId="8" fillId="0" borderId="6" xfId="3" applyFont="1" applyFill="1" applyBorder="1" applyAlignment="1" applyProtection="1">
      <alignment horizontal="left" vertical="center" wrapText="1"/>
    </xf>
    <xf numFmtId="0" fontId="8" fillId="0" borderId="8" xfId="3" applyFont="1" applyFill="1" applyBorder="1" applyAlignment="1" applyProtection="1">
      <alignment horizontal="left" vertical="center" wrapText="1"/>
    </xf>
    <xf numFmtId="0" fontId="8" fillId="0" borderId="9" xfId="3" applyFont="1" applyFill="1" applyBorder="1" applyAlignment="1" applyProtection="1">
      <alignment horizontal="left" vertical="center" wrapText="1"/>
    </xf>
    <xf numFmtId="0" fontId="11" fillId="0" borderId="10" xfId="3" applyFont="1" applyFill="1" applyBorder="1" applyAlignment="1" applyProtection="1">
      <alignment wrapText="1"/>
    </xf>
    <xf numFmtId="0" fontId="11" fillId="0" borderId="12" xfId="3" applyFont="1" applyFill="1" applyBorder="1" applyAlignment="1" applyProtection="1">
      <alignment wrapText="1"/>
    </xf>
    <xf numFmtId="0" fontId="15" fillId="2" borderId="5" xfId="0" applyFont="1" applyFill="1" applyBorder="1" applyAlignment="1" applyProtection="1">
      <alignment horizontal="left"/>
    </xf>
    <xf numFmtId="0" fontId="15" fillId="2" borderId="13" xfId="0" applyFont="1" applyFill="1" applyBorder="1" applyAlignment="1" applyProtection="1">
      <alignment horizontal="left"/>
    </xf>
    <xf numFmtId="0" fontId="15" fillId="2" borderId="6" xfId="0" applyFont="1" applyFill="1" applyBorder="1" applyAlignment="1" applyProtection="1">
      <alignment horizontal="left"/>
    </xf>
    <xf numFmtId="0" fontId="14" fillId="3" borderId="37" xfId="0" applyFont="1" applyFill="1" applyBorder="1" applyAlignment="1" applyProtection="1">
      <alignment horizontal="left" vertical="top" wrapText="1"/>
      <protection locked="0"/>
    </xf>
    <xf numFmtId="0" fontId="14" fillId="3" borderId="38" xfId="0" applyFont="1" applyFill="1" applyBorder="1" applyAlignment="1" applyProtection="1">
      <alignment horizontal="left" vertical="top" wrapText="1"/>
      <protection locked="0"/>
    </xf>
    <xf numFmtId="0" fontId="14" fillId="3" borderId="39" xfId="0" applyFont="1" applyFill="1" applyBorder="1" applyAlignment="1" applyProtection="1">
      <alignment horizontal="left" vertical="top" wrapText="1"/>
      <protection locked="0"/>
    </xf>
    <xf numFmtId="0" fontId="14" fillId="3" borderId="40" xfId="0" applyFont="1" applyFill="1" applyBorder="1" applyAlignment="1" applyProtection="1">
      <alignment horizontal="left" vertical="top" wrapText="1"/>
      <protection locked="0"/>
    </xf>
    <xf numFmtId="0" fontId="14" fillId="3" borderId="0" xfId="0" applyFont="1" applyFill="1" applyBorder="1" applyAlignment="1" applyProtection="1">
      <alignment horizontal="left" vertical="top" wrapText="1"/>
      <protection locked="0"/>
    </xf>
    <xf numFmtId="0" fontId="14" fillId="3" borderId="41" xfId="0" applyFont="1" applyFill="1" applyBorder="1" applyAlignment="1" applyProtection="1">
      <alignment horizontal="left" vertical="top" wrapText="1"/>
      <protection locked="0"/>
    </xf>
    <xf numFmtId="0" fontId="14" fillId="3" borderId="42" xfId="0" applyFont="1" applyFill="1" applyBorder="1" applyAlignment="1" applyProtection="1">
      <alignment horizontal="left" vertical="top" wrapText="1"/>
      <protection locked="0"/>
    </xf>
    <xf numFmtId="0" fontId="14" fillId="3" borderId="43" xfId="0" applyFont="1" applyFill="1" applyBorder="1" applyAlignment="1" applyProtection="1">
      <alignment horizontal="left" vertical="top" wrapText="1"/>
      <protection locked="0"/>
    </xf>
    <xf numFmtId="0" fontId="14" fillId="3" borderId="44" xfId="0" applyFont="1" applyFill="1" applyBorder="1" applyAlignment="1" applyProtection="1">
      <alignment horizontal="left" vertical="top" wrapText="1"/>
      <protection locked="0"/>
    </xf>
    <xf numFmtId="0" fontId="14" fillId="14" borderId="0"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14" fillId="5" borderId="0" xfId="0" applyFont="1" applyFill="1" applyBorder="1" applyAlignment="1" applyProtection="1">
      <alignment horizontal="left" vertical="center" wrapText="1" indent="4"/>
    </xf>
    <xf numFmtId="0" fontId="15" fillId="5" borderId="0" xfId="0" applyFont="1" applyFill="1" applyBorder="1" applyAlignment="1" applyProtection="1">
      <alignment horizontal="center" vertical="center" wrapText="1"/>
    </xf>
    <xf numFmtId="0" fontId="15" fillId="5" borderId="0" xfId="0" applyFont="1" applyFill="1" applyBorder="1" applyAlignment="1" applyProtection="1">
      <alignment horizontal="center" wrapText="1"/>
    </xf>
    <xf numFmtId="164" fontId="16" fillId="5" borderId="10" xfId="0" applyNumberFormat="1" applyFont="1" applyFill="1" applyBorder="1" applyAlignment="1" applyProtection="1">
      <alignment horizontal="left" vertical="center"/>
    </xf>
    <xf numFmtId="164" fontId="16" fillId="5" borderId="11" xfId="0" applyNumberFormat="1" applyFont="1" applyFill="1" applyBorder="1" applyAlignment="1" applyProtection="1">
      <alignment horizontal="left" vertical="center"/>
    </xf>
    <xf numFmtId="164" fontId="16" fillId="5" borderId="12" xfId="0" applyNumberFormat="1" applyFont="1" applyFill="1" applyBorder="1" applyAlignment="1" applyProtection="1">
      <alignment horizontal="left" vertical="center"/>
    </xf>
    <xf numFmtId="0" fontId="15" fillId="2" borderId="1" xfId="0" applyFont="1" applyFill="1" applyBorder="1" applyAlignment="1" applyProtection="1">
      <alignment horizontal="left"/>
    </xf>
    <xf numFmtId="0" fontId="15" fillId="2" borderId="4"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11" fontId="17" fillId="2" borderId="3" xfId="2" applyNumberFormat="1" applyFont="1" applyFill="1" applyBorder="1" applyAlignment="1" applyProtection="1">
      <alignment horizontal="center" vertical="center" wrapText="1"/>
    </xf>
    <xf numFmtId="11" fontId="17" fillId="2" borderId="4" xfId="2" applyNumberFormat="1" applyFont="1" applyFill="1" applyBorder="1" applyAlignment="1" applyProtection="1">
      <alignment horizontal="center" vertical="center" wrapText="1"/>
    </xf>
    <xf numFmtId="11" fontId="17" fillId="2" borderId="2" xfId="2" applyNumberFormat="1" applyFont="1" applyFill="1" applyBorder="1" applyAlignment="1" applyProtection="1">
      <alignment horizontal="center" vertical="center" wrapText="1"/>
    </xf>
    <xf numFmtId="164" fontId="26" fillId="2" borderId="3" xfId="2" applyNumberFormat="1" applyFont="1" applyFill="1" applyBorder="1" applyAlignment="1" applyProtection="1">
      <alignment horizontal="center" wrapText="1"/>
    </xf>
    <xf numFmtId="164" fontId="26" fillId="2" borderId="4" xfId="2" applyNumberFormat="1" applyFont="1" applyFill="1" applyBorder="1" applyAlignment="1" applyProtection="1">
      <alignment horizontal="center" wrapText="1"/>
    </xf>
    <xf numFmtId="164" fontId="10" fillId="2" borderId="8" xfId="2" applyNumberFormat="1" applyFont="1" applyFill="1" applyBorder="1" applyAlignment="1" applyProtection="1">
      <alignment horizontal="center"/>
    </xf>
    <xf numFmtId="164" fontId="10" fillId="2" borderId="9" xfId="2" applyNumberFormat="1" applyFont="1" applyFill="1" applyBorder="1" applyAlignment="1" applyProtection="1">
      <alignment horizontal="center"/>
    </xf>
    <xf numFmtId="11" fontId="26" fillId="2" borderId="7" xfId="2" applyNumberFormat="1" applyFont="1" applyFill="1" applyBorder="1" applyAlignment="1" applyProtection="1">
      <alignment horizontal="center" wrapText="1"/>
    </xf>
    <xf numFmtId="11" fontId="26" fillId="2" borderId="14" xfId="2" applyNumberFormat="1" applyFont="1" applyFill="1" applyBorder="1" applyAlignment="1" applyProtection="1">
      <alignment horizontal="center" wrapText="1"/>
    </xf>
    <xf numFmtId="11" fontId="26" fillId="2" borderId="7" xfId="2" applyNumberFormat="1" applyFont="1" applyFill="1" applyBorder="1" applyAlignment="1" applyProtection="1">
      <alignment horizontal="left" wrapText="1"/>
    </xf>
    <xf numFmtId="11" fontId="26" fillId="2" borderId="14" xfId="2" applyNumberFormat="1" applyFont="1" applyFill="1" applyBorder="1" applyAlignment="1" applyProtection="1">
      <alignment horizontal="left" wrapText="1"/>
    </xf>
    <xf numFmtId="164" fontId="10" fillId="2" borderId="8" xfId="2" applyNumberFormat="1" applyFont="1" applyFill="1" applyBorder="1" applyAlignment="1" applyProtection="1">
      <alignment horizontal="left"/>
    </xf>
    <xf numFmtId="164" fontId="10" fillId="2" borderId="9" xfId="2" applyNumberFormat="1" applyFont="1" applyFill="1" applyBorder="1" applyAlignment="1" applyProtection="1">
      <alignment horizontal="left"/>
    </xf>
    <xf numFmtId="1" fontId="10" fillId="2" borderId="8" xfId="2" applyNumberFormat="1" applyFont="1" applyFill="1" applyBorder="1" applyAlignment="1" applyProtection="1">
      <alignment horizontal="center"/>
    </xf>
    <xf numFmtId="1" fontId="26" fillId="2" borderId="7" xfId="2" applyNumberFormat="1" applyFont="1" applyFill="1" applyBorder="1" applyAlignment="1" applyProtection="1">
      <alignment horizontal="center" wrapText="1"/>
    </xf>
    <xf numFmtId="0" fontId="55" fillId="5" borderId="21" xfId="0" applyNumberFormat="1" applyFont="1" applyFill="1" applyBorder="1" applyAlignment="1" applyProtection="1">
      <alignment horizontal="center" wrapText="1"/>
    </xf>
    <xf numFmtId="0" fontId="55" fillId="5" borderId="22" xfId="0" applyNumberFormat="1" applyFont="1" applyFill="1" applyBorder="1" applyAlignment="1" applyProtection="1">
      <alignment horizontal="center" wrapText="1"/>
    </xf>
    <xf numFmtId="0" fontId="55" fillId="5" borderId="23" xfId="0" applyNumberFormat="1" applyFont="1" applyFill="1" applyBorder="1" applyAlignment="1" applyProtection="1">
      <alignment horizontal="center" wrapText="1"/>
    </xf>
    <xf numFmtId="0" fontId="0" fillId="5" borderId="21" xfId="0" applyNumberFormat="1" applyFont="1" applyFill="1" applyBorder="1" applyAlignment="1" applyProtection="1">
      <alignment horizontal="center" wrapText="1"/>
    </xf>
    <xf numFmtId="0" fontId="0" fillId="5" borderId="23" xfId="0" applyNumberFormat="1" applyFont="1" applyFill="1" applyBorder="1" applyAlignment="1" applyProtection="1">
      <alignment horizontal="center" wrapText="1"/>
    </xf>
    <xf numFmtId="0" fontId="0" fillId="5" borderId="22" xfId="0" applyNumberFormat="1" applyFont="1" applyFill="1" applyBorder="1" applyAlignment="1" applyProtection="1">
      <alignment horizontal="center" wrapText="1"/>
    </xf>
    <xf numFmtId="2" fontId="0" fillId="5" borderId="21" xfId="0" applyNumberFormat="1" applyFont="1" applyFill="1" applyBorder="1" applyAlignment="1" applyProtection="1">
      <alignment horizontal="center" wrapText="1"/>
    </xf>
    <xf numFmtId="11" fontId="14" fillId="0" borderId="2" xfId="0" applyNumberFormat="1" applyFont="1" applyFill="1" applyBorder="1" applyProtection="1"/>
    <xf numFmtId="0" fontId="0" fillId="0" borderId="1" xfId="0" applyBorder="1" applyAlignment="1">
      <alignment horizontal="center" vertical="top" wrapText="1"/>
    </xf>
    <xf numFmtId="0" fontId="0" fillId="0" borderId="1" xfId="0" applyBorder="1" applyAlignment="1">
      <alignment vertical="top" wrapText="1"/>
    </xf>
  </cellXfs>
  <cellStyles count="154">
    <cellStyle name="20% - Accent1" xfId="23" builtinId="30" customBuiltin="1"/>
    <cellStyle name="20% - Accent1 2" xfId="49"/>
    <cellStyle name="20% - Accent1 2 2" xfId="98"/>
    <cellStyle name="20% - Accent1 3" xfId="63"/>
    <cellStyle name="20% - Accent1 3 2" xfId="112"/>
    <cellStyle name="20% - Accent1 4" xfId="79"/>
    <cellStyle name="20% - Accent1 5" xfId="127"/>
    <cellStyle name="20% - Accent1 6" xfId="141"/>
    <cellStyle name="20% - Accent2" xfId="27" builtinId="34" customBuiltin="1"/>
    <cellStyle name="20% - Accent2 2" xfId="50"/>
    <cellStyle name="20% - Accent2 2 2" xfId="99"/>
    <cellStyle name="20% - Accent2 3" xfId="64"/>
    <cellStyle name="20% - Accent2 3 2" xfId="113"/>
    <cellStyle name="20% - Accent2 4" xfId="81"/>
    <cellStyle name="20% - Accent2 5" xfId="128"/>
    <cellStyle name="20% - Accent2 6" xfId="142"/>
    <cellStyle name="20% - Accent3" xfId="31" builtinId="38" customBuiltin="1"/>
    <cellStyle name="20% - Accent3 2" xfId="51"/>
    <cellStyle name="20% - Accent3 2 2" xfId="100"/>
    <cellStyle name="20% - Accent3 3" xfId="65"/>
    <cellStyle name="20% - Accent3 3 2" xfId="114"/>
    <cellStyle name="20% - Accent3 4" xfId="83"/>
    <cellStyle name="20% - Accent3 5" xfId="129"/>
    <cellStyle name="20% - Accent3 6" xfId="143"/>
    <cellStyle name="20% - Accent4" xfId="35" builtinId="42" customBuiltin="1"/>
    <cellStyle name="20% - Accent4 2" xfId="52"/>
    <cellStyle name="20% - Accent4 2 2" xfId="101"/>
    <cellStyle name="20% - Accent4 3" xfId="66"/>
    <cellStyle name="20% - Accent4 3 2" xfId="115"/>
    <cellStyle name="20% - Accent4 4" xfId="85"/>
    <cellStyle name="20% - Accent4 5" xfId="130"/>
    <cellStyle name="20% - Accent4 6" xfId="144"/>
    <cellStyle name="20% - Accent5" xfId="39" builtinId="46" customBuiltin="1"/>
    <cellStyle name="20% - Accent5 2" xfId="53"/>
    <cellStyle name="20% - Accent5 2 2" xfId="102"/>
    <cellStyle name="20% - Accent5 3" xfId="67"/>
    <cellStyle name="20% - Accent5 3 2" xfId="116"/>
    <cellStyle name="20% - Accent5 4" xfId="87"/>
    <cellStyle name="20% - Accent5 5" xfId="131"/>
    <cellStyle name="20% - Accent5 6" xfId="145"/>
    <cellStyle name="20% - Accent6" xfId="43" builtinId="50" customBuiltin="1"/>
    <cellStyle name="20% - Accent6 2" xfId="54"/>
    <cellStyle name="20% - Accent6 2 2" xfId="103"/>
    <cellStyle name="20% - Accent6 3" xfId="68"/>
    <cellStyle name="20% - Accent6 3 2" xfId="117"/>
    <cellStyle name="20% - Accent6 4" xfId="89"/>
    <cellStyle name="20% - Accent6 5" xfId="132"/>
    <cellStyle name="20% - Accent6 6" xfId="146"/>
    <cellStyle name="40% - Accent1" xfId="24" builtinId="31" customBuiltin="1"/>
    <cellStyle name="40% - Accent1 2" xfId="55"/>
    <cellStyle name="40% - Accent1 2 2" xfId="104"/>
    <cellStyle name="40% - Accent1 3" xfId="69"/>
    <cellStyle name="40% - Accent1 3 2" xfId="118"/>
    <cellStyle name="40% - Accent1 4" xfId="80"/>
    <cellStyle name="40% - Accent1 5" xfId="133"/>
    <cellStyle name="40% - Accent1 6" xfId="147"/>
    <cellStyle name="40% - Accent2" xfId="28" builtinId="35" customBuiltin="1"/>
    <cellStyle name="40% - Accent2 2" xfId="56"/>
    <cellStyle name="40% - Accent2 2 2" xfId="105"/>
    <cellStyle name="40% - Accent2 3" xfId="70"/>
    <cellStyle name="40% - Accent2 3 2" xfId="119"/>
    <cellStyle name="40% - Accent2 4" xfId="82"/>
    <cellStyle name="40% - Accent2 5" xfId="134"/>
    <cellStyle name="40% - Accent2 6" xfId="148"/>
    <cellStyle name="40% - Accent3" xfId="32" builtinId="39" customBuiltin="1"/>
    <cellStyle name="40% - Accent3 2" xfId="57"/>
    <cellStyle name="40% - Accent3 2 2" xfId="106"/>
    <cellStyle name="40% - Accent3 3" xfId="71"/>
    <cellStyle name="40% - Accent3 3 2" xfId="120"/>
    <cellStyle name="40% - Accent3 4" xfId="84"/>
    <cellStyle name="40% - Accent3 5" xfId="135"/>
    <cellStyle name="40% - Accent3 6" xfId="149"/>
    <cellStyle name="40% - Accent4" xfId="36" builtinId="43" customBuiltin="1"/>
    <cellStyle name="40% - Accent4 2" xfId="58"/>
    <cellStyle name="40% - Accent4 2 2" xfId="107"/>
    <cellStyle name="40% - Accent4 3" xfId="72"/>
    <cellStyle name="40% - Accent4 3 2" xfId="121"/>
    <cellStyle name="40% - Accent4 4" xfId="86"/>
    <cellStyle name="40% - Accent4 5" xfId="136"/>
    <cellStyle name="40% - Accent4 6" xfId="150"/>
    <cellStyle name="40% - Accent5" xfId="40" builtinId="47" customBuiltin="1"/>
    <cellStyle name="40% - Accent5 2" xfId="59"/>
    <cellStyle name="40% - Accent5 2 2" xfId="108"/>
    <cellStyle name="40% - Accent5 3" xfId="73"/>
    <cellStyle name="40% - Accent5 3 2" xfId="122"/>
    <cellStyle name="40% - Accent5 4" xfId="88"/>
    <cellStyle name="40% - Accent5 5" xfId="137"/>
    <cellStyle name="40% - Accent5 6" xfId="151"/>
    <cellStyle name="40% - Accent6" xfId="44" builtinId="51" customBuiltin="1"/>
    <cellStyle name="40% - Accent6 2" xfId="60"/>
    <cellStyle name="40% - Accent6 2 2" xfId="109"/>
    <cellStyle name="40% - Accent6 3" xfId="74"/>
    <cellStyle name="40% - Accent6 3 2" xfId="123"/>
    <cellStyle name="40% - Accent6 4" xfId="90"/>
    <cellStyle name="40% - Accent6 5" xfId="138"/>
    <cellStyle name="40% - Accent6 6" xfId="152"/>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 builtinId="8"/>
    <cellStyle name="Input" xfId="14" builtinId="20" customBuiltin="1"/>
    <cellStyle name="Linked Cell" xfId="17" builtinId="24" customBuiltin="1"/>
    <cellStyle name="Neutral" xfId="13" builtinId="28" customBuiltin="1"/>
    <cellStyle name="Normal" xfId="0" builtinId="0"/>
    <cellStyle name="Normal 10" xfId="140"/>
    <cellStyle name="Normal 2" xfId="1"/>
    <cellStyle name="Normal 2 2" xfId="5"/>
    <cellStyle name="Normal 2 2 2" xfId="93"/>
    <cellStyle name="Normal 2 3" xfId="92"/>
    <cellStyle name="Normal 3" xfId="3"/>
    <cellStyle name="Normal 4" xfId="46"/>
    <cellStyle name="Normal 4 2" xfId="95"/>
    <cellStyle name="Normal 5" xfId="48"/>
    <cellStyle name="Normal 5 2" xfId="97"/>
    <cellStyle name="Normal 6" xfId="62"/>
    <cellStyle name="Normal 6 2" xfId="111"/>
    <cellStyle name="Normal 7" xfId="91"/>
    <cellStyle name="Normal 7 2" xfId="125"/>
    <cellStyle name="Normal 8" xfId="76"/>
    <cellStyle name="Normal 9" xfId="126"/>
    <cellStyle name="Normal_RBCbase1-NEW" xfId="2"/>
    <cellStyle name="Note 2" xfId="47"/>
    <cellStyle name="Note 2 2" xfId="96"/>
    <cellStyle name="Note 3" xfId="61"/>
    <cellStyle name="Note 3 2" xfId="110"/>
    <cellStyle name="Note 4" xfId="75"/>
    <cellStyle name="Note 4 2" xfId="124"/>
    <cellStyle name="Note 5" xfId="78"/>
    <cellStyle name="Note 6" xfId="139"/>
    <cellStyle name="Note 7" xfId="153"/>
    <cellStyle name="Output" xfId="15" builtinId="21" customBuiltin="1"/>
    <cellStyle name="Title" xfId="6" builtinId="15" customBuiltin="1"/>
    <cellStyle name="Title 2" xfId="94"/>
    <cellStyle name="Title 3" xfId="77"/>
    <cellStyle name="Total" xfId="21" builtinId="25" customBuiltin="1"/>
    <cellStyle name="Warning Text" xfId="19" builtinId="11" customBuiltin="1"/>
  </cellStyles>
  <dxfs count="24">
    <dxf>
      <fill>
        <patternFill>
          <bgColor rgb="FFFFFF00"/>
        </patternFill>
      </fill>
    </dxf>
    <dxf>
      <fill>
        <patternFill>
          <bgColor rgb="FFFFC000"/>
        </patternFill>
      </fill>
    </dxf>
    <dxf>
      <fill>
        <patternFill>
          <bgColor rgb="FFFFC000"/>
        </patternFill>
      </fill>
    </dxf>
    <dxf>
      <fill>
        <patternFill>
          <bgColor rgb="FFFFC000"/>
        </patternFill>
      </fill>
    </dxf>
    <dxf>
      <font>
        <b/>
        <i val="0"/>
      </font>
      <fill>
        <patternFill>
          <bgColor theme="5" tint="0.79998168889431442"/>
        </patternFill>
      </fill>
    </dxf>
    <dxf>
      <font>
        <b/>
        <i val="0"/>
      </font>
      <fill>
        <patternFill>
          <bgColor theme="5" tint="0.79998168889431442"/>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ont>
        <b/>
        <i val="0"/>
      </font>
      <fill>
        <patternFill>
          <bgColor theme="5" tint="0.79998168889431442"/>
        </patternFill>
      </fill>
    </dxf>
    <dxf>
      <font>
        <b/>
        <i val="0"/>
      </font>
      <fill>
        <patternFill>
          <bgColor theme="5" tint="0.79998168889431442"/>
        </patternFill>
      </fill>
    </dxf>
    <dxf>
      <fill>
        <patternFill>
          <bgColor rgb="FFFFFF00"/>
        </patternFill>
      </fill>
    </dxf>
    <dxf>
      <fill>
        <patternFill>
          <bgColor rgb="FFFFC000"/>
        </patternFill>
      </fill>
    </dxf>
    <dxf>
      <fill>
        <patternFill>
          <bgColor rgb="FFFFC000"/>
        </patternFill>
      </fill>
    </dxf>
    <dxf>
      <fill>
        <patternFill>
          <bgColor rgb="FFFFC000"/>
        </patternFill>
      </fill>
    </dxf>
    <dxf>
      <font>
        <b/>
        <i val="0"/>
      </font>
      <fill>
        <patternFill>
          <bgColor theme="5" tint="0.79998168889431442"/>
        </patternFill>
      </fill>
    </dxf>
    <dxf>
      <font>
        <b/>
        <i val="0"/>
      </font>
      <fill>
        <patternFill>
          <bgColor theme="5" tint="0.79998168889431442"/>
        </patternFill>
      </fill>
    </dxf>
    <dxf>
      <fill>
        <patternFill>
          <bgColor rgb="FFFFFF00"/>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23"/>
      <tableStyleElement type="headerRow" dxfId="2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66FF"/>
      <color rgb="FFCC00FF"/>
      <color rgb="FFFFFFCC"/>
      <color rgb="FFFFFF99"/>
      <color rgb="FFFF9797"/>
      <color rgb="FFCCFFCC"/>
      <color rgb="FFFF7C80"/>
      <color rgb="FFCC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114300</xdr:colOff>
          <xdr:row>14</xdr:row>
          <xdr:rowOff>830580</xdr:rowOff>
        </xdr:from>
        <xdr:to>
          <xdr:col>2</xdr:col>
          <xdr:colOff>2118360</xdr:colOff>
          <xdr:row>14</xdr:row>
          <xdr:rowOff>1143000</xdr:rowOff>
        </xdr:to>
        <xdr:sp macro="" textlink="">
          <xdr:nvSpPr>
            <xdr:cNvPr id="1066" name="CommandButton1" hidden="1">
              <a:extLst>
                <a:ext uri="{63B3BB69-23CF-44E3-9099-C40C66FF867C}">
                  <a14:compatExt spid="_x0000_s1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99060</xdr:colOff>
          <xdr:row>14</xdr:row>
          <xdr:rowOff>419100</xdr:rowOff>
        </xdr:from>
        <xdr:to>
          <xdr:col>2</xdr:col>
          <xdr:colOff>2057400</xdr:colOff>
          <xdr:row>14</xdr:row>
          <xdr:rowOff>708660</xdr:rowOff>
        </xdr:to>
        <xdr:sp macro="" textlink="">
          <xdr:nvSpPr>
            <xdr:cNvPr id="1067" name="CommandButton2" hidden="1">
              <a:extLst>
                <a:ext uri="{63B3BB69-23CF-44E3-9099-C40C66FF867C}">
                  <a14:compatExt spid="_x0000_s1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13</xdr:col>
      <xdr:colOff>1091656</xdr:colOff>
      <xdr:row>30</xdr:row>
      <xdr:rowOff>190500</xdr:rowOff>
    </xdr:from>
    <xdr:ext cx="5647624" cy="3107037"/>
    <xdr:sp macro="" textlink="">
      <xdr:nvSpPr>
        <xdr:cNvPr id="2" name="TextBox 1">
          <a:extLst/>
        </xdr:cNvPr>
        <xdr:cNvSpPr txBox="1"/>
      </xdr:nvSpPr>
      <xdr:spPr>
        <a:xfrm>
          <a:off x="7370536" y="6507480"/>
          <a:ext cx="5647624" cy="3107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1104900</xdr:colOff>
      <xdr:row>121</xdr:row>
      <xdr:rowOff>121920</xdr:rowOff>
    </xdr:from>
    <xdr:ext cx="5623001" cy="3072727"/>
    <xdr:sp macro="" textlink="">
      <xdr:nvSpPr>
        <xdr:cNvPr id="3" name="TextBox 2">
          <a:extLst/>
        </xdr:cNvPr>
        <xdr:cNvSpPr txBox="1"/>
      </xdr:nvSpPr>
      <xdr:spPr>
        <a:xfrm>
          <a:off x="7383780" y="20886420"/>
          <a:ext cx="5623001" cy="3072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4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1219200</xdr:colOff>
      <xdr:row>196</xdr:row>
      <xdr:rowOff>7831</xdr:rowOff>
    </xdr:from>
    <xdr:ext cx="5623001" cy="3097489"/>
    <xdr:sp macro="" textlink="">
      <xdr:nvSpPr>
        <xdr:cNvPr id="4" name="TextBox 3">
          <a:extLst/>
        </xdr:cNvPr>
        <xdr:cNvSpPr txBox="1"/>
      </xdr:nvSpPr>
      <xdr:spPr>
        <a:xfrm>
          <a:off x="7498080" y="34815991"/>
          <a:ext cx="5623001" cy="3097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4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1343025</xdr:colOff>
      <xdr:row>260</xdr:row>
      <xdr:rowOff>146262</xdr:rowOff>
    </xdr:from>
    <xdr:ext cx="5623001" cy="3088511"/>
    <xdr:sp macro="" textlink="">
      <xdr:nvSpPr>
        <xdr:cNvPr id="5" name="TextBox 4">
          <a:extLst/>
        </xdr:cNvPr>
        <xdr:cNvSpPr txBox="1"/>
      </xdr:nvSpPr>
      <xdr:spPr>
        <a:xfrm>
          <a:off x="7621905" y="48601842"/>
          <a:ext cx="5623001" cy="3088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1318895</xdr:colOff>
      <xdr:row>333</xdr:row>
      <xdr:rowOff>146050</xdr:rowOff>
    </xdr:from>
    <xdr:ext cx="5632797" cy="3122985"/>
    <xdr:sp macro="" textlink="">
      <xdr:nvSpPr>
        <xdr:cNvPr id="6" name="TextBox 5">
          <a:extLst/>
        </xdr:cNvPr>
        <xdr:cNvSpPr txBox="1"/>
      </xdr:nvSpPr>
      <xdr:spPr>
        <a:xfrm>
          <a:off x="7597775" y="62447170"/>
          <a:ext cx="5632797" cy="312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1278569</xdr:colOff>
      <xdr:row>407</xdr:row>
      <xdr:rowOff>187834</xdr:rowOff>
    </xdr:from>
    <xdr:ext cx="5321745" cy="3105883"/>
    <xdr:sp macro="" textlink="">
      <xdr:nvSpPr>
        <xdr:cNvPr id="7" name="TextBox 6">
          <a:extLst/>
        </xdr:cNvPr>
        <xdr:cNvSpPr txBox="1"/>
      </xdr:nvSpPr>
      <xdr:spPr>
        <a:xfrm>
          <a:off x="7557449" y="76136374"/>
          <a:ext cx="5321745" cy="310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1380169</xdr:colOff>
      <xdr:row>477</xdr:row>
      <xdr:rowOff>182755</xdr:rowOff>
    </xdr:from>
    <xdr:ext cx="5321727" cy="3105883"/>
    <xdr:sp macro="" textlink="">
      <xdr:nvSpPr>
        <xdr:cNvPr id="8" name="TextBox 7">
          <a:extLst/>
        </xdr:cNvPr>
        <xdr:cNvSpPr txBox="1"/>
      </xdr:nvSpPr>
      <xdr:spPr>
        <a:xfrm>
          <a:off x="7659049" y="90174955"/>
          <a:ext cx="5321727" cy="310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1380169</xdr:colOff>
      <xdr:row>555</xdr:row>
      <xdr:rowOff>77203</xdr:rowOff>
    </xdr:from>
    <xdr:ext cx="5311926" cy="3097899"/>
    <xdr:sp macro="" textlink="">
      <xdr:nvSpPr>
        <xdr:cNvPr id="9" name="TextBox 8">
          <a:extLst/>
        </xdr:cNvPr>
        <xdr:cNvSpPr txBox="1"/>
      </xdr:nvSpPr>
      <xdr:spPr>
        <a:xfrm>
          <a:off x="7659049" y="103914943"/>
          <a:ext cx="5311926" cy="3097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1298889</xdr:colOff>
      <xdr:row>674</xdr:row>
      <xdr:rowOff>7083</xdr:rowOff>
    </xdr:from>
    <xdr:ext cx="5314336" cy="3074758"/>
    <xdr:sp macro="" textlink="">
      <xdr:nvSpPr>
        <xdr:cNvPr id="10" name="TextBox 9">
          <a:extLst/>
        </xdr:cNvPr>
        <xdr:cNvSpPr txBox="1"/>
      </xdr:nvSpPr>
      <xdr:spPr>
        <a:xfrm>
          <a:off x="7577769" y="117690363"/>
          <a:ext cx="5314336" cy="307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1263394</xdr:colOff>
      <xdr:row>283</xdr:row>
      <xdr:rowOff>168586</xdr:rowOff>
    </xdr:from>
    <xdr:ext cx="5275365" cy="3091103"/>
    <xdr:sp macro="" textlink="">
      <xdr:nvSpPr>
        <xdr:cNvPr id="11" name="TextBox 10">
          <a:extLst/>
        </xdr:cNvPr>
        <xdr:cNvSpPr txBox="1"/>
      </xdr:nvSpPr>
      <xdr:spPr>
        <a:xfrm>
          <a:off x="7542274" y="131499286"/>
          <a:ext cx="5275365" cy="3091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5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1218580</xdr:colOff>
      <xdr:row>710</xdr:row>
      <xdr:rowOff>1792</xdr:rowOff>
    </xdr:from>
    <xdr:ext cx="5314715" cy="3074778"/>
    <xdr:sp macro="" textlink="">
      <xdr:nvSpPr>
        <xdr:cNvPr id="12" name="TextBox 11">
          <a:extLst/>
        </xdr:cNvPr>
        <xdr:cNvSpPr txBox="1"/>
      </xdr:nvSpPr>
      <xdr:spPr>
        <a:xfrm>
          <a:off x="7497460" y="145574272"/>
          <a:ext cx="5314715" cy="3074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oneCellAnchor>
    <xdr:from>
      <xdr:col>13</xdr:col>
      <xdr:colOff>1180480</xdr:colOff>
      <xdr:row>781</xdr:row>
      <xdr:rowOff>116092</xdr:rowOff>
    </xdr:from>
    <xdr:ext cx="5314715" cy="3074778"/>
    <xdr:sp macro="" textlink="">
      <xdr:nvSpPr>
        <xdr:cNvPr id="13" name="TextBox 12">
          <a:extLst/>
        </xdr:cNvPr>
        <xdr:cNvSpPr txBox="1"/>
      </xdr:nvSpPr>
      <xdr:spPr>
        <a:xfrm>
          <a:off x="7459360" y="158535892"/>
          <a:ext cx="5314715" cy="3074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mn-lt"/>
              <a:ea typeface="+mn-ea"/>
              <a:cs typeface="+mn-cs"/>
            </a:rPr>
            <a:t>THQ=1.0</a:t>
          </a:r>
          <a:endParaRPr lang="en-US" sz="800">
            <a:ln>
              <a:solidFill>
                <a:srgbClr val="FF0000"/>
              </a:solidFill>
              <a:prstDash val="dash"/>
            </a:ln>
            <a:no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epa.gov/oswer/vaporintrusion/documents/review_of_2002_draft_vi_guidance_final.pdf" TargetMode="External"/><Relationship Id="rId7" Type="http://schemas.openxmlformats.org/officeDocument/2006/relationships/printerSettings" Target="../printerSettings/printerSettings1.bin"/><Relationship Id="rId2" Type="http://schemas.openxmlformats.org/officeDocument/2006/relationships/hyperlink" Target="http://www.epa.gov/oswer/riskassessment/ragsf/index.htm" TargetMode="External"/><Relationship Id="rId1" Type="http://schemas.openxmlformats.org/officeDocument/2006/relationships/hyperlink" Target="http://www.epa.gov/osw/hazard/correctiveaction/eis/vapor/complete.pdf" TargetMode="External"/><Relationship Id="rId6" Type="http://schemas.openxmlformats.org/officeDocument/2006/relationships/hyperlink" Target="http://www.epa.gov/oswer/riskassessment/pdf/superfund-hh-exposure/OSWER-Directive-9200-1-120-ExposureFactors.pdf" TargetMode="External"/><Relationship Id="rId5" Type="http://schemas.openxmlformats.org/officeDocument/2006/relationships/hyperlink" Target="http://www.epa.gov/oswer/vaporintrusion/" TargetMode="External"/><Relationship Id="rId4" Type="http://schemas.openxmlformats.org/officeDocument/2006/relationships/hyperlink" Target="http://www.epa.gov/reg3hwmd/risk/human/rb-concentration_table/index.ht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ontrol" Target="../activeX/activeX2.xml"/><Relationship Id="rId3" Type="http://schemas.openxmlformats.org/officeDocument/2006/relationships/hyperlink" Target="http://epa-heast.ornl.gov/heast.shtml" TargetMode="External"/><Relationship Id="rId7" Type="http://schemas.openxmlformats.org/officeDocument/2006/relationships/hyperlink" Target="http://www.epa.gov/iris/subst/index.html" TargetMode="External"/><Relationship Id="rId12" Type="http://schemas.openxmlformats.org/officeDocument/2006/relationships/image" Target="../media/image1.emf"/><Relationship Id="rId2" Type="http://schemas.openxmlformats.org/officeDocument/2006/relationships/hyperlink" Target="http://www.cdc.gov/niosh/npg/default.html" TargetMode="External"/><Relationship Id="rId1" Type="http://schemas.openxmlformats.org/officeDocument/2006/relationships/hyperlink" Target="http://www.cdc.gov/niosh/npg/default.html" TargetMode="External"/><Relationship Id="rId6" Type="http://schemas.openxmlformats.org/officeDocument/2006/relationships/hyperlink" Target="http://hhpprtv.ornl.gov/pprtv.shtml" TargetMode="External"/><Relationship Id="rId11" Type="http://schemas.openxmlformats.org/officeDocument/2006/relationships/control" Target="../activeX/activeX1.xml"/><Relationship Id="rId5" Type="http://schemas.openxmlformats.org/officeDocument/2006/relationships/hyperlink" Target="http://www.atsdr.cdc.gov/mrls/index.html" TargetMode="External"/><Relationship Id="rId10" Type="http://schemas.openxmlformats.org/officeDocument/2006/relationships/vmlDrawing" Target="../drawings/vmlDrawing1.vml"/><Relationship Id="rId4" Type="http://schemas.openxmlformats.org/officeDocument/2006/relationships/hyperlink" Target="http://www.oehha.ca.gov/risk/ChemicalDB/index.asp"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_rels/sheet3.xml.rels><?xml version="1.0" encoding="UTF-8" standalone="yes"?>
<Relationships xmlns="http://schemas.openxmlformats.org/package/2006/relationships"><Relationship Id="rId3" Type="http://schemas.openxmlformats.org/officeDocument/2006/relationships/hyperlink" Target="http://www.atsdr.cdc.gov/mrls/index.html" TargetMode="External"/><Relationship Id="rId2" Type="http://schemas.openxmlformats.org/officeDocument/2006/relationships/hyperlink" Target="http://hhpprtv.ornl.gov/pprtv.shtml" TargetMode="External"/><Relationship Id="rId1" Type="http://schemas.openxmlformats.org/officeDocument/2006/relationships/hyperlink" Target="http://www.epa.gov/iris/subst/index.html" TargetMode="External"/><Relationship Id="rId6" Type="http://schemas.openxmlformats.org/officeDocument/2006/relationships/printerSettings" Target="../printerSettings/printerSettings3.bin"/><Relationship Id="rId5" Type="http://schemas.openxmlformats.org/officeDocument/2006/relationships/hyperlink" Target="http://epa-heast.ornl.gov/heast.shtml" TargetMode="External"/><Relationship Id="rId4" Type="http://schemas.openxmlformats.org/officeDocument/2006/relationships/hyperlink" Target="http://www.oehha.ca.gov/risk/ChemicalDB/index.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tsdr.cdc.gov/mrls/index.html" TargetMode="External"/><Relationship Id="rId2" Type="http://schemas.openxmlformats.org/officeDocument/2006/relationships/hyperlink" Target="http://hhpprtv.ornl.gov/pprtv.shtml" TargetMode="External"/><Relationship Id="rId1" Type="http://schemas.openxmlformats.org/officeDocument/2006/relationships/hyperlink" Target="http://www.epa.gov/iris/subst/index.html" TargetMode="External"/><Relationship Id="rId6" Type="http://schemas.openxmlformats.org/officeDocument/2006/relationships/printerSettings" Target="../printerSettings/printerSettings4.bin"/><Relationship Id="rId5" Type="http://schemas.openxmlformats.org/officeDocument/2006/relationships/hyperlink" Target="http://epa-heast.ornl.gov/heast.shtml" TargetMode="External"/><Relationship Id="rId4" Type="http://schemas.openxmlformats.org/officeDocument/2006/relationships/hyperlink" Target="http://www.oehha.ca.gov/risk/ChemicalDB/index.asp"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atsdr.cdc.gov/mrls/index.html" TargetMode="External"/><Relationship Id="rId2" Type="http://schemas.openxmlformats.org/officeDocument/2006/relationships/hyperlink" Target="http://hhpprtv.ornl.gov/pprtv.shtml" TargetMode="External"/><Relationship Id="rId1" Type="http://schemas.openxmlformats.org/officeDocument/2006/relationships/hyperlink" Target="http://www.epa.gov/iris/subst/index.html" TargetMode="External"/><Relationship Id="rId6" Type="http://schemas.openxmlformats.org/officeDocument/2006/relationships/printerSettings" Target="../printerSettings/printerSettings5.bin"/><Relationship Id="rId5" Type="http://schemas.openxmlformats.org/officeDocument/2006/relationships/hyperlink" Target="http://epa-heast.ornl.gov/heast.shtml" TargetMode="External"/><Relationship Id="rId4" Type="http://schemas.openxmlformats.org/officeDocument/2006/relationships/hyperlink" Target="http://www.oehha.ca.gov/risk/ChemicalDB/index.asp"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epa.gov/ttn/chief/software/water/index.html" TargetMode="External"/><Relationship Id="rId7" Type="http://schemas.openxmlformats.org/officeDocument/2006/relationships/printerSettings" Target="../printerSettings/printerSettings6.bin"/><Relationship Id="rId2" Type="http://schemas.openxmlformats.org/officeDocument/2006/relationships/hyperlink" Target="http://www.epa.gov/opptintr/exposure/pubs/episuite.htm" TargetMode="External"/><Relationship Id="rId1" Type="http://schemas.openxmlformats.org/officeDocument/2006/relationships/hyperlink" Target="http://www.epa.gov/reg3hwmd/risk/human/rb-concentration_table/usersguide.htm" TargetMode="External"/><Relationship Id="rId6" Type="http://schemas.openxmlformats.org/officeDocument/2006/relationships/hyperlink" Target="http://toxnet.nlm.nih.gov/" TargetMode="External"/><Relationship Id="rId5" Type="http://schemas.openxmlformats.org/officeDocument/2006/relationships/hyperlink" Target="http://webbook.nist.gov/chemistry/" TargetMode="External"/><Relationship Id="rId4" Type="http://schemas.openxmlformats.org/officeDocument/2006/relationships/hyperlink" Target="http://www.syrres.com/what-we-do/databaseforms.aspx?id=386"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221"/>
  <sheetViews>
    <sheetView topLeftCell="C1" zoomScale="98" zoomScaleNormal="98" zoomScaleSheetLayoutView="100" workbookViewId="0">
      <selection activeCell="I12" sqref="I12"/>
    </sheetView>
  </sheetViews>
  <sheetFormatPr defaultColWidth="9.109375" defaultRowHeight="13.2"/>
  <cols>
    <col min="1" max="1" width="23.88671875" style="28" customWidth="1"/>
    <col min="2" max="2" width="50.44140625" style="28" customWidth="1"/>
    <col min="3" max="3" width="9.33203125" style="28" customWidth="1"/>
    <col min="4" max="4" width="13.33203125" style="28" customWidth="1"/>
    <col min="5" max="5" width="16.88671875" style="28" bestFit="1" customWidth="1"/>
    <col min="6" max="6" width="17.44140625" style="28" customWidth="1"/>
    <col min="7" max="7" width="16.109375" style="28" customWidth="1"/>
    <col min="8" max="8" width="28.109375" style="28" customWidth="1"/>
    <col min="9" max="16384" width="9.109375" style="28"/>
  </cols>
  <sheetData>
    <row r="1" spans="1:8" ht="18" thickBot="1">
      <c r="A1" s="518" t="s">
        <v>1869</v>
      </c>
      <c r="B1" s="519"/>
      <c r="C1" s="519"/>
      <c r="D1" s="519"/>
      <c r="E1" s="519"/>
      <c r="F1" s="519"/>
      <c r="G1" s="519"/>
      <c r="H1" s="520"/>
    </row>
    <row r="3" spans="1:8">
      <c r="A3" s="30" t="s">
        <v>1539</v>
      </c>
      <c r="B3" s="31"/>
      <c r="C3" s="31"/>
      <c r="D3" s="31"/>
      <c r="E3" s="31"/>
      <c r="F3" s="31"/>
      <c r="G3" s="31"/>
      <c r="H3" s="31"/>
    </row>
    <row r="4" spans="1:8">
      <c r="A4" s="31" t="s">
        <v>2258</v>
      </c>
      <c r="B4" s="31"/>
      <c r="C4" s="31"/>
      <c r="D4" s="31"/>
      <c r="E4" s="31"/>
      <c r="F4" s="31"/>
      <c r="G4" s="31"/>
      <c r="H4" s="31"/>
    </row>
    <row r="5" spans="1:8">
      <c r="A5" s="32" t="s">
        <v>2269</v>
      </c>
      <c r="B5" s="31"/>
      <c r="C5" s="31"/>
      <c r="D5" s="31"/>
      <c r="E5" s="31"/>
      <c r="F5" s="31"/>
      <c r="G5" s="31"/>
      <c r="H5" s="31"/>
    </row>
    <row r="6" spans="1:8">
      <c r="A6" s="32" t="s">
        <v>2260</v>
      </c>
      <c r="B6" s="31"/>
      <c r="C6" s="31"/>
      <c r="D6" s="31"/>
      <c r="E6" s="31"/>
      <c r="F6" s="31"/>
      <c r="G6" s="31"/>
      <c r="H6" s="31"/>
    </row>
    <row r="7" spans="1:8">
      <c r="A7" s="32" t="s">
        <v>2259</v>
      </c>
      <c r="B7" s="31"/>
      <c r="C7" s="31"/>
      <c r="D7" s="31"/>
      <c r="E7" s="31"/>
      <c r="F7" s="31"/>
      <c r="G7" s="31"/>
      <c r="H7" s="31"/>
    </row>
    <row r="8" spans="1:8">
      <c r="A8" s="32" t="s">
        <v>1740</v>
      </c>
      <c r="B8" s="31"/>
      <c r="C8" s="31" t="s">
        <v>2542</v>
      </c>
      <c r="D8" s="31"/>
      <c r="E8" s="31"/>
      <c r="F8" s="31"/>
      <c r="G8" s="31"/>
      <c r="H8" s="31"/>
    </row>
    <row r="9" spans="1:8">
      <c r="A9" s="32"/>
      <c r="B9" s="31"/>
      <c r="C9" s="31" t="s">
        <v>1741</v>
      </c>
      <c r="D9" s="31"/>
      <c r="E9" s="31"/>
      <c r="F9" s="31"/>
      <c r="G9" s="31"/>
      <c r="H9" s="31"/>
    </row>
    <row r="10" spans="1:8">
      <c r="A10" s="32"/>
      <c r="B10" s="31"/>
      <c r="C10" s="31" t="s">
        <v>2543</v>
      </c>
      <c r="D10" s="31"/>
      <c r="E10" s="31"/>
      <c r="F10" s="31"/>
      <c r="G10" s="31"/>
      <c r="H10" s="31"/>
    </row>
    <row r="11" spans="1:8">
      <c r="A11" s="31"/>
      <c r="B11" s="31"/>
      <c r="C11" s="31" t="s">
        <v>2544</v>
      </c>
      <c r="D11" s="31"/>
      <c r="E11" s="31"/>
      <c r="F11" s="31"/>
      <c r="G11" s="31"/>
      <c r="H11" s="31"/>
    </row>
    <row r="12" spans="1:8">
      <c r="A12" s="30" t="s">
        <v>2064</v>
      </c>
      <c r="B12" s="31"/>
      <c r="C12" s="31"/>
      <c r="D12" s="31"/>
      <c r="E12" s="31"/>
      <c r="F12" s="31"/>
      <c r="G12" s="31"/>
      <c r="H12" s="31"/>
    </row>
    <row r="13" spans="1:8">
      <c r="A13" s="226" t="s">
        <v>1836</v>
      </c>
      <c r="B13" s="226" t="s">
        <v>1838</v>
      </c>
      <c r="C13" s="528" t="s">
        <v>1451</v>
      </c>
      <c r="D13" s="529"/>
      <c r="E13" s="529"/>
      <c r="F13" s="529"/>
      <c r="G13" s="529"/>
      <c r="H13" s="530"/>
    </row>
    <row r="14" spans="1:8" ht="125.25" customHeight="1">
      <c r="A14" s="225" t="s">
        <v>1839</v>
      </c>
      <c r="B14" s="225" t="s">
        <v>1845</v>
      </c>
      <c r="C14" s="525" t="s">
        <v>2177</v>
      </c>
      <c r="D14" s="526"/>
      <c r="E14" s="526"/>
      <c r="F14" s="526"/>
      <c r="G14" s="526"/>
      <c r="H14" s="527"/>
    </row>
    <row r="15" spans="1:8" ht="37.5" customHeight="1">
      <c r="A15" s="225" t="s">
        <v>1837</v>
      </c>
      <c r="B15" s="225" t="s">
        <v>1846</v>
      </c>
      <c r="C15" s="525" t="s">
        <v>2178</v>
      </c>
      <c r="D15" s="526"/>
      <c r="E15" s="526"/>
      <c r="F15" s="526"/>
      <c r="G15" s="526"/>
      <c r="H15" s="527"/>
    </row>
    <row r="16" spans="1:8" ht="37.5" customHeight="1">
      <c r="A16" s="225" t="s">
        <v>1840</v>
      </c>
      <c r="B16" s="225" t="s">
        <v>1847</v>
      </c>
      <c r="C16" s="525" t="s">
        <v>2179</v>
      </c>
      <c r="D16" s="526"/>
      <c r="E16" s="526"/>
      <c r="F16" s="526"/>
      <c r="G16" s="526"/>
      <c r="H16" s="527"/>
    </row>
    <row r="17" spans="1:8" ht="25.5" customHeight="1">
      <c r="A17" s="225" t="s">
        <v>1841</v>
      </c>
      <c r="B17" s="225" t="s">
        <v>1848</v>
      </c>
      <c r="C17" s="525" t="s">
        <v>2180</v>
      </c>
      <c r="D17" s="526"/>
      <c r="E17" s="526"/>
      <c r="F17" s="526"/>
      <c r="G17" s="526"/>
      <c r="H17" s="527"/>
    </row>
    <row r="18" spans="1:8" ht="41.25" customHeight="1">
      <c r="A18" s="225" t="s">
        <v>1842</v>
      </c>
      <c r="B18" s="225" t="s">
        <v>1843</v>
      </c>
      <c r="C18" s="525" t="s">
        <v>1899</v>
      </c>
      <c r="D18" s="526"/>
      <c r="E18" s="526"/>
      <c r="F18" s="526"/>
      <c r="G18" s="526"/>
      <c r="H18" s="527"/>
    </row>
    <row r="19" spans="1:8" ht="36.75" customHeight="1">
      <c r="A19" s="225" t="s">
        <v>1850</v>
      </c>
      <c r="B19" s="225" t="s">
        <v>1849</v>
      </c>
      <c r="C19" s="525" t="s">
        <v>2181</v>
      </c>
      <c r="D19" s="526"/>
      <c r="E19" s="526"/>
      <c r="F19" s="526"/>
      <c r="G19" s="526"/>
      <c r="H19" s="527"/>
    </row>
    <row r="20" spans="1:8" ht="35.25" customHeight="1">
      <c r="A20" s="225" t="s">
        <v>1844</v>
      </c>
      <c r="B20" s="225" t="s">
        <v>1843</v>
      </c>
      <c r="C20" s="525" t="s">
        <v>2182</v>
      </c>
      <c r="D20" s="526"/>
      <c r="E20" s="526"/>
      <c r="F20" s="526"/>
      <c r="G20" s="526"/>
      <c r="H20" s="527"/>
    </row>
    <row r="21" spans="1:8" ht="26.25" customHeight="1">
      <c r="A21" s="225" t="s">
        <v>1851</v>
      </c>
      <c r="B21" s="225" t="s">
        <v>1843</v>
      </c>
      <c r="C21" s="525" t="s">
        <v>1852</v>
      </c>
      <c r="D21" s="526"/>
      <c r="E21" s="526"/>
      <c r="F21" s="526"/>
      <c r="G21" s="526"/>
      <c r="H21" s="527"/>
    </row>
    <row r="22" spans="1:8">
      <c r="A22" s="227" t="s">
        <v>1683</v>
      </c>
      <c r="B22" s="227"/>
      <c r="C22" s="227"/>
      <c r="D22" s="227"/>
      <c r="E22" s="227"/>
      <c r="F22" s="227"/>
      <c r="G22" s="227"/>
      <c r="H22" s="227"/>
    </row>
    <row r="23" spans="1:8">
      <c r="A23" s="31"/>
      <c r="B23" s="31"/>
      <c r="C23" s="31"/>
      <c r="D23" s="31"/>
      <c r="E23" s="31"/>
      <c r="F23" s="31"/>
      <c r="G23" s="31"/>
      <c r="H23" s="31"/>
    </row>
    <row r="24" spans="1:8">
      <c r="A24" s="30" t="s">
        <v>2065</v>
      </c>
      <c r="B24" s="31"/>
      <c r="C24" s="31"/>
      <c r="D24" s="31"/>
      <c r="E24" s="31"/>
      <c r="F24" s="31"/>
      <c r="G24" s="31"/>
      <c r="H24" s="31"/>
    </row>
    <row r="25" spans="1:8">
      <c r="A25" s="33" t="s">
        <v>1522</v>
      </c>
      <c r="B25" s="31"/>
      <c r="C25" s="31"/>
      <c r="D25" s="31"/>
      <c r="E25" s="31"/>
      <c r="F25" s="31"/>
      <c r="G25" s="31"/>
      <c r="H25" s="31"/>
    </row>
    <row r="26" spans="1:8">
      <c r="A26" s="32" t="s">
        <v>1540</v>
      </c>
      <c r="B26" s="31"/>
      <c r="C26" s="31"/>
      <c r="D26" s="31"/>
      <c r="E26" s="31"/>
      <c r="F26" s="31"/>
      <c r="G26" s="31"/>
      <c r="H26" s="31"/>
    </row>
    <row r="27" spans="1:8">
      <c r="A27" s="32" t="s">
        <v>2066</v>
      </c>
      <c r="B27" s="31"/>
      <c r="C27" s="31"/>
      <c r="D27" s="31"/>
      <c r="E27" s="31"/>
      <c r="F27" s="31"/>
      <c r="G27" s="31"/>
      <c r="H27" s="31"/>
    </row>
    <row r="28" spans="1:8">
      <c r="A28" s="32" t="s">
        <v>1779</v>
      </c>
      <c r="B28" s="31"/>
      <c r="C28" s="31"/>
      <c r="D28" s="31"/>
      <c r="E28" s="31"/>
      <c r="F28" s="31"/>
      <c r="G28" s="31"/>
      <c r="H28" s="31"/>
    </row>
    <row r="29" spans="1:8" ht="13.8" thickBot="1">
      <c r="A29" s="31"/>
      <c r="B29" s="31"/>
      <c r="C29" s="31"/>
      <c r="D29" s="31"/>
      <c r="E29" s="31"/>
      <c r="F29" s="31"/>
      <c r="G29" s="31"/>
      <c r="H29" s="31"/>
    </row>
    <row r="30" spans="1:8" ht="18" thickBot="1">
      <c r="A30" s="518" t="s">
        <v>1868</v>
      </c>
      <c r="B30" s="519"/>
      <c r="C30" s="519"/>
      <c r="D30" s="519"/>
      <c r="E30" s="519"/>
      <c r="F30" s="519"/>
      <c r="G30" s="519"/>
      <c r="H30" s="520"/>
    </row>
    <row r="31" spans="1:8">
      <c r="A31" s="31"/>
      <c r="B31" s="31"/>
      <c r="C31" s="31"/>
      <c r="D31" s="31"/>
      <c r="E31" s="31"/>
      <c r="F31" s="31"/>
      <c r="G31" s="31"/>
      <c r="H31" s="31"/>
    </row>
    <row r="32" spans="1:8">
      <c r="A32" s="31" t="s">
        <v>2056</v>
      </c>
      <c r="B32" s="31"/>
      <c r="C32" s="31"/>
      <c r="D32" s="31"/>
      <c r="E32" s="31"/>
      <c r="F32" s="31"/>
      <c r="G32" s="31"/>
      <c r="H32" s="31"/>
    </row>
    <row r="33" spans="1:8">
      <c r="A33" s="34" t="s">
        <v>471</v>
      </c>
      <c r="B33" s="522" t="s">
        <v>1521</v>
      </c>
      <c r="C33" s="522"/>
      <c r="D33" s="522"/>
      <c r="E33" s="522"/>
      <c r="F33" s="35" t="s">
        <v>1685</v>
      </c>
      <c r="G33" s="31"/>
      <c r="H33" s="31"/>
    </row>
    <row r="34" spans="1:8" ht="14.25" customHeight="1">
      <c r="A34" s="36" t="s">
        <v>1443</v>
      </c>
      <c r="B34" s="517" t="s">
        <v>1776</v>
      </c>
      <c r="C34" s="517"/>
      <c r="D34" s="517"/>
      <c r="E34" s="517"/>
      <c r="F34" s="36" t="s">
        <v>448</v>
      </c>
      <c r="G34" s="31"/>
      <c r="H34" s="31"/>
    </row>
    <row r="35" spans="1:8" ht="27" customHeight="1">
      <c r="A35" s="36" t="s">
        <v>1444</v>
      </c>
      <c r="B35" s="517" t="s">
        <v>1775</v>
      </c>
      <c r="C35" s="517"/>
      <c r="D35" s="517"/>
      <c r="E35" s="517"/>
      <c r="F35" s="36" t="s">
        <v>1686</v>
      </c>
      <c r="G35" s="31"/>
      <c r="H35" s="31"/>
    </row>
    <row r="36" spans="1:8" ht="26.4">
      <c r="A36" s="36" t="s">
        <v>1445</v>
      </c>
      <c r="B36" s="517" t="s">
        <v>1775</v>
      </c>
      <c r="C36" s="517"/>
      <c r="D36" s="517"/>
      <c r="E36" s="517"/>
      <c r="F36" s="36" t="s">
        <v>1687</v>
      </c>
      <c r="G36" s="31"/>
      <c r="H36" s="31"/>
    </row>
    <row r="37" spans="1:8" ht="38.25" customHeight="1">
      <c r="A37" s="36" t="s">
        <v>1446</v>
      </c>
      <c r="B37" s="517" t="s">
        <v>1810</v>
      </c>
      <c r="C37" s="517"/>
      <c r="D37" s="517"/>
      <c r="E37" s="517"/>
      <c r="F37" s="36" t="s">
        <v>463</v>
      </c>
      <c r="G37" s="31"/>
      <c r="H37" s="31"/>
    </row>
    <row r="38" spans="1:8">
      <c r="A38" s="30"/>
      <c r="B38" s="31"/>
      <c r="C38" s="31"/>
      <c r="D38" s="31"/>
      <c r="E38" s="31"/>
      <c r="F38" s="31"/>
      <c r="G38" s="31"/>
      <c r="H38" s="31"/>
    </row>
    <row r="39" spans="1:8">
      <c r="A39" s="33" t="s">
        <v>1780</v>
      </c>
      <c r="B39" s="31"/>
      <c r="C39" s="31"/>
      <c r="D39" s="31"/>
      <c r="E39" s="31"/>
      <c r="F39" s="31"/>
      <c r="G39" s="31"/>
      <c r="H39" s="31"/>
    </row>
    <row r="40" spans="1:8">
      <c r="A40" s="37" t="s">
        <v>1778</v>
      </c>
      <c r="B40" s="31"/>
      <c r="C40" s="31"/>
      <c r="D40" s="31"/>
      <c r="E40" s="31"/>
      <c r="F40" s="31"/>
      <c r="G40" s="31"/>
      <c r="H40" s="31"/>
    </row>
    <row r="41" spans="1:8">
      <c r="A41" s="31"/>
      <c r="B41" s="31"/>
      <c r="C41" s="31"/>
      <c r="D41" s="31"/>
      <c r="E41" s="31"/>
      <c r="F41" s="31"/>
      <c r="G41" s="31"/>
      <c r="H41" s="31"/>
    </row>
    <row r="42" spans="1:8">
      <c r="A42" s="32" t="s">
        <v>1541</v>
      </c>
      <c r="B42" s="31"/>
      <c r="C42" s="31"/>
      <c r="D42" s="31"/>
      <c r="E42" s="31"/>
      <c r="F42" s="31"/>
      <c r="G42" s="31"/>
      <c r="H42" s="31"/>
    </row>
    <row r="43" spans="1:8">
      <c r="A43" s="35" t="s">
        <v>1447</v>
      </c>
      <c r="B43" s="35" t="s">
        <v>1448</v>
      </c>
      <c r="C43" s="35" t="s">
        <v>1411</v>
      </c>
      <c r="D43" s="35" t="s">
        <v>459</v>
      </c>
      <c r="E43" s="35" t="s">
        <v>1449</v>
      </c>
      <c r="F43" s="35" t="s">
        <v>1450</v>
      </c>
      <c r="G43" s="521" t="s">
        <v>1451</v>
      </c>
      <c r="H43" s="513"/>
    </row>
    <row r="44" spans="1:8" ht="104.25" customHeight="1">
      <c r="A44" s="38" t="s">
        <v>1414</v>
      </c>
      <c r="B44" s="38"/>
      <c r="C44" s="38"/>
      <c r="D44" s="38"/>
      <c r="E44" s="38" t="s">
        <v>1452</v>
      </c>
      <c r="F44" s="38" t="s">
        <v>1453</v>
      </c>
      <c r="G44" s="523" t="s">
        <v>2067</v>
      </c>
      <c r="H44" s="512"/>
    </row>
    <row r="45" spans="1:8">
      <c r="A45" s="38" t="s">
        <v>1454</v>
      </c>
      <c r="B45" s="38" t="s">
        <v>365</v>
      </c>
      <c r="C45" s="38"/>
      <c r="D45" s="38"/>
      <c r="E45" s="38" t="s">
        <v>1455</v>
      </c>
      <c r="F45" s="38" t="s">
        <v>1456</v>
      </c>
      <c r="G45" s="523" t="s">
        <v>1457</v>
      </c>
      <c r="H45" s="513"/>
    </row>
    <row r="46" spans="1:8">
      <c r="A46" s="38" t="s">
        <v>521</v>
      </c>
      <c r="B46" s="38" t="s">
        <v>500</v>
      </c>
      <c r="C46" s="38"/>
      <c r="D46" s="38"/>
      <c r="E46" s="38" t="s">
        <v>1455</v>
      </c>
      <c r="F46" s="38" t="s">
        <v>1458</v>
      </c>
      <c r="G46" s="523" t="s">
        <v>1459</v>
      </c>
      <c r="H46" s="513"/>
    </row>
    <row r="47" spans="1:8" ht="54" customHeight="1">
      <c r="A47" s="302" t="s">
        <v>1460</v>
      </c>
      <c r="B47" s="302" t="s">
        <v>2185</v>
      </c>
      <c r="C47" s="302"/>
      <c r="D47" s="302"/>
      <c r="E47" s="302" t="s">
        <v>1461</v>
      </c>
      <c r="F47" s="302" t="s">
        <v>2186</v>
      </c>
      <c r="G47" s="537" t="s">
        <v>2188</v>
      </c>
      <c r="H47" s="538"/>
    </row>
    <row r="48" spans="1:8">
      <c r="A48" s="302" t="s">
        <v>360</v>
      </c>
      <c r="B48" s="302" t="s">
        <v>2163</v>
      </c>
      <c r="C48" s="302"/>
      <c r="D48" s="302"/>
      <c r="E48" s="302" t="s">
        <v>1461</v>
      </c>
      <c r="F48" s="302" t="s">
        <v>2187</v>
      </c>
      <c r="G48" s="539" t="s">
        <v>2189</v>
      </c>
      <c r="H48" s="540"/>
    </row>
    <row r="49" spans="1:8" ht="209.25" customHeight="1">
      <c r="A49" s="38" t="s">
        <v>1462</v>
      </c>
      <c r="B49" s="6" t="s">
        <v>1628</v>
      </c>
      <c r="C49" s="38"/>
      <c r="D49" s="38" t="s">
        <v>2018</v>
      </c>
      <c r="E49" s="38" t="s">
        <v>1461</v>
      </c>
      <c r="F49" s="38" t="s">
        <v>2089</v>
      </c>
      <c r="G49" s="523" t="s">
        <v>2092</v>
      </c>
      <c r="H49" s="512"/>
    </row>
    <row r="50" spans="1:8" ht="156.75" customHeight="1">
      <c r="A50" s="38" t="s">
        <v>1463</v>
      </c>
      <c r="B50" s="8" t="s">
        <v>1627</v>
      </c>
      <c r="C50" s="38"/>
      <c r="D50" s="38" t="s">
        <v>2025</v>
      </c>
      <c r="E50" s="38" t="s">
        <v>1461</v>
      </c>
      <c r="F50" s="38" t="s">
        <v>2089</v>
      </c>
      <c r="G50" s="523" t="s">
        <v>2093</v>
      </c>
      <c r="H50" s="512"/>
    </row>
    <row r="51" spans="1:8" ht="248.25" customHeight="1">
      <c r="A51" s="38" t="s">
        <v>406</v>
      </c>
      <c r="B51" s="38" t="s">
        <v>1781</v>
      </c>
      <c r="C51" s="38" t="s">
        <v>1641</v>
      </c>
      <c r="D51" s="38" t="s">
        <v>1464</v>
      </c>
      <c r="E51" s="38" t="s">
        <v>1461</v>
      </c>
      <c r="F51" s="38" t="s">
        <v>2090</v>
      </c>
      <c r="G51" s="523" t="s">
        <v>2091</v>
      </c>
      <c r="H51" s="512"/>
    </row>
    <row r="52" spans="1:8" ht="24.75" customHeight="1">
      <c r="A52" s="38" t="s">
        <v>1412</v>
      </c>
      <c r="B52" s="38" t="s">
        <v>483</v>
      </c>
      <c r="C52" s="38"/>
      <c r="D52" s="38"/>
      <c r="E52" s="38" t="s">
        <v>1461</v>
      </c>
      <c r="F52" s="38" t="s">
        <v>2094</v>
      </c>
      <c r="G52" s="523" t="s">
        <v>2095</v>
      </c>
      <c r="H52" s="513"/>
    </row>
    <row r="53" spans="1:8" ht="201.6" customHeight="1">
      <c r="A53" s="38" t="s">
        <v>359</v>
      </c>
      <c r="B53" s="38" t="s">
        <v>1782</v>
      </c>
      <c r="C53" s="38" t="s">
        <v>1641</v>
      </c>
      <c r="D53" s="38" t="s">
        <v>467</v>
      </c>
      <c r="E53" s="38" t="s">
        <v>1461</v>
      </c>
      <c r="F53" s="38" t="s">
        <v>2090</v>
      </c>
      <c r="G53" s="523" t="s">
        <v>2427</v>
      </c>
      <c r="H53" s="512"/>
    </row>
    <row r="54" spans="1:8">
      <c r="A54" s="39" t="s">
        <v>1447</v>
      </c>
      <c r="B54" s="39" t="s">
        <v>1448</v>
      </c>
      <c r="C54" s="39" t="s">
        <v>1411</v>
      </c>
      <c r="D54" s="39" t="s">
        <v>459</v>
      </c>
      <c r="E54" s="39" t="s">
        <v>1449</v>
      </c>
      <c r="F54" s="39" t="s">
        <v>1450</v>
      </c>
      <c r="G54" s="514" t="s">
        <v>1451</v>
      </c>
      <c r="H54" s="512"/>
    </row>
    <row r="55" spans="1:8" ht="367.5" customHeight="1">
      <c r="A55" s="38" t="s">
        <v>1466</v>
      </c>
      <c r="B55" s="38" t="s">
        <v>1783</v>
      </c>
      <c r="C55" s="38" t="s">
        <v>1465</v>
      </c>
      <c r="D55" s="38" t="s">
        <v>470</v>
      </c>
      <c r="E55" s="38" t="s">
        <v>1461</v>
      </c>
      <c r="F55" s="38" t="s">
        <v>2110</v>
      </c>
      <c r="G55" s="523" t="s">
        <v>2111</v>
      </c>
      <c r="H55" s="512"/>
    </row>
    <row r="56" spans="1:8" ht="86.25" customHeight="1">
      <c r="A56" s="38" t="s">
        <v>960</v>
      </c>
      <c r="B56" s="38" t="s">
        <v>519</v>
      </c>
      <c r="C56" s="38" t="s">
        <v>1467</v>
      </c>
      <c r="D56" s="38" t="s">
        <v>1468</v>
      </c>
      <c r="E56" s="38" t="s">
        <v>1461</v>
      </c>
      <c r="F56" s="38" t="s">
        <v>1469</v>
      </c>
      <c r="G56" s="523" t="s">
        <v>1784</v>
      </c>
      <c r="H56" s="513"/>
    </row>
    <row r="57" spans="1:8" ht="178.5" customHeight="1">
      <c r="A57" s="38" t="s">
        <v>2183</v>
      </c>
      <c r="B57" s="38" t="s">
        <v>1642</v>
      </c>
      <c r="C57" s="38" t="s">
        <v>1641</v>
      </c>
      <c r="D57" s="38" t="s">
        <v>1547</v>
      </c>
      <c r="E57" s="38" t="s">
        <v>1470</v>
      </c>
      <c r="F57" s="38" t="s">
        <v>1701</v>
      </c>
      <c r="G57" s="523" t="s">
        <v>1703</v>
      </c>
      <c r="H57" s="513"/>
    </row>
    <row r="58" spans="1:8" ht="91.5" customHeight="1">
      <c r="A58" s="38" t="s">
        <v>2184</v>
      </c>
      <c r="B58" s="38" t="s">
        <v>1637</v>
      </c>
      <c r="C58" s="38" t="s">
        <v>1641</v>
      </c>
      <c r="D58" s="38" t="s">
        <v>1548</v>
      </c>
      <c r="E58" s="38" t="s">
        <v>1461</v>
      </c>
      <c r="F58" s="38" t="s">
        <v>2021</v>
      </c>
      <c r="G58" s="523" t="s">
        <v>2022</v>
      </c>
      <c r="H58" s="512"/>
    </row>
    <row r="59" spans="1:8" ht="24.75" customHeight="1">
      <c r="A59" s="38" t="s">
        <v>1474</v>
      </c>
      <c r="B59" s="38" t="s">
        <v>1638</v>
      </c>
      <c r="C59" s="40" t="s">
        <v>1643</v>
      </c>
      <c r="D59" s="38" t="s">
        <v>1640</v>
      </c>
      <c r="E59" s="38" t="s">
        <v>1461</v>
      </c>
      <c r="F59" s="38" t="s">
        <v>1640</v>
      </c>
      <c r="G59" s="523" t="s">
        <v>1695</v>
      </c>
      <c r="H59" s="512"/>
    </row>
    <row r="60" spans="1:8" ht="26.4">
      <c r="A60" s="38" t="s">
        <v>520</v>
      </c>
      <c r="B60" s="38" t="s">
        <v>1523</v>
      </c>
      <c r="C60" s="38" t="s">
        <v>1524</v>
      </c>
      <c r="D60" s="38" t="s">
        <v>363</v>
      </c>
      <c r="E60" s="38" t="s">
        <v>1455</v>
      </c>
      <c r="F60" s="38" t="s">
        <v>1473</v>
      </c>
      <c r="G60" s="523" t="s">
        <v>1696</v>
      </c>
      <c r="H60" s="513"/>
    </row>
    <row r="61" spans="1:8">
      <c r="A61" s="38" t="s">
        <v>1476</v>
      </c>
      <c r="B61" s="38" t="s">
        <v>370</v>
      </c>
      <c r="C61" s="38"/>
      <c r="D61" s="38"/>
      <c r="E61" s="38" t="s">
        <v>1455</v>
      </c>
      <c r="F61" s="38" t="s">
        <v>1475</v>
      </c>
      <c r="G61" s="523" t="s">
        <v>1525</v>
      </c>
      <c r="H61" s="513"/>
    </row>
    <row r="62" spans="1:8">
      <c r="A62" s="38" t="s">
        <v>1477</v>
      </c>
      <c r="B62" s="38" t="s">
        <v>1471</v>
      </c>
      <c r="C62" s="38"/>
      <c r="D62" s="38" t="s">
        <v>1471</v>
      </c>
      <c r="E62" s="38" t="s">
        <v>1471</v>
      </c>
      <c r="F62" s="38" t="s">
        <v>1471</v>
      </c>
      <c r="G62" s="523" t="s">
        <v>1542</v>
      </c>
      <c r="H62" s="513"/>
    </row>
    <row r="63" spans="1:8" ht="42" customHeight="1">
      <c r="A63" s="38" t="s">
        <v>405</v>
      </c>
      <c r="B63" s="38" t="s">
        <v>1472</v>
      </c>
      <c r="C63" s="38" t="s">
        <v>1644</v>
      </c>
      <c r="D63" s="38" t="s">
        <v>1410</v>
      </c>
      <c r="E63" s="38" t="s">
        <v>1470</v>
      </c>
      <c r="F63" s="38" t="s">
        <v>1473</v>
      </c>
      <c r="G63" s="523" t="s">
        <v>2061</v>
      </c>
      <c r="H63" s="513"/>
    </row>
    <row r="64" spans="1:8" ht="29.25" customHeight="1">
      <c r="A64" s="38" t="s">
        <v>1502</v>
      </c>
      <c r="B64" s="6" t="s">
        <v>1543</v>
      </c>
      <c r="C64" s="38"/>
      <c r="D64" s="38"/>
      <c r="E64" s="38" t="s">
        <v>1470</v>
      </c>
      <c r="F64" s="38" t="s">
        <v>1475</v>
      </c>
      <c r="G64" s="523" t="s">
        <v>2057</v>
      </c>
      <c r="H64" s="513"/>
    </row>
    <row r="65" spans="1:8" ht="57.75" customHeight="1">
      <c r="A65" s="38" t="s">
        <v>1504</v>
      </c>
      <c r="B65" s="38" t="s">
        <v>1629</v>
      </c>
      <c r="C65" s="38" t="s">
        <v>1645</v>
      </c>
      <c r="D65" s="38" t="s">
        <v>401</v>
      </c>
      <c r="E65" s="38" t="s">
        <v>1470</v>
      </c>
      <c r="F65" s="38" t="s">
        <v>1473</v>
      </c>
      <c r="G65" s="523" t="s">
        <v>2058</v>
      </c>
      <c r="H65" s="513"/>
    </row>
    <row r="66" spans="1:8" ht="42" customHeight="1">
      <c r="A66" s="38" t="s">
        <v>969</v>
      </c>
      <c r="B66" s="38" t="s">
        <v>1544</v>
      </c>
      <c r="C66" s="38"/>
      <c r="D66" s="38"/>
      <c r="E66" s="38" t="s">
        <v>1470</v>
      </c>
      <c r="F66" s="38" t="s">
        <v>1475</v>
      </c>
      <c r="G66" s="523" t="s">
        <v>2059</v>
      </c>
      <c r="H66" s="512"/>
    </row>
    <row r="67" spans="1:8" ht="138" customHeight="1">
      <c r="A67" s="38" t="s">
        <v>1504</v>
      </c>
      <c r="B67" s="38" t="s">
        <v>1554</v>
      </c>
      <c r="C67" s="38"/>
      <c r="D67" s="38" t="s">
        <v>1650</v>
      </c>
      <c r="E67" s="258" t="s">
        <v>1487</v>
      </c>
      <c r="F67" s="38" t="s">
        <v>1697</v>
      </c>
      <c r="G67" s="523" t="s">
        <v>1698</v>
      </c>
      <c r="H67" s="512"/>
    </row>
    <row r="68" spans="1:8" ht="169.5" customHeight="1">
      <c r="A68" s="543" t="s">
        <v>969</v>
      </c>
      <c r="B68" s="543" t="s">
        <v>461</v>
      </c>
      <c r="C68" s="543" t="s">
        <v>1641</v>
      </c>
      <c r="D68" s="543" t="s">
        <v>465</v>
      </c>
      <c r="E68" s="543" t="s">
        <v>1461</v>
      </c>
      <c r="F68" s="543" t="s">
        <v>1473</v>
      </c>
      <c r="G68" s="515" t="s">
        <v>1992</v>
      </c>
      <c r="H68" s="516"/>
    </row>
    <row r="69" spans="1:8" ht="183.6" customHeight="1">
      <c r="A69" s="544"/>
      <c r="B69" s="544"/>
      <c r="C69" s="544"/>
      <c r="D69" s="544"/>
      <c r="E69" s="544"/>
      <c r="F69" s="544"/>
      <c r="G69" s="548" t="s">
        <v>2088</v>
      </c>
      <c r="H69" s="549"/>
    </row>
    <row r="70" spans="1:8" ht="56.25" customHeight="1">
      <c r="A70" s="544"/>
      <c r="B70" s="544"/>
      <c r="C70" s="544"/>
      <c r="D70" s="544"/>
      <c r="E70" s="544"/>
      <c r="F70" s="544"/>
      <c r="G70" s="548" t="s">
        <v>2073</v>
      </c>
      <c r="H70" s="549"/>
    </row>
    <row r="71" spans="1:8" ht="93.75" customHeight="1">
      <c r="A71" s="545"/>
      <c r="B71" s="545"/>
      <c r="C71" s="545"/>
      <c r="D71" s="545"/>
      <c r="E71" s="545"/>
      <c r="F71" s="545"/>
      <c r="G71" s="546" t="s">
        <v>1993</v>
      </c>
      <c r="H71" s="547"/>
    </row>
    <row r="72" spans="1:8" ht="171" customHeight="1">
      <c r="A72" s="38" t="s">
        <v>1507</v>
      </c>
      <c r="B72" s="38" t="s">
        <v>460</v>
      </c>
      <c r="C72" s="38" t="s">
        <v>1641</v>
      </c>
      <c r="D72" s="38" t="s">
        <v>466</v>
      </c>
      <c r="E72" s="38" t="s">
        <v>1461</v>
      </c>
      <c r="F72" s="38" t="s">
        <v>1473</v>
      </c>
      <c r="G72" s="523" t="s">
        <v>1886</v>
      </c>
      <c r="H72" s="512"/>
    </row>
    <row r="73" spans="1:8">
      <c r="A73" s="41"/>
      <c r="B73" s="41"/>
      <c r="C73" s="41"/>
      <c r="D73" s="41"/>
      <c r="E73" s="41"/>
      <c r="F73" s="41"/>
      <c r="G73" s="42"/>
      <c r="H73" s="42"/>
    </row>
    <row r="74" spans="1:8">
      <c r="A74" s="31" t="s">
        <v>1699</v>
      </c>
      <c r="B74" s="42"/>
      <c r="C74" s="42"/>
      <c r="D74" s="42"/>
      <c r="E74" s="42"/>
      <c r="F74" s="42"/>
      <c r="G74" s="42"/>
      <c r="H74" s="42"/>
    </row>
    <row r="75" spans="1:8">
      <c r="A75" s="31"/>
      <c r="B75" s="35" t="s">
        <v>462</v>
      </c>
      <c r="C75" s="43" t="s">
        <v>1411</v>
      </c>
      <c r="D75" s="43" t="s">
        <v>459</v>
      </c>
      <c r="E75" s="43" t="s">
        <v>469</v>
      </c>
      <c r="F75" s="43" t="s">
        <v>459</v>
      </c>
      <c r="G75" s="43" t="s">
        <v>469</v>
      </c>
      <c r="H75" s="42"/>
    </row>
    <row r="76" spans="1:8">
      <c r="A76" s="31"/>
      <c r="B76" s="40" t="s">
        <v>447</v>
      </c>
      <c r="C76" s="9"/>
      <c r="D76" s="535" t="s">
        <v>449</v>
      </c>
      <c r="E76" s="536"/>
      <c r="F76" s="535" t="s">
        <v>472</v>
      </c>
      <c r="G76" s="536"/>
      <c r="H76" s="42"/>
    </row>
    <row r="77" spans="1:8">
      <c r="A77" s="31"/>
      <c r="B77" s="40" t="s">
        <v>450</v>
      </c>
      <c r="C77" s="44" t="s">
        <v>1478</v>
      </c>
      <c r="D77" s="44" t="s">
        <v>1748</v>
      </c>
      <c r="E77" s="44">
        <v>70</v>
      </c>
      <c r="F77" s="44" t="s">
        <v>1529</v>
      </c>
      <c r="G77" s="44">
        <v>70</v>
      </c>
      <c r="H77" s="42"/>
    </row>
    <row r="78" spans="1:8">
      <c r="A78" s="31"/>
      <c r="B78" s="40" t="s">
        <v>452</v>
      </c>
      <c r="C78" s="44" t="s">
        <v>1478</v>
      </c>
      <c r="D78" s="44" t="s">
        <v>1749</v>
      </c>
      <c r="E78" s="44">
        <v>26</v>
      </c>
      <c r="F78" s="44" t="s">
        <v>1528</v>
      </c>
      <c r="G78" s="44">
        <v>25</v>
      </c>
      <c r="H78" s="42"/>
    </row>
    <row r="79" spans="1:8">
      <c r="A79" s="31"/>
      <c r="B79" s="40" t="s">
        <v>453</v>
      </c>
      <c r="C79" s="44" t="s">
        <v>1478</v>
      </c>
      <c r="D79" s="44" t="s">
        <v>479</v>
      </c>
      <c r="E79" s="44">
        <v>26</v>
      </c>
      <c r="F79" s="44" t="s">
        <v>481</v>
      </c>
      <c r="G79" s="44">
        <v>25</v>
      </c>
      <c r="H79" s="42"/>
    </row>
    <row r="80" spans="1:8">
      <c r="A80" s="31"/>
      <c r="B80" s="45" t="s">
        <v>1555</v>
      </c>
      <c r="C80" s="44" t="s">
        <v>1478</v>
      </c>
      <c r="D80" s="10" t="s">
        <v>1556</v>
      </c>
      <c r="E80" s="9">
        <v>76</v>
      </c>
      <c r="F80" s="10"/>
      <c r="G80" s="9"/>
      <c r="H80" s="42"/>
    </row>
    <row r="81" spans="1:8">
      <c r="A81" s="31"/>
      <c r="B81" s="40" t="s">
        <v>454</v>
      </c>
      <c r="C81" s="44" t="s">
        <v>1479</v>
      </c>
      <c r="D81" s="44" t="s">
        <v>480</v>
      </c>
      <c r="E81" s="44">
        <v>350</v>
      </c>
      <c r="F81" s="44" t="s">
        <v>482</v>
      </c>
      <c r="G81" s="44">
        <v>250</v>
      </c>
      <c r="H81" s="42"/>
    </row>
    <row r="82" spans="1:8">
      <c r="A82" s="31"/>
      <c r="B82" s="40" t="s">
        <v>516</v>
      </c>
      <c r="C82" s="44" t="s">
        <v>963</v>
      </c>
      <c r="D82" s="44" t="s">
        <v>518</v>
      </c>
      <c r="E82" s="44">
        <v>24</v>
      </c>
      <c r="F82" s="44" t="s">
        <v>517</v>
      </c>
      <c r="G82" s="44">
        <v>8</v>
      </c>
      <c r="H82" s="42"/>
    </row>
    <row r="83" spans="1:8">
      <c r="A83" s="31"/>
      <c r="B83" s="41"/>
      <c r="C83" s="46"/>
      <c r="D83" s="46"/>
      <c r="E83" s="46"/>
      <c r="F83" s="46"/>
      <c r="G83" s="46"/>
      <c r="H83" s="42"/>
    </row>
    <row r="84" spans="1:8">
      <c r="A84" s="31" t="s">
        <v>1700</v>
      </c>
      <c r="B84" s="41"/>
      <c r="C84" s="46"/>
      <c r="D84" s="46"/>
      <c r="E84" s="46"/>
      <c r="F84" s="46"/>
      <c r="G84" s="41"/>
      <c r="H84" s="42"/>
    </row>
    <row r="85" spans="1:8">
      <c r="A85" s="31"/>
      <c r="B85" s="35" t="s">
        <v>458</v>
      </c>
      <c r="C85" s="43" t="s">
        <v>1411</v>
      </c>
      <c r="D85" s="43" t="s">
        <v>459</v>
      </c>
      <c r="E85" s="43" t="s">
        <v>469</v>
      </c>
      <c r="F85" s="43" t="s">
        <v>459</v>
      </c>
      <c r="G85" s="43" t="s">
        <v>469</v>
      </c>
      <c r="H85" s="42"/>
    </row>
    <row r="86" spans="1:8">
      <c r="A86" s="31"/>
      <c r="B86" s="40" t="s">
        <v>456</v>
      </c>
      <c r="C86" s="44"/>
      <c r="D86" s="44"/>
      <c r="E86" s="44"/>
      <c r="F86" s="44"/>
      <c r="G86" s="44"/>
      <c r="H86" s="42"/>
    </row>
    <row r="87" spans="1:8">
      <c r="A87" s="31"/>
      <c r="B87" s="40" t="s">
        <v>457</v>
      </c>
      <c r="C87" s="44" t="s">
        <v>1480</v>
      </c>
      <c r="D87" s="44" t="s">
        <v>502</v>
      </c>
      <c r="E87" s="44">
        <v>1E-3</v>
      </c>
      <c r="F87" s="44" t="s">
        <v>503</v>
      </c>
      <c r="G87" s="44">
        <v>1E-3</v>
      </c>
      <c r="H87" s="42"/>
    </row>
    <row r="88" spans="1:8">
      <c r="A88" s="31"/>
      <c r="B88" s="40" t="s">
        <v>1694</v>
      </c>
      <c r="C88" s="44" t="s">
        <v>1480</v>
      </c>
      <c r="D88" s="44" t="s">
        <v>1526</v>
      </c>
      <c r="E88" s="9">
        <v>0.03</v>
      </c>
      <c r="F88" s="44" t="s">
        <v>1527</v>
      </c>
      <c r="G88" s="44">
        <v>0.03</v>
      </c>
      <c r="H88" s="42"/>
    </row>
    <row r="89" spans="1:8" ht="13.8" thickBot="1">
      <c r="A89" s="47"/>
      <c r="B89" s="41"/>
      <c r="C89" s="41"/>
      <c r="D89" s="47"/>
      <c r="E89" s="47"/>
      <c r="F89" s="41"/>
      <c r="G89" s="41"/>
      <c r="H89" s="42"/>
    </row>
    <row r="90" spans="1:8" ht="18" thickBot="1">
      <c r="A90" s="518" t="s">
        <v>1867</v>
      </c>
      <c r="B90" s="519"/>
      <c r="C90" s="519"/>
      <c r="D90" s="519"/>
      <c r="E90" s="519"/>
      <c r="F90" s="519"/>
      <c r="G90" s="519"/>
      <c r="H90" s="520"/>
    </row>
    <row r="91" spans="1:8">
      <c r="A91" s="47"/>
      <c r="B91" s="41"/>
      <c r="C91" s="41"/>
      <c r="D91" s="47"/>
      <c r="E91" s="47"/>
      <c r="F91" s="41"/>
      <c r="G91" s="41"/>
      <c r="H91" s="42"/>
    </row>
    <row r="92" spans="1:8">
      <c r="A92" s="31" t="s">
        <v>2060</v>
      </c>
      <c r="B92" s="31"/>
      <c r="C92" s="31"/>
      <c r="D92" s="31"/>
      <c r="E92" s="31"/>
      <c r="F92" s="31"/>
      <c r="G92" s="31"/>
      <c r="H92" s="31"/>
    </row>
    <row r="93" spans="1:8">
      <c r="A93" s="34" t="s">
        <v>471</v>
      </c>
      <c r="B93" s="522" t="s">
        <v>1521</v>
      </c>
      <c r="C93" s="522"/>
      <c r="D93" s="522"/>
      <c r="E93" s="522"/>
      <c r="F93" s="237" t="s">
        <v>1685</v>
      </c>
      <c r="G93" s="31"/>
      <c r="H93" s="31"/>
    </row>
    <row r="94" spans="1:8">
      <c r="A94" s="36" t="s">
        <v>1443</v>
      </c>
      <c r="B94" s="517" t="s">
        <v>1776</v>
      </c>
      <c r="C94" s="517"/>
      <c r="D94" s="517"/>
      <c r="E94" s="517"/>
      <c r="F94" s="36" t="s">
        <v>448</v>
      </c>
      <c r="G94" s="31"/>
      <c r="H94" s="31"/>
    </row>
    <row r="95" spans="1:8" ht="27" customHeight="1">
      <c r="A95" s="36" t="s">
        <v>1444</v>
      </c>
      <c r="B95" s="517" t="s">
        <v>367</v>
      </c>
      <c r="C95" s="517"/>
      <c r="D95" s="517"/>
      <c r="E95" s="517"/>
      <c r="F95" s="36" t="s">
        <v>1686</v>
      </c>
      <c r="G95" s="31"/>
      <c r="H95" s="31"/>
    </row>
    <row r="96" spans="1:8" ht="26.4">
      <c r="A96" s="36" t="s">
        <v>1445</v>
      </c>
      <c r="B96" s="517" t="s">
        <v>369</v>
      </c>
      <c r="C96" s="517"/>
      <c r="D96" s="517"/>
      <c r="E96" s="517"/>
      <c r="F96" s="36" t="s">
        <v>1687</v>
      </c>
      <c r="G96" s="31"/>
      <c r="H96" s="31"/>
    </row>
    <row r="97" spans="1:8" ht="38.25" customHeight="1">
      <c r="A97" s="36" t="s">
        <v>1887</v>
      </c>
      <c r="B97" s="517" t="s">
        <v>1888</v>
      </c>
      <c r="C97" s="517"/>
      <c r="D97" s="517"/>
      <c r="E97" s="517"/>
      <c r="F97" s="36" t="s">
        <v>467</v>
      </c>
      <c r="G97" s="31"/>
      <c r="H97" s="31"/>
    </row>
    <row r="98" spans="1:8">
      <c r="A98" s="30"/>
      <c r="B98" s="31"/>
      <c r="C98" s="31"/>
      <c r="D98" s="31"/>
      <c r="E98" s="31"/>
      <c r="F98" s="31"/>
      <c r="G98" s="31"/>
      <c r="H98" s="31"/>
    </row>
    <row r="99" spans="1:8">
      <c r="A99" s="32" t="s">
        <v>1853</v>
      </c>
      <c r="B99" s="41"/>
      <c r="C99" s="41"/>
      <c r="D99" s="47"/>
      <c r="E99" s="47"/>
      <c r="F99" s="41"/>
      <c r="G99" s="41"/>
      <c r="H99" s="42"/>
    </row>
    <row r="100" spans="1:8">
      <c r="A100" s="237" t="s">
        <v>1447</v>
      </c>
      <c r="B100" s="237" t="s">
        <v>1448</v>
      </c>
      <c r="C100" s="237" t="s">
        <v>1411</v>
      </c>
      <c r="D100" s="237" t="s">
        <v>459</v>
      </c>
      <c r="E100" s="237" t="s">
        <v>1449</v>
      </c>
      <c r="F100" s="237" t="s">
        <v>1450</v>
      </c>
      <c r="G100" s="521" t="s">
        <v>1451</v>
      </c>
      <c r="H100" s="512"/>
    </row>
    <row r="101" spans="1:8" ht="66.75" customHeight="1">
      <c r="A101" s="36" t="s">
        <v>1414</v>
      </c>
      <c r="B101" s="36"/>
      <c r="C101" s="36"/>
      <c r="D101" s="36"/>
      <c r="E101" s="36" t="s">
        <v>1452</v>
      </c>
      <c r="F101" s="36" t="s">
        <v>1453</v>
      </c>
      <c r="G101" s="524" t="s">
        <v>2068</v>
      </c>
      <c r="H101" s="524"/>
    </row>
    <row r="102" spans="1:8">
      <c r="A102" s="36" t="s">
        <v>1454</v>
      </c>
      <c r="B102" s="36" t="s">
        <v>365</v>
      </c>
      <c r="C102" s="36"/>
      <c r="D102" s="36"/>
      <c r="E102" s="36" t="s">
        <v>1455</v>
      </c>
      <c r="F102" s="36" t="s">
        <v>1456</v>
      </c>
      <c r="G102" s="524" t="s">
        <v>1457</v>
      </c>
      <c r="H102" s="524"/>
    </row>
    <row r="103" spans="1:8">
      <c r="A103" s="36" t="s">
        <v>521</v>
      </c>
      <c r="B103" s="36" t="s">
        <v>500</v>
      </c>
      <c r="C103" s="36"/>
      <c r="D103" s="36"/>
      <c r="E103" s="36" t="s">
        <v>1455</v>
      </c>
      <c r="F103" s="36" t="s">
        <v>1458</v>
      </c>
      <c r="G103" s="524" t="s">
        <v>1459</v>
      </c>
      <c r="H103" s="524"/>
    </row>
    <row r="104" spans="1:8" ht="39.6">
      <c r="A104" s="36" t="s">
        <v>1460</v>
      </c>
      <c r="B104" s="36" t="s">
        <v>1887</v>
      </c>
      <c r="C104" s="36" t="s">
        <v>1641</v>
      </c>
      <c r="D104" s="225" t="s">
        <v>467</v>
      </c>
      <c r="E104" s="36" t="s">
        <v>1878</v>
      </c>
      <c r="F104" s="36" t="s">
        <v>1893</v>
      </c>
      <c r="G104" s="524" t="s">
        <v>1889</v>
      </c>
      <c r="H104" s="524"/>
    </row>
    <row r="105" spans="1:8" ht="38.25" customHeight="1">
      <c r="A105" s="36" t="s">
        <v>360</v>
      </c>
      <c r="B105" s="36" t="s">
        <v>1828</v>
      </c>
      <c r="C105" s="36" t="s">
        <v>1641</v>
      </c>
      <c r="D105" s="225" t="s">
        <v>1818</v>
      </c>
      <c r="E105" s="225" t="s">
        <v>1461</v>
      </c>
      <c r="F105" s="36" t="s">
        <v>1894</v>
      </c>
      <c r="G105" s="524" t="s">
        <v>1890</v>
      </c>
      <c r="H105" s="524"/>
    </row>
    <row r="106" spans="1:8" ht="260.25" customHeight="1">
      <c r="A106" s="36" t="s">
        <v>1462</v>
      </c>
      <c r="B106" s="36" t="s">
        <v>1816</v>
      </c>
      <c r="C106" s="36"/>
      <c r="D106" s="225" t="s">
        <v>1856</v>
      </c>
      <c r="E106" s="225" t="s">
        <v>1461</v>
      </c>
      <c r="F106" s="36" t="s">
        <v>1858</v>
      </c>
      <c r="G106" s="524" t="s">
        <v>2074</v>
      </c>
      <c r="H106" s="524"/>
    </row>
    <row r="107" spans="1:8" ht="186.75" customHeight="1">
      <c r="A107" s="36" t="s">
        <v>1463</v>
      </c>
      <c r="B107" s="36" t="s">
        <v>1817</v>
      </c>
      <c r="C107" s="36"/>
      <c r="D107" s="225" t="s">
        <v>1857</v>
      </c>
      <c r="E107" s="225" t="s">
        <v>1461</v>
      </c>
      <c r="F107" s="36" t="s">
        <v>1859</v>
      </c>
      <c r="G107" s="524" t="s">
        <v>1881</v>
      </c>
      <c r="H107" s="524"/>
    </row>
    <row r="108" spans="1:8">
      <c r="A108" s="36" t="s">
        <v>406</v>
      </c>
      <c r="B108" s="235" t="s">
        <v>1471</v>
      </c>
      <c r="C108" s="235"/>
      <c r="D108" s="235" t="s">
        <v>1471</v>
      </c>
      <c r="E108" s="235" t="s">
        <v>1471</v>
      </c>
      <c r="F108" s="235" t="s">
        <v>1471</v>
      </c>
      <c r="G108" s="523" t="s">
        <v>1542</v>
      </c>
      <c r="H108" s="512"/>
    </row>
    <row r="109" spans="1:8" ht="74.25" customHeight="1">
      <c r="A109" s="36" t="s">
        <v>1412</v>
      </c>
      <c r="B109" s="36" t="s">
        <v>1472</v>
      </c>
      <c r="C109" s="235" t="s">
        <v>1644</v>
      </c>
      <c r="D109" s="235" t="s">
        <v>1410</v>
      </c>
      <c r="E109" s="235" t="s">
        <v>1470</v>
      </c>
      <c r="F109" s="235" t="s">
        <v>1473</v>
      </c>
      <c r="G109" s="523" t="s">
        <v>2061</v>
      </c>
      <c r="H109" s="512"/>
    </row>
    <row r="110" spans="1:8" ht="30" customHeight="1">
      <c r="A110" s="36" t="s">
        <v>359</v>
      </c>
      <c r="B110" s="36" t="s">
        <v>1543</v>
      </c>
      <c r="C110" s="235"/>
      <c r="D110" s="235"/>
      <c r="E110" s="235" t="s">
        <v>1470</v>
      </c>
      <c r="F110" s="235" t="s">
        <v>1475</v>
      </c>
      <c r="G110" s="523" t="s">
        <v>2057</v>
      </c>
      <c r="H110" s="512"/>
    </row>
    <row r="111" spans="1:8" ht="69" customHeight="1">
      <c r="A111" s="36" t="s">
        <v>1466</v>
      </c>
      <c r="B111" s="36" t="s">
        <v>1629</v>
      </c>
      <c r="C111" s="235" t="s">
        <v>1645</v>
      </c>
      <c r="D111" s="235" t="s">
        <v>401</v>
      </c>
      <c r="E111" s="235" t="s">
        <v>1470</v>
      </c>
      <c r="F111" s="235" t="s">
        <v>1473</v>
      </c>
      <c r="G111" s="523" t="s">
        <v>2058</v>
      </c>
      <c r="H111" s="512"/>
    </row>
    <row r="112" spans="1:8" ht="36.75" customHeight="1">
      <c r="A112" s="36" t="s">
        <v>960</v>
      </c>
      <c r="B112" s="36" t="s">
        <v>1544</v>
      </c>
      <c r="C112" s="235"/>
      <c r="D112" s="235"/>
      <c r="E112" s="235" t="s">
        <v>1470</v>
      </c>
      <c r="F112" s="235" t="s">
        <v>1475</v>
      </c>
      <c r="G112" s="523" t="s">
        <v>2059</v>
      </c>
      <c r="H112" s="512"/>
    </row>
    <row r="113" spans="1:8" ht="73.5" customHeight="1">
      <c r="A113" s="36" t="s">
        <v>522</v>
      </c>
      <c r="B113" s="36" t="s">
        <v>1554</v>
      </c>
      <c r="C113" s="235"/>
      <c r="D113" s="235" t="s">
        <v>1650</v>
      </c>
      <c r="E113" s="236" t="s">
        <v>1470</v>
      </c>
      <c r="F113" s="235" t="s">
        <v>1697</v>
      </c>
      <c r="G113" s="523" t="s">
        <v>1698</v>
      </c>
      <c r="H113" s="512"/>
    </row>
    <row r="114" spans="1:8" ht="13.8" thickBot="1">
      <c r="A114" s="47"/>
      <c r="B114" s="41"/>
      <c r="C114" s="41"/>
      <c r="D114" s="47"/>
      <c r="E114" s="47"/>
      <c r="F114" s="41"/>
      <c r="G114" s="41"/>
      <c r="H114" s="42"/>
    </row>
    <row r="115" spans="1:8" ht="18" thickBot="1">
      <c r="A115" s="518" t="s">
        <v>1866</v>
      </c>
      <c r="B115" s="519"/>
      <c r="C115" s="519"/>
      <c r="D115" s="519"/>
      <c r="E115" s="519"/>
      <c r="F115" s="519"/>
      <c r="G115" s="519"/>
      <c r="H115" s="520"/>
    </row>
    <row r="116" spans="1:8">
      <c r="A116" s="47"/>
      <c r="B116" s="41"/>
      <c r="C116" s="41"/>
      <c r="D116" s="47"/>
      <c r="E116" s="47"/>
      <c r="F116" s="41"/>
      <c r="G116" s="41"/>
      <c r="H116" s="42"/>
    </row>
    <row r="117" spans="1:8">
      <c r="A117" s="31" t="s">
        <v>2062</v>
      </c>
      <c r="B117" s="31"/>
      <c r="C117" s="31"/>
      <c r="D117" s="31"/>
      <c r="E117" s="31"/>
      <c r="F117" s="31"/>
      <c r="G117" s="31"/>
      <c r="H117" s="31"/>
    </row>
    <row r="118" spans="1:8">
      <c r="A118" s="34" t="s">
        <v>471</v>
      </c>
      <c r="B118" s="522" t="s">
        <v>1521</v>
      </c>
      <c r="C118" s="522"/>
      <c r="D118" s="522"/>
      <c r="E118" s="522"/>
      <c r="F118" s="237" t="s">
        <v>1685</v>
      </c>
      <c r="G118" s="31"/>
      <c r="H118" s="31"/>
    </row>
    <row r="119" spans="1:8">
      <c r="A119" s="36" t="s">
        <v>1443</v>
      </c>
      <c r="B119" s="517" t="s">
        <v>1776</v>
      </c>
      <c r="C119" s="517"/>
      <c r="D119" s="517"/>
      <c r="E119" s="517"/>
      <c r="F119" s="36" t="s">
        <v>448</v>
      </c>
      <c r="G119" s="31"/>
      <c r="H119" s="31"/>
    </row>
    <row r="120" spans="1:8">
      <c r="A120" s="36" t="s">
        <v>1444</v>
      </c>
      <c r="B120" s="517" t="s">
        <v>367</v>
      </c>
      <c r="C120" s="517"/>
      <c r="D120" s="517"/>
      <c r="E120" s="517"/>
      <c r="F120" s="36" t="s">
        <v>1686</v>
      </c>
      <c r="G120" s="31"/>
      <c r="H120" s="31"/>
    </row>
    <row r="121" spans="1:8" ht="26.4">
      <c r="A121" s="36" t="s">
        <v>1445</v>
      </c>
      <c r="B121" s="517" t="s">
        <v>369</v>
      </c>
      <c r="C121" s="517"/>
      <c r="D121" s="517"/>
      <c r="E121" s="517"/>
      <c r="F121" s="36" t="s">
        <v>1687</v>
      </c>
      <c r="G121" s="31"/>
      <c r="H121" s="31"/>
    </row>
    <row r="122" spans="1:8" ht="41.25" customHeight="1">
      <c r="A122" s="36" t="s">
        <v>1446</v>
      </c>
      <c r="B122" s="517" t="s">
        <v>1882</v>
      </c>
      <c r="C122" s="517"/>
      <c r="D122" s="517"/>
      <c r="E122" s="517"/>
      <c r="F122" s="36" t="s">
        <v>463</v>
      </c>
      <c r="G122" s="31"/>
      <c r="H122" s="31"/>
    </row>
    <row r="123" spans="1:8" ht="38.25" customHeight="1">
      <c r="A123" s="36" t="s">
        <v>1861</v>
      </c>
      <c r="B123" s="517" t="s">
        <v>1862</v>
      </c>
      <c r="C123" s="517"/>
      <c r="D123" s="517"/>
      <c r="E123" s="517"/>
      <c r="F123" s="36" t="s">
        <v>470</v>
      </c>
      <c r="G123" s="31"/>
      <c r="H123" s="31"/>
    </row>
    <row r="124" spans="1:8">
      <c r="A124" s="239"/>
      <c r="B124" s="240"/>
      <c r="C124" s="240"/>
      <c r="D124" s="240"/>
      <c r="E124" s="240"/>
      <c r="F124" s="239"/>
      <c r="G124" s="31"/>
      <c r="H124" s="31"/>
    </row>
    <row r="125" spans="1:8">
      <c r="A125" s="32" t="s">
        <v>1855</v>
      </c>
      <c r="B125" s="41"/>
      <c r="C125" s="41"/>
      <c r="D125" s="47"/>
      <c r="E125" s="47"/>
      <c r="F125" s="41"/>
      <c r="G125" s="41"/>
      <c r="H125" s="42"/>
    </row>
    <row r="126" spans="1:8">
      <c r="A126" s="237" t="s">
        <v>1447</v>
      </c>
      <c r="B126" s="237" t="s">
        <v>1448</v>
      </c>
      <c r="C126" s="237" t="s">
        <v>1411</v>
      </c>
      <c r="D126" s="237" t="s">
        <v>459</v>
      </c>
      <c r="E126" s="237" t="s">
        <v>1449</v>
      </c>
      <c r="F126" s="237" t="s">
        <v>1450</v>
      </c>
      <c r="G126" s="521" t="s">
        <v>1451</v>
      </c>
      <c r="H126" s="512"/>
    </row>
    <row r="127" spans="1:8" ht="116.25" customHeight="1">
      <c r="A127" s="36" t="s">
        <v>1414</v>
      </c>
      <c r="B127" s="36"/>
      <c r="C127" s="36"/>
      <c r="D127" s="36"/>
      <c r="E127" s="36" t="s">
        <v>1452</v>
      </c>
      <c r="F127" s="36" t="s">
        <v>1453</v>
      </c>
      <c r="G127" s="524" t="s">
        <v>2069</v>
      </c>
      <c r="H127" s="524"/>
    </row>
    <row r="128" spans="1:8" ht="12.75" customHeight="1">
      <c r="A128" s="36" t="s">
        <v>1454</v>
      </c>
      <c r="B128" s="36" t="s">
        <v>365</v>
      </c>
      <c r="C128" s="36"/>
      <c r="D128" s="36"/>
      <c r="E128" s="36" t="s">
        <v>1455</v>
      </c>
      <c r="F128" s="36" t="s">
        <v>1456</v>
      </c>
      <c r="G128" s="524" t="s">
        <v>1457</v>
      </c>
      <c r="H128" s="524"/>
    </row>
    <row r="129" spans="1:8" ht="12.75" customHeight="1">
      <c r="A129" s="36" t="s">
        <v>521</v>
      </c>
      <c r="B129" s="36" t="s">
        <v>500</v>
      </c>
      <c r="C129" s="36"/>
      <c r="D129" s="36"/>
      <c r="E129" s="36" t="s">
        <v>1455</v>
      </c>
      <c r="F129" s="36" t="s">
        <v>1458</v>
      </c>
      <c r="G129" s="524" t="s">
        <v>1459</v>
      </c>
      <c r="H129" s="524"/>
    </row>
    <row r="130" spans="1:8" ht="40.5" customHeight="1">
      <c r="A130" s="36" t="s">
        <v>1460</v>
      </c>
      <c r="B130" s="36" t="s">
        <v>1829</v>
      </c>
      <c r="C130" s="36" t="s">
        <v>1465</v>
      </c>
      <c r="D130" s="225" t="s">
        <v>470</v>
      </c>
      <c r="E130" s="36" t="s">
        <v>1878</v>
      </c>
      <c r="F130" s="36" t="s">
        <v>1473</v>
      </c>
      <c r="G130" s="524" t="s">
        <v>1891</v>
      </c>
      <c r="H130" s="524"/>
    </row>
    <row r="131" spans="1:8" ht="68.25" customHeight="1">
      <c r="A131" s="36" t="s">
        <v>360</v>
      </c>
      <c r="B131" s="36" t="s">
        <v>1828</v>
      </c>
      <c r="C131" s="36" t="s">
        <v>1641</v>
      </c>
      <c r="D131" s="225" t="s">
        <v>1818</v>
      </c>
      <c r="E131" s="225" t="s">
        <v>1461</v>
      </c>
      <c r="F131" s="36" t="s">
        <v>1883</v>
      </c>
      <c r="G131" s="524" t="s">
        <v>2113</v>
      </c>
      <c r="H131" s="524"/>
    </row>
    <row r="132" spans="1:8" ht="268.5" customHeight="1">
      <c r="A132" s="36" t="s">
        <v>1462</v>
      </c>
      <c r="B132" s="36" t="s">
        <v>1816</v>
      </c>
      <c r="C132" s="36"/>
      <c r="D132" s="225" t="s">
        <v>1856</v>
      </c>
      <c r="E132" s="225" t="s">
        <v>1461</v>
      </c>
      <c r="F132" s="36" t="s">
        <v>1884</v>
      </c>
      <c r="G132" s="524" t="s">
        <v>2074</v>
      </c>
      <c r="H132" s="524"/>
    </row>
    <row r="133" spans="1:8" ht="200.1" customHeight="1">
      <c r="A133" s="36" t="s">
        <v>1463</v>
      </c>
      <c r="B133" s="36" t="s">
        <v>1817</v>
      </c>
      <c r="C133" s="36"/>
      <c r="D133" s="225" t="s">
        <v>1857</v>
      </c>
      <c r="E133" s="225" t="s">
        <v>1461</v>
      </c>
      <c r="F133" s="36" t="s">
        <v>1885</v>
      </c>
      <c r="G133" s="524" t="s">
        <v>1881</v>
      </c>
      <c r="H133" s="524"/>
    </row>
    <row r="134" spans="1:8" ht="25.5" customHeight="1">
      <c r="A134" s="36" t="s">
        <v>406</v>
      </c>
      <c r="B134" s="235" t="s">
        <v>1471</v>
      </c>
      <c r="C134" s="235"/>
      <c r="D134" s="235" t="s">
        <v>1471</v>
      </c>
      <c r="E134" s="235" t="s">
        <v>1471</v>
      </c>
      <c r="F134" s="235" t="s">
        <v>1471</v>
      </c>
      <c r="G134" s="523" t="s">
        <v>1542</v>
      </c>
      <c r="H134" s="512"/>
    </row>
    <row r="135" spans="1:8" ht="59.25" customHeight="1">
      <c r="A135" s="36" t="s">
        <v>1412</v>
      </c>
      <c r="B135" s="36" t="s">
        <v>1472</v>
      </c>
      <c r="C135" s="235" t="s">
        <v>1644</v>
      </c>
      <c r="D135" s="235" t="s">
        <v>1410</v>
      </c>
      <c r="E135" s="235" t="s">
        <v>1470</v>
      </c>
      <c r="F135" s="235" t="s">
        <v>1473</v>
      </c>
      <c r="G135" s="523" t="s">
        <v>2061</v>
      </c>
      <c r="H135" s="512"/>
    </row>
    <row r="136" spans="1:8" ht="27.75" customHeight="1">
      <c r="A136" s="36" t="s">
        <v>359</v>
      </c>
      <c r="B136" s="36" t="s">
        <v>1543</v>
      </c>
      <c r="C136" s="235"/>
      <c r="D136" s="235"/>
      <c r="E136" s="235" t="s">
        <v>1470</v>
      </c>
      <c r="F136" s="235" t="s">
        <v>1475</v>
      </c>
      <c r="G136" s="523" t="s">
        <v>2057</v>
      </c>
      <c r="H136" s="512"/>
    </row>
    <row r="137" spans="1:8" ht="55.5" customHeight="1">
      <c r="A137" s="36" t="s">
        <v>1466</v>
      </c>
      <c r="B137" s="36" t="s">
        <v>1629</v>
      </c>
      <c r="C137" s="235" t="s">
        <v>1645</v>
      </c>
      <c r="D137" s="235" t="s">
        <v>401</v>
      </c>
      <c r="E137" s="235" t="s">
        <v>1470</v>
      </c>
      <c r="F137" s="235" t="s">
        <v>1473</v>
      </c>
      <c r="G137" s="523" t="s">
        <v>2058</v>
      </c>
      <c r="H137" s="512"/>
    </row>
    <row r="138" spans="1:8" ht="34.5" customHeight="1">
      <c r="A138" s="36" t="s">
        <v>960</v>
      </c>
      <c r="B138" s="36" t="s">
        <v>1544</v>
      </c>
      <c r="C138" s="235"/>
      <c r="D138" s="235"/>
      <c r="E138" s="235" t="s">
        <v>1470</v>
      </c>
      <c r="F138" s="235" t="s">
        <v>1475</v>
      </c>
      <c r="G138" s="523" t="s">
        <v>2059</v>
      </c>
      <c r="H138" s="512"/>
    </row>
    <row r="139" spans="1:8" ht="58.5" customHeight="1">
      <c r="A139" s="36" t="s">
        <v>522</v>
      </c>
      <c r="B139" s="36" t="s">
        <v>1554</v>
      </c>
      <c r="C139" s="235"/>
      <c r="D139" s="235" t="s">
        <v>1650</v>
      </c>
      <c r="E139" s="236" t="s">
        <v>1470</v>
      </c>
      <c r="F139" s="235" t="s">
        <v>1697</v>
      </c>
      <c r="G139" s="523" t="s">
        <v>1698</v>
      </c>
      <c r="H139" s="512"/>
    </row>
    <row r="140" spans="1:8" ht="12.75" customHeight="1" thickBot="1">
      <c r="A140" s="47"/>
      <c r="B140" s="41"/>
      <c r="C140" s="41"/>
      <c r="D140" s="47"/>
      <c r="E140" s="47"/>
      <c r="F140" s="41"/>
      <c r="G140" s="41"/>
      <c r="H140" s="42"/>
    </row>
    <row r="141" spans="1:8" ht="18" thickBot="1">
      <c r="A141" s="518" t="s">
        <v>1865</v>
      </c>
      <c r="B141" s="519"/>
      <c r="C141" s="519"/>
      <c r="D141" s="519"/>
      <c r="E141" s="519"/>
      <c r="F141" s="519"/>
      <c r="G141" s="519"/>
      <c r="H141" s="520"/>
    </row>
    <row r="142" spans="1:8">
      <c r="A142" s="47"/>
      <c r="B142" s="41"/>
      <c r="C142" s="41"/>
      <c r="D142" s="47"/>
      <c r="E142" s="47"/>
      <c r="F142" s="41"/>
      <c r="G142" s="41"/>
      <c r="H142" s="42"/>
    </row>
    <row r="143" spans="1:8">
      <c r="A143" s="31" t="s">
        <v>2063</v>
      </c>
      <c r="B143" s="31"/>
      <c r="C143" s="31"/>
      <c r="D143" s="31"/>
      <c r="E143" s="31"/>
      <c r="F143" s="31"/>
      <c r="G143" s="31"/>
      <c r="H143" s="31"/>
    </row>
    <row r="144" spans="1:8">
      <c r="A144" s="34" t="s">
        <v>471</v>
      </c>
      <c r="B144" s="522" t="s">
        <v>1521</v>
      </c>
      <c r="C144" s="522"/>
      <c r="D144" s="522"/>
      <c r="E144" s="522"/>
      <c r="F144" s="237" t="s">
        <v>1685</v>
      </c>
      <c r="G144" s="31"/>
      <c r="H144" s="31"/>
    </row>
    <row r="145" spans="1:8">
      <c r="A145" s="36" t="s">
        <v>1443</v>
      </c>
      <c r="B145" s="517" t="s">
        <v>1776</v>
      </c>
      <c r="C145" s="517"/>
      <c r="D145" s="517"/>
      <c r="E145" s="517"/>
      <c r="F145" s="36" t="s">
        <v>448</v>
      </c>
      <c r="G145" s="31"/>
      <c r="H145" s="31"/>
    </row>
    <row r="146" spans="1:8" ht="27" customHeight="1">
      <c r="A146" s="36" t="s">
        <v>1444</v>
      </c>
      <c r="B146" s="517" t="s">
        <v>367</v>
      </c>
      <c r="C146" s="517"/>
      <c r="D146" s="517"/>
      <c r="E146" s="517"/>
      <c r="F146" s="36" t="s">
        <v>1686</v>
      </c>
      <c r="G146" s="31"/>
      <c r="H146" s="31"/>
    </row>
    <row r="147" spans="1:8" ht="26.4">
      <c r="A147" s="36" t="s">
        <v>1445</v>
      </c>
      <c r="B147" s="517" t="s">
        <v>369</v>
      </c>
      <c r="C147" s="517"/>
      <c r="D147" s="517"/>
      <c r="E147" s="517"/>
      <c r="F147" s="36" t="s">
        <v>1687</v>
      </c>
      <c r="G147" s="31"/>
      <c r="H147" s="31"/>
    </row>
    <row r="148" spans="1:8" ht="38.25" customHeight="1">
      <c r="A148" s="36" t="s">
        <v>1863</v>
      </c>
      <c r="B148" s="517" t="s">
        <v>1892</v>
      </c>
      <c r="C148" s="517"/>
      <c r="D148" s="517"/>
      <c r="E148" s="517"/>
      <c r="F148" s="36" t="s">
        <v>1818</v>
      </c>
      <c r="G148" s="31"/>
      <c r="H148" s="31"/>
    </row>
    <row r="149" spans="1:8">
      <c r="A149" s="239"/>
      <c r="B149" s="240"/>
      <c r="C149" s="240"/>
      <c r="D149" s="240"/>
      <c r="E149" s="240"/>
      <c r="F149" s="239"/>
      <c r="G149" s="31"/>
      <c r="H149" s="31"/>
    </row>
    <row r="150" spans="1:8">
      <c r="A150" s="32" t="s">
        <v>1854</v>
      </c>
      <c r="B150" s="41"/>
      <c r="C150" s="41"/>
      <c r="D150" s="47"/>
      <c r="E150" s="47"/>
      <c r="F150" s="41"/>
      <c r="G150" s="41"/>
      <c r="H150" s="42"/>
    </row>
    <row r="151" spans="1:8">
      <c r="A151" s="237" t="s">
        <v>1447</v>
      </c>
      <c r="B151" s="237" t="s">
        <v>1448</v>
      </c>
      <c r="C151" s="237" t="s">
        <v>1411</v>
      </c>
      <c r="D151" s="237" t="s">
        <v>459</v>
      </c>
      <c r="E151" s="237" t="s">
        <v>1449</v>
      </c>
      <c r="F151" s="237" t="s">
        <v>1450</v>
      </c>
      <c r="G151" s="550" t="s">
        <v>1451</v>
      </c>
      <c r="H151" s="551"/>
    </row>
    <row r="152" spans="1:8" ht="107.25" customHeight="1">
      <c r="A152" s="36" t="s">
        <v>1414</v>
      </c>
      <c r="B152" s="36"/>
      <c r="C152" s="36"/>
      <c r="D152" s="36"/>
      <c r="E152" s="36" t="s">
        <v>1452</v>
      </c>
      <c r="F152" s="36" t="s">
        <v>1453</v>
      </c>
      <c r="G152" s="524" t="s">
        <v>2070</v>
      </c>
      <c r="H152" s="524"/>
    </row>
    <row r="153" spans="1:8" ht="34.5" customHeight="1">
      <c r="A153" s="36" t="s">
        <v>1454</v>
      </c>
      <c r="B153" s="36" t="s">
        <v>365</v>
      </c>
      <c r="C153" s="36"/>
      <c r="D153" s="36"/>
      <c r="E153" s="36" t="s">
        <v>1455</v>
      </c>
      <c r="F153" s="36" t="s">
        <v>1456</v>
      </c>
      <c r="G153" s="531" t="s">
        <v>1457</v>
      </c>
      <c r="H153" s="532"/>
    </row>
    <row r="154" spans="1:8" ht="15.75" customHeight="1">
      <c r="A154" s="36" t="s">
        <v>521</v>
      </c>
      <c r="B154" s="36" t="s">
        <v>500</v>
      </c>
      <c r="C154" s="36"/>
      <c r="D154" s="36"/>
      <c r="E154" s="36" t="s">
        <v>1455</v>
      </c>
      <c r="F154" s="36" t="s">
        <v>1458</v>
      </c>
      <c r="G154" s="531" t="s">
        <v>1459</v>
      </c>
      <c r="H154" s="532"/>
    </row>
    <row r="155" spans="1:8" ht="39.75" customHeight="1">
      <c r="A155" s="36" t="s">
        <v>1460</v>
      </c>
      <c r="B155" s="36" t="s">
        <v>1830</v>
      </c>
      <c r="C155" s="36" t="s">
        <v>1641</v>
      </c>
      <c r="D155" s="225" t="s">
        <v>1818</v>
      </c>
      <c r="E155" s="36" t="s">
        <v>1878</v>
      </c>
      <c r="F155" s="36" t="s">
        <v>1879</v>
      </c>
      <c r="G155" s="531" t="s">
        <v>1860</v>
      </c>
      <c r="H155" s="532"/>
    </row>
    <row r="156" spans="1:8" ht="269.25" customHeight="1">
      <c r="A156" s="36" t="s">
        <v>360</v>
      </c>
      <c r="B156" s="36" t="s">
        <v>1816</v>
      </c>
      <c r="C156" s="36"/>
      <c r="D156" s="225" t="s">
        <v>1856</v>
      </c>
      <c r="E156" s="225" t="s">
        <v>1461</v>
      </c>
      <c r="F156" s="36" t="s">
        <v>1880</v>
      </c>
      <c r="G156" s="531" t="s">
        <v>2074</v>
      </c>
      <c r="H156" s="532"/>
    </row>
    <row r="157" spans="1:8" ht="202.5" customHeight="1">
      <c r="A157" s="36" t="s">
        <v>1462</v>
      </c>
      <c r="B157" s="36" t="s">
        <v>1817</v>
      </c>
      <c r="C157" s="36"/>
      <c r="D157" s="225" t="s">
        <v>1857</v>
      </c>
      <c r="E157" s="225" t="s">
        <v>1461</v>
      </c>
      <c r="F157" s="36" t="s">
        <v>1859</v>
      </c>
      <c r="G157" s="531" t="s">
        <v>1881</v>
      </c>
      <c r="H157" s="532"/>
    </row>
    <row r="158" spans="1:8" ht="25.5" customHeight="1">
      <c r="A158" s="36" t="s">
        <v>1463</v>
      </c>
      <c r="B158" s="235" t="s">
        <v>1471</v>
      </c>
      <c r="C158" s="235"/>
      <c r="D158" s="235" t="s">
        <v>1471</v>
      </c>
      <c r="E158" s="235" t="s">
        <v>1471</v>
      </c>
      <c r="F158" s="235" t="s">
        <v>1471</v>
      </c>
      <c r="G158" s="533" t="s">
        <v>1542</v>
      </c>
      <c r="H158" s="534"/>
    </row>
    <row r="159" spans="1:8" ht="48" customHeight="1">
      <c r="A159" s="36" t="s">
        <v>406</v>
      </c>
      <c r="B159" s="36" t="s">
        <v>1472</v>
      </c>
      <c r="C159" s="235" t="s">
        <v>1644</v>
      </c>
      <c r="D159" s="235" t="s">
        <v>1410</v>
      </c>
      <c r="E159" s="235" t="s">
        <v>1470</v>
      </c>
      <c r="F159" s="235" t="s">
        <v>1473</v>
      </c>
      <c r="G159" s="523" t="s">
        <v>2061</v>
      </c>
      <c r="H159" s="512"/>
    </row>
    <row r="160" spans="1:8" ht="36" customHeight="1">
      <c r="A160" s="36" t="s">
        <v>1412</v>
      </c>
      <c r="B160" s="36" t="s">
        <v>1543</v>
      </c>
      <c r="C160" s="235"/>
      <c r="D160" s="235"/>
      <c r="E160" s="235" t="s">
        <v>1470</v>
      </c>
      <c r="F160" s="235" t="s">
        <v>1475</v>
      </c>
      <c r="G160" s="523" t="s">
        <v>2057</v>
      </c>
      <c r="H160" s="512"/>
    </row>
    <row r="161" spans="1:8" ht="54.75" customHeight="1">
      <c r="A161" s="36" t="s">
        <v>359</v>
      </c>
      <c r="B161" s="36" t="s">
        <v>1629</v>
      </c>
      <c r="C161" s="235" t="s">
        <v>1645</v>
      </c>
      <c r="D161" s="235" t="s">
        <v>401</v>
      </c>
      <c r="E161" s="235" t="s">
        <v>1470</v>
      </c>
      <c r="F161" s="235" t="s">
        <v>1473</v>
      </c>
      <c r="G161" s="523" t="s">
        <v>2058</v>
      </c>
      <c r="H161" s="512"/>
    </row>
    <row r="162" spans="1:8" ht="41.25" customHeight="1">
      <c r="A162" s="36" t="s">
        <v>1466</v>
      </c>
      <c r="B162" s="36" t="s">
        <v>1544</v>
      </c>
      <c r="C162" s="235"/>
      <c r="D162" s="235"/>
      <c r="E162" s="235" t="s">
        <v>1470</v>
      </c>
      <c r="F162" s="235" t="s">
        <v>1475</v>
      </c>
      <c r="G162" s="523" t="s">
        <v>2059</v>
      </c>
      <c r="H162" s="512"/>
    </row>
    <row r="163" spans="1:8" ht="72.75" customHeight="1">
      <c r="A163" s="36" t="s">
        <v>960</v>
      </c>
      <c r="B163" s="36" t="s">
        <v>1554</v>
      </c>
      <c r="C163" s="235"/>
      <c r="D163" s="235" t="s">
        <v>1650</v>
      </c>
      <c r="E163" s="336" t="s">
        <v>1470</v>
      </c>
      <c r="F163" s="235" t="s">
        <v>1697</v>
      </c>
      <c r="G163" s="523" t="s">
        <v>1698</v>
      </c>
      <c r="H163" s="512"/>
    </row>
    <row r="164" spans="1:8" ht="13.8" thickBot="1">
      <c r="A164" s="47"/>
      <c r="B164" s="41"/>
      <c r="C164" s="41"/>
      <c r="D164" s="47"/>
      <c r="E164" s="47"/>
      <c r="F164" s="41"/>
      <c r="G164" s="41"/>
      <c r="H164" s="42"/>
    </row>
    <row r="165" spans="1:8" ht="18" thickBot="1">
      <c r="A165" s="518" t="s">
        <v>1864</v>
      </c>
      <c r="B165" s="519"/>
      <c r="C165" s="519"/>
      <c r="D165" s="519"/>
      <c r="E165" s="519"/>
      <c r="F165" s="519"/>
      <c r="G165" s="519"/>
      <c r="H165" s="520"/>
    </row>
    <row r="166" spans="1:8">
      <c r="A166" s="32"/>
      <c r="B166" s="31"/>
      <c r="C166" s="31"/>
      <c r="D166" s="31"/>
      <c r="E166" s="31"/>
      <c r="F166" s="42"/>
      <c r="G166" s="42"/>
      <c r="H166" s="42"/>
    </row>
    <row r="167" spans="1:8">
      <c r="A167" s="32" t="s">
        <v>1484</v>
      </c>
      <c r="B167" s="31"/>
      <c r="C167" s="31"/>
      <c r="D167" s="31"/>
      <c r="E167" s="31"/>
      <c r="F167" s="42"/>
      <c r="G167" s="42"/>
      <c r="H167" s="42"/>
    </row>
    <row r="168" spans="1:8">
      <c r="A168" s="35" t="s">
        <v>1447</v>
      </c>
      <c r="B168" s="35" t="s">
        <v>1448</v>
      </c>
      <c r="C168" s="35" t="s">
        <v>1411</v>
      </c>
      <c r="D168" s="35" t="s">
        <v>459</v>
      </c>
      <c r="E168" s="35" t="s">
        <v>1449</v>
      </c>
      <c r="F168" s="35" t="s">
        <v>1450</v>
      </c>
      <c r="G168" s="521" t="s">
        <v>1451</v>
      </c>
      <c r="H168" s="513"/>
    </row>
    <row r="169" spans="1:8">
      <c r="A169" s="40" t="s">
        <v>1414</v>
      </c>
      <c r="B169" s="40" t="s">
        <v>365</v>
      </c>
      <c r="C169" s="40"/>
      <c r="D169" s="40"/>
      <c r="E169" s="40" t="s">
        <v>1455</v>
      </c>
      <c r="F169" s="40" t="s">
        <v>1456</v>
      </c>
      <c r="G169" s="512" t="s">
        <v>1457</v>
      </c>
      <c r="H169" s="512"/>
    </row>
    <row r="170" spans="1:8">
      <c r="A170" s="40" t="s">
        <v>1454</v>
      </c>
      <c r="B170" s="40" t="s">
        <v>446</v>
      </c>
      <c r="C170" s="40"/>
      <c r="D170" s="40"/>
      <c r="E170" s="40" t="s">
        <v>1455</v>
      </c>
      <c r="F170" s="40" t="s">
        <v>1481</v>
      </c>
      <c r="G170" s="512" t="s">
        <v>1482</v>
      </c>
      <c r="H170" s="513"/>
    </row>
    <row r="171" spans="1:8" ht="30.75" customHeight="1">
      <c r="A171" s="303" t="s">
        <v>521</v>
      </c>
      <c r="B171" s="303" t="s">
        <v>2192</v>
      </c>
      <c r="C171" s="303"/>
      <c r="D171" s="303"/>
      <c r="E171" s="303" t="s">
        <v>1461</v>
      </c>
      <c r="F171" s="303" t="s">
        <v>2193</v>
      </c>
      <c r="G171" s="541" t="s">
        <v>2194</v>
      </c>
      <c r="H171" s="542"/>
    </row>
    <row r="172" spans="1:8" ht="26.4">
      <c r="A172" s="40" t="s">
        <v>1460</v>
      </c>
      <c r="B172" s="40" t="s">
        <v>1485</v>
      </c>
      <c r="C172" s="40" t="s">
        <v>1486</v>
      </c>
      <c r="D172" s="40" t="s">
        <v>407</v>
      </c>
      <c r="E172" s="40" t="s">
        <v>1487</v>
      </c>
      <c r="F172" s="40" t="s">
        <v>1717</v>
      </c>
      <c r="G172" s="512" t="s">
        <v>1704</v>
      </c>
      <c r="H172" s="513"/>
    </row>
    <row r="173" spans="1:8">
      <c r="A173" s="40" t="s">
        <v>360</v>
      </c>
      <c r="B173" s="40" t="s">
        <v>1488</v>
      </c>
      <c r="C173" s="40"/>
      <c r="D173" s="40"/>
      <c r="E173" s="40" t="s">
        <v>1455</v>
      </c>
      <c r="F173" s="40" t="s">
        <v>1475</v>
      </c>
      <c r="G173" s="512" t="s">
        <v>1530</v>
      </c>
      <c r="H173" s="513"/>
    </row>
    <row r="174" spans="1:8" ht="26.4">
      <c r="A174" s="40" t="s">
        <v>1462</v>
      </c>
      <c r="B174" s="40" t="s">
        <v>403</v>
      </c>
      <c r="C174" s="40" t="s">
        <v>1489</v>
      </c>
      <c r="D174" s="40" t="s">
        <v>439</v>
      </c>
      <c r="E174" s="40" t="s">
        <v>1455</v>
      </c>
      <c r="F174" s="40" t="s">
        <v>1718</v>
      </c>
      <c r="G174" s="512" t="s">
        <v>1705</v>
      </c>
      <c r="H174" s="512"/>
    </row>
    <row r="175" spans="1:8">
      <c r="A175" s="40" t="s">
        <v>1463</v>
      </c>
      <c r="B175" s="40" t="s">
        <v>403</v>
      </c>
      <c r="C175" s="40"/>
      <c r="D175" s="40"/>
      <c r="E175" s="40" t="s">
        <v>1455</v>
      </c>
      <c r="F175" s="40" t="s">
        <v>1475</v>
      </c>
      <c r="G175" s="512" t="s">
        <v>1490</v>
      </c>
      <c r="H175" s="512"/>
    </row>
    <row r="176" spans="1:8" ht="26.4">
      <c r="A176" s="40" t="s">
        <v>406</v>
      </c>
      <c r="B176" s="40" t="s">
        <v>402</v>
      </c>
      <c r="C176" s="40" t="s">
        <v>1491</v>
      </c>
      <c r="D176" s="40" t="s">
        <v>405</v>
      </c>
      <c r="E176" s="40" t="s">
        <v>1487</v>
      </c>
      <c r="F176" s="40" t="s">
        <v>2023</v>
      </c>
      <c r="G176" s="512" t="s">
        <v>2024</v>
      </c>
      <c r="H176" s="513"/>
    </row>
    <row r="177" spans="1:8">
      <c r="A177" s="40" t="s">
        <v>1412</v>
      </c>
      <c r="B177" s="40" t="s">
        <v>1492</v>
      </c>
      <c r="C177" s="40"/>
      <c r="D177" s="40"/>
      <c r="E177" s="40" t="s">
        <v>1455</v>
      </c>
      <c r="F177" s="40" t="s">
        <v>1475</v>
      </c>
      <c r="G177" s="512" t="s">
        <v>1493</v>
      </c>
      <c r="H177" s="513"/>
    </row>
    <row r="178" spans="1:8" ht="26.4">
      <c r="A178" s="40" t="s">
        <v>359</v>
      </c>
      <c r="B178" s="40" t="s">
        <v>440</v>
      </c>
      <c r="C178" s="40" t="s">
        <v>1465</v>
      </c>
      <c r="D178" s="40" t="s">
        <v>440</v>
      </c>
      <c r="E178" s="40" t="s">
        <v>1455</v>
      </c>
      <c r="F178" s="40" t="s">
        <v>1473</v>
      </c>
      <c r="G178" s="512" t="s">
        <v>1646</v>
      </c>
      <c r="H178" s="513"/>
    </row>
    <row r="179" spans="1:8" ht="28.8">
      <c r="A179" s="40" t="s">
        <v>1466</v>
      </c>
      <c r="B179" s="40" t="s">
        <v>1496</v>
      </c>
      <c r="C179" s="40" t="s">
        <v>1497</v>
      </c>
      <c r="D179" s="40" t="s">
        <v>485</v>
      </c>
      <c r="E179" s="40" t="s">
        <v>1487</v>
      </c>
      <c r="F179" s="40" t="s">
        <v>1719</v>
      </c>
      <c r="G179" s="512" t="s">
        <v>1714</v>
      </c>
      <c r="H179" s="512"/>
    </row>
    <row r="180" spans="1:8">
      <c r="A180" s="40" t="s">
        <v>960</v>
      </c>
      <c r="B180" s="40" t="s">
        <v>1498</v>
      </c>
      <c r="C180" s="40"/>
      <c r="D180" s="40"/>
      <c r="E180" s="40" t="s">
        <v>1455</v>
      </c>
      <c r="F180" s="40" t="s">
        <v>1475</v>
      </c>
      <c r="G180" s="512" t="s">
        <v>1495</v>
      </c>
      <c r="H180" s="513"/>
    </row>
    <row r="181" spans="1:8" ht="156.75" customHeight="1">
      <c r="A181" s="40" t="s">
        <v>522</v>
      </c>
      <c r="B181" s="40" t="s">
        <v>1496</v>
      </c>
      <c r="C181" s="40" t="s">
        <v>1494</v>
      </c>
      <c r="D181" s="40" t="s">
        <v>486</v>
      </c>
      <c r="E181" s="40" t="s">
        <v>1461</v>
      </c>
      <c r="F181" s="40" t="s">
        <v>1473</v>
      </c>
      <c r="G181" s="512" t="s">
        <v>1715</v>
      </c>
      <c r="H181" s="513"/>
    </row>
    <row r="182" spans="1:8" ht="255.75" customHeight="1">
      <c r="A182" s="40" t="s">
        <v>302</v>
      </c>
      <c r="B182" s="40" t="s">
        <v>488</v>
      </c>
      <c r="C182" s="40" t="s">
        <v>1494</v>
      </c>
      <c r="D182" s="40" t="s">
        <v>487</v>
      </c>
      <c r="E182" s="40" t="s">
        <v>1461</v>
      </c>
      <c r="F182" s="40" t="s">
        <v>1473</v>
      </c>
      <c r="G182" s="512" t="s">
        <v>1706</v>
      </c>
      <c r="H182" s="513"/>
    </row>
    <row r="183" spans="1:8" ht="53.25" customHeight="1">
      <c r="A183" s="40" t="s">
        <v>1474</v>
      </c>
      <c r="B183" s="40" t="s">
        <v>1538</v>
      </c>
      <c r="C183" s="40" t="s">
        <v>1494</v>
      </c>
      <c r="D183" s="40" t="s">
        <v>1535</v>
      </c>
      <c r="E183" s="40" t="s">
        <v>1461</v>
      </c>
      <c r="F183" s="40" t="s">
        <v>1473</v>
      </c>
      <c r="G183" s="512" t="s">
        <v>1707</v>
      </c>
      <c r="H183" s="513"/>
    </row>
    <row r="184" spans="1:8" ht="160.5" customHeight="1">
      <c r="A184" s="40" t="s">
        <v>520</v>
      </c>
      <c r="B184" s="40" t="s">
        <v>515</v>
      </c>
      <c r="C184" s="40" t="s">
        <v>1641</v>
      </c>
      <c r="D184" s="40" t="s">
        <v>513</v>
      </c>
      <c r="E184" s="40" t="s">
        <v>1461</v>
      </c>
      <c r="F184" s="40" t="s">
        <v>1473</v>
      </c>
      <c r="G184" s="512" t="s">
        <v>1708</v>
      </c>
      <c r="H184" s="513"/>
    </row>
    <row r="185" spans="1:8" ht="26.4">
      <c r="A185" s="40" t="s">
        <v>1476</v>
      </c>
      <c r="B185" s="40" t="s">
        <v>489</v>
      </c>
      <c r="C185" s="40" t="s">
        <v>1499</v>
      </c>
      <c r="D185" s="40" t="s">
        <v>491</v>
      </c>
      <c r="E185" s="40" t="s">
        <v>1487</v>
      </c>
      <c r="F185" s="40" t="s">
        <v>1720</v>
      </c>
      <c r="G185" s="512" t="s">
        <v>1709</v>
      </c>
      <c r="H185" s="513"/>
    </row>
    <row r="186" spans="1:8">
      <c r="A186" s="40" t="s">
        <v>1477</v>
      </c>
      <c r="B186" s="40" t="s">
        <v>1500</v>
      </c>
      <c r="C186" s="40"/>
      <c r="D186" s="40"/>
      <c r="E186" s="40" t="s">
        <v>1455</v>
      </c>
      <c r="F186" s="40" t="s">
        <v>1475</v>
      </c>
      <c r="G186" s="512" t="s">
        <v>1501</v>
      </c>
      <c r="H186" s="513"/>
    </row>
    <row r="187" spans="1:8" ht="26.4">
      <c r="A187" s="40" t="s">
        <v>405</v>
      </c>
      <c r="B187" s="40" t="s">
        <v>490</v>
      </c>
      <c r="C187" s="40" t="s">
        <v>1499</v>
      </c>
      <c r="D187" s="40" t="s">
        <v>492</v>
      </c>
      <c r="E187" s="40" t="s">
        <v>1487</v>
      </c>
      <c r="F187" s="40" t="s">
        <v>1721</v>
      </c>
      <c r="G187" s="512" t="s">
        <v>1710</v>
      </c>
      <c r="H187" s="513"/>
    </row>
    <row r="188" spans="1:8">
      <c r="A188" s="40" t="s">
        <v>1502</v>
      </c>
      <c r="B188" s="40" t="s">
        <v>1503</v>
      </c>
      <c r="C188" s="40"/>
      <c r="D188" s="40"/>
      <c r="E188" s="40" t="s">
        <v>1455</v>
      </c>
      <c r="F188" s="40" t="s">
        <v>1475</v>
      </c>
      <c r="G188" s="512" t="s">
        <v>1647</v>
      </c>
      <c r="H188" s="513"/>
    </row>
    <row r="189" spans="1:8" ht="26.4">
      <c r="A189" s="40" t="s">
        <v>1504</v>
      </c>
      <c r="B189" s="40" t="s">
        <v>496</v>
      </c>
      <c r="C189" s="40" t="s">
        <v>1466</v>
      </c>
      <c r="D189" s="40" t="s">
        <v>493</v>
      </c>
      <c r="E189" s="40" t="s">
        <v>1455</v>
      </c>
      <c r="F189" s="40" t="s">
        <v>1722</v>
      </c>
      <c r="G189" s="512" t="s">
        <v>1711</v>
      </c>
      <c r="H189" s="513"/>
    </row>
    <row r="190" spans="1:8">
      <c r="A190" s="40" t="s">
        <v>969</v>
      </c>
      <c r="B190" s="40" t="s">
        <v>1505</v>
      </c>
      <c r="C190" s="40"/>
      <c r="D190" s="40"/>
      <c r="E190" s="40" t="s">
        <v>1455</v>
      </c>
      <c r="F190" s="40" t="s">
        <v>1475</v>
      </c>
      <c r="G190" s="512" t="s">
        <v>1506</v>
      </c>
      <c r="H190" s="513"/>
    </row>
    <row r="191" spans="1:8" ht="26.4">
      <c r="A191" s="40" t="s">
        <v>1507</v>
      </c>
      <c r="B191" s="40" t="s">
        <v>497</v>
      </c>
      <c r="C191" s="40" t="s">
        <v>1466</v>
      </c>
      <c r="D191" s="40" t="s">
        <v>494</v>
      </c>
      <c r="E191" s="40" t="s">
        <v>1487</v>
      </c>
      <c r="F191" s="40" t="s">
        <v>1723</v>
      </c>
      <c r="G191" s="512" t="s">
        <v>1712</v>
      </c>
      <c r="H191" s="513"/>
    </row>
    <row r="192" spans="1:8">
      <c r="A192" s="40" t="s">
        <v>961</v>
      </c>
      <c r="B192" s="40" t="s">
        <v>1508</v>
      </c>
      <c r="C192" s="40"/>
      <c r="D192" s="40"/>
      <c r="E192" s="40" t="s">
        <v>1455</v>
      </c>
      <c r="F192" s="40" t="s">
        <v>1475</v>
      </c>
      <c r="G192" s="512" t="s">
        <v>1509</v>
      </c>
      <c r="H192" s="513"/>
    </row>
    <row r="193" spans="1:8" ht="27.6">
      <c r="A193" s="40" t="s">
        <v>1510</v>
      </c>
      <c r="B193" s="40" t="s">
        <v>498</v>
      </c>
      <c r="C193" s="40" t="s">
        <v>1511</v>
      </c>
      <c r="D193" s="40" t="s">
        <v>1512</v>
      </c>
      <c r="E193" s="40" t="s">
        <v>1487</v>
      </c>
      <c r="F193" s="40" t="s">
        <v>1724</v>
      </c>
      <c r="G193" s="512" t="s">
        <v>1713</v>
      </c>
      <c r="H193" s="513"/>
    </row>
    <row r="194" spans="1:8">
      <c r="A194" s="40" t="s">
        <v>1513</v>
      </c>
      <c r="B194" s="40" t="s">
        <v>1514</v>
      </c>
      <c r="C194" s="40"/>
      <c r="D194" s="40"/>
      <c r="E194" s="40" t="s">
        <v>1455</v>
      </c>
      <c r="F194" s="40" t="s">
        <v>1475</v>
      </c>
      <c r="G194" s="512" t="s">
        <v>1515</v>
      </c>
      <c r="H194" s="513"/>
    </row>
    <row r="195" spans="1:8" ht="39.75" customHeight="1">
      <c r="A195" s="40" t="s">
        <v>1516</v>
      </c>
      <c r="B195" s="40" t="s">
        <v>499</v>
      </c>
      <c r="C195" s="40" t="s">
        <v>1517</v>
      </c>
      <c r="D195" s="40" t="s">
        <v>495</v>
      </c>
      <c r="E195" s="40" t="s">
        <v>1487</v>
      </c>
      <c r="F195" s="40" t="s">
        <v>1725</v>
      </c>
      <c r="G195" s="512" t="s">
        <v>1716</v>
      </c>
      <c r="H195" s="512"/>
    </row>
    <row r="196" spans="1:8">
      <c r="A196" s="40" t="s">
        <v>1518</v>
      </c>
      <c r="B196" s="40" t="s">
        <v>1519</v>
      </c>
      <c r="C196" s="40"/>
      <c r="D196" s="40"/>
      <c r="E196" s="40" t="s">
        <v>1455</v>
      </c>
      <c r="F196" s="40" t="s">
        <v>1475</v>
      </c>
      <c r="G196" s="512" t="s">
        <v>1520</v>
      </c>
      <c r="H196" s="513"/>
    </row>
    <row r="197" spans="1:8">
      <c r="A197" s="40" t="s">
        <v>1537</v>
      </c>
      <c r="B197" s="40" t="s">
        <v>1471</v>
      </c>
      <c r="C197" s="40"/>
      <c r="D197" s="40"/>
      <c r="E197" s="40"/>
      <c r="F197" s="40"/>
      <c r="G197" s="512"/>
      <c r="H197" s="513"/>
    </row>
    <row r="198" spans="1:8" ht="24.75" customHeight="1">
      <c r="A198" s="40" t="s">
        <v>1537</v>
      </c>
      <c r="B198" s="40" t="s">
        <v>501</v>
      </c>
      <c r="C198" s="40"/>
      <c r="D198" s="40"/>
      <c r="E198" s="40" t="s">
        <v>1455</v>
      </c>
      <c r="F198" s="40" t="s">
        <v>1481</v>
      </c>
      <c r="G198" s="512" t="s">
        <v>1483</v>
      </c>
      <c r="H198" s="513"/>
    </row>
    <row r="199" spans="1:8" ht="13.8" thickBot="1">
      <c r="A199" s="31"/>
      <c r="B199" s="31"/>
      <c r="C199" s="31"/>
      <c r="D199" s="31"/>
      <c r="E199" s="31"/>
      <c r="F199" s="31"/>
      <c r="G199" s="31"/>
      <c r="H199" s="31"/>
    </row>
    <row r="200" spans="1:8" ht="18" thickBot="1">
      <c r="A200" s="518" t="s">
        <v>1875</v>
      </c>
      <c r="B200" s="519"/>
      <c r="C200" s="519"/>
      <c r="D200" s="519"/>
      <c r="E200" s="519"/>
      <c r="F200" s="519"/>
      <c r="G200" s="519"/>
      <c r="H200" s="520"/>
    </row>
    <row r="201" spans="1:8">
      <c r="A201" s="32"/>
      <c r="B201" s="31"/>
      <c r="C201" s="31"/>
      <c r="D201" s="31"/>
      <c r="E201" s="31"/>
      <c r="F201" s="42"/>
      <c r="G201" s="42"/>
      <c r="H201" s="42"/>
    </row>
    <row r="202" spans="1:8">
      <c r="A202" s="32" t="s">
        <v>1870</v>
      </c>
      <c r="B202" s="31"/>
      <c r="C202" s="31"/>
      <c r="D202" s="31"/>
      <c r="E202" s="31"/>
      <c r="F202" s="42"/>
      <c r="G202" s="42"/>
      <c r="H202" s="42"/>
    </row>
    <row r="203" spans="1:8">
      <c r="A203" s="216" t="s">
        <v>1447</v>
      </c>
      <c r="B203" s="216" t="s">
        <v>1448</v>
      </c>
      <c r="C203" s="216" t="s">
        <v>1411</v>
      </c>
      <c r="D203" s="216" t="s">
        <v>459</v>
      </c>
      <c r="E203" s="216" t="s">
        <v>1449</v>
      </c>
      <c r="F203" s="216" t="s">
        <v>1450</v>
      </c>
      <c r="G203" s="521" t="s">
        <v>1451</v>
      </c>
      <c r="H203" s="513"/>
    </row>
    <row r="204" spans="1:8">
      <c r="A204" s="215" t="s">
        <v>1414</v>
      </c>
      <c r="B204" s="215" t="s">
        <v>1820</v>
      </c>
      <c r="C204" s="215"/>
      <c r="D204" s="215"/>
      <c r="E204" s="215" t="s">
        <v>1455</v>
      </c>
      <c r="F204" s="215" t="s">
        <v>1456</v>
      </c>
      <c r="G204" s="512" t="s">
        <v>1871</v>
      </c>
      <c r="H204" s="512"/>
    </row>
    <row r="205" spans="1:8">
      <c r="A205" s="215" t="s">
        <v>1454</v>
      </c>
      <c r="B205" s="215" t="s">
        <v>1821</v>
      </c>
      <c r="C205" s="215"/>
      <c r="D205" s="215"/>
      <c r="E205" s="215" t="s">
        <v>1455</v>
      </c>
      <c r="F205" s="215" t="s">
        <v>1873</v>
      </c>
      <c r="G205" s="512" t="s">
        <v>1872</v>
      </c>
      <c r="H205" s="513"/>
    </row>
    <row r="206" spans="1:8">
      <c r="A206" s="215" t="s">
        <v>521</v>
      </c>
      <c r="B206" s="215" t="s">
        <v>1823</v>
      </c>
      <c r="C206" s="215"/>
      <c r="D206" s="215"/>
      <c r="E206" s="215" t="s">
        <v>1455</v>
      </c>
      <c r="F206" s="215" t="s">
        <v>1458</v>
      </c>
      <c r="G206" s="512" t="s">
        <v>1874</v>
      </c>
      <c r="H206" s="513"/>
    </row>
    <row r="207" spans="1:8">
      <c r="A207" s="31"/>
      <c r="B207" s="31"/>
      <c r="C207" s="31"/>
      <c r="D207" s="31"/>
      <c r="E207" s="31"/>
      <c r="F207" s="31"/>
      <c r="G207" s="31"/>
      <c r="H207" s="31"/>
    </row>
    <row r="208" spans="1:8">
      <c r="A208" s="30" t="s">
        <v>2261</v>
      </c>
      <c r="B208" s="31"/>
      <c r="C208" s="31"/>
      <c r="D208" s="31"/>
      <c r="E208" s="31"/>
      <c r="F208" s="31"/>
      <c r="G208" s="31"/>
      <c r="H208" s="31"/>
    </row>
    <row r="209" spans="1:8">
      <c r="A209" s="48" t="s">
        <v>1689</v>
      </c>
      <c r="B209" s="31"/>
      <c r="C209" s="31"/>
      <c r="D209" s="31"/>
      <c r="E209" s="31"/>
      <c r="F209" s="31"/>
      <c r="G209" s="31"/>
      <c r="H209" s="31"/>
    </row>
    <row r="210" spans="1:8">
      <c r="A210" s="18" t="s">
        <v>1688</v>
      </c>
      <c r="B210" s="31"/>
      <c r="C210" s="31"/>
      <c r="D210" s="31"/>
      <c r="E210" s="31"/>
      <c r="F210" s="31"/>
      <c r="G210" s="31"/>
      <c r="H210" s="31"/>
    </row>
    <row r="211" spans="1:8">
      <c r="A211" s="48" t="s">
        <v>1690</v>
      </c>
      <c r="B211" s="31"/>
      <c r="C211" s="31"/>
      <c r="D211" s="31"/>
      <c r="E211" s="31"/>
      <c r="F211" s="31"/>
      <c r="G211" s="31"/>
      <c r="H211" s="31"/>
    </row>
    <row r="212" spans="1:8">
      <c r="A212" s="353" t="s">
        <v>2266</v>
      </c>
      <c r="B212" s="31"/>
      <c r="C212" s="31"/>
      <c r="D212" s="31"/>
      <c r="E212" s="31"/>
      <c r="F212" s="31"/>
      <c r="G212" s="31"/>
      <c r="H212" s="31"/>
    </row>
    <row r="213" spans="1:8">
      <c r="A213" s="48" t="s">
        <v>1691</v>
      </c>
      <c r="B213" s="31"/>
      <c r="C213" s="31"/>
      <c r="D213" s="31"/>
      <c r="E213" s="31"/>
      <c r="F213" s="31"/>
      <c r="G213" s="31"/>
      <c r="H213" s="31"/>
    </row>
    <row r="214" spans="1:8">
      <c r="A214" s="18" t="s">
        <v>1692</v>
      </c>
      <c r="B214" s="31"/>
      <c r="C214" s="31"/>
      <c r="D214" s="31"/>
      <c r="E214" s="31"/>
      <c r="F214" s="31"/>
      <c r="G214" s="31"/>
      <c r="H214" s="31"/>
    </row>
    <row r="215" spans="1:8">
      <c r="A215" s="48" t="s">
        <v>2267</v>
      </c>
      <c r="B215" s="31"/>
      <c r="C215" s="31"/>
      <c r="D215" s="31"/>
      <c r="E215" s="31"/>
      <c r="F215" s="31"/>
      <c r="G215" s="31"/>
      <c r="H215" s="31"/>
    </row>
    <row r="216" spans="1:8">
      <c r="A216" s="18" t="s">
        <v>1693</v>
      </c>
      <c r="B216" s="31"/>
      <c r="C216" s="31"/>
      <c r="D216" s="31"/>
      <c r="E216" s="31"/>
      <c r="F216" s="31"/>
      <c r="G216" s="31"/>
      <c r="H216" s="31"/>
    </row>
    <row r="217" spans="1:8">
      <c r="A217" s="31" t="s">
        <v>2264</v>
      </c>
      <c r="B217" s="31"/>
      <c r="C217" s="31"/>
      <c r="D217" s="31"/>
      <c r="E217" s="31"/>
      <c r="F217" s="31"/>
      <c r="G217" s="31"/>
      <c r="H217" s="31"/>
    </row>
    <row r="218" spans="1:8" s="352" customFormat="1">
      <c r="A218" s="349" t="s">
        <v>2265</v>
      </c>
      <c r="B218" s="351"/>
      <c r="C218" s="351"/>
      <c r="D218" s="351"/>
      <c r="E218" s="351"/>
      <c r="F218" s="351"/>
      <c r="G218" s="351"/>
      <c r="H218" s="351"/>
    </row>
    <row r="219" spans="1:8">
      <c r="A219" s="348" t="s">
        <v>2263</v>
      </c>
    </row>
    <row r="220" spans="1:8">
      <c r="A220" s="349" t="s">
        <v>2262</v>
      </c>
    </row>
    <row r="221" spans="1:8">
      <c r="A221" s="350" t="s">
        <v>1413</v>
      </c>
    </row>
  </sheetData>
  <sheetProtection algorithmName="SHA-512" hashValue="pTXYXKzdxwOS/xOI3SJ8s7YJA+s5cbgFetGLTOK+q1rrWHy1Oq+jmsBpbPktD0UmvacYn6UGxmhMJpLea8HVAA==" saltValue="3cwm0aQbWyiZTM4ao+dbaw==" spinCount="100000" sheet="1" objects="1" scenarios="1" selectLockedCells="1" autoFilter="0"/>
  <mergeCells count="151">
    <mergeCell ref="G171:H171"/>
    <mergeCell ref="A68:A71"/>
    <mergeCell ref="B68:B71"/>
    <mergeCell ref="C68:C71"/>
    <mergeCell ref="D68:D71"/>
    <mergeCell ref="E68:E71"/>
    <mergeCell ref="F68:F71"/>
    <mergeCell ref="G71:H71"/>
    <mergeCell ref="G69:H69"/>
    <mergeCell ref="G70:H70"/>
    <mergeCell ref="G168:H168"/>
    <mergeCell ref="G169:H169"/>
    <mergeCell ref="G170:H170"/>
    <mergeCell ref="G100:H100"/>
    <mergeCell ref="G101:H101"/>
    <mergeCell ref="G102:H102"/>
    <mergeCell ref="G103:H103"/>
    <mergeCell ref="G104:H104"/>
    <mergeCell ref="G105:H105"/>
    <mergeCell ref="G106:H106"/>
    <mergeCell ref="G107:H107"/>
    <mergeCell ref="G108:H108"/>
    <mergeCell ref="G151:H151"/>
    <mergeCell ref="G152:H152"/>
    <mergeCell ref="B36:E36"/>
    <mergeCell ref="B33:E33"/>
    <mergeCell ref="G65:H65"/>
    <mergeCell ref="G66:H66"/>
    <mergeCell ref="G67:H67"/>
    <mergeCell ref="G56:H56"/>
    <mergeCell ref="G43:H43"/>
    <mergeCell ref="G44:H44"/>
    <mergeCell ref="G45:H45"/>
    <mergeCell ref="G46:H46"/>
    <mergeCell ref="G49:H49"/>
    <mergeCell ref="G50:H50"/>
    <mergeCell ref="G51:H51"/>
    <mergeCell ref="G52:H52"/>
    <mergeCell ref="G53:H53"/>
    <mergeCell ref="G55:H55"/>
    <mergeCell ref="G57:H57"/>
    <mergeCell ref="G58:H58"/>
    <mergeCell ref="G59:H59"/>
    <mergeCell ref="G60:H60"/>
    <mergeCell ref="G63:H63"/>
    <mergeCell ref="G64:H64"/>
    <mergeCell ref="G47:H47"/>
    <mergeCell ref="G48:H48"/>
    <mergeCell ref="A141:H141"/>
    <mergeCell ref="D76:E76"/>
    <mergeCell ref="F76:G76"/>
    <mergeCell ref="G127:H127"/>
    <mergeCell ref="G128:H128"/>
    <mergeCell ref="B118:E118"/>
    <mergeCell ref="B119:E119"/>
    <mergeCell ref="B120:E120"/>
    <mergeCell ref="B121:E121"/>
    <mergeCell ref="B123:E123"/>
    <mergeCell ref="G133:H133"/>
    <mergeCell ref="G109:H109"/>
    <mergeCell ref="G110:H110"/>
    <mergeCell ref="G137:H137"/>
    <mergeCell ref="G138:H138"/>
    <mergeCell ref="G129:H129"/>
    <mergeCell ref="G134:H134"/>
    <mergeCell ref="G135:H135"/>
    <mergeCell ref="G136:H136"/>
    <mergeCell ref="G139:H139"/>
    <mergeCell ref="G126:H126"/>
    <mergeCell ref="G180:H180"/>
    <mergeCell ref="G181:H181"/>
    <mergeCell ref="G184:H184"/>
    <mergeCell ref="G185:H185"/>
    <mergeCell ref="G186:H186"/>
    <mergeCell ref="G196:H196"/>
    <mergeCell ref="G197:H197"/>
    <mergeCell ref="G61:H61"/>
    <mergeCell ref="G62:H62"/>
    <mergeCell ref="G177:H177"/>
    <mergeCell ref="G72:H72"/>
    <mergeCell ref="G172:H172"/>
    <mergeCell ref="G173:H173"/>
    <mergeCell ref="G174:H174"/>
    <mergeCell ref="G175:H175"/>
    <mergeCell ref="G176:H176"/>
    <mergeCell ref="G157:H157"/>
    <mergeCell ref="G158:H158"/>
    <mergeCell ref="G159:H159"/>
    <mergeCell ref="G160:H160"/>
    <mergeCell ref="G153:H153"/>
    <mergeCell ref="G154:H154"/>
    <mergeCell ref="G155:H155"/>
    <mergeCell ref="G156:H156"/>
    <mergeCell ref="G198:H198"/>
    <mergeCell ref="G190:H190"/>
    <mergeCell ref="G191:H191"/>
    <mergeCell ref="G192:H192"/>
    <mergeCell ref="G193:H193"/>
    <mergeCell ref="G194:H194"/>
    <mergeCell ref="G195:H195"/>
    <mergeCell ref="G187:H187"/>
    <mergeCell ref="G188:H188"/>
    <mergeCell ref="G189:H189"/>
    <mergeCell ref="A1:H1"/>
    <mergeCell ref="A30:H30"/>
    <mergeCell ref="A90:H90"/>
    <mergeCell ref="B93:E93"/>
    <mergeCell ref="B94:E94"/>
    <mergeCell ref="B95:E95"/>
    <mergeCell ref="B96:E96"/>
    <mergeCell ref="B97:E97"/>
    <mergeCell ref="A115:H115"/>
    <mergeCell ref="G113:H113"/>
    <mergeCell ref="G111:H111"/>
    <mergeCell ref="G112:H112"/>
    <mergeCell ref="C15:H15"/>
    <mergeCell ref="C16:H16"/>
    <mergeCell ref="C17:H17"/>
    <mergeCell ref="C18:H18"/>
    <mergeCell ref="C19:H19"/>
    <mergeCell ref="C20:H20"/>
    <mergeCell ref="C21:H21"/>
    <mergeCell ref="C13:H13"/>
    <mergeCell ref="C14:H14"/>
    <mergeCell ref="B37:E37"/>
    <mergeCell ref="B34:E34"/>
    <mergeCell ref="B35:E35"/>
    <mergeCell ref="G178:H178"/>
    <mergeCell ref="G179:H179"/>
    <mergeCell ref="G54:H54"/>
    <mergeCell ref="G68:H68"/>
    <mergeCell ref="G205:H205"/>
    <mergeCell ref="G206:H206"/>
    <mergeCell ref="B122:E122"/>
    <mergeCell ref="A165:H165"/>
    <mergeCell ref="A200:H200"/>
    <mergeCell ref="G203:H203"/>
    <mergeCell ref="G204:H204"/>
    <mergeCell ref="B144:E144"/>
    <mergeCell ref="B145:E145"/>
    <mergeCell ref="B146:E146"/>
    <mergeCell ref="B147:E147"/>
    <mergeCell ref="B148:E148"/>
    <mergeCell ref="G162:H162"/>
    <mergeCell ref="G163:H163"/>
    <mergeCell ref="G161:H161"/>
    <mergeCell ref="G130:H130"/>
    <mergeCell ref="G131:H131"/>
    <mergeCell ref="G132:H132"/>
    <mergeCell ref="G182:H182"/>
    <mergeCell ref="G183:H183"/>
  </mergeCells>
  <hyperlinks>
    <hyperlink ref="A210" r:id="rId1"/>
    <hyperlink ref="A212" r:id="rId2"/>
    <hyperlink ref="A214" r:id="rId3"/>
    <hyperlink ref="A216" r:id="rId4"/>
    <hyperlink ref="A220" r:id="rId5" display="http://www.epa.gov/oswer/vaporintrusion/"/>
    <hyperlink ref="A218" r:id="rId6"/>
  </hyperlinks>
  <pageMargins left="0.7" right="0.7" top="0.75" bottom="0.75" header="0.3" footer="0.3"/>
  <pageSetup scale="70" fitToHeight="0" orientation="landscape" r:id="rId7"/>
  <headerFooter>
    <oddHeader>&amp;CVISL Version 3.5
Updated October 2017
Current Toxicity Values from June 2017 RSL Update</oddHeader>
    <oddFooter>&amp;LVISL Calculator Version 3.5, June 2017 RSLs&amp;CUpdated October 2017&amp;RPage &amp;P of &amp;N</oddFooter>
  </headerFooter>
  <rowBreaks count="5" manualBreakCount="5">
    <brk id="53" max="7" man="1"/>
    <brk id="89" max="7" man="1"/>
    <brk id="114" max="7" man="1"/>
    <brk id="140" max="7" man="1"/>
    <brk id="164" max="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A878"/>
  <sheetViews>
    <sheetView tabSelected="1" zoomScale="69" zoomScaleNormal="69" workbookViewId="0">
      <selection activeCell="Z22" sqref="Z22"/>
    </sheetView>
  </sheetViews>
  <sheetFormatPr defaultColWidth="9.109375" defaultRowHeight="15"/>
  <cols>
    <col min="1" max="1" width="4.33203125" style="52" customWidth="1"/>
    <col min="2" max="2" width="17.88671875" style="49" customWidth="1"/>
    <col min="3" max="3" width="52.88671875" style="49" customWidth="1"/>
    <col min="4" max="5" width="32.33203125" style="49" customWidth="1"/>
    <col min="6" max="6" width="24.109375" style="49" hidden="1" customWidth="1"/>
    <col min="7" max="7" width="24.6640625" style="49" customWidth="1"/>
    <col min="8" max="8" width="19.44140625" style="49" customWidth="1"/>
    <col min="9" max="9" width="11" style="49" customWidth="1"/>
    <col min="10" max="11" width="17.33203125" style="49" customWidth="1"/>
    <col min="12" max="12" width="16.88671875" style="49" customWidth="1"/>
    <col min="13" max="13" width="22.109375" style="160" customWidth="1"/>
    <col min="14" max="14" width="24.109375" style="160" customWidth="1"/>
    <col min="15" max="15" width="20.88671875" style="160" customWidth="1"/>
    <col min="16" max="16" width="24.109375" style="49" customWidth="1"/>
    <col min="17" max="17" width="6.44140625" style="49" customWidth="1"/>
    <col min="18" max="18" width="3.109375" style="50" customWidth="1"/>
    <col min="19" max="19" width="16.6640625" style="49" customWidth="1"/>
    <col min="20" max="20" width="11" style="49" customWidth="1"/>
    <col min="21" max="21" width="16.6640625" style="49" customWidth="1"/>
    <col min="22" max="22" width="10.5546875" style="49" customWidth="1"/>
    <col min="23" max="23" width="13" style="49" customWidth="1"/>
    <col min="24" max="24" width="17.44140625" style="49" customWidth="1"/>
    <col min="25" max="25" width="18.33203125" style="49" customWidth="1"/>
    <col min="26" max="159" width="8.88671875" style="49" customWidth="1"/>
    <col min="160" max="16384" width="9.109375" style="49"/>
  </cols>
  <sheetData>
    <row r="1" spans="1:25" ht="15.6">
      <c r="A1" s="510" t="s">
        <v>2483</v>
      </c>
      <c r="B1" s="54" t="s">
        <v>361</v>
      </c>
      <c r="C1" s="55"/>
      <c r="D1" s="193"/>
      <c r="E1" s="193"/>
      <c r="F1" s="55"/>
      <c r="G1" s="56"/>
      <c r="H1" s="55"/>
      <c r="I1" s="56"/>
      <c r="J1" s="56"/>
      <c r="K1" s="56"/>
      <c r="L1" s="56"/>
      <c r="M1" s="57"/>
      <c r="N1" s="57"/>
      <c r="O1" s="57"/>
      <c r="P1" s="56"/>
      <c r="Q1" s="56"/>
      <c r="R1" s="307"/>
      <c r="S1" s="56"/>
      <c r="T1" s="56"/>
      <c r="U1" s="169"/>
      <c r="V1" s="169"/>
      <c r="W1" s="169"/>
      <c r="X1" s="170"/>
      <c r="Y1" s="169"/>
    </row>
    <row r="2" spans="1:25" ht="16.2" thickBot="1">
      <c r="A2" s="510" t="s">
        <v>478</v>
      </c>
      <c r="B2" s="54" t="s">
        <v>2475</v>
      </c>
      <c r="C2" s="55"/>
      <c r="D2" s="193"/>
      <c r="E2" s="193"/>
      <c r="F2" s="55"/>
      <c r="G2" s="56"/>
      <c r="H2" s="108"/>
      <c r="I2" s="56"/>
      <c r="J2" s="56"/>
      <c r="K2" s="56"/>
      <c r="L2" s="56"/>
      <c r="M2" s="57"/>
      <c r="N2" s="57"/>
      <c r="O2" s="57"/>
      <c r="P2" s="56"/>
      <c r="Q2" s="56"/>
      <c r="R2" s="307"/>
      <c r="S2" s="56"/>
      <c r="T2" s="56"/>
      <c r="U2" s="169"/>
      <c r="V2" s="169"/>
      <c r="W2" s="169"/>
      <c r="X2" s="170"/>
      <c r="Y2" s="169"/>
    </row>
    <row r="3" spans="1:25" ht="15.75" customHeight="1">
      <c r="A3" s="510" t="s">
        <v>478</v>
      </c>
      <c r="B3" s="173"/>
      <c r="C3" s="555" t="s">
        <v>2268</v>
      </c>
      <c r="D3" s="556"/>
      <c r="E3" s="556"/>
      <c r="F3" s="556"/>
      <c r="G3" s="556"/>
      <c r="H3" s="556"/>
      <c r="I3" s="557"/>
      <c r="J3" s="170"/>
      <c r="K3" s="170"/>
      <c r="L3" s="169"/>
      <c r="M3" s="174"/>
      <c r="N3" s="174"/>
      <c r="O3" s="174"/>
      <c r="P3" s="169"/>
      <c r="Q3" s="169"/>
      <c r="S3" s="169"/>
      <c r="T3" s="169"/>
      <c r="U3" s="169"/>
      <c r="V3" s="169"/>
      <c r="W3" s="169"/>
      <c r="X3" s="170"/>
      <c r="Y3" s="169"/>
    </row>
    <row r="4" spans="1:25" ht="15.6">
      <c r="A4" s="510"/>
      <c r="B4" s="173"/>
      <c r="C4" s="558"/>
      <c r="D4" s="559"/>
      <c r="E4" s="559"/>
      <c r="F4" s="559"/>
      <c r="G4" s="559"/>
      <c r="H4" s="559"/>
      <c r="I4" s="560"/>
      <c r="J4" s="170"/>
      <c r="K4" s="170"/>
      <c r="L4" s="169"/>
      <c r="M4" s="174"/>
      <c r="N4" s="174"/>
      <c r="O4" s="174"/>
      <c r="P4" s="169"/>
      <c r="Q4" s="169"/>
      <c r="S4" s="169"/>
      <c r="T4" s="169"/>
      <c r="U4" s="169"/>
      <c r="V4" s="169"/>
      <c r="W4" s="169"/>
      <c r="X4" s="170"/>
      <c r="Y4" s="169"/>
    </row>
    <row r="5" spans="1:25" ht="15.6">
      <c r="A5" s="510"/>
      <c r="B5" s="173"/>
      <c r="C5" s="558"/>
      <c r="D5" s="559"/>
      <c r="E5" s="559"/>
      <c r="F5" s="559"/>
      <c r="G5" s="559"/>
      <c r="H5" s="559"/>
      <c r="I5" s="560"/>
      <c r="J5" s="170"/>
      <c r="K5" s="170"/>
      <c r="L5" s="169"/>
      <c r="M5" s="174"/>
      <c r="N5" s="174"/>
      <c r="O5" s="174"/>
      <c r="P5" s="169"/>
      <c r="Q5" s="169"/>
      <c r="S5" s="169"/>
      <c r="T5" s="169"/>
      <c r="U5" s="169"/>
      <c r="V5" s="169"/>
      <c r="W5" s="169"/>
      <c r="X5" s="170"/>
      <c r="Y5" s="169"/>
    </row>
    <row r="6" spans="1:25" ht="15.6">
      <c r="A6" s="510"/>
      <c r="B6" s="173"/>
      <c r="C6" s="558"/>
      <c r="D6" s="559"/>
      <c r="E6" s="559"/>
      <c r="F6" s="559"/>
      <c r="G6" s="559"/>
      <c r="H6" s="559"/>
      <c r="I6" s="560"/>
      <c r="J6" s="170"/>
      <c r="K6" s="170"/>
      <c r="L6" s="169"/>
      <c r="M6" s="174"/>
      <c r="N6" s="174"/>
      <c r="O6" s="174"/>
      <c r="P6" s="169"/>
      <c r="Q6" s="169"/>
      <c r="S6" s="169"/>
      <c r="T6" s="169"/>
      <c r="U6" s="169"/>
      <c r="V6" s="169"/>
      <c r="W6" s="169"/>
      <c r="X6" s="170"/>
      <c r="Y6" s="169"/>
    </row>
    <row r="7" spans="1:25" ht="15.6">
      <c r="A7" s="510"/>
      <c r="B7" s="173"/>
      <c r="C7" s="558"/>
      <c r="D7" s="559"/>
      <c r="E7" s="559"/>
      <c r="F7" s="559"/>
      <c r="G7" s="559"/>
      <c r="H7" s="559"/>
      <c r="I7" s="560"/>
      <c r="J7" s="170"/>
      <c r="K7" s="170"/>
      <c r="L7" s="169"/>
      <c r="M7" s="174"/>
      <c r="N7" s="174"/>
      <c r="O7" s="174"/>
      <c r="P7" s="169"/>
      <c r="Q7" s="169"/>
      <c r="S7" s="169"/>
      <c r="T7" s="169"/>
      <c r="U7" s="169"/>
      <c r="V7" s="169"/>
      <c r="W7" s="169"/>
      <c r="X7" s="170"/>
      <c r="Y7" s="169"/>
    </row>
    <row r="8" spans="1:25" ht="16.2" thickBot="1">
      <c r="A8" s="510"/>
      <c r="B8" s="173"/>
      <c r="C8" s="561"/>
      <c r="D8" s="562"/>
      <c r="E8" s="562"/>
      <c r="F8" s="562"/>
      <c r="G8" s="562"/>
      <c r="H8" s="562"/>
      <c r="I8" s="563"/>
      <c r="J8" s="170"/>
      <c r="K8" s="170"/>
      <c r="L8" s="169"/>
      <c r="M8" s="174"/>
      <c r="N8" s="174"/>
      <c r="O8" s="174"/>
      <c r="P8" s="169"/>
      <c r="Q8" s="169"/>
      <c r="S8" s="169"/>
      <c r="T8" s="169"/>
      <c r="U8" s="169"/>
      <c r="V8" s="169"/>
      <c r="W8" s="169"/>
      <c r="X8" s="170"/>
      <c r="Y8" s="169"/>
    </row>
    <row r="9" spans="1:25" ht="15.6">
      <c r="A9" s="510" t="s">
        <v>478</v>
      </c>
      <c r="B9" s="59" t="s">
        <v>1814</v>
      </c>
      <c r="C9" s="354"/>
      <c r="D9" s="354"/>
      <c r="E9" s="354"/>
      <c r="F9" s="355" t="s">
        <v>459</v>
      </c>
      <c r="G9" s="356" t="s">
        <v>469</v>
      </c>
      <c r="H9" s="552" t="s">
        <v>368</v>
      </c>
      <c r="I9" s="553"/>
      <c r="J9" s="553"/>
      <c r="K9" s="553"/>
      <c r="L9" s="553"/>
      <c r="M9" s="553"/>
      <c r="N9" s="553"/>
      <c r="O9" s="553"/>
      <c r="P9" s="553"/>
      <c r="Q9" s="553"/>
      <c r="R9" s="553"/>
      <c r="S9" s="553"/>
      <c r="T9" s="554"/>
      <c r="U9" s="171"/>
      <c r="V9" s="171"/>
      <c r="W9" s="171"/>
      <c r="X9" s="171"/>
      <c r="Y9" s="171"/>
    </row>
    <row r="10" spans="1:25">
      <c r="A10" s="510" t="s">
        <v>478</v>
      </c>
      <c r="B10" s="109" t="s">
        <v>447</v>
      </c>
      <c r="C10" s="110"/>
      <c r="D10" s="110"/>
      <c r="E10" s="110"/>
      <c r="F10" s="111" t="s">
        <v>448</v>
      </c>
      <c r="G10" s="117" t="s">
        <v>449</v>
      </c>
      <c r="H10" s="569" t="s">
        <v>366</v>
      </c>
      <c r="I10" s="570"/>
      <c r="J10" s="570"/>
      <c r="K10" s="570"/>
      <c r="L10" s="570"/>
      <c r="M10" s="570"/>
      <c r="N10" s="570"/>
      <c r="O10" s="570"/>
      <c r="P10" s="570"/>
      <c r="Q10" s="570"/>
      <c r="R10" s="570"/>
      <c r="S10" s="570"/>
      <c r="T10" s="571"/>
      <c r="U10" s="169"/>
      <c r="V10" s="169"/>
      <c r="W10" s="169"/>
      <c r="X10" s="170"/>
      <c r="Y10" s="170"/>
    </row>
    <row r="11" spans="1:25">
      <c r="A11" s="510" t="s">
        <v>478</v>
      </c>
      <c r="B11" s="109" t="s">
        <v>1811</v>
      </c>
      <c r="C11" s="110"/>
      <c r="D11" s="110"/>
      <c r="E11" s="110"/>
      <c r="F11" s="111" t="s">
        <v>1686</v>
      </c>
      <c r="G11" s="118">
        <v>9.9999999999999995E-7</v>
      </c>
      <c r="H11" s="569" t="s">
        <v>367</v>
      </c>
      <c r="I11" s="570"/>
      <c r="J11" s="570"/>
      <c r="K11" s="570"/>
      <c r="L11" s="570"/>
      <c r="M11" s="570"/>
      <c r="N11" s="570"/>
      <c r="O11" s="570"/>
      <c r="P11" s="570"/>
      <c r="Q11" s="570"/>
      <c r="R11" s="570"/>
      <c r="S11" s="570"/>
      <c r="T11" s="571"/>
      <c r="U11" s="169"/>
      <c r="V11" s="169"/>
      <c r="W11" s="169"/>
      <c r="X11" s="170"/>
      <c r="Y11" s="170"/>
    </row>
    <row r="12" spans="1:25">
      <c r="A12" s="510" t="s">
        <v>478</v>
      </c>
      <c r="B12" s="109" t="s">
        <v>1812</v>
      </c>
      <c r="C12" s="110"/>
      <c r="D12" s="110"/>
      <c r="E12" s="110"/>
      <c r="F12" s="111" t="s">
        <v>1687</v>
      </c>
      <c r="G12" s="119">
        <v>1</v>
      </c>
      <c r="H12" s="569" t="s">
        <v>369</v>
      </c>
      <c r="I12" s="570"/>
      <c r="J12" s="570"/>
      <c r="K12" s="570"/>
      <c r="L12" s="570"/>
      <c r="M12" s="570"/>
      <c r="N12" s="570"/>
      <c r="O12" s="570"/>
      <c r="P12" s="570"/>
      <c r="Q12" s="570"/>
      <c r="R12" s="570"/>
      <c r="S12" s="570"/>
      <c r="T12" s="571"/>
      <c r="U12" s="169"/>
      <c r="V12" s="169"/>
      <c r="W12" s="169"/>
      <c r="X12" s="170"/>
      <c r="Y12" s="170"/>
    </row>
    <row r="13" spans="1:25" ht="15" customHeight="1">
      <c r="A13" s="510" t="s">
        <v>478</v>
      </c>
      <c r="B13" s="112" t="s">
        <v>1813</v>
      </c>
      <c r="C13" s="113"/>
      <c r="D13" s="113"/>
      <c r="E13" s="113"/>
      <c r="F13" s="111" t="s">
        <v>463</v>
      </c>
      <c r="G13" s="119">
        <v>25</v>
      </c>
      <c r="H13" s="569" t="s">
        <v>1777</v>
      </c>
      <c r="I13" s="570"/>
      <c r="J13" s="570"/>
      <c r="K13" s="570"/>
      <c r="L13" s="570"/>
      <c r="M13" s="570"/>
      <c r="N13" s="570"/>
      <c r="O13" s="570"/>
      <c r="P13" s="570"/>
      <c r="Q13" s="570"/>
      <c r="R13" s="570"/>
      <c r="S13" s="570"/>
      <c r="T13" s="571"/>
      <c r="U13" s="169"/>
      <c r="V13" s="169"/>
      <c r="W13" s="169"/>
      <c r="X13" s="170"/>
      <c r="Y13" s="170"/>
    </row>
    <row r="14" spans="1:25">
      <c r="A14" s="510" t="s">
        <v>478</v>
      </c>
      <c r="B14" s="169"/>
      <c r="C14" s="5"/>
      <c r="D14" s="192"/>
      <c r="E14" s="192"/>
      <c r="F14" s="172"/>
      <c r="G14" s="172"/>
      <c r="H14" s="136"/>
      <c r="I14" s="176"/>
      <c r="J14" s="177"/>
      <c r="K14" s="177"/>
      <c r="L14" s="177"/>
      <c r="M14" s="178"/>
      <c r="N14" s="178"/>
      <c r="O14" s="178"/>
      <c r="P14" s="177"/>
      <c r="Q14" s="177"/>
      <c r="S14" s="179"/>
      <c r="T14" s="177"/>
      <c r="U14" s="169"/>
      <c r="V14" s="169"/>
      <c r="W14" s="169"/>
      <c r="X14" s="169"/>
      <c r="Y14" s="172"/>
    </row>
    <row r="15" spans="1:25" ht="109.2">
      <c r="A15" s="511" t="s">
        <v>478</v>
      </c>
      <c r="B15" s="64"/>
      <c r="C15" s="64"/>
      <c r="D15" s="281" t="s">
        <v>2153</v>
      </c>
      <c r="E15" s="281" t="s">
        <v>2163</v>
      </c>
      <c r="F15" s="1" t="s">
        <v>1628</v>
      </c>
      <c r="G15" s="2" t="s">
        <v>1627</v>
      </c>
      <c r="H15" s="4" t="str">
        <f>("Target Indoor Air Conc. @ TCR = "&amp;TEXT(TCR,"#0E+00")&amp;" or THQ = "&amp;THQ)</f>
        <v>Target Indoor Air Conc. @ TCR = 1E-06 or THQ = 1</v>
      </c>
      <c r="I15" s="65" t="s">
        <v>483</v>
      </c>
      <c r="J15" s="65" t="str">
        <f>("Target Sub-Slab and Exterior Soil Gas Conc. @ TCR = "&amp;TEXT(TCR,"#0E+00")&amp;" or THQ = "&amp;THQ)</f>
        <v>Target Sub-Slab and Exterior Soil Gas Conc. @ TCR = 1E-06 or THQ = 1</v>
      </c>
      <c r="K15" s="65" t="str">
        <f>("Target Ground Water Conc. @ TCR = "&amp;TEXT(TCR,"#0E+00")&amp;" or THQ = "&amp;THQ)</f>
        <v>Target Ground Water Conc. @ TCR = 1E-06 or THQ = 1</v>
      </c>
      <c r="L15" s="65" t="s">
        <v>519</v>
      </c>
      <c r="M15" s="4" t="s">
        <v>1534</v>
      </c>
      <c r="N15" s="1" t="s">
        <v>2417</v>
      </c>
      <c r="O15" s="1" t="s">
        <v>2420</v>
      </c>
      <c r="P15" s="25" t="s">
        <v>1552</v>
      </c>
      <c r="Q15" s="317" t="s">
        <v>370</v>
      </c>
      <c r="R15" s="319"/>
      <c r="S15" s="318" t="s">
        <v>1472</v>
      </c>
      <c r="T15" s="1" t="s">
        <v>298</v>
      </c>
      <c r="U15" s="25" t="s">
        <v>1629</v>
      </c>
      <c r="V15" s="1" t="s">
        <v>299</v>
      </c>
      <c r="W15" s="1" t="s">
        <v>1554</v>
      </c>
      <c r="X15" s="1" t="str">
        <f>"Target Indoor Air Conc. for Carcinogens @ TCR = "&amp;TEXT(TCR,"#0E+00")</f>
        <v>Target Indoor Air Conc. for Carcinogens @ TCR = 1E-06</v>
      </c>
      <c r="Y15" s="1" t="str">
        <f>"Target Indoor Air Conc. for Non-Carcinogens @ THQ = "&amp;THQ</f>
        <v>Target Indoor Air Conc. for Non-Carcinogens @ THQ = 1</v>
      </c>
    </row>
    <row r="16" spans="1:25">
      <c r="A16" s="511" t="s">
        <v>478</v>
      </c>
      <c r="B16" s="66"/>
      <c r="C16" s="66"/>
      <c r="D16" s="282" t="s">
        <v>2195</v>
      </c>
      <c r="E16" s="282" t="s">
        <v>2164</v>
      </c>
      <c r="F16" s="67" t="s">
        <v>2019</v>
      </c>
      <c r="G16" s="67" t="s">
        <v>2026</v>
      </c>
      <c r="H16" s="68" t="s">
        <v>362</v>
      </c>
      <c r="I16" s="68"/>
      <c r="J16" s="68" t="s">
        <v>467</v>
      </c>
      <c r="K16" s="68" t="s">
        <v>470</v>
      </c>
      <c r="L16" s="69" t="s">
        <v>509</v>
      </c>
      <c r="M16" s="67" t="s">
        <v>1547</v>
      </c>
      <c r="N16" s="67" t="s">
        <v>1548</v>
      </c>
      <c r="O16" s="322" t="s">
        <v>1640</v>
      </c>
      <c r="P16" s="323" t="s">
        <v>363</v>
      </c>
      <c r="Q16" s="324"/>
      <c r="R16" s="266"/>
      <c r="S16" s="325" t="s">
        <v>1410</v>
      </c>
      <c r="T16" s="68"/>
      <c r="U16" s="68" t="s">
        <v>401</v>
      </c>
      <c r="V16" s="68"/>
      <c r="W16" s="68" t="s">
        <v>1650</v>
      </c>
      <c r="X16" s="68" t="s">
        <v>465</v>
      </c>
      <c r="Y16" s="68" t="s">
        <v>466</v>
      </c>
    </row>
    <row r="17" spans="1:27" ht="30.75" customHeight="1">
      <c r="A17" s="511" t="s">
        <v>478</v>
      </c>
      <c r="B17" s="188" t="s">
        <v>365</v>
      </c>
      <c r="C17" s="71" t="s">
        <v>500</v>
      </c>
      <c r="D17" s="283" t="s">
        <v>511</v>
      </c>
      <c r="E17" s="283" t="s">
        <v>511</v>
      </c>
      <c r="F17" s="72" t="s">
        <v>511</v>
      </c>
      <c r="G17" s="73" t="s">
        <v>511</v>
      </c>
      <c r="H17" s="74" t="s">
        <v>372</v>
      </c>
      <c r="I17" s="74" t="s">
        <v>510</v>
      </c>
      <c r="J17" s="74" t="s">
        <v>372</v>
      </c>
      <c r="K17" s="74" t="s">
        <v>412</v>
      </c>
      <c r="L17" s="75" t="s">
        <v>371</v>
      </c>
      <c r="M17" s="72" t="s">
        <v>372</v>
      </c>
      <c r="N17" s="72" t="s">
        <v>372</v>
      </c>
      <c r="O17" s="67" t="s">
        <v>521</v>
      </c>
      <c r="P17" s="308" t="s">
        <v>364</v>
      </c>
      <c r="Q17" s="308"/>
      <c r="R17" s="224"/>
      <c r="S17" s="68" t="s">
        <v>1536</v>
      </c>
      <c r="T17" s="74"/>
      <c r="U17" s="74" t="s">
        <v>373</v>
      </c>
      <c r="V17" s="74"/>
      <c r="W17" s="74"/>
      <c r="X17" s="74" t="s">
        <v>372</v>
      </c>
      <c r="Y17" s="74" t="s">
        <v>372</v>
      </c>
    </row>
    <row r="18" spans="1:27">
      <c r="A18" s="265"/>
      <c r="B18" s="344" t="s">
        <v>201</v>
      </c>
      <c r="C18" s="269" t="s">
        <v>2325</v>
      </c>
      <c r="D18" s="280" t="str">
        <f>VLOOKUP(B18, 'Chem Props'!$1:$1048576,3,FALSE)</f>
        <v>Yes</v>
      </c>
      <c r="E18" s="598" t="str">
        <f>IF(OR(ISNUMBER(S18),ISNUMBER(U18)),"Yes","No")</f>
        <v>No</v>
      </c>
      <c r="F18" s="7" t="str">
        <f t="shared" ref="F18:F81" si="0">IF(LEFT(D18,2)="No","No (not volatile)",IF(D18="unknown","unknown",IF(H18="NVT","No",IF(AND(X18="",Y18=""),"No Inhal. Tox. Info",IF(MIN(X18:Y18)&gt;=M18,"No",IF(M18&gt;H18,"Yes","No"))))))</f>
        <v>No Inhal. Tox. Info</v>
      </c>
      <c r="G18" s="270" t="str">
        <f t="shared" ref="G18:G49" si="1">IF(LEFT(D18,2)="No","No (not volatile)",IF(D18="unknown","unknown",IF(H18="NVT","No",IF(AND(X18="",Y18=""),"No Inhal. Tox. Info",IF(MIN(X18:Y18)&gt;=N18,"No",IF(N18&gt;H18,"Yes","No"))))))</f>
        <v>No Inhal. Tox. Info</v>
      </c>
      <c r="H18" s="76" t="str">
        <f t="shared" ref="H18:H81" si="2">IF(ISNUMBER(M18),IF(AND(X18="",Y18=""),"--",IF(MIN(X18:Y18)&gt;=M18,"NVT",MIN(X18:Y18))),M18)</f>
        <v>--</v>
      </c>
      <c r="I18" s="271" t="str">
        <f t="shared" ref="I18:I81" si="3">IF(AND(S18="",U18=""),"--",IF(MIN(X18,Y18)=X18,"C","NC"))</f>
        <v>--</v>
      </c>
      <c r="J18" s="272" t="str">
        <f t="shared" ref="J18:J81" si="4">IF(ISNUMBER(H18),IF(OR(H18="--",H18="NVT"),H18,IF(H18/Afss&gt;=M18,"NVT",H18/Afss)),H18)</f>
        <v>--</v>
      </c>
      <c r="K18" s="272" t="str">
        <f t="shared" ref="K18:K81" si="5">IF(ISNUMBER(H18),IF(H18="--","--", IF(LEFT(N18,2)="No",N18,IF(H18*0.001/(INDEX(HLC,MATCH(C18,ChemNameChem,0))*AFgw)&gt;=1000*INDEX(PWCS,MATCH(C18,ChemNameChem,0)), "NVT", H18*0.001/(INDEX(HLC,MATCH(C18,ChemNameChem,0))*AFgw)))),H18)</f>
        <v>--</v>
      </c>
      <c r="L18" s="273" t="str">
        <f t="shared" ref="L18:L81" si="6">IF(INDEX(MCL,MATCH(C18,ChemNameChem,0))="","--",IF(K18&lt;INDEX(MCL,MATCH(C18,ChemNameChem,0)),"Yes ("&amp;(INDEX(MCL,MATCH(C18,ChemNameChem,0)))&amp;")","No ("&amp;(INDEX(MCL,MATCH(C18,ChemNameChem,0)))&amp;")"))</f>
        <v>--</v>
      </c>
      <c r="M18" s="7">
        <f t="shared" ref="M18:M81" si="7">IF(INDEX(_VP25,MATCH(B18,CASNoChem,0))="No VP","No VP",IF(INDEX(MW,MATCH(B18,CASNoChem,0))="No MW","No MW",INDEX(MW,MATCH(B18,CASNoChem,0))*INDEX(_VP25,MATCH(B18,CASNoChem,0))*53808.7856452378))</f>
        <v>17840.383593857059</v>
      </c>
      <c r="N18" s="7">
        <f t="shared" ref="N18:N48" si="8">IF(INDEX(HLC,MATCH(C18,ChemNameChem,0))="","No HLC",IF(INDEX(Sol,MATCH(C18,ChemNameChem,0))="No S","No S",INDEX(HLC,MATCH(C18,ChemNameChem,0))*INDEX(Sol,MATCH(C18,ChemNameChem,0))*1000000))</f>
        <v>29337.75</v>
      </c>
      <c r="O18" s="326">
        <f t="shared" ref="O18:O81" si="9">IF(INDEX(HTgw,MATCH(B18,CASNoChem,0),1)="",25,Tgw)</f>
        <v>25</v>
      </c>
      <c r="P18" s="224">
        <f t="shared" ref="P18:P44" si="10">IF(VLOOKUP(B18,AllChemProps,32,FALSE)&gt;0,VLOOKUP(B18,AllChemProps,32,FALSE),"")</f>
        <v>0.6</v>
      </c>
      <c r="Q18" s="224" t="str">
        <f t="shared" ref="Q18:Q81" si="11">IF(INDEX(LELsource,MATCH(B18,CASNoChem,0),1)="","",INDEX(LELsource,MATCH(B18,CASNoChem,0),1))</f>
        <v>M</v>
      </c>
      <c r="R18" s="224"/>
      <c r="S18" s="271" t="str">
        <f t="shared" ref="S18:S53" si="12">IF(INDEX(IUR,MATCH(B18,CASNoTox,0))=" ","",IF(W18="TCE","see note",INDEX(IUR,MATCH(B18,CASNoTox,0))))</f>
        <v/>
      </c>
      <c r="T18" s="7" t="str">
        <f t="shared" ref="T18:T81" si="13">IF(INDEX(IURSource,MATCH(B18,CASNoTox,0))="","",SUBSTITUTE(INDEX(IURSource,MATCH(B18,CASNoTox,0)),"C","CA"))</f>
        <v/>
      </c>
      <c r="U18" s="7" t="str">
        <f t="shared" ref="U18:U81" si="14">IF(INDEX(RFC,MATCH(B18,CASNoTox,0))=" ","",INDEX(RFC,MATCH(B18,CASNoTox,0)))</f>
        <v/>
      </c>
      <c r="V18" s="7" t="str">
        <f t="shared" ref="V18:V81" si="15">IF(INDEX(RFCSource,MATCH(B18,CASNoTox,0))="","",SUBSTITUTE(INDEX(RFCSource,MATCH(B18,CASNoTox,0)),"C","CA"))</f>
        <v/>
      </c>
      <c r="W18" s="7" t="str">
        <f>VLOOKUP(C18,'Tox Summary'!$N$3:$S$1048576,6,FALSE)</f>
        <v/>
      </c>
      <c r="X18" s="76" t="str">
        <f t="shared" ref="X18:X81" si="16">IF(S18="","",IF(W18&lt;&gt;"TCE",TCR/(IF(AND(W18="VC",Scenario="Residential"),S18,0)+(EF*IF(W18="Mut",MMOAAF,ED)*ET*S18/(Atc*365*24))), 1/((EF*MMOAAF*ET*mIURTCE/(TCR*Atc*365*24))+EF*ED*ET*IURTCE/(TCR*Atc*365*24))))</f>
        <v/>
      </c>
      <c r="Y18" s="76" t="str">
        <f t="shared" ref="Y18:Y81" si="17">IF(U18="","",THQ*Atnc*365*24*U18*1000/(EF*ED*ET))</f>
        <v/>
      </c>
      <c r="AA18" s="332"/>
    </row>
    <row r="19" spans="1:27">
      <c r="A19" s="265" t="s">
        <v>478</v>
      </c>
      <c r="B19" s="269" t="s">
        <v>632</v>
      </c>
      <c r="C19" s="269" t="s">
        <v>968</v>
      </c>
      <c r="D19" s="280" t="str">
        <f>VLOOKUP(B19, 'Chem Props'!$1:$1048576,3,FALSE)</f>
        <v>No</v>
      </c>
      <c r="E19" s="598" t="str">
        <f t="shared" ref="E19:E82" si="18">IF(OR(ISNUMBER(S19),ISNUMBER(U19)),"Yes","No")</f>
        <v>No</v>
      </c>
      <c r="F19" s="7" t="str">
        <f t="shared" si="0"/>
        <v>No (not volatile)</v>
      </c>
      <c r="G19" s="270" t="str">
        <f t="shared" si="1"/>
        <v>No (not volatile)</v>
      </c>
      <c r="H19" s="76" t="str">
        <f t="shared" si="2"/>
        <v>--</v>
      </c>
      <c r="I19" s="271" t="str">
        <f t="shared" si="3"/>
        <v>--</v>
      </c>
      <c r="J19" s="272" t="str">
        <f t="shared" si="4"/>
        <v>--</v>
      </c>
      <c r="K19" s="272" t="str">
        <f t="shared" si="5"/>
        <v>--</v>
      </c>
      <c r="L19" s="273" t="str">
        <f t="shared" si="6"/>
        <v>--</v>
      </c>
      <c r="M19" s="7">
        <f t="shared" si="7"/>
        <v>16.755463953284952</v>
      </c>
      <c r="N19" s="7">
        <f t="shared" si="8"/>
        <v>16.75264</v>
      </c>
      <c r="O19" s="326">
        <f t="shared" si="9"/>
        <v>25</v>
      </c>
      <c r="P19" s="224" t="str">
        <f t="shared" si="10"/>
        <v/>
      </c>
      <c r="Q19" s="224" t="str">
        <f t="shared" si="11"/>
        <v/>
      </c>
      <c r="R19" s="224"/>
      <c r="S19" s="271" t="str">
        <f t="shared" si="12"/>
        <v/>
      </c>
      <c r="T19" s="7" t="str">
        <f t="shared" si="13"/>
        <v/>
      </c>
      <c r="U19" s="7" t="str">
        <f t="shared" si="14"/>
        <v/>
      </c>
      <c r="V19" s="7" t="str">
        <f t="shared" si="15"/>
        <v/>
      </c>
      <c r="W19" s="7" t="str">
        <f>VLOOKUP(C19,'Tox Summary'!$N$3:$S$1048576,6,FALSE)</f>
        <v/>
      </c>
      <c r="X19" s="76" t="str">
        <f t="shared" si="16"/>
        <v/>
      </c>
      <c r="Y19" s="76" t="str">
        <f t="shared" si="17"/>
        <v/>
      </c>
      <c r="AA19" s="243"/>
    </row>
    <row r="20" spans="1:27">
      <c r="A20" s="265"/>
      <c r="B20" s="344" t="s">
        <v>633</v>
      </c>
      <c r="C20" s="269" t="s">
        <v>1428</v>
      </c>
      <c r="D20" s="280" t="str">
        <f>VLOOKUP(B20, 'Chem Props'!$1:$1048576,3,FALSE)</f>
        <v>Yes</v>
      </c>
      <c r="E20" s="598" t="str">
        <f t="shared" si="18"/>
        <v>Yes</v>
      </c>
      <c r="F20" s="7" t="str">
        <f t="shared" si="0"/>
        <v>Yes</v>
      </c>
      <c r="G20" s="270" t="str">
        <f t="shared" si="1"/>
        <v>Yes</v>
      </c>
      <c r="H20" s="76">
        <f t="shared" si="2"/>
        <v>1.276223776223776</v>
      </c>
      <c r="I20" s="271" t="str">
        <f t="shared" si="3"/>
        <v>C</v>
      </c>
      <c r="J20" s="272">
        <f t="shared" si="4"/>
        <v>42.540792540792538</v>
      </c>
      <c r="K20" s="272">
        <f t="shared" si="5"/>
        <v>468.01267968160766</v>
      </c>
      <c r="L20" s="273" t="str">
        <f t="shared" si="6"/>
        <v>--</v>
      </c>
      <c r="M20" s="7">
        <f t="shared" si="7"/>
        <v>2138184003.0194058</v>
      </c>
      <c r="N20" s="7">
        <f t="shared" si="8"/>
        <v>2726900000</v>
      </c>
      <c r="O20" s="326">
        <f t="shared" si="9"/>
        <v>25</v>
      </c>
      <c r="P20" s="224">
        <f t="shared" si="10"/>
        <v>4</v>
      </c>
      <c r="Q20" s="224" t="str">
        <f t="shared" si="11"/>
        <v>E</v>
      </c>
      <c r="R20" s="224"/>
      <c r="S20" s="271">
        <f t="shared" si="12"/>
        <v>2.2000000000000001E-6</v>
      </c>
      <c r="T20" s="7" t="str">
        <f t="shared" si="13"/>
        <v>I</v>
      </c>
      <c r="U20" s="7">
        <f t="shared" si="14"/>
        <v>8.9999999999999993E-3</v>
      </c>
      <c r="V20" s="7" t="str">
        <f t="shared" si="15"/>
        <v>I</v>
      </c>
      <c r="W20" s="7" t="str">
        <f>VLOOKUP(C20,'Tox Summary'!$N$3:$S$1048576,6,FALSE)</f>
        <v/>
      </c>
      <c r="X20" s="76">
        <f t="shared" si="16"/>
        <v>1.276223776223776</v>
      </c>
      <c r="Y20" s="76">
        <f t="shared" si="17"/>
        <v>9.3857142857142843</v>
      </c>
      <c r="AA20" s="332"/>
    </row>
    <row r="21" spans="1:27">
      <c r="A21" s="265" t="s">
        <v>1413</v>
      </c>
      <c r="B21" s="269" t="s">
        <v>634</v>
      </c>
      <c r="C21" s="269" t="s">
        <v>970</v>
      </c>
      <c r="D21" s="280" t="str">
        <f>VLOOKUP(B21, 'Chem Props'!$1:$1048576,3,FALSE)</f>
        <v>No</v>
      </c>
      <c r="E21" s="598" t="str">
        <f t="shared" si="18"/>
        <v>No</v>
      </c>
      <c r="F21" s="7" t="str">
        <f t="shared" si="0"/>
        <v>No (not volatile)</v>
      </c>
      <c r="G21" s="270" t="str">
        <f t="shared" si="1"/>
        <v>No (not volatile)</v>
      </c>
      <c r="H21" s="76" t="str">
        <f t="shared" si="2"/>
        <v>--</v>
      </c>
      <c r="I21" s="271" t="str">
        <f t="shared" si="3"/>
        <v>--</v>
      </c>
      <c r="J21" s="272" t="str">
        <f t="shared" si="4"/>
        <v>--</v>
      </c>
      <c r="K21" s="272" t="str">
        <f t="shared" si="5"/>
        <v>--</v>
      </c>
      <c r="L21" s="273" t="str">
        <f t="shared" si="6"/>
        <v>--</v>
      </c>
      <c r="M21" s="7">
        <f t="shared" si="7"/>
        <v>406.44789089844238</v>
      </c>
      <c r="N21" s="7">
        <f t="shared" si="8"/>
        <v>203.30687</v>
      </c>
      <c r="O21" s="326">
        <f t="shared" si="9"/>
        <v>25</v>
      </c>
      <c r="P21" s="224" t="str">
        <f t="shared" si="10"/>
        <v/>
      </c>
      <c r="Q21" s="224" t="str">
        <f t="shared" si="11"/>
        <v/>
      </c>
      <c r="R21" s="224"/>
      <c r="S21" s="271" t="str">
        <f t="shared" si="12"/>
        <v/>
      </c>
      <c r="T21" s="7" t="str">
        <f t="shared" si="13"/>
        <v/>
      </c>
      <c r="U21" s="7" t="str">
        <f t="shared" si="14"/>
        <v/>
      </c>
      <c r="V21" s="7" t="str">
        <f t="shared" si="15"/>
        <v/>
      </c>
      <c r="W21" s="7" t="str">
        <f>VLOOKUP(C21,'Tox Summary'!$N$3:$S$1048576,6,FALSE)</f>
        <v/>
      </c>
      <c r="X21" s="76" t="str">
        <f t="shared" si="16"/>
        <v/>
      </c>
      <c r="Y21" s="76" t="str">
        <f t="shared" si="17"/>
        <v/>
      </c>
      <c r="AA21" s="243"/>
    </row>
    <row r="22" spans="1:27">
      <c r="A22" s="265" t="s">
        <v>1413</v>
      </c>
      <c r="B22" s="269" t="s">
        <v>635</v>
      </c>
      <c r="C22" s="269" t="s">
        <v>424</v>
      </c>
      <c r="D22" s="280" t="str">
        <f>VLOOKUP(B22, 'Chem Props'!$1:$1048576,3,FALSE)</f>
        <v>Yes</v>
      </c>
      <c r="E22" s="598" t="str">
        <f t="shared" si="18"/>
        <v>Yes</v>
      </c>
      <c r="F22" s="7" t="str">
        <f t="shared" si="0"/>
        <v>Yes</v>
      </c>
      <c r="G22" s="270" t="str">
        <f t="shared" si="1"/>
        <v>Yes</v>
      </c>
      <c r="H22" s="76">
        <f t="shared" si="2"/>
        <v>32328.571428571428</v>
      </c>
      <c r="I22" s="271" t="str">
        <f t="shared" si="3"/>
        <v>NC</v>
      </c>
      <c r="J22" s="272">
        <f t="shared" si="4"/>
        <v>1077619.0476190476</v>
      </c>
      <c r="K22" s="272">
        <f t="shared" si="5"/>
        <v>22593173.127801687</v>
      </c>
      <c r="L22" s="273" t="str">
        <f t="shared" si="6"/>
        <v>--</v>
      </c>
      <c r="M22" s="7">
        <f t="shared" si="7"/>
        <v>723499560.3026346</v>
      </c>
      <c r="N22" s="7">
        <f t="shared" si="8"/>
        <v>1430899999.9999998</v>
      </c>
      <c r="O22" s="326">
        <f t="shared" si="9"/>
        <v>25</v>
      </c>
      <c r="P22" s="224">
        <f t="shared" si="10"/>
        <v>2.6</v>
      </c>
      <c r="Q22" s="224" t="str">
        <f t="shared" si="11"/>
        <v>E</v>
      </c>
      <c r="R22" s="224"/>
      <c r="S22" s="271" t="str">
        <f t="shared" si="12"/>
        <v/>
      </c>
      <c r="T22" s="7" t="str">
        <f t="shared" si="13"/>
        <v/>
      </c>
      <c r="U22" s="7">
        <f t="shared" si="14"/>
        <v>31</v>
      </c>
      <c r="V22" s="7" t="str">
        <f t="shared" si="15"/>
        <v>A</v>
      </c>
      <c r="W22" s="7" t="str">
        <f>VLOOKUP(C22,'Tox Summary'!$N$3:$S$1048576,6,FALSE)</f>
        <v/>
      </c>
      <c r="X22" s="76" t="str">
        <f t="shared" si="16"/>
        <v/>
      </c>
      <c r="Y22" s="76">
        <f t="shared" si="17"/>
        <v>32328.571428571428</v>
      </c>
      <c r="AA22" s="243"/>
    </row>
    <row r="23" spans="1:27">
      <c r="A23" s="265" t="s">
        <v>1413</v>
      </c>
      <c r="B23" s="269" t="s">
        <v>636</v>
      </c>
      <c r="C23" s="269" t="s">
        <v>971</v>
      </c>
      <c r="D23" s="280" t="str">
        <f>VLOOKUP(B23, 'Chem Props'!$1:$1048576,3,FALSE)</f>
        <v>No</v>
      </c>
      <c r="E23" s="598" t="str">
        <f t="shared" si="18"/>
        <v>Yes</v>
      </c>
      <c r="F23" s="7" t="str">
        <f t="shared" si="0"/>
        <v>No (not volatile)</v>
      </c>
      <c r="G23" s="270" t="str">
        <f t="shared" si="1"/>
        <v>No (not volatile)</v>
      </c>
      <c r="H23" s="76">
        <f t="shared" si="2"/>
        <v>2.0857142857142859</v>
      </c>
      <c r="I23" s="271" t="str">
        <f t="shared" si="3"/>
        <v>NC</v>
      </c>
      <c r="J23" s="272">
        <f t="shared" si="4"/>
        <v>69.523809523809533</v>
      </c>
      <c r="K23" s="272">
        <f t="shared" si="5"/>
        <v>25896626.34360921</v>
      </c>
      <c r="L23" s="273" t="str">
        <f t="shared" si="6"/>
        <v>--</v>
      </c>
      <c r="M23" s="7">
        <f t="shared" si="7"/>
        <v>1561592.6242931504</v>
      </c>
      <c r="N23" s="7">
        <f t="shared" si="8"/>
        <v>80540</v>
      </c>
      <c r="O23" s="326">
        <f t="shared" si="9"/>
        <v>25</v>
      </c>
      <c r="P23" s="224" t="str">
        <f t="shared" si="10"/>
        <v/>
      </c>
      <c r="Q23" s="224" t="str">
        <f t="shared" si="11"/>
        <v/>
      </c>
      <c r="R23" s="224"/>
      <c r="S23" s="271" t="str">
        <f t="shared" si="12"/>
        <v/>
      </c>
      <c r="T23" s="7" t="str">
        <f t="shared" si="13"/>
        <v/>
      </c>
      <c r="U23" s="7">
        <f t="shared" si="14"/>
        <v>2E-3</v>
      </c>
      <c r="V23" s="7" t="str">
        <f t="shared" si="15"/>
        <v>X</v>
      </c>
      <c r="W23" s="7" t="str">
        <f>VLOOKUP(C23,'Tox Summary'!$N$3:$S$1048576,6,FALSE)</f>
        <v/>
      </c>
      <c r="X23" s="76" t="str">
        <f t="shared" si="16"/>
        <v/>
      </c>
      <c r="Y23" s="76">
        <f t="shared" si="17"/>
        <v>2.0857142857142859</v>
      </c>
      <c r="AA23" s="243"/>
    </row>
    <row r="24" spans="1:27">
      <c r="A24" s="265"/>
      <c r="B24" s="344" t="s">
        <v>637</v>
      </c>
      <c r="C24" s="269" t="s">
        <v>1429</v>
      </c>
      <c r="D24" s="280" t="str">
        <f>VLOOKUP(B24, 'Chem Props'!$1:$1048576,3,FALSE)</f>
        <v>Yes</v>
      </c>
      <c r="E24" s="598" t="str">
        <f t="shared" si="18"/>
        <v>Yes</v>
      </c>
      <c r="F24" s="7" t="str">
        <f t="shared" si="0"/>
        <v>Yes</v>
      </c>
      <c r="G24" s="270" t="str">
        <f t="shared" si="1"/>
        <v>Yes</v>
      </c>
      <c r="H24" s="76">
        <f t="shared" si="2"/>
        <v>62.571428571428569</v>
      </c>
      <c r="I24" s="271" t="str">
        <f t="shared" si="3"/>
        <v>NC</v>
      </c>
      <c r="J24" s="272">
        <f t="shared" si="4"/>
        <v>2085.7142857142858</v>
      </c>
      <c r="K24" s="272">
        <f t="shared" si="5"/>
        <v>44361.168785131915</v>
      </c>
      <c r="L24" s="273" t="str">
        <f t="shared" si="6"/>
        <v>--</v>
      </c>
      <c r="M24" s="7">
        <f t="shared" si="7"/>
        <v>196160272.44594249</v>
      </c>
      <c r="N24" s="7">
        <f t="shared" si="8"/>
        <v>1410500000</v>
      </c>
      <c r="O24" s="326">
        <f t="shared" si="9"/>
        <v>25</v>
      </c>
      <c r="P24" s="224">
        <f t="shared" si="10"/>
        <v>3</v>
      </c>
      <c r="Q24" s="224" t="str">
        <f t="shared" si="11"/>
        <v>N</v>
      </c>
      <c r="R24" s="224"/>
      <c r="S24" s="271" t="str">
        <f t="shared" si="12"/>
        <v/>
      </c>
      <c r="T24" s="7" t="str">
        <f t="shared" si="13"/>
        <v/>
      </c>
      <c r="U24" s="7">
        <f t="shared" si="14"/>
        <v>0.06</v>
      </c>
      <c r="V24" s="7" t="str">
        <f t="shared" si="15"/>
        <v>I</v>
      </c>
      <c r="W24" s="7" t="str">
        <f>VLOOKUP(C24,'Tox Summary'!$N$3:$S$1048576,6,FALSE)</f>
        <v/>
      </c>
      <c r="X24" s="76" t="str">
        <f t="shared" si="16"/>
        <v/>
      </c>
      <c r="Y24" s="76">
        <f t="shared" si="17"/>
        <v>62.571428571428569</v>
      </c>
      <c r="AA24" s="332"/>
    </row>
    <row r="25" spans="1:27">
      <c r="A25" s="265" t="s">
        <v>1413</v>
      </c>
      <c r="B25" s="269" t="s">
        <v>638</v>
      </c>
      <c r="C25" s="269" t="s">
        <v>1430</v>
      </c>
      <c r="D25" s="280" t="str">
        <f>VLOOKUP(B25, 'Chem Props'!$1:$1048576,3,FALSE)</f>
        <v>Yes</v>
      </c>
      <c r="E25" s="598" t="str">
        <f t="shared" si="18"/>
        <v>No</v>
      </c>
      <c r="F25" s="7" t="str">
        <f t="shared" si="0"/>
        <v>No Inhal. Tox. Info</v>
      </c>
      <c r="G25" s="270" t="str">
        <f t="shared" si="1"/>
        <v>No Inhal. Tox. Info</v>
      </c>
      <c r="H25" s="76" t="str">
        <f t="shared" si="2"/>
        <v>--</v>
      </c>
      <c r="I25" s="271" t="str">
        <f t="shared" si="3"/>
        <v>--</v>
      </c>
      <c r="J25" s="272" t="str">
        <f t="shared" si="4"/>
        <v>--</v>
      </c>
      <c r="K25" s="272" t="str">
        <f t="shared" si="5"/>
        <v>--</v>
      </c>
      <c r="L25" s="273" t="str">
        <f t="shared" si="6"/>
        <v>--</v>
      </c>
      <c r="M25" s="7">
        <f t="shared" si="7"/>
        <v>2566654.8613243029</v>
      </c>
      <c r="N25" s="7">
        <f t="shared" si="8"/>
        <v>2606476</v>
      </c>
      <c r="O25" s="326">
        <f t="shared" si="9"/>
        <v>25</v>
      </c>
      <c r="P25" s="224">
        <f t="shared" si="10"/>
        <v>1.1000000000000001</v>
      </c>
      <c r="Q25" s="224" t="str">
        <f t="shared" si="11"/>
        <v>M</v>
      </c>
      <c r="R25" s="224"/>
      <c r="S25" s="271" t="str">
        <f t="shared" si="12"/>
        <v/>
      </c>
      <c r="T25" s="7" t="str">
        <f t="shared" si="13"/>
        <v/>
      </c>
      <c r="U25" s="7" t="str">
        <f t="shared" si="14"/>
        <v/>
      </c>
      <c r="V25" s="7" t="str">
        <f t="shared" si="15"/>
        <v/>
      </c>
      <c r="W25" s="7" t="str">
        <f>VLOOKUP(C25,'Tox Summary'!$N$3:$S$1048576,6,FALSE)</f>
        <v/>
      </c>
      <c r="X25" s="76" t="str">
        <f t="shared" si="16"/>
        <v/>
      </c>
      <c r="Y25" s="76" t="str">
        <f t="shared" si="17"/>
        <v/>
      </c>
      <c r="AA25" s="243"/>
    </row>
    <row r="26" spans="1:27">
      <c r="A26" s="265"/>
      <c r="B26" s="344" t="s">
        <v>639</v>
      </c>
      <c r="C26" s="269" t="s">
        <v>558</v>
      </c>
      <c r="D26" s="280" t="str">
        <f>VLOOKUP(B26, 'Chem Props'!$1:$1048576,3,FALSE)</f>
        <v>No</v>
      </c>
      <c r="E26" s="598" t="str">
        <f t="shared" si="18"/>
        <v>Yes</v>
      </c>
      <c r="F26" s="7" t="str">
        <f t="shared" si="0"/>
        <v>No (not volatile)</v>
      </c>
      <c r="G26" s="270" t="str">
        <f t="shared" si="1"/>
        <v>No (not volatile)</v>
      </c>
      <c r="H26" s="76">
        <f t="shared" si="2"/>
        <v>2.1597633136094677E-3</v>
      </c>
      <c r="I26" s="271" t="str">
        <f t="shared" si="3"/>
        <v>C</v>
      </c>
      <c r="J26" s="272">
        <f t="shared" si="4"/>
        <v>7.1992110453648922E-2</v>
      </c>
      <c r="K26" s="272" t="str">
        <f t="shared" si="5"/>
        <v>NVT</v>
      </c>
      <c r="L26" s="273" t="str">
        <f t="shared" si="6"/>
        <v>--</v>
      </c>
      <c r="M26" s="7">
        <f t="shared" si="7"/>
        <v>1.1341617821972048</v>
      </c>
      <c r="N26" s="7">
        <f t="shared" si="8"/>
        <v>4.3439686400000004E-2</v>
      </c>
      <c r="O26" s="326">
        <f t="shared" si="9"/>
        <v>25</v>
      </c>
      <c r="P26" s="224" t="str">
        <f t="shared" si="10"/>
        <v/>
      </c>
      <c r="Q26" s="224" t="str">
        <f t="shared" si="11"/>
        <v/>
      </c>
      <c r="R26" s="224"/>
      <c r="S26" s="271">
        <f t="shared" si="12"/>
        <v>1.2999999999999999E-3</v>
      </c>
      <c r="T26" s="7" t="str">
        <f t="shared" si="13"/>
        <v>CA</v>
      </c>
      <c r="U26" s="7" t="str">
        <f t="shared" si="14"/>
        <v/>
      </c>
      <c r="V26" s="7" t="str">
        <f t="shared" si="15"/>
        <v/>
      </c>
      <c r="W26" s="7" t="str">
        <f>VLOOKUP(C26,'Tox Summary'!$N$3:$S$1048576,6,FALSE)</f>
        <v/>
      </c>
      <c r="X26" s="76">
        <f t="shared" si="16"/>
        <v>2.1597633136094677E-3</v>
      </c>
      <c r="Y26" s="76" t="str">
        <f t="shared" si="17"/>
        <v/>
      </c>
      <c r="AA26" s="332"/>
    </row>
    <row r="27" spans="1:27">
      <c r="A27" s="265" t="s">
        <v>1413</v>
      </c>
      <c r="B27" s="269" t="s">
        <v>640</v>
      </c>
      <c r="C27" s="269" t="s">
        <v>1431</v>
      </c>
      <c r="D27" s="280" t="str">
        <f>VLOOKUP(B27, 'Chem Props'!$1:$1048576,3,FALSE)</f>
        <v>Yes</v>
      </c>
      <c r="E27" s="598" t="str">
        <f t="shared" si="18"/>
        <v>Yes</v>
      </c>
      <c r="F27" s="7" t="str">
        <f t="shared" si="0"/>
        <v>Yes</v>
      </c>
      <c r="G27" s="270" t="str">
        <f t="shared" si="1"/>
        <v>Yes</v>
      </c>
      <c r="H27" s="76">
        <f t="shared" si="2"/>
        <v>2.0857142857142855E-2</v>
      </c>
      <c r="I27" s="271" t="str">
        <f t="shared" si="3"/>
        <v>NC</v>
      </c>
      <c r="J27" s="272">
        <f t="shared" si="4"/>
        <v>0.69523809523809521</v>
      </c>
      <c r="K27" s="272">
        <f t="shared" si="5"/>
        <v>4.1817155917843607</v>
      </c>
      <c r="L27" s="273" t="str">
        <f t="shared" si="6"/>
        <v>--</v>
      </c>
      <c r="M27" s="7">
        <f t="shared" si="7"/>
        <v>826902020.36959052</v>
      </c>
      <c r="N27" s="7">
        <f t="shared" si="8"/>
        <v>1057392400</v>
      </c>
      <c r="O27" s="326">
        <f t="shared" si="9"/>
        <v>25</v>
      </c>
      <c r="P27" s="224">
        <f t="shared" si="10"/>
        <v>2.8</v>
      </c>
      <c r="Q27" s="224" t="str">
        <f t="shared" si="11"/>
        <v>N</v>
      </c>
      <c r="R27" s="224"/>
      <c r="S27" s="271" t="str">
        <f t="shared" si="12"/>
        <v/>
      </c>
      <c r="T27" s="7" t="str">
        <f t="shared" si="13"/>
        <v/>
      </c>
      <c r="U27" s="7">
        <f t="shared" si="14"/>
        <v>2.0000000000000002E-5</v>
      </c>
      <c r="V27" s="7" t="str">
        <f t="shared" si="15"/>
        <v>I</v>
      </c>
      <c r="W27" s="7" t="str">
        <f>VLOOKUP(C27,'Tox Summary'!$N$3:$S$1048576,6,FALSE)</f>
        <v/>
      </c>
      <c r="X27" s="76" t="str">
        <f t="shared" si="16"/>
        <v/>
      </c>
      <c r="Y27" s="76">
        <f t="shared" si="17"/>
        <v>2.0857142857142855E-2</v>
      </c>
      <c r="AA27" s="243"/>
    </row>
    <row r="28" spans="1:27">
      <c r="A28" s="265" t="s">
        <v>1413</v>
      </c>
      <c r="B28" s="269" t="s">
        <v>641</v>
      </c>
      <c r="C28" s="269" t="s">
        <v>1397</v>
      </c>
      <c r="D28" s="280" t="str">
        <f>VLOOKUP(B28, 'Chem Props'!$1:$1048576,3,FALSE)</f>
        <v>No</v>
      </c>
      <c r="E28" s="598" t="str">
        <f t="shared" si="18"/>
        <v>Yes</v>
      </c>
      <c r="F28" s="7" t="str">
        <f t="shared" si="0"/>
        <v>No (not volatile)</v>
      </c>
      <c r="G28" s="270" t="str">
        <f t="shared" si="1"/>
        <v>No (not volatile)</v>
      </c>
      <c r="H28" s="76">
        <f t="shared" si="2"/>
        <v>1.0138888888888887E-2</v>
      </c>
      <c r="I28" s="271" t="str">
        <f t="shared" si="3"/>
        <v>C</v>
      </c>
      <c r="J28" s="272">
        <f t="shared" si="4"/>
        <v>0.33796296296296291</v>
      </c>
      <c r="K28" s="272">
        <f t="shared" si="5"/>
        <v>145881.19435531698</v>
      </c>
      <c r="L28" s="273" t="str">
        <f t="shared" si="6"/>
        <v>--</v>
      </c>
      <c r="M28" s="7">
        <f t="shared" si="7"/>
        <v>26772.722724144998</v>
      </c>
      <c r="N28" s="7">
        <f t="shared" si="8"/>
        <v>27105.389999999996</v>
      </c>
      <c r="O28" s="326">
        <f t="shared" si="9"/>
        <v>25</v>
      </c>
      <c r="P28" s="224" t="str">
        <f t="shared" si="10"/>
        <v/>
      </c>
      <c r="Q28" s="224" t="str">
        <f t="shared" si="11"/>
        <v/>
      </c>
      <c r="R28" s="224"/>
      <c r="S28" s="271">
        <f t="shared" si="12"/>
        <v>1E-4</v>
      </c>
      <c r="T28" s="7" t="str">
        <f t="shared" si="13"/>
        <v>I</v>
      </c>
      <c r="U28" s="7">
        <f t="shared" si="14"/>
        <v>6.0000000000000001E-3</v>
      </c>
      <c r="V28" s="7" t="str">
        <f t="shared" si="15"/>
        <v>I</v>
      </c>
      <c r="W28" s="7" t="str">
        <f>VLOOKUP(C28,'Tox Summary'!$N$3:$S$1048576,6,FALSE)</f>
        <v>Mut</v>
      </c>
      <c r="X28" s="76">
        <f t="shared" si="16"/>
        <v>1.0138888888888887E-2</v>
      </c>
      <c r="Y28" s="76">
        <f t="shared" si="17"/>
        <v>6.2571428571428571</v>
      </c>
      <c r="AA28" s="243"/>
    </row>
    <row r="29" spans="1:27">
      <c r="A29" s="265"/>
      <c r="B29" s="344" t="s">
        <v>642</v>
      </c>
      <c r="C29" s="269" t="s">
        <v>972</v>
      </c>
      <c r="D29" s="280" t="str">
        <f>VLOOKUP(B29, 'Chem Props'!$1:$1048576,3,FALSE)</f>
        <v>Yes</v>
      </c>
      <c r="E29" s="598" t="str">
        <f t="shared" si="18"/>
        <v>Yes</v>
      </c>
      <c r="F29" s="7" t="str">
        <f t="shared" si="0"/>
        <v>Yes</v>
      </c>
      <c r="G29" s="270" t="str">
        <f t="shared" si="1"/>
        <v>Yes</v>
      </c>
      <c r="H29" s="76">
        <f t="shared" si="2"/>
        <v>1.0428571428571429</v>
      </c>
      <c r="I29" s="271" t="str">
        <f t="shared" si="3"/>
        <v>NC</v>
      </c>
      <c r="J29" s="272">
        <f t="shared" si="4"/>
        <v>34.761904761904766</v>
      </c>
      <c r="K29" s="272">
        <f t="shared" si="5"/>
        <v>69063.38694418165</v>
      </c>
      <c r="L29" s="273" t="str">
        <f t="shared" si="6"/>
        <v>--</v>
      </c>
      <c r="M29" s="7">
        <f t="shared" si="7"/>
        <v>15394375.025091512</v>
      </c>
      <c r="N29" s="7">
        <f t="shared" si="8"/>
        <v>15100000</v>
      </c>
      <c r="O29" s="326">
        <f t="shared" si="9"/>
        <v>25</v>
      </c>
      <c r="P29" s="224">
        <f t="shared" si="10"/>
        <v>2.4</v>
      </c>
      <c r="Q29" s="224" t="str">
        <f t="shared" si="11"/>
        <v>N</v>
      </c>
      <c r="R29" s="224"/>
      <c r="S29" s="271" t="str">
        <f t="shared" si="12"/>
        <v/>
      </c>
      <c r="T29" s="7" t="str">
        <f t="shared" si="13"/>
        <v/>
      </c>
      <c r="U29" s="7">
        <f t="shared" si="14"/>
        <v>1E-3</v>
      </c>
      <c r="V29" s="7" t="str">
        <f t="shared" si="15"/>
        <v>I</v>
      </c>
      <c r="W29" s="7" t="str">
        <f>VLOOKUP(C29,'Tox Summary'!$N$3:$S$1048576,6,FALSE)</f>
        <v/>
      </c>
      <c r="X29" s="76" t="str">
        <f t="shared" si="16"/>
        <v/>
      </c>
      <c r="Y29" s="76">
        <f t="shared" si="17"/>
        <v>1.0428571428571429</v>
      </c>
      <c r="AA29" s="332"/>
    </row>
    <row r="30" spans="1:27">
      <c r="A30" s="265"/>
      <c r="B30" s="344" t="s">
        <v>643</v>
      </c>
      <c r="C30" s="269" t="s">
        <v>1432</v>
      </c>
      <c r="D30" s="280" t="str">
        <f>VLOOKUP(B30, 'Chem Props'!$1:$1048576,3,FALSE)</f>
        <v>Yes</v>
      </c>
      <c r="E30" s="598" t="str">
        <f t="shared" si="18"/>
        <v>Yes</v>
      </c>
      <c r="F30" s="7" t="str">
        <f t="shared" si="0"/>
        <v>Yes</v>
      </c>
      <c r="G30" s="270" t="str">
        <f t="shared" si="1"/>
        <v>Yes</v>
      </c>
      <c r="H30" s="76">
        <f t="shared" si="2"/>
        <v>4.1289592760180995E-2</v>
      </c>
      <c r="I30" s="271" t="str">
        <f t="shared" si="3"/>
        <v>C</v>
      </c>
      <c r="J30" s="272">
        <f t="shared" si="4"/>
        <v>1.3763197586726998</v>
      </c>
      <c r="K30" s="272">
        <f t="shared" si="5"/>
        <v>7.3183843670006548</v>
      </c>
      <c r="L30" s="273" t="str">
        <f t="shared" si="6"/>
        <v>--</v>
      </c>
      <c r="M30" s="7">
        <f t="shared" si="7"/>
        <v>309801070.06046051</v>
      </c>
      <c r="N30" s="7">
        <f t="shared" si="8"/>
        <v>420321550</v>
      </c>
      <c r="O30" s="326">
        <f t="shared" si="9"/>
        <v>25</v>
      </c>
      <c r="P30" s="224">
        <f t="shared" si="10"/>
        <v>3</v>
      </c>
      <c r="Q30" s="224" t="str">
        <f t="shared" si="11"/>
        <v>N</v>
      </c>
      <c r="R30" s="224"/>
      <c r="S30" s="271">
        <f t="shared" si="12"/>
        <v>6.7999999999999999E-5</v>
      </c>
      <c r="T30" s="7" t="str">
        <f t="shared" si="13"/>
        <v>I</v>
      </c>
      <c r="U30" s="7">
        <f t="shared" si="14"/>
        <v>2E-3</v>
      </c>
      <c r="V30" s="7" t="str">
        <f t="shared" si="15"/>
        <v>I</v>
      </c>
      <c r="W30" s="7" t="str">
        <f>VLOOKUP(C30,'Tox Summary'!$N$3:$S$1048576,6,FALSE)</f>
        <v/>
      </c>
      <c r="X30" s="76">
        <f t="shared" si="16"/>
        <v>4.1289592760180995E-2</v>
      </c>
      <c r="Y30" s="76">
        <f t="shared" si="17"/>
        <v>2.0857142857142859</v>
      </c>
      <c r="AA30" s="332"/>
    </row>
    <row r="31" spans="1:27">
      <c r="A31" s="265"/>
      <c r="B31" s="344" t="s">
        <v>644</v>
      </c>
      <c r="C31" s="269" t="s">
        <v>973</v>
      </c>
      <c r="D31" s="280" t="str">
        <f>VLOOKUP(B31, 'Chem Props'!$1:$1048576,3,FALSE)</f>
        <v>No</v>
      </c>
      <c r="E31" s="598" t="str">
        <f t="shared" si="18"/>
        <v>Yes</v>
      </c>
      <c r="F31" s="7" t="str">
        <f t="shared" si="0"/>
        <v>No (not volatile)</v>
      </c>
      <c r="G31" s="270" t="str">
        <f t="shared" si="1"/>
        <v>No (not volatile)</v>
      </c>
      <c r="H31" s="76">
        <f t="shared" si="2"/>
        <v>6.2571428571428571</v>
      </c>
      <c r="I31" s="271" t="str">
        <f t="shared" si="3"/>
        <v>NC</v>
      </c>
      <c r="J31" s="272">
        <f t="shared" si="4"/>
        <v>208.57142857142858</v>
      </c>
      <c r="K31" s="272" t="str">
        <f t="shared" si="5"/>
        <v>NVT</v>
      </c>
      <c r="L31" s="273" t="str">
        <f t="shared" si="6"/>
        <v>--</v>
      </c>
      <c r="M31" s="7">
        <f t="shared" si="7"/>
        <v>3951.0209321000143</v>
      </c>
      <c r="N31" s="7">
        <f t="shared" si="8"/>
        <v>3957.52</v>
      </c>
      <c r="O31" s="326">
        <f t="shared" si="9"/>
        <v>25</v>
      </c>
      <c r="P31" s="224" t="str">
        <f t="shared" si="10"/>
        <v/>
      </c>
      <c r="Q31" s="224" t="str">
        <f t="shared" si="11"/>
        <v/>
      </c>
      <c r="R31" s="224"/>
      <c r="S31" s="271" t="str">
        <f t="shared" si="12"/>
        <v/>
      </c>
      <c r="T31" s="7" t="str">
        <f t="shared" si="13"/>
        <v/>
      </c>
      <c r="U31" s="7">
        <f t="shared" si="14"/>
        <v>6.0000000000000001E-3</v>
      </c>
      <c r="V31" s="7" t="str">
        <f t="shared" si="15"/>
        <v>P</v>
      </c>
      <c r="W31" s="7" t="str">
        <f>VLOOKUP(C31,'Tox Summary'!$N$3:$S$1048576,6,FALSE)</f>
        <v/>
      </c>
      <c r="X31" s="76" t="str">
        <f t="shared" si="16"/>
        <v/>
      </c>
      <c r="Y31" s="76">
        <f t="shared" si="17"/>
        <v>6.2571428571428571</v>
      </c>
      <c r="AA31" s="332"/>
    </row>
    <row r="32" spans="1:27">
      <c r="A32" s="265"/>
      <c r="B32" s="344" t="s">
        <v>645</v>
      </c>
      <c r="C32" s="269" t="s">
        <v>974</v>
      </c>
      <c r="D32" s="280" t="str">
        <f>VLOOKUP(B32, 'Chem Props'!$1:$1048576,3,FALSE)</f>
        <v>No</v>
      </c>
      <c r="E32" s="598" t="str">
        <f t="shared" si="18"/>
        <v>No</v>
      </c>
      <c r="F32" s="7" t="str">
        <f t="shared" si="0"/>
        <v>No (not volatile)</v>
      </c>
      <c r="G32" s="270" t="str">
        <f t="shared" si="1"/>
        <v>No (not volatile)</v>
      </c>
      <c r="H32" s="76" t="str">
        <f t="shared" si="2"/>
        <v>--</v>
      </c>
      <c r="I32" s="271" t="str">
        <f t="shared" si="3"/>
        <v>--</v>
      </c>
      <c r="J32" s="272" t="str">
        <f t="shared" si="4"/>
        <v>--</v>
      </c>
      <c r="K32" s="272" t="str">
        <f t="shared" si="5"/>
        <v>--</v>
      </c>
      <c r="L32" s="273" t="str">
        <f t="shared" si="6"/>
        <v>No (2)</v>
      </c>
      <c r="M32" s="7">
        <f t="shared" si="7"/>
        <v>319.35191427734759</v>
      </c>
      <c r="N32" s="7">
        <f t="shared" si="8"/>
        <v>81.635999999999996</v>
      </c>
      <c r="O32" s="326">
        <f t="shared" si="9"/>
        <v>25</v>
      </c>
      <c r="P32" s="224" t="str">
        <f t="shared" si="10"/>
        <v/>
      </c>
      <c r="Q32" s="224" t="str">
        <f t="shared" si="11"/>
        <v/>
      </c>
      <c r="R32" s="224"/>
      <c r="S32" s="271" t="str">
        <f t="shared" si="12"/>
        <v/>
      </c>
      <c r="T32" s="7" t="str">
        <f t="shared" si="13"/>
        <v/>
      </c>
      <c r="U32" s="7" t="str">
        <f t="shared" si="14"/>
        <v/>
      </c>
      <c r="V32" s="7" t="str">
        <f t="shared" si="15"/>
        <v/>
      </c>
      <c r="W32" s="7" t="str">
        <f>VLOOKUP(C32,'Tox Summary'!$N$3:$S$1048576,6,FALSE)</f>
        <v/>
      </c>
      <c r="X32" s="76" t="str">
        <f t="shared" si="16"/>
        <v/>
      </c>
      <c r="Y32" s="76" t="str">
        <f t="shared" si="17"/>
        <v/>
      </c>
      <c r="AA32" s="332"/>
    </row>
    <row r="33" spans="1:27">
      <c r="A33" s="265"/>
      <c r="B33" s="344" t="s">
        <v>646</v>
      </c>
      <c r="C33" s="269" t="s">
        <v>975</v>
      </c>
      <c r="D33" s="280" t="str">
        <f>VLOOKUP(B33, 'Chem Props'!$1:$1048576,3,FALSE)</f>
        <v>No</v>
      </c>
      <c r="E33" s="598" t="str">
        <f t="shared" si="18"/>
        <v>No</v>
      </c>
      <c r="F33" s="7" t="str">
        <f t="shared" si="0"/>
        <v>No (not volatile)</v>
      </c>
      <c r="G33" s="270" t="str">
        <f t="shared" si="1"/>
        <v>No (not volatile)</v>
      </c>
      <c r="H33" s="76" t="str">
        <f t="shared" si="2"/>
        <v>--</v>
      </c>
      <c r="I33" s="271" t="str">
        <f t="shared" si="3"/>
        <v>--</v>
      </c>
      <c r="J33" s="272" t="str">
        <f t="shared" si="4"/>
        <v>--</v>
      </c>
      <c r="K33" s="272" t="str">
        <f t="shared" si="5"/>
        <v>--</v>
      </c>
      <c r="L33" s="273" t="str">
        <f t="shared" si="6"/>
        <v>No (3)</v>
      </c>
      <c r="M33" s="7">
        <f t="shared" si="7"/>
        <v>355.26545827176307</v>
      </c>
      <c r="N33" s="7">
        <f t="shared" si="8"/>
        <v>354.99815999999998</v>
      </c>
      <c r="O33" s="326">
        <f t="shared" si="9"/>
        <v>25</v>
      </c>
      <c r="P33" s="224" t="str">
        <f t="shared" si="10"/>
        <v/>
      </c>
      <c r="Q33" s="224" t="str">
        <f t="shared" si="11"/>
        <v/>
      </c>
      <c r="R33" s="224"/>
      <c r="S33" s="271" t="str">
        <f t="shared" si="12"/>
        <v/>
      </c>
      <c r="T33" s="7" t="str">
        <f t="shared" si="13"/>
        <v/>
      </c>
      <c r="U33" s="7" t="str">
        <f t="shared" si="14"/>
        <v/>
      </c>
      <c r="V33" s="7" t="str">
        <f t="shared" si="15"/>
        <v/>
      </c>
      <c r="W33" s="7" t="str">
        <f>VLOOKUP(C33,'Tox Summary'!$N$3:$S$1048576,6,FALSE)</f>
        <v/>
      </c>
      <c r="X33" s="76" t="str">
        <f t="shared" si="16"/>
        <v/>
      </c>
      <c r="Y33" s="76" t="str">
        <f t="shared" si="17"/>
        <v/>
      </c>
      <c r="AA33" s="332"/>
    </row>
    <row r="34" spans="1:27">
      <c r="A34" s="265"/>
      <c r="B34" s="344" t="s">
        <v>647</v>
      </c>
      <c r="C34" s="269" t="s">
        <v>976</v>
      </c>
      <c r="D34" s="280" t="str">
        <f>VLOOKUP(B34, 'Chem Props'!$1:$1048576,3,FALSE)</f>
        <v>No</v>
      </c>
      <c r="E34" s="598" t="str">
        <f t="shared" si="18"/>
        <v>No</v>
      </c>
      <c r="F34" s="7" t="str">
        <f t="shared" si="0"/>
        <v>No (not volatile)</v>
      </c>
      <c r="G34" s="270" t="str">
        <f t="shared" si="1"/>
        <v>No (not volatile)</v>
      </c>
      <c r="H34" s="76" t="str">
        <f t="shared" si="2"/>
        <v>--</v>
      </c>
      <c r="I34" s="271" t="str">
        <f t="shared" si="3"/>
        <v>--</v>
      </c>
      <c r="J34" s="272" t="str">
        <f t="shared" si="4"/>
        <v>--</v>
      </c>
      <c r="K34" s="272" t="str">
        <f t="shared" si="5"/>
        <v>--</v>
      </c>
      <c r="L34" s="273" t="str">
        <f t="shared" si="6"/>
        <v>No (2)</v>
      </c>
      <c r="M34" s="7">
        <f t="shared" si="7"/>
        <v>1076.3586627759498</v>
      </c>
      <c r="N34" s="7">
        <f t="shared" si="8"/>
        <v>1377.8</v>
      </c>
      <c r="O34" s="326">
        <f t="shared" si="9"/>
        <v>25</v>
      </c>
      <c r="P34" s="224" t="str">
        <f t="shared" si="10"/>
        <v/>
      </c>
      <c r="Q34" s="224" t="str">
        <f t="shared" si="11"/>
        <v/>
      </c>
      <c r="R34" s="224"/>
      <c r="S34" s="271" t="str">
        <f t="shared" si="12"/>
        <v/>
      </c>
      <c r="T34" s="7" t="str">
        <f t="shared" si="13"/>
        <v/>
      </c>
      <c r="U34" s="7" t="str">
        <f t="shared" si="14"/>
        <v/>
      </c>
      <c r="V34" s="7" t="str">
        <f t="shared" si="15"/>
        <v/>
      </c>
      <c r="W34" s="7" t="str">
        <f>VLOOKUP(C34,'Tox Summary'!$N$3:$S$1048576,6,FALSE)</f>
        <v/>
      </c>
      <c r="X34" s="76" t="str">
        <f t="shared" si="16"/>
        <v/>
      </c>
      <c r="Y34" s="76" t="str">
        <f t="shared" si="17"/>
        <v/>
      </c>
      <c r="AA34" s="332"/>
    </row>
    <row r="35" spans="1:27">
      <c r="A35" s="265"/>
      <c r="B35" s="269" t="s">
        <v>1995</v>
      </c>
      <c r="C35" s="269" t="s">
        <v>1994</v>
      </c>
      <c r="D35" s="280" t="str">
        <f>VLOOKUP(B35, 'Chem Props'!$1:$1048576,3,FALSE)</f>
        <v>No</v>
      </c>
      <c r="E35" s="598" t="str">
        <f t="shared" si="18"/>
        <v>No</v>
      </c>
      <c r="F35" s="7" t="str">
        <f t="shared" si="0"/>
        <v>No (not volatile)</v>
      </c>
      <c r="G35" s="270" t="str">
        <f t="shared" si="1"/>
        <v>No (not volatile)</v>
      </c>
      <c r="H35" s="76" t="str">
        <f t="shared" si="2"/>
        <v>--</v>
      </c>
      <c r="I35" s="271" t="str">
        <f t="shared" si="3"/>
        <v>--</v>
      </c>
      <c r="J35" s="272" t="str">
        <f t="shared" si="4"/>
        <v>--</v>
      </c>
      <c r="K35" s="272" t="str">
        <f t="shared" si="5"/>
        <v>--</v>
      </c>
      <c r="L35" s="273" t="str">
        <f t="shared" si="6"/>
        <v>No (4)</v>
      </c>
      <c r="M35" s="7">
        <f t="shared" si="7"/>
        <v>1109.9138215043201</v>
      </c>
      <c r="N35" s="7">
        <f t="shared" si="8"/>
        <v>1109.248</v>
      </c>
      <c r="O35" s="326">
        <f t="shared" si="9"/>
        <v>25</v>
      </c>
      <c r="P35" s="224" t="str">
        <f t="shared" si="10"/>
        <v/>
      </c>
      <c r="Q35" s="224" t="str">
        <f t="shared" si="11"/>
        <v/>
      </c>
      <c r="R35" s="224"/>
      <c r="S35" s="271" t="str">
        <f t="shared" si="12"/>
        <v/>
      </c>
      <c r="T35" s="7" t="str">
        <f t="shared" si="13"/>
        <v/>
      </c>
      <c r="U35" s="7" t="str">
        <f t="shared" si="14"/>
        <v/>
      </c>
      <c r="V35" s="7" t="str">
        <f t="shared" si="15"/>
        <v/>
      </c>
      <c r="W35" s="7" t="str">
        <f>VLOOKUP(C35,'Tox Summary'!$N$3:$S$1048576,6,FALSE)</f>
        <v/>
      </c>
      <c r="X35" s="76" t="str">
        <f t="shared" si="16"/>
        <v/>
      </c>
      <c r="Y35" s="76" t="str">
        <f t="shared" si="17"/>
        <v/>
      </c>
      <c r="AA35" s="243"/>
    </row>
    <row r="36" spans="1:27">
      <c r="A36" s="265"/>
      <c r="B36" s="344" t="s">
        <v>648</v>
      </c>
      <c r="C36" s="269" t="s">
        <v>425</v>
      </c>
      <c r="D36" s="280" t="str">
        <f>VLOOKUP(B36, 'Chem Props'!$1:$1048576,3,FALSE)</f>
        <v>Yes</v>
      </c>
      <c r="E36" s="598" t="str">
        <f t="shared" si="18"/>
        <v>Yes</v>
      </c>
      <c r="F36" s="7" t="str">
        <f t="shared" si="0"/>
        <v>Yes</v>
      </c>
      <c r="G36" s="270" t="str">
        <f t="shared" si="1"/>
        <v>Yes</v>
      </c>
      <c r="H36" s="76">
        <f t="shared" si="2"/>
        <v>5.729984301412873E-4</v>
      </c>
      <c r="I36" s="271" t="str">
        <f t="shared" si="3"/>
        <v>C</v>
      </c>
      <c r="J36" s="272">
        <f t="shared" si="4"/>
        <v>1.9099947671376245E-2</v>
      </c>
      <c r="K36" s="272">
        <f t="shared" si="5"/>
        <v>0.3185271166497789</v>
      </c>
      <c r="L36" s="273" t="str">
        <f t="shared" si="6"/>
        <v>--</v>
      </c>
      <c r="M36" s="7">
        <f t="shared" si="7"/>
        <v>2356.3082469192213</v>
      </c>
      <c r="N36" s="7">
        <f t="shared" si="8"/>
        <v>30.581300000000006</v>
      </c>
      <c r="O36" s="326">
        <f t="shared" si="9"/>
        <v>25</v>
      </c>
      <c r="P36" s="224" t="str">
        <f t="shared" si="10"/>
        <v/>
      </c>
      <c r="Q36" s="224" t="str">
        <f t="shared" si="11"/>
        <v/>
      </c>
      <c r="R36" s="224"/>
      <c r="S36" s="271">
        <f t="shared" si="12"/>
        <v>4.8999999999999998E-3</v>
      </c>
      <c r="T36" s="7" t="str">
        <f t="shared" si="13"/>
        <v>I</v>
      </c>
      <c r="U36" s="7" t="str">
        <f t="shared" si="14"/>
        <v/>
      </c>
      <c r="V36" s="7" t="str">
        <f t="shared" si="15"/>
        <v/>
      </c>
      <c r="W36" s="7" t="str">
        <f>VLOOKUP(C36,'Tox Summary'!$N$3:$S$1048576,6,FALSE)</f>
        <v/>
      </c>
      <c r="X36" s="76">
        <f t="shared" si="16"/>
        <v>5.729984301412873E-4</v>
      </c>
      <c r="Y36" s="76" t="str">
        <f t="shared" si="17"/>
        <v/>
      </c>
      <c r="AA36" s="332"/>
    </row>
    <row r="37" spans="1:27">
      <c r="A37" s="265"/>
      <c r="B37" s="269" t="s">
        <v>650</v>
      </c>
      <c r="C37" s="269" t="s">
        <v>977</v>
      </c>
      <c r="D37" s="280" t="str">
        <f>VLOOKUP(B37, 'Chem Props'!$1:$1048576,3,FALSE)</f>
        <v>Yes</v>
      </c>
      <c r="E37" s="598" t="str">
        <f t="shared" si="18"/>
        <v>Yes</v>
      </c>
      <c r="F37" s="7" t="str">
        <f t="shared" si="0"/>
        <v>Yes</v>
      </c>
      <c r="G37" s="270" t="str">
        <f t="shared" si="1"/>
        <v>Yes</v>
      </c>
      <c r="H37" s="76">
        <f t="shared" si="2"/>
        <v>0.10428571428571429</v>
      </c>
      <c r="I37" s="271" t="str">
        <f t="shared" si="3"/>
        <v>NC</v>
      </c>
      <c r="J37" s="272">
        <f t="shared" si="4"/>
        <v>3.4761904761904763</v>
      </c>
      <c r="K37" s="272">
        <f t="shared" si="5"/>
        <v>511.2044817927171</v>
      </c>
      <c r="L37" s="273" t="str">
        <f t="shared" si="6"/>
        <v>--</v>
      </c>
      <c r="M37" s="7">
        <f t="shared" si="7"/>
        <v>81569496.863493577</v>
      </c>
      <c r="N37" s="7">
        <f t="shared" si="8"/>
        <v>204000000</v>
      </c>
      <c r="O37" s="326">
        <f t="shared" si="9"/>
        <v>25</v>
      </c>
      <c r="P37" s="224">
        <f t="shared" si="10"/>
        <v>2.5</v>
      </c>
      <c r="Q37" s="224" t="str">
        <f t="shared" si="11"/>
        <v>N</v>
      </c>
      <c r="R37" s="224"/>
      <c r="S37" s="271" t="str">
        <f t="shared" si="12"/>
        <v/>
      </c>
      <c r="T37" s="7" t="str">
        <f t="shared" si="13"/>
        <v/>
      </c>
      <c r="U37" s="7">
        <f t="shared" si="14"/>
        <v>1E-4</v>
      </c>
      <c r="V37" s="7" t="str">
        <f t="shared" si="15"/>
        <v>X</v>
      </c>
      <c r="W37" s="7" t="str">
        <f>VLOOKUP(C37,'Tox Summary'!$N$3:$S$1048576,6,FALSE)</f>
        <v/>
      </c>
      <c r="X37" s="76" t="str">
        <f t="shared" si="16"/>
        <v/>
      </c>
      <c r="Y37" s="76">
        <f t="shared" si="17"/>
        <v>0.10428571428571429</v>
      </c>
      <c r="AA37" s="243"/>
    </row>
    <row r="38" spans="1:27">
      <c r="A38" s="265"/>
      <c r="B38" s="269" t="s">
        <v>651</v>
      </c>
      <c r="C38" s="269" t="s">
        <v>978</v>
      </c>
      <c r="D38" s="280" t="str">
        <f>VLOOKUP(B38, 'Chem Props'!$1:$1048576,3,FALSE)</f>
        <v>Yes</v>
      </c>
      <c r="E38" s="598" t="str">
        <f t="shared" si="18"/>
        <v>Yes</v>
      </c>
      <c r="F38" s="7" t="str">
        <f t="shared" si="0"/>
        <v>Yes</v>
      </c>
      <c r="G38" s="270" t="str">
        <f t="shared" si="1"/>
        <v>Yes</v>
      </c>
      <c r="H38" s="76">
        <f t="shared" si="2"/>
        <v>0.4679487179487179</v>
      </c>
      <c r="I38" s="271" t="str">
        <f t="shared" si="3"/>
        <v>C</v>
      </c>
      <c r="J38" s="272">
        <f t="shared" si="4"/>
        <v>15.598290598290598</v>
      </c>
      <c r="K38" s="272">
        <f t="shared" si="5"/>
        <v>1.0405478283048417</v>
      </c>
      <c r="L38" s="273" t="str">
        <f t="shared" si="6"/>
        <v>--</v>
      </c>
      <c r="M38" s="7">
        <f t="shared" si="7"/>
        <v>1514927998.8327591</v>
      </c>
      <c r="N38" s="7">
        <f t="shared" si="8"/>
        <v>1515535506</v>
      </c>
      <c r="O38" s="326">
        <f t="shared" si="9"/>
        <v>25</v>
      </c>
      <c r="P38" s="224" t="str">
        <f t="shared" si="10"/>
        <v/>
      </c>
      <c r="Q38" s="224" t="str">
        <f t="shared" si="11"/>
        <v/>
      </c>
      <c r="R38" s="224"/>
      <c r="S38" s="271">
        <f t="shared" si="12"/>
        <v>6.0000000000000002E-6</v>
      </c>
      <c r="T38" s="7" t="str">
        <f t="shared" si="13"/>
        <v>CA</v>
      </c>
      <c r="U38" s="7">
        <f t="shared" si="14"/>
        <v>1E-3</v>
      </c>
      <c r="V38" s="7" t="str">
        <f t="shared" si="15"/>
        <v>I</v>
      </c>
      <c r="W38" s="7" t="str">
        <f>VLOOKUP(C38,'Tox Summary'!$N$3:$S$1048576,6,FALSE)</f>
        <v/>
      </c>
      <c r="X38" s="76">
        <f t="shared" si="16"/>
        <v>0.4679487179487179</v>
      </c>
      <c r="Y38" s="76">
        <f t="shared" si="17"/>
        <v>1.0428571428571429</v>
      </c>
      <c r="AA38" s="243"/>
    </row>
    <row r="39" spans="1:27">
      <c r="A39" s="265" t="s">
        <v>1413</v>
      </c>
      <c r="B39" s="344" t="s">
        <v>652</v>
      </c>
      <c r="C39" s="269" t="s">
        <v>979</v>
      </c>
      <c r="D39" s="280" t="str">
        <f>VLOOKUP(B39, 'Chem Props'!$1:$1048576,3,FALSE)</f>
        <v>No</v>
      </c>
      <c r="E39" s="598" t="str">
        <f t="shared" si="18"/>
        <v>Yes</v>
      </c>
      <c r="F39" s="7" t="str">
        <f t="shared" si="0"/>
        <v>No (not volatile)</v>
      </c>
      <c r="G39" s="270" t="str">
        <f t="shared" si="1"/>
        <v>No (not volatile)</v>
      </c>
      <c r="H39" s="76" t="str">
        <f t="shared" si="2"/>
        <v>NVT</v>
      </c>
      <c r="I39" s="271" t="str">
        <f t="shared" si="3"/>
        <v>NC</v>
      </c>
      <c r="J39" s="272" t="str">
        <f t="shared" si="4"/>
        <v>NVT</v>
      </c>
      <c r="K39" s="272" t="str">
        <f t="shared" si="5"/>
        <v>NVT</v>
      </c>
      <c r="L39" s="273" t="str">
        <f t="shared" si="6"/>
        <v>--</v>
      </c>
      <c r="M39" s="7">
        <f t="shared" si="7"/>
        <v>0</v>
      </c>
      <c r="N39" s="7" t="str">
        <f t="shared" si="8"/>
        <v>No S</v>
      </c>
      <c r="O39" s="326">
        <f t="shared" si="9"/>
        <v>25</v>
      </c>
      <c r="P39" s="224" t="str">
        <f t="shared" si="10"/>
        <v/>
      </c>
      <c r="Q39" s="224" t="str">
        <f t="shared" si="11"/>
        <v/>
      </c>
      <c r="R39" s="224"/>
      <c r="S39" s="271" t="str">
        <f t="shared" si="12"/>
        <v/>
      </c>
      <c r="T39" s="7" t="str">
        <f t="shared" si="13"/>
        <v/>
      </c>
      <c r="U39" s="7">
        <f t="shared" si="14"/>
        <v>5.0000000000000001E-3</v>
      </c>
      <c r="V39" s="7" t="str">
        <f t="shared" si="15"/>
        <v>P</v>
      </c>
      <c r="W39" s="7" t="str">
        <f>VLOOKUP(C39,'Tox Summary'!$N$3:$S$1048576,6,FALSE)</f>
        <v/>
      </c>
      <c r="X39" s="76" t="str">
        <f t="shared" si="16"/>
        <v/>
      </c>
      <c r="Y39" s="76">
        <f t="shared" si="17"/>
        <v>5.2142857142857144</v>
      </c>
      <c r="AA39" s="332"/>
    </row>
    <row r="40" spans="1:27" ht="15" customHeight="1">
      <c r="A40" s="265"/>
      <c r="B40" s="344" t="s">
        <v>1581</v>
      </c>
      <c r="C40" s="269" t="s">
        <v>2381</v>
      </c>
      <c r="D40" s="280" t="str">
        <f>VLOOKUP(B40, 'Chem Props'!$1:$1048576,3,FALSE)</f>
        <v>No</v>
      </c>
      <c r="E40" s="598" t="str">
        <f t="shared" si="18"/>
        <v>No</v>
      </c>
      <c r="F40" s="7" t="str">
        <f t="shared" si="0"/>
        <v>No (not volatile)</v>
      </c>
      <c r="G40" s="270" t="str">
        <f t="shared" si="1"/>
        <v>No (not volatile)</v>
      </c>
      <c r="H40" s="76" t="str">
        <f t="shared" si="2"/>
        <v>No VP</v>
      </c>
      <c r="I40" s="271" t="str">
        <f t="shared" si="3"/>
        <v>--</v>
      </c>
      <c r="J40" s="272" t="str">
        <f t="shared" si="4"/>
        <v>No VP</v>
      </c>
      <c r="K40" s="272" t="str">
        <f t="shared" si="5"/>
        <v>No VP</v>
      </c>
      <c r="L40" s="273" t="str">
        <f t="shared" si="6"/>
        <v>--</v>
      </c>
      <c r="M40" s="7" t="str">
        <f t="shared" si="7"/>
        <v>No VP</v>
      </c>
      <c r="N40" s="7" t="str">
        <f t="shared" si="8"/>
        <v>No S</v>
      </c>
      <c r="O40" s="326">
        <f t="shared" si="9"/>
        <v>25</v>
      </c>
      <c r="P40" s="224" t="str">
        <f t="shared" si="10"/>
        <v/>
      </c>
      <c r="Q40" s="224" t="str">
        <f t="shared" si="11"/>
        <v/>
      </c>
      <c r="R40" s="224"/>
      <c r="S40" s="271" t="str">
        <f t="shared" si="12"/>
        <v/>
      </c>
      <c r="T40" s="7" t="str">
        <f t="shared" si="13"/>
        <v/>
      </c>
      <c r="U40" s="7" t="str">
        <f t="shared" si="14"/>
        <v/>
      </c>
      <c r="V40" s="7" t="str">
        <f t="shared" si="15"/>
        <v/>
      </c>
      <c r="W40" s="7" t="str">
        <f>VLOOKUP(C40,'Tox Summary'!$N$3:$S$1048576,6,FALSE)</f>
        <v/>
      </c>
      <c r="X40" s="76" t="str">
        <f t="shared" si="16"/>
        <v/>
      </c>
      <c r="Y40" s="76" t="str">
        <f t="shared" si="17"/>
        <v/>
      </c>
      <c r="AA40" s="332"/>
    </row>
    <row r="41" spans="1:27">
      <c r="A41" s="265"/>
      <c r="B41" s="344" t="s">
        <v>653</v>
      </c>
      <c r="C41" s="269" t="s">
        <v>980</v>
      </c>
      <c r="D41" s="280" t="str">
        <f>VLOOKUP(B41, 'Chem Props'!$1:$1048576,3,FALSE)</f>
        <v>No</v>
      </c>
      <c r="E41" s="598" t="str">
        <f t="shared" si="18"/>
        <v>No</v>
      </c>
      <c r="F41" s="7" t="str">
        <f t="shared" si="0"/>
        <v>No (not volatile)</v>
      </c>
      <c r="G41" s="270" t="str">
        <f t="shared" si="1"/>
        <v>No (not volatile)</v>
      </c>
      <c r="H41" s="76" t="str">
        <f t="shared" si="2"/>
        <v>No VP</v>
      </c>
      <c r="I41" s="271" t="str">
        <f t="shared" si="3"/>
        <v>--</v>
      </c>
      <c r="J41" s="272" t="str">
        <f t="shared" si="4"/>
        <v>No VP</v>
      </c>
      <c r="K41" s="272" t="str">
        <f t="shared" si="5"/>
        <v>No VP</v>
      </c>
      <c r="L41" s="273" t="str">
        <f t="shared" si="6"/>
        <v>--</v>
      </c>
      <c r="M41" s="7" t="str">
        <f t="shared" si="7"/>
        <v>No VP</v>
      </c>
      <c r="N41" s="7" t="str">
        <f t="shared" si="8"/>
        <v>No S</v>
      </c>
      <c r="O41" s="326">
        <f t="shared" si="9"/>
        <v>25</v>
      </c>
      <c r="P41" s="224" t="str">
        <f t="shared" si="10"/>
        <v/>
      </c>
      <c r="Q41" s="224" t="str">
        <f t="shared" si="11"/>
        <v/>
      </c>
      <c r="R41" s="224"/>
      <c r="S41" s="271" t="str">
        <f t="shared" si="12"/>
        <v/>
      </c>
      <c r="T41" s="7" t="str">
        <f t="shared" si="13"/>
        <v/>
      </c>
      <c r="U41" s="7" t="str">
        <f t="shared" si="14"/>
        <v/>
      </c>
      <c r="V41" s="7" t="str">
        <f t="shared" si="15"/>
        <v/>
      </c>
      <c r="W41" s="7" t="str">
        <f>VLOOKUP(C41,'Tox Summary'!$N$3:$S$1048576,6,FALSE)</f>
        <v/>
      </c>
      <c r="X41" s="76" t="str">
        <f t="shared" si="16"/>
        <v/>
      </c>
      <c r="Y41" s="76" t="str">
        <f t="shared" si="17"/>
        <v/>
      </c>
      <c r="AA41" s="332"/>
    </row>
    <row r="42" spans="1:27">
      <c r="A42" s="265"/>
      <c r="B42" s="344" t="s">
        <v>655</v>
      </c>
      <c r="C42" s="269" t="s">
        <v>981</v>
      </c>
      <c r="D42" s="280" t="str">
        <f>VLOOKUP(B42, 'Chem Props'!$1:$1048576,3,FALSE)</f>
        <v>No</v>
      </c>
      <c r="E42" s="598" t="str">
        <f t="shared" si="18"/>
        <v>No</v>
      </c>
      <c r="F42" s="7" t="str">
        <f t="shared" si="0"/>
        <v>No (not volatile)</v>
      </c>
      <c r="G42" s="270" t="str">
        <f t="shared" si="1"/>
        <v>No (not volatile)</v>
      </c>
      <c r="H42" s="76" t="str">
        <f t="shared" si="2"/>
        <v>--</v>
      </c>
      <c r="I42" s="271" t="str">
        <f t="shared" si="3"/>
        <v>--</v>
      </c>
      <c r="J42" s="272" t="str">
        <f t="shared" si="4"/>
        <v>--</v>
      </c>
      <c r="K42" s="272" t="str">
        <f t="shared" si="5"/>
        <v>--</v>
      </c>
      <c r="L42" s="273" t="str">
        <f t="shared" si="6"/>
        <v>--</v>
      </c>
      <c r="M42" s="7">
        <f t="shared" si="7"/>
        <v>33.516642399605431</v>
      </c>
      <c r="N42" s="7">
        <f t="shared" si="8"/>
        <v>20.763314000000001</v>
      </c>
      <c r="O42" s="326">
        <f t="shared" si="9"/>
        <v>25</v>
      </c>
      <c r="P42" s="224" t="str">
        <f t="shared" si="10"/>
        <v/>
      </c>
      <c r="Q42" s="224" t="str">
        <f t="shared" si="11"/>
        <v/>
      </c>
      <c r="R42" s="224"/>
      <c r="S42" s="271" t="str">
        <f t="shared" si="12"/>
        <v/>
      </c>
      <c r="T42" s="7" t="str">
        <f t="shared" si="13"/>
        <v/>
      </c>
      <c r="U42" s="7" t="str">
        <f t="shared" si="14"/>
        <v/>
      </c>
      <c r="V42" s="7" t="str">
        <f t="shared" si="15"/>
        <v/>
      </c>
      <c r="W42" s="7" t="str">
        <f>VLOOKUP(C42,'Tox Summary'!$N$3:$S$1048576,6,FALSE)</f>
        <v/>
      </c>
      <c r="X42" s="76" t="str">
        <f t="shared" si="16"/>
        <v/>
      </c>
      <c r="Y42" s="76" t="str">
        <f t="shared" si="17"/>
        <v/>
      </c>
      <c r="AA42" s="332"/>
    </row>
    <row r="43" spans="1:27">
      <c r="A43" s="265" t="s">
        <v>1413</v>
      </c>
      <c r="B43" s="344" t="s">
        <v>656</v>
      </c>
      <c r="C43" s="269" t="s">
        <v>559</v>
      </c>
      <c r="D43" s="280" t="str">
        <f>VLOOKUP(B43, 'Chem Props'!$1:$1048576,3,FALSE)</f>
        <v>No</v>
      </c>
      <c r="E43" s="598" t="str">
        <f t="shared" si="18"/>
        <v>Yes</v>
      </c>
      <c r="F43" s="7" t="str">
        <f t="shared" si="0"/>
        <v>No (not volatile)</v>
      </c>
      <c r="G43" s="270" t="str">
        <f t="shared" si="1"/>
        <v>No (not volatile)</v>
      </c>
      <c r="H43" s="76">
        <f t="shared" si="2"/>
        <v>4.6794871794871793E-4</v>
      </c>
      <c r="I43" s="271" t="str">
        <f t="shared" si="3"/>
        <v>C</v>
      </c>
      <c r="J43" s="272">
        <f t="shared" si="4"/>
        <v>1.5598290598290598E-2</v>
      </c>
      <c r="K43" s="272">
        <f t="shared" si="5"/>
        <v>78.397814999198843</v>
      </c>
      <c r="L43" s="273" t="str">
        <f t="shared" si="6"/>
        <v>--</v>
      </c>
      <c r="M43" s="7">
        <f t="shared" si="7"/>
        <v>1065.4091129850001</v>
      </c>
      <c r="N43" s="7">
        <f t="shared" si="8"/>
        <v>1336.4367100000002</v>
      </c>
      <c r="O43" s="326">
        <f t="shared" si="9"/>
        <v>25</v>
      </c>
      <c r="P43" s="224" t="str">
        <f t="shared" si="10"/>
        <v/>
      </c>
      <c r="Q43" s="224" t="str">
        <f t="shared" si="11"/>
        <v/>
      </c>
      <c r="R43" s="224"/>
      <c r="S43" s="271">
        <f t="shared" si="12"/>
        <v>6.0000000000000001E-3</v>
      </c>
      <c r="T43" s="7" t="str">
        <f t="shared" si="13"/>
        <v>CA</v>
      </c>
      <c r="U43" s="7" t="str">
        <f t="shared" si="14"/>
        <v/>
      </c>
      <c r="V43" s="7" t="str">
        <f t="shared" si="15"/>
        <v/>
      </c>
      <c r="W43" s="7" t="str">
        <f>VLOOKUP(C43,'Tox Summary'!$N$3:$S$1048576,6,FALSE)</f>
        <v/>
      </c>
      <c r="X43" s="76">
        <f t="shared" si="16"/>
        <v>4.6794871794871793E-4</v>
      </c>
      <c r="Y43" s="76" t="str">
        <f t="shared" si="17"/>
        <v/>
      </c>
      <c r="AA43" s="332"/>
    </row>
    <row r="44" spans="1:27">
      <c r="A44" s="265"/>
      <c r="B44" s="344" t="s">
        <v>657</v>
      </c>
      <c r="C44" s="269" t="s">
        <v>982</v>
      </c>
      <c r="D44" s="280" t="str">
        <f>VLOOKUP(B44, 'Chem Props'!$1:$1048576,3,FALSE)</f>
        <v>No</v>
      </c>
      <c r="E44" s="598" t="str">
        <f t="shared" si="18"/>
        <v>No</v>
      </c>
      <c r="F44" s="7" t="str">
        <f t="shared" si="0"/>
        <v>No (not volatile)</v>
      </c>
      <c r="G44" s="270" t="str">
        <f t="shared" si="1"/>
        <v>No (not volatile)</v>
      </c>
      <c r="H44" s="76" t="str">
        <f t="shared" si="2"/>
        <v>--</v>
      </c>
      <c r="I44" s="271" t="str">
        <f t="shared" si="3"/>
        <v>--</v>
      </c>
      <c r="J44" s="272" t="str">
        <f t="shared" si="4"/>
        <v>--</v>
      </c>
      <c r="K44" s="272" t="str">
        <f t="shared" si="5"/>
        <v>--</v>
      </c>
      <c r="L44" s="273" t="str">
        <f t="shared" si="6"/>
        <v>--</v>
      </c>
      <c r="M44" s="7">
        <f t="shared" si="7"/>
        <v>56079.059024788847</v>
      </c>
      <c r="N44" s="7">
        <f t="shared" si="8"/>
        <v>218.55959999999999</v>
      </c>
      <c r="O44" s="326">
        <f t="shared" si="9"/>
        <v>25</v>
      </c>
      <c r="P44" s="224" t="str">
        <f t="shared" si="10"/>
        <v/>
      </c>
      <c r="Q44" s="224" t="str">
        <f t="shared" si="11"/>
        <v/>
      </c>
      <c r="R44" s="224"/>
      <c r="S44" s="271" t="str">
        <f t="shared" si="12"/>
        <v/>
      </c>
      <c r="T44" s="7" t="str">
        <f t="shared" si="13"/>
        <v/>
      </c>
      <c r="U44" s="7" t="str">
        <f t="shared" si="14"/>
        <v/>
      </c>
      <c r="V44" s="7" t="str">
        <f t="shared" si="15"/>
        <v/>
      </c>
      <c r="W44" s="7" t="str">
        <f>VLOOKUP(C44,'Tox Summary'!$N$3:$S$1048576,6,FALSE)</f>
        <v/>
      </c>
      <c r="X44" s="76" t="str">
        <f t="shared" si="16"/>
        <v/>
      </c>
      <c r="Y44" s="76" t="str">
        <f t="shared" si="17"/>
        <v/>
      </c>
      <c r="AA44" s="332"/>
    </row>
    <row r="45" spans="1:27">
      <c r="A45" s="98"/>
      <c r="B45" s="509" t="s">
        <v>2444</v>
      </c>
      <c r="C45" s="509" t="s">
        <v>2443</v>
      </c>
      <c r="D45" s="280" t="str">
        <f>VLOOKUP(B45, 'Chem Props'!$1:$1048576,3,FALSE)</f>
        <v>No</v>
      </c>
      <c r="E45" s="598" t="str">
        <f t="shared" si="18"/>
        <v>No</v>
      </c>
      <c r="F45" s="7" t="str">
        <f t="shared" si="0"/>
        <v>No (not volatile)</v>
      </c>
      <c r="G45" s="270" t="str">
        <f t="shared" si="1"/>
        <v>No (not volatile)</v>
      </c>
      <c r="H45" s="76" t="str">
        <f t="shared" si="2"/>
        <v>--</v>
      </c>
      <c r="I45" s="271" t="str">
        <f t="shared" si="3"/>
        <v>--</v>
      </c>
      <c r="J45" s="272" t="str">
        <f t="shared" si="4"/>
        <v>--</v>
      </c>
      <c r="K45" s="272" t="str">
        <f t="shared" si="5"/>
        <v>--</v>
      </c>
      <c r="L45" s="273" t="str">
        <f t="shared" si="6"/>
        <v>--</v>
      </c>
      <c r="M45" s="7">
        <f t="shared" si="7"/>
        <v>56079.059024788847</v>
      </c>
      <c r="N45" s="7">
        <f t="shared" si="8"/>
        <v>161.89599999999999</v>
      </c>
      <c r="O45" s="326">
        <f t="shared" si="9"/>
        <v>25</v>
      </c>
      <c r="P45" s="224"/>
      <c r="Q45" s="224" t="str">
        <f t="shared" si="11"/>
        <v/>
      </c>
      <c r="R45" s="224"/>
      <c r="S45" s="271" t="str">
        <f t="shared" si="12"/>
        <v/>
      </c>
      <c r="T45" s="7" t="str">
        <f t="shared" si="13"/>
        <v/>
      </c>
      <c r="U45" s="7" t="str">
        <f t="shared" si="14"/>
        <v/>
      </c>
      <c r="V45" s="7" t="str">
        <f t="shared" si="15"/>
        <v/>
      </c>
      <c r="W45" s="7" t="str">
        <f>VLOOKUP(C45,'Tox Summary'!$N$3:$S$1048576,6,FALSE)</f>
        <v/>
      </c>
      <c r="X45" s="76" t="str">
        <f t="shared" si="16"/>
        <v/>
      </c>
      <c r="Y45" s="76" t="str">
        <f t="shared" si="17"/>
        <v/>
      </c>
      <c r="Z45" s="243"/>
      <c r="AA45" s="243"/>
    </row>
    <row r="46" spans="1:27">
      <c r="A46" s="265" t="s">
        <v>1413</v>
      </c>
      <c r="B46" s="344" t="s">
        <v>658</v>
      </c>
      <c r="C46" s="269" t="s">
        <v>983</v>
      </c>
      <c r="D46" s="280" t="str">
        <f>VLOOKUP(B46, 'Chem Props'!$1:$1048576,3,FALSE)</f>
        <v>No</v>
      </c>
      <c r="E46" s="598" t="str">
        <f t="shared" si="18"/>
        <v>No</v>
      </c>
      <c r="F46" s="7" t="str">
        <f t="shared" si="0"/>
        <v>No (not volatile)</v>
      </c>
      <c r="G46" s="270" t="str">
        <f t="shared" si="1"/>
        <v>No (not volatile)</v>
      </c>
      <c r="H46" s="76" t="str">
        <f t="shared" si="2"/>
        <v>--</v>
      </c>
      <c r="I46" s="271" t="str">
        <f t="shared" si="3"/>
        <v>--</v>
      </c>
      <c r="J46" s="272" t="str">
        <f t="shared" si="4"/>
        <v>--</v>
      </c>
      <c r="K46" s="272" t="str">
        <f t="shared" si="5"/>
        <v>--</v>
      </c>
      <c r="L46" s="273" t="str">
        <f t="shared" si="6"/>
        <v>--</v>
      </c>
      <c r="M46" s="7">
        <f t="shared" si="7"/>
        <v>234.88611109859207</v>
      </c>
      <c r="N46" s="7">
        <f t="shared" si="8"/>
        <v>234.83199999999999</v>
      </c>
      <c r="O46" s="326">
        <f t="shared" si="9"/>
        <v>25</v>
      </c>
      <c r="P46" s="224" t="str">
        <f t="shared" ref="P46:P77" si="19">IF(VLOOKUP(B46,AllChemProps,32,FALSE)&gt;0,VLOOKUP(B46,AllChemProps,32,FALSE),"")</f>
        <v/>
      </c>
      <c r="Q46" s="224" t="str">
        <f t="shared" si="11"/>
        <v/>
      </c>
      <c r="R46" s="224"/>
      <c r="S46" s="271" t="str">
        <f t="shared" si="12"/>
        <v/>
      </c>
      <c r="T46" s="7" t="str">
        <f t="shared" si="13"/>
        <v/>
      </c>
      <c r="U46" s="7" t="str">
        <f t="shared" si="14"/>
        <v/>
      </c>
      <c r="V46" s="7" t="str">
        <f t="shared" si="15"/>
        <v/>
      </c>
      <c r="W46" s="7" t="str">
        <f>VLOOKUP(C46,'Tox Summary'!$N$3:$S$1048576,6,FALSE)</f>
        <v/>
      </c>
      <c r="X46" s="76" t="str">
        <f t="shared" si="16"/>
        <v/>
      </c>
      <c r="Y46" s="76" t="str">
        <f t="shared" si="17"/>
        <v/>
      </c>
      <c r="AA46" s="332"/>
    </row>
    <row r="47" spans="1:27">
      <c r="A47" s="265"/>
      <c r="B47" s="344" t="s">
        <v>659</v>
      </c>
      <c r="C47" s="269" t="s">
        <v>984</v>
      </c>
      <c r="D47" s="280" t="str">
        <f>VLOOKUP(B47, 'Chem Props'!$1:$1048576,3,FALSE)</f>
        <v>No</v>
      </c>
      <c r="E47" s="598" t="str">
        <f t="shared" si="18"/>
        <v>No</v>
      </c>
      <c r="F47" s="7" t="str">
        <f t="shared" si="0"/>
        <v>No (not volatile)</v>
      </c>
      <c r="G47" s="270" t="str">
        <f t="shared" si="1"/>
        <v>No (not volatile)</v>
      </c>
      <c r="H47" s="76" t="str">
        <f t="shared" si="2"/>
        <v>--</v>
      </c>
      <c r="I47" s="271" t="str">
        <f t="shared" si="3"/>
        <v>--</v>
      </c>
      <c r="J47" s="272" t="str">
        <f t="shared" si="4"/>
        <v>--</v>
      </c>
      <c r="K47" s="272" t="str">
        <f t="shared" si="5"/>
        <v>--</v>
      </c>
      <c r="L47" s="273" t="str">
        <f t="shared" si="6"/>
        <v>--</v>
      </c>
      <c r="M47" s="7">
        <f t="shared" si="7"/>
        <v>31.577147768051351</v>
      </c>
      <c r="N47" s="7">
        <f t="shared" si="8"/>
        <v>403.5</v>
      </c>
      <c r="O47" s="326">
        <f t="shared" si="9"/>
        <v>25</v>
      </c>
      <c r="P47" s="224" t="str">
        <f t="shared" si="19"/>
        <v/>
      </c>
      <c r="Q47" s="224" t="str">
        <f t="shared" si="11"/>
        <v/>
      </c>
      <c r="R47" s="224"/>
      <c r="S47" s="271" t="str">
        <f t="shared" si="12"/>
        <v/>
      </c>
      <c r="T47" s="7" t="str">
        <f t="shared" si="13"/>
        <v/>
      </c>
      <c r="U47" s="7" t="str">
        <f t="shared" si="14"/>
        <v/>
      </c>
      <c r="V47" s="7" t="str">
        <f t="shared" si="15"/>
        <v/>
      </c>
      <c r="W47" s="7" t="str">
        <f>VLOOKUP(C47,'Tox Summary'!$N$3:$S$1048576,6,FALSE)</f>
        <v/>
      </c>
      <c r="X47" s="76" t="str">
        <f t="shared" si="16"/>
        <v/>
      </c>
      <c r="Y47" s="76" t="str">
        <f t="shared" si="17"/>
        <v/>
      </c>
      <c r="AA47" s="332"/>
    </row>
    <row r="48" spans="1:27">
      <c r="A48" s="265"/>
      <c r="B48" s="344" t="s">
        <v>660</v>
      </c>
      <c r="C48" s="269" t="s">
        <v>985</v>
      </c>
      <c r="D48" s="280" t="str">
        <f>VLOOKUP(B48, 'Chem Props'!$1:$1048576,3,FALSE)</f>
        <v>Yes</v>
      </c>
      <c r="E48" s="598" t="str">
        <f t="shared" si="18"/>
        <v>Yes</v>
      </c>
      <c r="F48" s="7" t="str">
        <f t="shared" si="0"/>
        <v>Yes</v>
      </c>
      <c r="G48" s="270" t="str">
        <f t="shared" si="1"/>
        <v>Yes</v>
      </c>
      <c r="H48" s="76">
        <f t="shared" si="2"/>
        <v>521.42857142857144</v>
      </c>
      <c r="I48" s="271" t="str">
        <f t="shared" si="3"/>
        <v>NC</v>
      </c>
      <c r="J48" s="272">
        <f t="shared" si="4"/>
        <v>17380.952380952382</v>
      </c>
      <c r="K48" s="272">
        <f t="shared" si="5"/>
        <v>792203.84598689072</v>
      </c>
      <c r="L48" s="273" t="str">
        <f t="shared" si="6"/>
        <v>--</v>
      </c>
      <c r="M48" s="7">
        <f t="shared" si="7"/>
        <v>6880462051.8569288</v>
      </c>
      <c r="N48" s="7">
        <f t="shared" si="8"/>
        <v>317252399.99999994</v>
      </c>
      <c r="O48" s="326">
        <f t="shared" si="9"/>
        <v>25</v>
      </c>
      <c r="P48" s="224">
        <f t="shared" si="19"/>
        <v>15</v>
      </c>
      <c r="Q48" s="224" t="str">
        <f t="shared" si="11"/>
        <v>N</v>
      </c>
      <c r="R48" s="224"/>
      <c r="S48" s="271" t="str">
        <f t="shared" si="12"/>
        <v/>
      </c>
      <c r="T48" s="7" t="str">
        <f t="shared" si="13"/>
        <v/>
      </c>
      <c r="U48" s="7">
        <f t="shared" si="14"/>
        <v>0.5</v>
      </c>
      <c r="V48" s="7" t="str">
        <f t="shared" si="15"/>
        <v>I</v>
      </c>
      <c r="W48" s="7" t="str">
        <f>VLOOKUP(C48,'Tox Summary'!$N$3:$S$1048576,6,FALSE)</f>
        <v/>
      </c>
      <c r="X48" s="76" t="str">
        <f t="shared" si="16"/>
        <v/>
      </c>
      <c r="Y48" s="76">
        <f t="shared" si="17"/>
        <v>521.42857142857144</v>
      </c>
      <c r="AA48" s="332"/>
    </row>
    <row r="49" spans="1:27">
      <c r="A49" s="265"/>
      <c r="B49" s="269" t="s">
        <v>661</v>
      </c>
      <c r="C49" s="269" t="s">
        <v>2376</v>
      </c>
      <c r="D49" s="280" t="str">
        <f>VLOOKUP(B49, 'Chem Props'!$1:$1048576,3,FALSE)</f>
        <v>No</v>
      </c>
      <c r="E49" s="598" t="str">
        <f t="shared" si="18"/>
        <v>No</v>
      </c>
      <c r="F49" s="7" t="str">
        <f t="shared" si="0"/>
        <v>No (not volatile)</v>
      </c>
      <c r="G49" s="270" t="str">
        <f t="shared" si="1"/>
        <v>No (not volatile)</v>
      </c>
      <c r="H49" s="76" t="str">
        <f t="shared" si="2"/>
        <v>No VP</v>
      </c>
      <c r="I49" s="271" t="str">
        <f t="shared" si="3"/>
        <v>--</v>
      </c>
      <c r="J49" s="272" t="str">
        <f t="shared" si="4"/>
        <v>No VP</v>
      </c>
      <c r="K49" s="272" t="str">
        <f t="shared" si="5"/>
        <v>No VP</v>
      </c>
      <c r="L49" s="273" t="str">
        <f t="shared" si="6"/>
        <v>--</v>
      </c>
      <c r="M49" s="7" t="str">
        <f t="shared" si="7"/>
        <v>No VP</v>
      </c>
      <c r="N49" s="7"/>
      <c r="O49" s="326">
        <f t="shared" si="9"/>
        <v>25</v>
      </c>
      <c r="P49" s="224" t="str">
        <f t="shared" si="19"/>
        <v/>
      </c>
      <c r="Q49" s="224" t="str">
        <f t="shared" si="11"/>
        <v/>
      </c>
      <c r="R49" s="224"/>
      <c r="S49" s="271" t="str">
        <f t="shared" si="12"/>
        <v/>
      </c>
      <c r="T49" s="7" t="str">
        <f t="shared" si="13"/>
        <v/>
      </c>
      <c r="U49" s="7" t="str">
        <f t="shared" si="14"/>
        <v/>
      </c>
      <c r="V49" s="7" t="str">
        <f t="shared" si="15"/>
        <v/>
      </c>
      <c r="W49" s="7" t="str">
        <f>VLOOKUP(C49,'Tox Summary'!$N$3:$S$1048576,6,FALSE)</f>
        <v/>
      </c>
      <c r="X49" s="76" t="str">
        <f t="shared" si="16"/>
        <v/>
      </c>
      <c r="Y49" s="76" t="str">
        <f t="shared" si="17"/>
        <v/>
      </c>
      <c r="AA49" s="243"/>
    </row>
    <row r="50" spans="1:27">
      <c r="A50" s="265"/>
      <c r="B50" s="344" t="s">
        <v>1582</v>
      </c>
      <c r="C50" s="269" t="s">
        <v>2382</v>
      </c>
      <c r="D50" s="280" t="str">
        <f>VLOOKUP(B50, 'Chem Props'!$1:$1048576,3,FALSE)</f>
        <v>No</v>
      </c>
      <c r="E50" s="598" t="str">
        <f t="shared" si="18"/>
        <v>No</v>
      </c>
      <c r="F50" s="7" t="str">
        <f t="shared" si="0"/>
        <v>No (not volatile)</v>
      </c>
      <c r="G50" s="270" t="str">
        <f t="shared" ref="G50:G67" si="20">IF(LEFT(D50,2)="No","No (not volatile)",IF(D50="unknown","unknown",IF(H50="NVT","No",IF(AND(X50="",Y50=""),"No Inhal. Tox. Info",IF(MIN(X50:Y50)&gt;=N50,"No",IF(N50&gt;H50,"Yes","No"))))))</f>
        <v>No (not volatile)</v>
      </c>
      <c r="H50" s="76" t="str">
        <f t="shared" si="2"/>
        <v>No VP</v>
      </c>
      <c r="I50" s="271" t="str">
        <f t="shared" si="3"/>
        <v>--</v>
      </c>
      <c r="J50" s="272" t="str">
        <f t="shared" si="4"/>
        <v>No VP</v>
      </c>
      <c r="K50" s="272" t="str">
        <f t="shared" si="5"/>
        <v>No VP</v>
      </c>
      <c r="L50" s="273" t="str">
        <f t="shared" si="6"/>
        <v>--</v>
      </c>
      <c r="M50" s="7" t="str">
        <f t="shared" si="7"/>
        <v>No VP</v>
      </c>
      <c r="N50" s="7"/>
      <c r="O50" s="326">
        <f t="shared" si="9"/>
        <v>25</v>
      </c>
      <c r="P50" s="224" t="str">
        <f t="shared" si="19"/>
        <v/>
      </c>
      <c r="Q50" s="224" t="str">
        <f t="shared" si="11"/>
        <v/>
      </c>
      <c r="R50" s="224"/>
      <c r="S50" s="271" t="str">
        <f t="shared" si="12"/>
        <v/>
      </c>
      <c r="T50" s="7" t="str">
        <f t="shared" si="13"/>
        <v/>
      </c>
      <c r="U50" s="7" t="str">
        <f t="shared" si="14"/>
        <v/>
      </c>
      <c r="V50" s="7" t="str">
        <f t="shared" si="15"/>
        <v/>
      </c>
      <c r="W50" s="7" t="str">
        <f>VLOOKUP(C50,'Tox Summary'!$N$3:$S$1048576,6,FALSE)</f>
        <v/>
      </c>
      <c r="X50" s="76" t="str">
        <f t="shared" si="16"/>
        <v/>
      </c>
      <c r="Y50" s="76" t="str">
        <f t="shared" si="17"/>
        <v/>
      </c>
      <c r="AA50" s="332"/>
    </row>
    <row r="51" spans="1:27">
      <c r="A51" s="265"/>
      <c r="B51" s="344" t="s">
        <v>662</v>
      </c>
      <c r="C51" s="269" t="s">
        <v>986</v>
      </c>
      <c r="D51" s="280" t="str">
        <f>VLOOKUP(B51, 'Chem Props'!$1:$1048576,3,FALSE)</f>
        <v>No</v>
      </c>
      <c r="E51" s="598" t="str">
        <f t="shared" si="18"/>
        <v>No</v>
      </c>
      <c r="F51" s="7" t="str">
        <f t="shared" si="0"/>
        <v>No (not volatile)</v>
      </c>
      <c r="G51" s="270" t="str">
        <f t="shared" si="20"/>
        <v>No (not volatile)</v>
      </c>
      <c r="H51" s="76" t="str">
        <f t="shared" si="2"/>
        <v>--</v>
      </c>
      <c r="I51" s="271" t="str">
        <f t="shared" si="3"/>
        <v>--</v>
      </c>
      <c r="J51" s="272" t="str">
        <f t="shared" si="4"/>
        <v>--</v>
      </c>
      <c r="K51" s="272" t="str">
        <f t="shared" si="5"/>
        <v>--</v>
      </c>
      <c r="L51" s="273" t="str">
        <f t="shared" si="6"/>
        <v>--</v>
      </c>
      <c r="M51" s="7">
        <f t="shared" si="7"/>
        <v>0</v>
      </c>
      <c r="N51" s="7"/>
      <c r="O51" s="326">
        <f t="shared" si="9"/>
        <v>25</v>
      </c>
      <c r="P51" s="224" t="str">
        <f t="shared" si="19"/>
        <v/>
      </c>
      <c r="Q51" s="224" t="str">
        <f t="shared" si="11"/>
        <v/>
      </c>
      <c r="R51" s="224"/>
      <c r="S51" s="271" t="str">
        <f t="shared" si="12"/>
        <v/>
      </c>
      <c r="T51" s="7" t="str">
        <f t="shared" si="13"/>
        <v/>
      </c>
      <c r="U51" s="7" t="str">
        <f t="shared" si="14"/>
        <v/>
      </c>
      <c r="V51" s="7" t="str">
        <f t="shared" si="15"/>
        <v/>
      </c>
      <c r="W51" s="7" t="str">
        <f>VLOOKUP(C51,'Tox Summary'!$N$3:$S$1048576,6,FALSE)</f>
        <v/>
      </c>
      <c r="X51" s="76" t="str">
        <f t="shared" si="16"/>
        <v/>
      </c>
      <c r="Y51" s="76" t="str">
        <f t="shared" si="17"/>
        <v/>
      </c>
      <c r="AA51" s="332"/>
    </row>
    <row r="52" spans="1:27">
      <c r="A52" s="265"/>
      <c r="B52" s="344" t="s">
        <v>2041</v>
      </c>
      <c r="C52" s="269" t="s">
        <v>2040</v>
      </c>
      <c r="D52" s="280" t="str">
        <f>VLOOKUP(B52, 'Chem Props'!$1:$1048576,3,FALSE)</f>
        <v>Yes</v>
      </c>
      <c r="E52" s="598" t="str">
        <f t="shared" si="18"/>
        <v>Yes</v>
      </c>
      <c r="F52" s="7" t="str">
        <f t="shared" si="0"/>
        <v>Yes</v>
      </c>
      <c r="G52" s="270" t="str">
        <f t="shared" si="20"/>
        <v>Yes</v>
      </c>
      <c r="H52" s="76">
        <f t="shared" si="2"/>
        <v>3.1285714285714286</v>
      </c>
      <c r="I52" s="271" t="str">
        <f t="shared" si="3"/>
        <v>NC</v>
      </c>
      <c r="J52" s="272">
        <f t="shared" si="4"/>
        <v>104.28571428571429</v>
      </c>
      <c r="K52" s="272">
        <f t="shared" si="5"/>
        <v>5545.1460981414893</v>
      </c>
      <c r="L52" s="273" t="str">
        <f t="shared" si="6"/>
        <v>--</v>
      </c>
      <c r="M52" s="7">
        <f t="shared" si="7"/>
        <v>79213080.999003053</v>
      </c>
      <c r="N52" s="7">
        <f>IF(INDEX(HLC,MATCH(C52,ChemNameChem,0))="","No HLC",IF(INDEX(Sol,MATCH(C52,ChemNameChem,0))="No S","No S",INDEX(HLC,MATCH(C52,ChemNameChem,0))*INDEX(Sol,MATCH(C52,ChemNameChem,0))*1000000))</f>
        <v>62062000.000000007</v>
      </c>
      <c r="O52" s="326">
        <f t="shared" si="9"/>
        <v>25</v>
      </c>
      <c r="P52" s="224">
        <f t="shared" si="19"/>
        <v>1.3</v>
      </c>
      <c r="Q52" s="224" t="str">
        <f t="shared" si="11"/>
        <v>M</v>
      </c>
      <c r="R52" s="224"/>
      <c r="S52" s="271" t="str">
        <f t="shared" si="12"/>
        <v/>
      </c>
      <c r="T52" s="7" t="str">
        <f t="shared" si="13"/>
        <v/>
      </c>
      <c r="U52" s="7">
        <f t="shared" si="14"/>
        <v>3.0000000000000001E-3</v>
      </c>
      <c r="V52" s="7" t="str">
        <f t="shared" si="15"/>
        <v>X</v>
      </c>
      <c r="W52" s="7" t="str">
        <f>VLOOKUP(C52,'Tox Summary'!$N$3:$S$1048576,6,FALSE)</f>
        <v/>
      </c>
      <c r="X52" s="76" t="str">
        <f t="shared" si="16"/>
        <v/>
      </c>
      <c r="Y52" s="76">
        <f t="shared" si="17"/>
        <v>3.1285714285714286</v>
      </c>
      <c r="AA52" s="332"/>
    </row>
    <row r="53" spans="1:27">
      <c r="A53" s="265"/>
      <c r="B53" s="269" t="s">
        <v>663</v>
      </c>
      <c r="C53" s="269" t="s">
        <v>1433</v>
      </c>
      <c r="D53" s="280" t="str">
        <f>VLOOKUP(B53, 'Chem Props'!$1:$1048576,3,FALSE)</f>
        <v>No</v>
      </c>
      <c r="E53" s="598" t="str">
        <f t="shared" si="18"/>
        <v>Yes</v>
      </c>
      <c r="F53" s="7" t="str">
        <f t="shared" si="0"/>
        <v>No (not volatile)</v>
      </c>
      <c r="G53" s="270" t="str">
        <f t="shared" si="20"/>
        <v>No (not volatile)</v>
      </c>
      <c r="H53" s="76">
        <f t="shared" si="2"/>
        <v>1.0428571428571429</v>
      </c>
      <c r="I53" s="271" t="str">
        <f t="shared" si="3"/>
        <v>NC</v>
      </c>
      <c r="J53" s="272">
        <f t="shared" si="4"/>
        <v>34.761904761904766</v>
      </c>
      <c r="K53" s="272">
        <f t="shared" si="5"/>
        <v>12625.38913870633</v>
      </c>
      <c r="L53" s="273" t="str">
        <f t="shared" si="6"/>
        <v>--</v>
      </c>
      <c r="M53" s="7">
        <f t="shared" si="7"/>
        <v>3342442.6517030196</v>
      </c>
      <c r="N53" s="7">
        <f>IF(INDEX(HLC,MATCH(C53,ChemNameChem,0))="","No HLC",IF(INDEX(Sol,MATCH(C53,ChemNameChem,0))="No S","No S",INDEX(HLC,MATCH(C53,ChemNameChem,0))*INDEX(Sol,MATCH(C53,ChemNameChem,0))*1000000))</f>
        <v>2973600.0000000005</v>
      </c>
      <c r="O53" s="326">
        <f t="shared" si="9"/>
        <v>25</v>
      </c>
      <c r="P53" s="224" t="str">
        <f t="shared" si="19"/>
        <v/>
      </c>
      <c r="Q53" s="224" t="str">
        <f t="shared" si="11"/>
        <v/>
      </c>
      <c r="R53" s="224"/>
      <c r="S53" s="271">
        <f t="shared" si="12"/>
        <v>1.5999999999999999E-6</v>
      </c>
      <c r="T53" s="7" t="str">
        <f t="shared" si="13"/>
        <v>CA</v>
      </c>
      <c r="U53" s="7">
        <f t="shared" si="14"/>
        <v>1E-3</v>
      </c>
      <c r="V53" s="7" t="str">
        <f t="shared" si="15"/>
        <v>I</v>
      </c>
      <c r="W53" s="7" t="str">
        <f>VLOOKUP(C53,'Tox Summary'!$N$3:$S$1048576,6,FALSE)</f>
        <v/>
      </c>
      <c r="X53" s="76">
        <f t="shared" si="16"/>
        <v>1.7548076923076925</v>
      </c>
      <c r="Y53" s="76">
        <f t="shared" si="17"/>
        <v>1.0428571428571429</v>
      </c>
      <c r="AA53" s="243"/>
    </row>
    <row r="54" spans="1:27">
      <c r="A54" s="265"/>
      <c r="B54" s="344" t="s">
        <v>202</v>
      </c>
      <c r="C54" s="269" t="s">
        <v>2326</v>
      </c>
      <c r="D54" s="280" t="str">
        <f>VLOOKUP(B54, 'Chem Props'!$1:$1048576,3,FALSE)</f>
        <v>Yes</v>
      </c>
      <c r="E54" s="598" t="str">
        <f t="shared" si="18"/>
        <v>No</v>
      </c>
      <c r="F54" s="7" t="str">
        <f t="shared" si="0"/>
        <v>No Inhal. Tox. Info</v>
      </c>
      <c r="G54" s="270" t="str">
        <f t="shared" si="20"/>
        <v>No Inhal. Tox. Info</v>
      </c>
      <c r="H54" s="76" t="str">
        <f t="shared" si="2"/>
        <v>--</v>
      </c>
      <c r="I54" s="271" t="str">
        <f t="shared" si="3"/>
        <v>--</v>
      </c>
      <c r="J54" s="272" t="str">
        <f t="shared" si="4"/>
        <v>--</v>
      </c>
      <c r="K54" s="272" t="str">
        <f t="shared" si="5"/>
        <v>--</v>
      </c>
      <c r="L54" s="273" t="str">
        <f t="shared" si="6"/>
        <v>--</v>
      </c>
      <c r="M54" s="7">
        <f t="shared" si="7"/>
        <v>62.628433035748927</v>
      </c>
      <c r="N54" s="7">
        <f>IF(INDEX(HLC,MATCH(C54,ChemNameChem,0))="","No HLC",IF(INDEX(Sol,MATCH(C54,ChemNameChem,0))="No S","No S",INDEX(HLC,MATCH(C54,ChemNameChem,0))*INDEX(Sol,MATCH(C54,ChemNameChem,0))*1000000))</f>
        <v>98.652540000000016</v>
      </c>
      <c r="O54" s="326">
        <f t="shared" si="9"/>
        <v>25</v>
      </c>
      <c r="P54" s="224">
        <f t="shared" si="19"/>
        <v>0.6</v>
      </c>
      <c r="Q54" s="224" t="str">
        <f t="shared" si="11"/>
        <v>M</v>
      </c>
      <c r="R54" s="224"/>
      <c r="S54" s="271"/>
      <c r="T54" s="7" t="str">
        <f t="shared" si="13"/>
        <v/>
      </c>
      <c r="U54" s="7" t="str">
        <f t="shared" si="14"/>
        <v/>
      </c>
      <c r="V54" s="7" t="str">
        <f t="shared" si="15"/>
        <v/>
      </c>
      <c r="W54" s="7" t="str">
        <f>VLOOKUP(C54,'Tox Summary'!$N$3:$S$1048576,6,FALSE)</f>
        <v/>
      </c>
      <c r="X54" s="76" t="str">
        <f t="shared" si="16"/>
        <v/>
      </c>
      <c r="Y54" s="76" t="str">
        <f t="shared" si="17"/>
        <v/>
      </c>
      <c r="AA54" s="332"/>
    </row>
    <row r="55" spans="1:27">
      <c r="A55" s="265"/>
      <c r="B55" s="344" t="s">
        <v>1558</v>
      </c>
      <c r="C55" s="269" t="s">
        <v>1557</v>
      </c>
      <c r="D55" s="280" t="str">
        <f>VLOOKUP(B55, 'Chem Props'!$1:$1048576,3,FALSE)</f>
        <v>No</v>
      </c>
      <c r="E55" s="598" t="str">
        <f t="shared" si="18"/>
        <v>No</v>
      </c>
      <c r="F55" s="7" t="str">
        <f t="shared" si="0"/>
        <v>No (not volatile)</v>
      </c>
      <c r="G55" s="270" t="str">
        <f t="shared" si="20"/>
        <v>No (not volatile)</v>
      </c>
      <c r="H55" s="76" t="str">
        <f t="shared" si="2"/>
        <v>--</v>
      </c>
      <c r="I55" s="271" t="str">
        <f t="shared" si="3"/>
        <v>--</v>
      </c>
      <c r="J55" s="272" t="str">
        <f t="shared" si="4"/>
        <v>--</v>
      </c>
      <c r="K55" s="272" t="str">
        <f t="shared" si="5"/>
        <v>--</v>
      </c>
      <c r="L55" s="273" t="str">
        <f t="shared" si="6"/>
        <v>--</v>
      </c>
      <c r="M55" s="7">
        <f t="shared" si="7"/>
        <v>1.2996715802579639</v>
      </c>
      <c r="N55" s="7">
        <f>IF(INDEX(HLC,MATCH(C55,ChemNameChem,0))="","No HLC",IF(INDEX(Sol,MATCH(C55,ChemNameChem,0))="No S","No S",INDEX(HLC,MATCH(C55,ChemNameChem,0))*INDEX(Sol,MATCH(C55,ChemNameChem,0))*1000000))</f>
        <v>1.2973500000000002</v>
      </c>
      <c r="O55" s="326">
        <f t="shared" si="9"/>
        <v>25</v>
      </c>
      <c r="P55" s="224" t="str">
        <f t="shared" si="19"/>
        <v/>
      </c>
      <c r="Q55" s="224" t="str">
        <f t="shared" si="11"/>
        <v/>
      </c>
      <c r="R55" s="224"/>
      <c r="S55" s="271" t="str">
        <f t="shared" ref="S55:S86" si="21">IF(INDEX(IUR,MATCH(B55,CASNoTox,0))=" ","",IF(W55="TCE","see note",INDEX(IUR,MATCH(B55,CASNoTox,0))))</f>
        <v/>
      </c>
      <c r="T55" s="7" t="str">
        <f t="shared" si="13"/>
        <v/>
      </c>
      <c r="U55" s="7" t="str">
        <f t="shared" si="14"/>
        <v/>
      </c>
      <c r="V55" s="7" t="str">
        <f t="shared" si="15"/>
        <v/>
      </c>
      <c r="W55" s="7" t="str">
        <f>VLOOKUP(C55,'Tox Summary'!$N$3:$S$1048576,6,FALSE)</f>
        <v/>
      </c>
      <c r="X55" s="76" t="str">
        <f t="shared" si="16"/>
        <v/>
      </c>
      <c r="Y55" s="76" t="str">
        <f t="shared" si="17"/>
        <v/>
      </c>
      <c r="AA55" s="332"/>
    </row>
    <row r="56" spans="1:27">
      <c r="A56" s="265"/>
      <c r="B56" s="344" t="s">
        <v>664</v>
      </c>
      <c r="C56" s="269" t="s">
        <v>987</v>
      </c>
      <c r="D56" s="280" t="str">
        <f>VLOOKUP(B56, 'Chem Props'!$1:$1048576,3,FALSE)</f>
        <v>No</v>
      </c>
      <c r="E56" s="598" t="str">
        <f t="shared" si="18"/>
        <v>No</v>
      </c>
      <c r="F56" s="7" t="str">
        <f t="shared" si="0"/>
        <v>No (not volatile)</v>
      </c>
      <c r="G56" s="270" t="str">
        <f t="shared" si="20"/>
        <v>No (not volatile)</v>
      </c>
      <c r="H56" s="76" t="str">
        <f t="shared" si="2"/>
        <v>--</v>
      </c>
      <c r="I56" s="271" t="str">
        <f t="shared" si="3"/>
        <v>--</v>
      </c>
      <c r="J56" s="272" t="str">
        <f t="shared" si="4"/>
        <v>--</v>
      </c>
      <c r="K56" s="272" t="str">
        <f t="shared" si="5"/>
        <v>--</v>
      </c>
      <c r="L56" s="273" t="str">
        <f t="shared" si="6"/>
        <v>No (6)</v>
      </c>
      <c r="M56" s="7">
        <f t="shared" si="7"/>
        <v>0</v>
      </c>
      <c r="N56" s="7"/>
      <c r="O56" s="326">
        <f t="shared" si="9"/>
        <v>25</v>
      </c>
      <c r="P56" s="224" t="str">
        <f t="shared" si="19"/>
        <v/>
      </c>
      <c r="Q56" s="224" t="str">
        <f t="shared" si="11"/>
        <v/>
      </c>
      <c r="R56" s="224"/>
      <c r="S56" s="271" t="str">
        <f t="shared" si="21"/>
        <v/>
      </c>
      <c r="T56" s="7" t="str">
        <f t="shared" si="13"/>
        <v/>
      </c>
      <c r="U56" s="7" t="str">
        <f t="shared" si="14"/>
        <v/>
      </c>
      <c r="V56" s="7" t="str">
        <f t="shared" si="15"/>
        <v/>
      </c>
      <c r="W56" s="7" t="str">
        <f>VLOOKUP(C56,'Tox Summary'!$N$3:$S$1048576,6,FALSE)</f>
        <v/>
      </c>
      <c r="X56" s="76" t="str">
        <f t="shared" si="16"/>
        <v/>
      </c>
      <c r="Y56" s="76" t="str">
        <f t="shared" si="17"/>
        <v/>
      </c>
      <c r="AA56" s="332"/>
    </row>
    <row r="57" spans="1:27">
      <c r="A57" s="265"/>
      <c r="B57" s="344" t="s">
        <v>665</v>
      </c>
      <c r="C57" s="269" t="s">
        <v>988</v>
      </c>
      <c r="D57" s="280" t="str">
        <f>VLOOKUP(B57, 'Chem Props'!$1:$1048576,3,FALSE)</f>
        <v>No</v>
      </c>
      <c r="E57" s="598" t="str">
        <f t="shared" si="18"/>
        <v>No</v>
      </c>
      <c r="F57" s="7" t="str">
        <f t="shared" si="0"/>
        <v>No (not volatile)</v>
      </c>
      <c r="G57" s="270" t="str">
        <f t="shared" si="20"/>
        <v>No (not volatile)</v>
      </c>
      <c r="H57" s="76" t="str">
        <f t="shared" si="2"/>
        <v>No VP</v>
      </c>
      <c r="I57" s="271" t="str">
        <f t="shared" si="3"/>
        <v>--</v>
      </c>
      <c r="J57" s="272" t="str">
        <f t="shared" si="4"/>
        <v>No VP</v>
      </c>
      <c r="K57" s="272" t="str">
        <f t="shared" si="5"/>
        <v>No VP</v>
      </c>
      <c r="L57" s="273" t="str">
        <f t="shared" si="6"/>
        <v>--</v>
      </c>
      <c r="M57" s="7" t="str">
        <f t="shared" si="7"/>
        <v>No VP</v>
      </c>
      <c r="N57" s="7"/>
      <c r="O57" s="326">
        <f t="shared" si="9"/>
        <v>25</v>
      </c>
      <c r="P57" s="224" t="str">
        <f t="shared" si="19"/>
        <v/>
      </c>
      <c r="Q57" s="224" t="str">
        <f t="shared" si="11"/>
        <v/>
      </c>
      <c r="R57" s="224"/>
      <c r="S57" s="271" t="str">
        <f t="shared" si="21"/>
        <v/>
      </c>
      <c r="T57" s="7" t="str">
        <f t="shared" si="13"/>
        <v/>
      </c>
      <c r="U57" s="7" t="str">
        <f t="shared" si="14"/>
        <v/>
      </c>
      <c r="V57" s="7" t="str">
        <f t="shared" si="15"/>
        <v/>
      </c>
      <c r="W57" s="7" t="str">
        <f>VLOOKUP(C57,'Tox Summary'!$N$3:$S$1048576,6,FALSE)</f>
        <v/>
      </c>
      <c r="X57" s="76" t="str">
        <f t="shared" si="16"/>
        <v/>
      </c>
      <c r="Y57" s="76" t="str">
        <f t="shared" si="17"/>
        <v/>
      </c>
      <c r="AA57" s="332"/>
    </row>
    <row r="58" spans="1:27">
      <c r="A58" s="265"/>
      <c r="B58" s="344" t="s">
        <v>666</v>
      </c>
      <c r="C58" s="269" t="s">
        <v>989</v>
      </c>
      <c r="D58" s="280" t="str">
        <f>VLOOKUP(B58, 'Chem Props'!$1:$1048576,3,FALSE)</f>
        <v>No</v>
      </c>
      <c r="E58" s="598" t="str">
        <f t="shared" si="18"/>
        <v>No</v>
      </c>
      <c r="F58" s="7" t="str">
        <f t="shared" si="0"/>
        <v>No (not volatile)</v>
      </c>
      <c r="G58" s="270" t="str">
        <f t="shared" si="20"/>
        <v>No (not volatile)</v>
      </c>
      <c r="H58" s="76" t="str">
        <f t="shared" si="2"/>
        <v>No VP</v>
      </c>
      <c r="I58" s="271" t="str">
        <f t="shared" si="3"/>
        <v>--</v>
      </c>
      <c r="J58" s="272" t="str">
        <f t="shared" si="4"/>
        <v>No VP</v>
      </c>
      <c r="K58" s="272" t="str">
        <f t="shared" si="5"/>
        <v>No VP</v>
      </c>
      <c r="L58" s="273" t="str">
        <f t="shared" si="6"/>
        <v>--</v>
      </c>
      <c r="M58" s="7" t="str">
        <f t="shared" si="7"/>
        <v>No VP</v>
      </c>
      <c r="N58" s="7"/>
      <c r="O58" s="326">
        <f t="shared" si="9"/>
        <v>25</v>
      </c>
      <c r="P58" s="224" t="str">
        <f t="shared" si="19"/>
        <v/>
      </c>
      <c r="Q58" s="224" t="str">
        <f t="shared" si="11"/>
        <v/>
      </c>
      <c r="R58" s="224"/>
      <c r="S58" s="271" t="str">
        <f t="shared" si="21"/>
        <v/>
      </c>
      <c r="T58" s="7" t="str">
        <f t="shared" si="13"/>
        <v/>
      </c>
      <c r="U58" s="7" t="str">
        <f t="shared" si="14"/>
        <v/>
      </c>
      <c r="V58" s="7" t="str">
        <f t="shared" si="15"/>
        <v/>
      </c>
      <c r="W58" s="7" t="str">
        <f>VLOOKUP(C58,'Tox Summary'!$N$3:$S$1048576,6,FALSE)</f>
        <v/>
      </c>
      <c r="X58" s="76" t="str">
        <f t="shared" si="16"/>
        <v/>
      </c>
      <c r="Y58" s="76" t="str">
        <f t="shared" si="17"/>
        <v/>
      </c>
      <c r="AA58" s="332"/>
    </row>
    <row r="59" spans="1:27">
      <c r="A59" s="265" t="s">
        <v>1413</v>
      </c>
      <c r="B59" s="344" t="s">
        <v>667</v>
      </c>
      <c r="C59" s="269" t="s">
        <v>990</v>
      </c>
      <c r="D59" s="280" t="str">
        <f>VLOOKUP(B59, 'Chem Props'!$1:$1048576,3,FALSE)</f>
        <v>No</v>
      </c>
      <c r="E59" s="598" t="str">
        <f t="shared" si="18"/>
        <v>Yes</v>
      </c>
      <c r="F59" s="7" t="str">
        <f t="shared" si="0"/>
        <v>No (not volatile)</v>
      </c>
      <c r="G59" s="270" t="str">
        <f t="shared" si="20"/>
        <v>No (not volatile)</v>
      </c>
      <c r="H59" s="76" t="str">
        <f t="shared" si="2"/>
        <v>No VP</v>
      </c>
      <c r="I59" s="271" t="str">
        <f t="shared" si="3"/>
        <v>NC</v>
      </c>
      <c r="J59" s="272" t="str">
        <f t="shared" si="4"/>
        <v>No VP</v>
      </c>
      <c r="K59" s="272" t="str">
        <f t="shared" si="5"/>
        <v>No VP</v>
      </c>
      <c r="L59" s="273" t="str">
        <f t="shared" si="6"/>
        <v>--</v>
      </c>
      <c r="M59" s="7" t="str">
        <f t="shared" si="7"/>
        <v>No VP</v>
      </c>
      <c r="N59" s="7"/>
      <c r="O59" s="326">
        <f t="shared" si="9"/>
        <v>25</v>
      </c>
      <c r="P59" s="224" t="str">
        <f t="shared" si="19"/>
        <v/>
      </c>
      <c r="Q59" s="224" t="str">
        <f t="shared" si="11"/>
        <v/>
      </c>
      <c r="R59" s="224"/>
      <c r="S59" s="271" t="str">
        <f t="shared" si="21"/>
        <v/>
      </c>
      <c r="T59" s="7" t="str">
        <f t="shared" si="13"/>
        <v/>
      </c>
      <c r="U59" s="7">
        <f t="shared" si="14"/>
        <v>2.0000000000000001E-4</v>
      </c>
      <c r="V59" s="7" t="str">
        <f t="shared" si="15"/>
        <v>I</v>
      </c>
      <c r="W59" s="7" t="str">
        <f>VLOOKUP(C59,'Tox Summary'!$N$3:$S$1048576,6,FALSE)</f>
        <v/>
      </c>
      <c r="X59" s="76" t="str">
        <f t="shared" si="16"/>
        <v/>
      </c>
      <c r="Y59" s="76">
        <f t="shared" si="17"/>
        <v>0.20857142857142857</v>
      </c>
      <c r="AA59" s="332"/>
    </row>
    <row r="60" spans="1:27">
      <c r="A60" s="265"/>
      <c r="B60" s="344" t="s">
        <v>181</v>
      </c>
      <c r="C60" s="269" t="s">
        <v>2228</v>
      </c>
      <c r="D60" s="280" t="str">
        <f>VLOOKUP(B60, 'Chem Props'!$1:$1048576,3,FALSE)</f>
        <v>Yes</v>
      </c>
      <c r="E60" s="598" t="str">
        <f t="shared" si="18"/>
        <v>Yes</v>
      </c>
      <c r="F60" s="7" t="str">
        <f t="shared" si="0"/>
        <v>Yes</v>
      </c>
      <c r="G60" s="270" t="str">
        <f t="shared" si="20"/>
        <v>Yes</v>
      </c>
      <c r="H60" s="76">
        <f t="shared" si="2"/>
        <v>0.14038461538461536</v>
      </c>
      <c r="I60" s="271" t="str">
        <f t="shared" si="3"/>
        <v>C</v>
      </c>
      <c r="J60" s="272">
        <f t="shared" si="4"/>
        <v>4.6794871794871788</v>
      </c>
      <c r="K60" s="272">
        <f t="shared" si="5"/>
        <v>17.169069709245331</v>
      </c>
      <c r="L60" s="273" t="str">
        <f t="shared" si="6"/>
        <v>--</v>
      </c>
      <c r="M60" s="7">
        <f t="shared" si="7"/>
        <v>11828.03202539359</v>
      </c>
      <c r="N60" s="7">
        <f t="shared" ref="N60:N95" si="22">IF(INDEX(HLC,MATCH(C60,ChemNameChem,0))="","No HLC",IF(INDEX(Sol,MATCH(C60,ChemNameChem,0))="No S","No S",INDEX(HLC,MATCH(C60,ChemNameChem,0))*INDEX(Sol,MATCH(C60,ChemNameChem,0))*1000000))</f>
        <v>3434.1719999999996</v>
      </c>
      <c r="O60" s="326">
        <f t="shared" si="9"/>
        <v>25</v>
      </c>
      <c r="P60" s="224" t="str">
        <f t="shared" si="19"/>
        <v/>
      </c>
      <c r="Q60" s="224" t="str">
        <f t="shared" si="11"/>
        <v/>
      </c>
      <c r="R60" s="224"/>
      <c r="S60" s="271">
        <f t="shared" si="21"/>
        <v>2.0000000000000002E-5</v>
      </c>
      <c r="T60" s="7" t="str">
        <f t="shared" si="13"/>
        <v>S</v>
      </c>
      <c r="U60" s="7" t="str">
        <f t="shared" si="14"/>
        <v/>
      </c>
      <c r="V60" s="7" t="str">
        <f t="shared" si="15"/>
        <v/>
      </c>
      <c r="W60" s="7" t="str">
        <f>VLOOKUP(C60,'Tox Summary'!$N$3:$S$1048576,6,FALSE)</f>
        <v/>
      </c>
      <c r="X60" s="76">
        <f t="shared" si="16"/>
        <v>0.14038461538461536</v>
      </c>
      <c r="Y60" s="76" t="str">
        <f t="shared" si="17"/>
        <v/>
      </c>
      <c r="AA60" s="332"/>
    </row>
    <row r="61" spans="1:27">
      <c r="A61" s="265"/>
      <c r="B61" s="344" t="s">
        <v>182</v>
      </c>
      <c r="C61" s="269" t="s">
        <v>2229</v>
      </c>
      <c r="D61" s="280" t="str">
        <f>VLOOKUP(B61, 'Chem Props'!$1:$1048576,3,FALSE)</f>
        <v>Yes</v>
      </c>
      <c r="E61" s="598" t="str">
        <f t="shared" si="18"/>
        <v>Yes</v>
      </c>
      <c r="F61" s="7" t="str">
        <f t="shared" si="0"/>
        <v>Yes</v>
      </c>
      <c r="G61" s="270" t="str">
        <f t="shared" si="20"/>
        <v>Yes</v>
      </c>
      <c r="H61" s="76">
        <f t="shared" si="2"/>
        <v>4.9257759784075567E-3</v>
      </c>
      <c r="I61" s="271" t="str">
        <f t="shared" si="3"/>
        <v>C</v>
      </c>
      <c r="J61" s="272">
        <f t="shared" si="4"/>
        <v>0.16419253261358524</v>
      </c>
      <c r="K61" s="272">
        <f t="shared" si="5"/>
        <v>0.52844302601649518</v>
      </c>
      <c r="L61" s="273" t="str">
        <f t="shared" si="6"/>
        <v>--</v>
      </c>
      <c r="M61" s="7">
        <f t="shared" si="7"/>
        <v>68015.48884886477</v>
      </c>
      <c r="N61" s="7">
        <f t="shared" si="22"/>
        <v>139819.5</v>
      </c>
      <c r="O61" s="326">
        <f t="shared" si="9"/>
        <v>25</v>
      </c>
      <c r="P61" s="224" t="str">
        <f t="shared" si="19"/>
        <v/>
      </c>
      <c r="Q61" s="224" t="str">
        <f t="shared" si="11"/>
        <v/>
      </c>
      <c r="R61" s="224"/>
      <c r="S61" s="271">
        <f t="shared" si="21"/>
        <v>5.6999999999999998E-4</v>
      </c>
      <c r="T61" s="7" t="str">
        <f t="shared" si="13"/>
        <v>S</v>
      </c>
      <c r="U61" s="7" t="str">
        <f t="shared" si="14"/>
        <v/>
      </c>
      <c r="V61" s="7" t="str">
        <f t="shared" si="15"/>
        <v/>
      </c>
      <c r="W61" s="7" t="str">
        <f>VLOOKUP(C61,'Tox Summary'!$N$3:$S$1048576,6,FALSE)</f>
        <v/>
      </c>
      <c r="X61" s="76">
        <f t="shared" si="16"/>
        <v>4.9257759784075567E-3</v>
      </c>
      <c r="Y61" s="76" t="str">
        <f t="shared" si="17"/>
        <v/>
      </c>
      <c r="AA61" s="332"/>
    </row>
    <row r="62" spans="1:27">
      <c r="A62" s="265"/>
      <c r="B62" s="344" t="s">
        <v>183</v>
      </c>
      <c r="C62" s="269" t="s">
        <v>2230</v>
      </c>
      <c r="D62" s="280" t="str">
        <f>VLOOKUP(B62, 'Chem Props'!$1:$1048576,3,FALSE)</f>
        <v>Yes</v>
      </c>
      <c r="E62" s="598" t="str">
        <f t="shared" si="18"/>
        <v>Yes</v>
      </c>
      <c r="F62" s="7" t="str">
        <f t="shared" si="0"/>
        <v>Yes</v>
      </c>
      <c r="G62" s="270" t="str">
        <f t="shared" si="20"/>
        <v>Yes</v>
      </c>
      <c r="H62" s="76">
        <f t="shared" si="2"/>
        <v>4.9257759784075567E-3</v>
      </c>
      <c r="I62" s="271" t="str">
        <f t="shared" si="3"/>
        <v>C</v>
      </c>
      <c r="J62" s="272">
        <f t="shared" si="4"/>
        <v>0.16419253261358524</v>
      </c>
      <c r="K62" s="272">
        <f t="shared" si="5"/>
        <v>0.16370197236971731</v>
      </c>
      <c r="L62" s="273" t="str">
        <f t="shared" si="6"/>
        <v>--</v>
      </c>
      <c r="M62" s="7">
        <f t="shared" si="7"/>
        <v>41215.355929312085</v>
      </c>
      <c r="N62" s="7">
        <f t="shared" si="22"/>
        <v>43630.354999999996</v>
      </c>
      <c r="O62" s="326">
        <f t="shared" si="9"/>
        <v>25</v>
      </c>
      <c r="P62" s="224" t="str">
        <f t="shared" si="19"/>
        <v/>
      </c>
      <c r="Q62" s="224" t="str">
        <f t="shared" si="11"/>
        <v/>
      </c>
      <c r="R62" s="224"/>
      <c r="S62" s="271">
        <f t="shared" si="21"/>
        <v>5.6999999999999998E-4</v>
      </c>
      <c r="T62" s="7" t="str">
        <f t="shared" si="13"/>
        <v>S</v>
      </c>
      <c r="U62" s="7" t="str">
        <f t="shared" si="14"/>
        <v/>
      </c>
      <c r="V62" s="7" t="str">
        <f t="shared" si="15"/>
        <v/>
      </c>
      <c r="W62" s="7" t="str">
        <f>VLOOKUP(C62,'Tox Summary'!$N$3:$S$1048576,6,FALSE)</f>
        <v/>
      </c>
      <c r="X62" s="76">
        <f t="shared" si="16"/>
        <v>4.9257759784075567E-3</v>
      </c>
      <c r="Y62" s="76" t="str">
        <f t="shared" si="17"/>
        <v/>
      </c>
      <c r="AA62" s="332"/>
    </row>
    <row r="63" spans="1:27">
      <c r="A63" s="265"/>
      <c r="B63" s="269" t="s">
        <v>184</v>
      </c>
      <c r="C63" s="269" t="s">
        <v>2231</v>
      </c>
      <c r="D63" s="280" t="str">
        <f>VLOOKUP(B63, 'Chem Props'!$1:$1048576,3,FALSE)</f>
        <v>Yes</v>
      </c>
      <c r="E63" s="598" t="str">
        <f t="shared" si="18"/>
        <v>Yes</v>
      </c>
      <c r="F63" s="7" t="str">
        <f t="shared" si="0"/>
        <v>Yes</v>
      </c>
      <c r="G63" s="270" t="str">
        <f t="shared" si="20"/>
        <v>Yes</v>
      </c>
      <c r="H63" s="76">
        <f t="shared" si="2"/>
        <v>4.9257759784075567E-3</v>
      </c>
      <c r="I63" s="271" t="str">
        <f t="shared" si="3"/>
        <v>C</v>
      </c>
      <c r="J63" s="272">
        <f t="shared" si="4"/>
        <v>0.16419253261358524</v>
      </c>
      <c r="K63" s="272">
        <f t="shared" si="5"/>
        <v>0.35126656956888785</v>
      </c>
      <c r="L63" s="273" t="str">
        <f t="shared" si="6"/>
        <v>--</v>
      </c>
      <c r="M63" s="7">
        <f t="shared" si="7"/>
        <v>1355.9134377637224</v>
      </c>
      <c r="N63" s="7">
        <f t="shared" si="22"/>
        <v>3884.3433000000005</v>
      </c>
      <c r="O63" s="326">
        <f t="shared" si="9"/>
        <v>25</v>
      </c>
      <c r="P63" s="224" t="str">
        <f t="shared" si="19"/>
        <v/>
      </c>
      <c r="Q63" s="224" t="str">
        <f t="shared" si="11"/>
        <v/>
      </c>
      <c r="R63" s="224"/>
      <c r="S63" s="271">
        <f t="shared" si="21"/>
        <v>5.6999999999999998E-4</v>
      </c>
      <c r="T63" s="7" t="str">
        <f t="shared" si="13"/>
        <v>S</v>
      </c>
      <c r="U63" s="7" t="str">
        <f t="shared" si="14"/>
        <v/>
      </c>
      <c r="V63" s="7" t="str">
        <f t="shared" si="15"/>
        <v/>
      </c>
      <c r="W63" s="7" t="str">
        <f>VLOOKUP(C63,'Tox Summary'!$N$3:$S$1048576,6,FALSE)</f>
        <v/>
      </c>
      <c r="X63" s="76">
        <f t="shared" si="16"/>
        <v>4.9257759784075567E-3</v>
      </c>
      <c r="Y63" s="76" t="str">
        <f t="shared" si="17"/>
        <v/>
      </c>
      <c r="AA63" s="243"/>
    </row>
    <row r="64" spans="1:27">
      <c r="A64" s="265"/>
      <c r="B64" s="269" t="s">
        <v>185</v>
      </c>
      <c r="C64" s="269" t="s">
        <v>2232</v>
      </c>
      <c r="D64" s="280" t="str">
        <f>VLOOKUP(B64, 'Chem Props'!$1:$1048576,3,FALSE)</f>
        <v>Yes</v>
      </c>
      <c r="E64" s="598" t="str">
        <f t="shared" si="18"/>
        <v>Yes</v>
      </c>
      <c r="F64" s="7" t="str">
        <f t="shared" si="0"/>
        <v>Yes</v>
      </c>
      <c r="G64" s="270" t="str">
        <f t="shared" si="20"/>
        <v>Yes</v>
      </c>
      <c r="H64" s="76">
        <f t="shared" si="2"/>
        <v>4.9257759784075567E-3</v>
      </c>
      <c r="I64" s="271" t="str">
        <f t="shared" si="3"/>
        <v>C</v>
      </c>
      <c r="J64" s="272">
        <f t="shared" si="4"/>
        <v>0.16419253261358524</v>
      </c>
      <c r="K64" s="272">
        <f t="shared" si="5"/>
        <v>0.27382764519793407</v>
      </c>
      <c r="L64" s="273" t="str">
        <f t="shared" si="6"/>
        <v>--</v>
      </c>
      <c r="M64" s="7">
        <f t="shared" si="7"/>
        <v>16438.821849452695</v>
      </c>
      <c r="N64" s="7">
        <f t="shared" si="22"/>
        <v>1798.8600000000001</v>
      </c>
      <c r="O64" s="326">
        <f t="shared" si="9"/>
        <v>25</v>
      </c>
      <c r="P64" s="224" t="str">
        <f t="shared" si="19"/>
        <v/>
      </c>
      <c r="Q64" s="224" t="str">
        <f t="shared" si="11"/>
        <v/>
      </c>
      <c r="R64" s="224"/>
      <c r="S64" s="271">
        <f t="shared" si="21"/>
        <v>5.6999999999999998E-4</v>
      </c>
      <c r="T64" s="7" t="str">
        <f t="shared" si="13"/>
        <v>S</v>
      </c>
      <c r="U64" s="7" t="str">
        <f t="shared" si="14"/>
        <v/>
      </c>
      <c r="V64" s="7" t="str">
        <f t="shared" si="15"/>
        <v/>
      </c>
      <c r="W64" s="7" t="str">
        <f>VLOOKUP(C64,'Tox Summary'!$N$3:$S$1048576,6,FALSE)</f>
        <v/>
      </c>
      <c r="X64" s="76">
        <f t="shared" si="16"/>
        <v>4.9257759784075567E-3</v>
      </c>
      <c r="Y64" s="76" t="str">
        <f t="shared" si="17"/>
        <v/>
      </c>
      <c r="AA64" s="243"/>
    </row>
    <row r="65" spans="1:27">
      <c r="A65" s="265"/>
      <c r="B65" s="269" t="s">
        <v>186</v>
      </c>
      <c r="C65" s="269" t="s">
        <v>2233</v>
      </c>
      <c r="D65" s="280" t="str">
        <f>VLOOKUP(B65, 'Chem Props'!$1:$1048576,3,FALSE)</f>
        <v>Yes</v>
      </c>
      <c r="E65" s="598" t="str">
        <f t="shared" si="18"/>
        <v>Yes</v>
      </c>
      <c r="F65" s="7" t="str">
        <f t="shared" si="0"/>
        <v>Yes</v>
      </c>
      <c r="G65" s="270" t="str">
        <f t="shared" si="20"/>
        <v>Yes</v>
      </c>
      <c r="H65" s="76">
        <f t="shared" si="2"/>
        <v>4.9257759784075567E-3</v>
      </c>
      <c r="I65" s="271" t="str">
        <f t="shared" si="3"/>
        <v>C</v>
      </c>
      <c r="J65" s="272">
        <f t="shared" si="4"/>
        <v>0.16419253261358524</v>
      </c>
      <c r="K65" s="272">
        <f t="shared" si="5"/>
        <v>0.4257405836184891</v>
      </c>
      <c r="L65" s="273" t="str">
        <f t="shared" si="6"/>
        <v>--</v>
      </c>
      <c r="M65" s="7">
        <f t="shared" si="7"/>
        <v>1354.287712923023</v>
      </c>
      <c r="N65" s="7">
        <f t="shared" si="22"/>
        <v>497.50569999999988</v>
      </c>
      <c r="O65" s="326">
        <f t="shared" si="9"/>
        <v>25</v>
      </c>
      <c r="P65" s="224" t="str">
        <f t="shared" si="19"/>
        <v/>
      </c>
      <c r="Q65" s="224" t="str">
        <f t="shared" si="11"/>
        <v/>
      </c>
      <c r="R65" s="224"/>
      <c r="S65" s="271">
        <f t="shared" si="21"/>
        <v>5.6999999999999998E-4</v>
      </c>
      <c r="T65" s="7" t="str">
        <f t="shared" si="13"/>
        <v>S</v>
      </c>
      <c r="U65" s="7" t="str">
        <f t="shared" si="14"/>
        <v/>
      </c>
      <c r="V65" s="7" t="str">
        <f t="shared" si="15"/>
        <v/>
      </c>
      <c r="W65" s="7" t="str">
        <f>VLOOKUP(C65,'Tox Summary'!$N$3:$S$1048576,6,FALSE)</f>
        <v/>
      </c>
      <c r="X65" s="76">
        <f t="shared" si="16"/>
        <v>4.9257759784075567E-3</v>
      </c>
      <c r="Y65" s="76" t="str">
        <f t="shared" si="17"/>
        <v/>
      </c>
      <c r="AA65" s="243"/>
    </row>
    <row r="66" spans="1:27">
      <c r="A66" s="265"/>
      <c r="B66" s="269" t="s">
        <v>187</v>
      </c>
      <c r="C66" s="269" t="s">
        <v>2234</v>
      </c>
      <c r="D66" s="280" t="str">
        <f>VLOOKUP(B66, 'Chem Props'!$1:$1048576,3,FALSE)</f>
        <v>Yes</v>
      </c>
      <c r="E66" s="598" t="str">
        <f t="shared" si="18"/>
        <v>Yes</v>
      </c>
      <c r="F66" s="7" t="str">
        <f t="shared" si="0"/>
        <v>Yes</v>
      </c>
      <c r="G66" s="270" t="str">
        <f t="shared" si="20"/>
        <v>Yes</v>
      </c>
      <c r="H66" s="76">
        <f t="shared" si="2"/>
        <v>4.9257759784075567E-3</v>
      </c>
      <c r="I66" s="271" t="str">
        <f t="shared" si="3"/>
        <v>C</v>
      </c>
      <c r="J66" s="272">
        <f t="shared" si="4"/>
        <v>0.16419253261358524</v>
      </c>
      <c r="K66" s="272">
        <f t="shared" si="5"/>
        <v>0.35858510256521264</v>
      </c>
      <c r="L66" s="273" t="str">
        <f t="shared" si="6"/>
        <v>--</v>
      </c>
      <c r="M66" s="7">
        <f t="shared" si="7"/>
        <v>861.52520277984024</v>
      </c>
      <c r="N66" s="7">
        <f t="shared" si="22"/>
        <v>197.80847999999997</v>
      </c>
      <c r="O66" s="326">
        <f t="shared" si="9"/>
        <v>25</v>
      </c>
      <c r="P66" s="224" t="str">
        <f t="shared" si="19"/>
        <v/>
      </c>
      <c r="Q66" s="224" t="str">
        <f t="shared" si="11"/>
        <v/>
      </c>
      <c r="R66" s="224"/>
      <c r="S66" s="271">
        <f t="shared" si="21"/>
        <v>5.6999999999999998E-4</v>
      </c>
      <c r="T66" s="7" t="str">
        <f t="shared" si="13"/>
        <v>S</v>
      </c>
      <c r="U66" s="7" t="str">
        <f t="shared" si="14"/>
        <v/>
      </c>
      <c r="V66" s="7" t="str">
        <f t="shared" si="15"/>
        <v/>
      </c>
      <c r="W66" s="7" t="str">
        <f>VLOOKUP(C66,'Tox Summary'!$N$3:$S$1048576,6,FALSE)</f>
        <v/>
      </c>
      <c r="X66" s="76">
        <f t="shared" si="16"/>
        <v>4.9257759784075567E-3</v>
      </c>
      <c r="Y66" s="76" t="str">
        <f t="shared" si="17"/>
        <v/>
      </c>
      <c r="AA66" s="243"/>
    </row>
    <row r="67" spans="1:27">
      <c r="A67" s="265"/>
      <c r="B67" s="269" t="s">
        <v>2084</v>
      </c>
      <c r="C67" s="269" t="s">
        <v>2347</v>
      </c>
      <c r="D67" s="280" t="str">
        <f>VLOOKUP(B67, 'Chem Props'!$1:$1048576,3,FALSE)</f>
        <v>Yes</v>
      </c>
      <c r="E67" s="598" t="str">
        <f t="shared" si="18"/>
        <v>No</v>
      </c>
      <c r="F67" s="7" t="str">
        <f t="shared" si="0"/>
        <v>No Inhal. Tox. Info</v>
      </c>
      <c r="G67" s="270" t="str">
        <f t="shared" si="20"/>
        <v>No Inhal. Tox. Info</v>
      </c>
      <c r="H67" s="76" t="str">
        <f t="shared" si="2"/>
        <v>--</v>
      </c>
      <c r="I67" s="271" t="str">
        <f t="shared" si="3"/>
        <v>--</v>
      </c>
      <c r="J67" s="272" t="str">
        <f t="shared" si="4"/>
        <v>--</v>
      </c>
      <c r="K67" s="272" t="str">
        <f t="shared" si="5"/>
        <v>--</v>
      </c>
      <c r="L67" s="273" t="str">
        <f t="shared" si="6"/>
        <v>--</v>
      </c>
      <c r="M67" s="7">
        <f t="shared" si="7"/>
        <v>132.76325085867271</v>
      </c>
      <c r="N67" s="7">
        <f t="shared" si="22"/>
        <v>271.87327999999997</v>
      </c>
      <c r="O67" s="326">
        <f t="shared" si="9"/>
        <v>25</v>
      </c>
      <c r="P67" s="224" t="str">
        <f t="shared" si="19"/>
        <v/>
      </c>
      <c r="Q67" s="224" t="str">
        <f t="shared" si="11"/>
        <v/>
      </c>
      <c r="R67" s="224"/>
      <c r="S67" s="271" t="str">
        <f t="shared" si="21"/>
        <v/>
      </c>
      <c r="T67" s="7" t="str">
        <f t="shared" si="13"/>
        <v/>
      </c>
      <c r="U67" s="7" t="str">
        <f t="shared" si="14"/>
        <v/>
      </c>
      <c r="V67" s="7" t="str">
        <f t="shared" si="15"/>
        <v/>
      </c>
      <c r="W67" s="7" t="str">
        <f>VLOOKUP(C67,'Tox Summary'!$N$3:$S$1048576,6,FALSE)</f>
        <v/>
      </c>
      <c r="X67" s="76" t="str">
        <f t="shared" si="16"/>
        <v/>
      </c>
      <c r="Y67" s="76" t="str">
        <f t="shared" si="17"/>
        <v/>
      </c>
      <c r="AA67" s="243"/>
    </row>
    <row r="68" spans="1:27">
      <c r="A68" s="265"/>
      <c r="B68" s="269" t="s">
        <v>670</v>
      </c>
      <c r="C68" s="269" t="s">
        <v>991</v>
      </c>
      <c r="D68" s="280" t="str">
        <f>VLOOKUP(B68, 'Chem Props'!$1:$1048576,3,FALSE)</f>
        <v>No</v>
      </c>
      <c r="E68" s="598" t="str">
        <f t="shared" si="18"/>
        <v>Yes</v>
      </c>
      <c r="F68" s="7" t="str">
        <f t="shared" si="0"/>
        <v>No (not volatile)</v>
      </c>
      <c r="G68" s="270" t="s">
        <v>2537</v>
      </c>
      <c r="H68" s="76" t="str">
        <f t="shared" si="2"/>
        <v>No VP</v>
      </c>
      <c r="I68" s="271" t="str">
        <f t="shared" si="3"/>
        <v>C</v>
      </c>
      <c r="J68" s="272" t="str">
        <f t="shared" si="4"/>
        <v>No VP</v>
      </c>
      <c r="K68" s="272" t="str">
        <f t="shared" si="5"/>
        <v>No VP</v>
      </c>
      <c r="L68" s="273" t="str">
        <f t="shared" si="6"/>
        <v>No (10)</v>
      </c>
      <c r="M68" s="7" t="str">
        <f t="shared" si="7"/>
        <v>No VP</v>
      </c>
      <c r="N68" s="7" t="str">
        <f t="shared" si="22"/>
        <v>No S</v>
      </c>
      <c r="O68" s="326">
        <f t="shared" si="9"/>
        <v>25</v>
      </c>
      <c r="P68" s="224" t="str">
        <f t="shared" si="19"/>
        <v/>
      </c>
      <c r="Q68" s="224" t="str">
        <f t="shared" si="11"/>
        <v/>
      </c>
      <c r="R68" s="224"/>
      <c r="S68" s="271">
        <f t="shared" si="21"/>
        <v>4.3E-3</v>
      </c>
      <c r="T68" s="7" t="str">
        <f t="shared" si="13"/>
        <v>I</v>
      </c>
      <c r="U68" s="7">
        <f t="shared" si="14"/>
        <v>1.5E-5</v>
      </c>
      <c r="V68" s="7" t="str">
        <f t="shared" si="15"/>
        <v>CA</v>
      </c>
      <c r="W68" s="7" t="str">
        <f>VLOOKUP(C68,'Tox Summary'!$N$3:$S$1048576,6,FALSE)</f>
        <v/>
      </c>
      <c r="X68" s="76">
        <f t="shared" si="16"/>
        <v>6.5295169946332735E-4</v>
      </c>
      <c r="Y68" s="76">
        <f t="shared" si="17"/>
        <v>1.5642857142857142E-2</v>
      </c>
      <c r="AA68" s="243"/>
    </row>
    <row r="69" spans="1:27">
      <c r="A69" s="265"/>
      <c r="B69" s="269" t="s">
        <v>671</v>
      </c>
      <c r="C69" s="269" t="s">
        <v>992</v>
      </c>
      <c r="D69" s="280" t="str">
        <f>VLOOKUP(B69, 'Chem Props'!$1:$1048576,3,FALSE)</f>
        <v>No</v>
      </c>
      <c r="E69" s="598" t="str">
        <f t="shared" si="18"/>
        <v>Yes</v>
      </c>
      <c r="F69" s="7" t="str">
        <f t="shared" si="0"/>
        <v>No (not volatile)</v>
      </c>
      <c r="G69" s="270" t="str">
        <f t="shared" ref="G69:G76" si="23">IF(LEFT(D69,2)="No","No (not volatile)",IF(D69="unknown","unknown",IF(H69="NVT","No",IF(AND(X69="",Y69=""),"No Inhal. Tox. Info",IF(MIN(X69:Y69)&gt;=N69,"No",IF(N69&gt;H69,"Yes","No"))))))</f>
        <v>No (not volatile)</v>
      </c>
      <c r="H69" s="76" t="str">
        <f t="shared" si="2"/>
        <v>No VP</v>
      </c>
      <c r="I69" s="271" t="str">
        <f t="shared" si="3"/>
        <v>NC</v>
      </c>
      <c r="J69" s="272" t="str">
        <f t="shared" si="4"/>
        <v>No VP</v>
      </c>
      <c r="K69" s="272" t="str">
        <f t="shared" si="5"/>
        <v>No VP</v>
      </c>
      <c r="L69" s="273" t="str">
        <f t="shared" si="6"/>
        <v>--</v>
      </c>
      <c r="M69" s="7" t="str">
        <f t="shared" si="7"/>
        <v>No VP</v>
      </c>
      <c r="N69" s="7" t="str">
        <f t="shared" si="22"/>
        <v>No HLC</v>
      </c>
      <c r="O69" s="326">
        <f t="shared" si="9"/>
        <v>25</v>
      </c>
      <c r="P69" s="224" t="str">
        <f t="shared" si="19"/>
        <v/>
      </c>
      <c r="Q69" s="224" t="str">
        <f t="shared" si="11"/>
        <v/>
      </c>
      <c r="R69" s="224"/>
      <c r="S69" s="271" t="str">
        <f t="shared" si="21"/>
        <v/>
      </c>
      <c r="T69" s="7" t="str">
        <f t="shared" si="13"/>
        <v/>
      </c>
      <c r="U69" s="7">
        <f t="shared" si="14"/>
        <v>5.0000000000000002E-5</v>
      </c>
      <c r="V69" s="7" t="str">
        <f t="shared" si="15"/>
        <v>I</v>
      </c>
      <c r="W69" s="7" t="str">
        <f>VLOOKUP(C69,'Tox Summary'!$N$3:$S$1048576,6,FALSE)</f>
        <v/>
      </c>
      <c r="X69" s="76" t="str">
        <f t="shared" si="16"/>
        <v/>
      </c>
      <c r="Y69" s="76">
        <f t="shared" si="17"/>
        <v>5.2142857142857144E-2</v>
      </c>
      <c r="AA69" s="243"/>
    </row>
    <row r="70" spans="1:27">
      <c r="A70" s="265"/>
      <c r="B70" s="344" t="s">
        <v>673</v>
      </c>
      <c r="C70" s="269" t="s">
        <v>993</v>
      </c>
      <c r="D70" s="280" t="str">
        <f>VLOOKUP(B70, 'Chem Props'!$1:$1048576,3,FALSE)</f>
        <v>No</v>
      </c>
      <c r="E70" s="598" t="str">
        <f t="shared" si="18"/>
        <v>No</v>
      </c>
      <c r="F70" s="7" t="str">
        <f t="shared" si="0"/>
        <v>No (not volatile)</v>
      </c>
      <c r="G70" s="270" t="str">
        <f t="shared" si="23"/>
        <v>No (not volatile)</v>
      </c>
      <c r="H70" s="76" t="str">
        <f t="shared" si="2"/>
        <v>--</v>
      </c>
      <c r="I70" s="271" t="str">
        <f t="shared" si="3"/>
        <v>--</v>
      </c>
      <c r="J70" s="272" t="str">
        <f t="shared" si="4"/>
        <v>--</v>
      </c>
      <c r="K70" s="272" t="str">
        <f t="shared" si="5"/>
        <v>--</v>
      </c>
      <c r="L70" s="273" t="str">
        <f t="shared" si="6"/>
        <v>--</v>
      </c>
      <c r="M70" s="7">
        <f t="shared" si="7"/>
        <v>17.840066122021753</v>
      </c>
      <c r="N70" s="7">
        <f t="shared" si="22"/>
        <v>0.34954999999999997</v>
      </c>
      <c r="O70" s="326">
        <f t="shared" si="9"/>
        <v>25</v>
      </c>
      <c r="P70" s="224" t="str">
        <f t="shared" si="19"/>
        <v/>
      </c>
      <c r="Q70" s="224" t="str">
        <f t="shared" si="11"/>
        <v/>
      </c>
      <c r="R70" s="224"/>
      <c r="S70" s="271" t="str">
        <f t="shared" si="21"/>
        <v/>
      </c>
      <c r="T70" s="7" t="str">
        <f t="shared" si="13"/>
        <v/>
      </c>
      <c r="U70" s="7" t="str">
        <f t="shared" si="14"/>
        <v/>
      </c>
      <c r="V70" s="7" t="str">
        <f t="shared" si="15"/>
        <v/>
      </c>
      <c r="W70" s="7" t="str">
        <f>VLOOKUP(C70,'Tox Summary'!$N$3:$S$1048576,6,FALSE)</f>
        <v/>
      </c>
      <c r="X70" s="76" t="str">
        <f t="shared" si="16"/>
        <v/>
      </c>
      <c r="Y70" s="76" t="str">
        <f t="shared" si="17"/>
        <v/>
      </c>
      <c r="AA70" s="332"/>
    </row>
    <row r="71" spans="1:27">
      <c r="A71" s="265"/>
      <c r="B71" s="344" t="s">
        <v>674</v>
      </c>
      <c r="C71" s="269" t="s">
        <v>994</v>
      </c>
      <c r="D71" s="280" t="str">
        <f>VLOOKUP(B71, 'Chem Props'!$1:$1048576,3,FALSE)</f>
        <v>No</v>
      </c>
      <c r="E71" s="598" t="str">
        <f t="shared" si="18"/>
        <v>No</v>
      </c>
      <c r="F71" s="7" t="str">
        <f t="shared" si="0"/>
        <v>No (not volatile)</v>
      </c>
      <c r="G71" s="270" t="str">
        <f t="shared" si="23"/>
        <v>No (not volatile)</v>
      </c>
      <c r="H71" s="76" t="str">
        <f t="shared" si="2"/>
        <v>--</v>
      </c>
      <c r="I71" s="271" t="str">
        <f t="shared" si="3"/>
        <v>--</v>
      </c>
      <c r="J71" s="272" t="str">
        <f t="shared" si="4"/>
        <v>--</v>
      </c>
      <c r="K71" s="272" t="str">
        <f t="shared" si="5"/>
        <v>--</v>
      </c>
      <c r="L71" s="273" t="str">
        <f t="shared" si="6"/>
        <v>No (3)</v>
      </c>
      <c r="M71" s="7">
        <f t="shared" si="7"/>
        <v>3.3541389060123676</v>
      </c>
      <c r="N71" s="7">
        <f t="shared" si="22"/>
        <v>3.3479948000000004</v>
      </c>
      <c r="O71" s="326">
        <f t="shared" si="9"/>
        <v>25</v>
      </c>
      <c r="P71" s="224" t="str">
        <f t="shared" si="19"/>
        <v/>
      </c>
      <c r="Q71" s="224" t="str">
        <f t="shared" si="11"/>
        <v/>
      </c>
      <c r="R71" s="224"/>
      <c r="S71" s="271" t="str">
        <f t="shared" si="21"/>
        <v/>
      </c>
      <c r="T71" s="7" t="str">
        <f t="shared" si="13"/>
        <v/>
      </c>
      <c r="U71" s="7" t="str">
        <f t="shared" si="14"/>
        <v/>
      </c>
      <c r="V71" s="7" t="str">
        <f t="shared" si="15"/>
        <v/>
      </c>
      <c r="W71" s="7" t="str">
        <f>VLOOKUP(C71,'Tox Summary'!$N$3:$S$1048576,6,FALSE)</f>
        <v/>
      </c>
      <c r="X71" s="76" t="str">
        <f t="shared" si="16"/>
        <v/>
      </c>
      <c r="Y71" s="76" t="str">
        <f t="shared" si="17"/>
        <v/>
      </c>
      <c r="AA71" s="332"/>
    </row>
    <row r="72" spans="1:27">
      <c r="A72" s="265"/>
      <c r="B72" s="344" t="s">
        <v>675</v>
      </c>
      <c r="C72" s="269" t="s">
        <v>560</v>
      </c>
      <c r="D72" s="280" t="str">
        <f>VLOOKUP(B72, 'Chem Props'!$1:$1048576,3,FALSE)</f>
        <v>No</v>
      </c>
      <c r="E72" s="598" t="str">
        <f t="shared" si="18"/>
        <v>Yes</v>
      </c>
      <c r="F72" s="7" t="str">
        <f t="shared" si="0"/>
        <v>No (not volatile)</v>
      </c>
      <c r="G72" s="270" t="str">
        <f t="shared" si="23"/>
        <v>No (not volatile)</v>
      </c>
      <c r="H72" s="76">
        <f t="shared" si="2"/>
        <v>1.123076923076923E-2</v>
      </c>
      <c r="I72" s="271" t="str">
        <f t="shared" si="3"/>
        <v>C</v>
      </c>
      <c r="J72" s="272">
        <f t="shared" si="4"/>
        <v>0.37435897435897436</v>
      </c>
      <c r="K72" s="272" t="str">
        <f t="shared" si="5"/>
        <v>NVT</v>
      </c>
      <c r="L72" s="273" t="str">
        <f t="shared" si="6"/>
        <v>--</v>
      </c>
      <c r="M72" s="7">
        <f t="shared" si="7"/>
        <v>18.55973710651255</v>
      </c>
      <c r="N72" s="7">
        <f t="shared" si="22"/>
        <v>7.9672874</v>
      </c>
      <c r="O72" s="326">
        <f t="shared" si="9"/>
        <v>25</v>
      </c>
      <c r="P72" s="224" t="str">
        <f t="shared" si="19"/>
        <v/>
      </c>
      <c r="Q72" s="224" t="str">
        <f t="shared" si="11"/>
        <v/>
      </c>
      <c r="R72" s="224"/>
      <c r="S72" s="271">
        <f t="shared" si="21"/>
        <v>2.5000000000000001E-4</v>
      </c>
      <c r="T72" s="7" t="str">
        <f t="shared" si="13"/>
        <v>CA</v>
      </c>
      <c r="U72" s="7" t="str">
        <f t="shared" si="14"/>
        <v/>
      </c>
      <c r="V72" s="7" t="str">
        <f t="shared" si="15"/>
        <v/>
      </c>
      <c r="W72" s="7" t="str">
        <f>VLOOKUP(C72,'Tox Summary'!$N$3:$S$1048576,6,FALSE)</f>
        <v/>
      </c>
      <c r="X72" s="76">
        <f t="shared" si="16"/>
        <v>1.123076923076923E-2</v>
      </c>
      <c r="Y72" s="76" t="str">
        <f t="shared" si="17"/>
        <v/>
      </c>
      <c r="AA72" s="332"/>
    </row>
    <row r="73" spans="1:27">
      <c r="A73" s="265"/>
      <c r="B73" s="344" t="s">
        <v>676</v>
      </c>
      <c r="C73" s="269" t="s">
        <v>995</v>
      </c>
      <c r="D73" s="280" t="str">
        <f>VLOOKUP(B73, 'Chem Props'!$1:$1048576,3,FALSE)</f>
        <v>No</v>
      </c>
      <c r="E73" s="598" t="str">
        <f t="shared" si="18"/>
        <v>No</v>
      </c>
      <c r="F73" s="7" t="str">
        <f t="shared" si="0"/>
        <v>No (not volatile)</v>
      </c>
      <c r="G73" s="270" t="str">
        <f t="shared" si="23"/>
        <v>No (not volatile)</v>
      </c>
      <c r="H73" s="76" t="str">
        <f t="shared" si="2"/>
        <v>--</v>
      </c>
      <c r="I73" s="271" t="str">
        <f t="shared" si="3"/>
        <v>--</v>
      </c>
      <c r="J73" s="272" t="str">
        <f t="shared" si="4"/>
        <v>--</v>
      </c>
      <c r="K73" s="272" t="str">
        <f t="shared" si="5"/>
        <v>--</v>
      </c>
      <c r="L73" s="273" t="str">
        <f t="shared" si="6"/>
        <v>--</v>
      </c>
      <c r="M73" s="7">
        <f t="shared" si="7"/>
        <v>6.8750150961036334E-23</v>
      </c>
      <c r="N73" s="7">
        <f t="shared" si="22"/>
        <v>1.8889500000000003E-23</v>
      </c>
      <c r="O73" s="326">
        <f t="shared" si="9"/>
        <v>25</v>
      </c>
      <c r="P73" s="224" t="str">
        <f t="shared" si="19"/>
        <v/>
      </c>
      <c r="Q73" s="224" t="str">
        <f t="shared" si="11"/>
        <v/>
      </c>
      <c r="R73" s="224"/>
      <c r="S73" s="271" t="str">
        <f t="shared" si="21"/>
        <v/>
      </c>
      <c r="T73" s="7" t="str">
        <f t="shared" si="13"/>
        <v/>
      </c>
      <c r="U73" s="7" t="str">
        <f t="shared" si="14"/>
        <v/>
      </c>
      <c r="V73" s="7" t="str">
        <f t="shared" si="15"/>
        <v/>
      </c>
      <c r="W73" s="7" t="str">
        <f>VLOOKUP(C73,'Tox Summary'!$N$3:$S$1048576,6,FALSE)</f>
        <v/>
      </c>
      <c r="X73" s="76" t="str">
        <f t="shared" si="16"/>
        <v/>
      </c>
      <c r="Y73" s="76" t="str">
        <f t="shared" si="17"/>
        <v/>
      </c>
      <c r="AA73" s="332"/>
    </row>
    <row r="74" spans="1:27">
      <c r="A74" s="265"/>
      <c r="B74" s="344" t="s">
        <v>956</v>
      </c>
      <c r="C74" s="269" t="s">
        <v>2299</v>
      </c>
      <c r="D74" s="280" t="str">
        <f>VLOOKUP(B74, 'Chem Props'!$1:$1048576,3,FALSE)</f>
        <v>No</v>
      </c>
      <c r="E74" s="598" t="str">
        <f t="shared" si="18"/>
        <v>Yes</v>
      </c>
      <c r="F74" s="7" t="str">
        <f t="shared" si="0"/>
        <v>No (not volatile)</v>
      </c>
      <c r="G74" s="270" t="str">
        <f t="shared" si="23"/>
        <v>No (not volatile)</v>
      </c>
      <c r="H74" s="76">
        <f t="shared" si="2"/>
        <v>10.428571428571429</v>
      </c>
      <c r="I74" s="271" t="str">
        <f t="shared" si="3"/>
        <v>NC</v>
      </c>
      <c r="J74" s="272" t="str">
        <f t="shared" si="4"/>
        <v>NVT</v>
      </c>
      <c r="K74" s="272" t="str">
        <f t="shared" si="5"/>
        <v>NVT</v>
      </c>
      <c r="L74" s="273" t="str">
        <f t="shared" si="6"/>
        <v>--</v>
      </c>
      <c r="M74" s="7">
        <f t="shared" si="7"/>
        <v>27.320227118085292</v>
      </c>
      <c r="N74" s="7">
        <f t="shared" si="22"/>
        <v>20.421598999999997</v>
      </c>
      <c r="O74" s="326">
        <f t="shared" si="9"/>
        <v>25</v>
      </c>
      <c r="P74" s="224" t="str">
        <f t="shared" si="19"/>
        <v/>
      </c>
      <c r="Q74" s="224" t="str">
        <f t="shared" si="11"/>
        <v/>
      </c>
      <c r="R74" s="224"/>
      <c r="S74" s="271" t="str">
        <f t="shared" si="21"/>
        <v/>
      </c>
      <c r="T74" s="7" t="str">
        <f t="shared" si="13"/>
        <v/>
      </c>
      <c r="U74" s="7">
        <f t="shared" si="14"/>
        <v>0.01</v>
      </c>
      <c r="V74" s="7" t="str">
        <f t="shared" si="15"/>
        <v>A</v>
      </c>
      <c r="W74" s="7" t="str">
        <f>VLOOKUP(C74,'Tox Summary'!$N$3:$S$1048576,6,FALSE)</f>
        <v/>
      </c>
      <c r="X74" s="76" t="str">
        <f t="shared" si="16"/>
        <v/>
      </c>
      <c r="Y74" s="76">
        <f t="shared" si="17"/>
        <v>10.428571428571429</v>
      </c>
      <c r="AA74" s="332"/>
    </row>
    <row r="75" spans="1:27">
      <c r="A75" s="265"/>
      <c r="B75" s="344" t="s">
        <v>677</v>
      </c>
      <c r="C75" s="269" t="s">
        <v>1398</v>
      </c>
      <c r="D75" s="280" t="str">
        <f>VLOOKUP(B75, 'Chem Props'!$1:$1048576,3,FALSE)</f>
        <v>Yes</v>
      </c>
      <c r="E75" s="598" t="str">
        <f t="shared" si="18"/>
        <v>Yes</v>
      </c>
      <c r="F75" s="7" t="str">
        <f t="shared" si="0"/>
        <v>Yes</v>
      </c>
      <c r="G75" s="270" t="str">
        <f t="shared" si="23"/>
        <v>Yes</v>
      </c>
      <c r="H75" s="76">
        <f t="shared" si="2"/>
        <v>9.0570719602977662E-2</v>
      </c>
      <c r="I75" s="271" t="str">
        <f t="shared" si="3"/>
        <v>C</v>
      </c>
      <c r="J75" s="272">
        <f t="shared" si="4"/>
        <v>3.0190239867659221</v>
      </c>
      <c r="K75" s="272">
        <f t="shared" si="5"/>
        <v>164.10712013585371</v>
      </c>
      <c r="L75" s="273" t="str">
        <f t="shared" si="6"/>
        <v>--</v>
      </c>
      <c r="M75" s="7">
        <f t="shared" si="7"/>
        <v>3539.8125779355373</v>
      </c>
      <c r="N75" s="7">
        <f t="shared" si="22"/>
        <v>3532.1600000000003</v>
      </c>
      <c r="O75" s="326">
        <f t="shared" si="9"/>
        <v>25</v>
      </c>
      <c r="P75" s="224" t="str">
        <f t="shared" si="19"/>
        <v/>
      </c>
      <c r="Q75" s="224" t="str">
        <f t="shared" si="11"/>
        <v/>
      </c>
      <c r="R75" s="224"/>
      <c r="S75" s="271">
        <f t="shared" si="21"/>
        <v>3.1000000000000001E-5</v>
      </c>
      <c r="T75" s="7" t="str">
        <f t="shared" si="13"/>
        <v>I</v>
      </c>
      <c r="U75" s="7" t="str">
        <f t="shared" si="14"/>
        <v/>
      </c>
      <c r="V75" s="7" t="str">
        <f t="shared" si="15"/>
        <v/>
      </c>
      <c r="W75" s="7" t="str">
        <f>VLOOKUP(C75,'Tox Summary'!$N$3:$S$1048576,6,FALSE)</f>
        <v/>
      </c>
      <c r="X75" s="76">
        <f t="shared" si="16"/>
        <v>9.0570719602977662E-2</v>
      </c>
      <c r="Y75" s="76" t="str">
        <f t="shared" si="17"/>
        <v/>
      </c>
      <c r="AA75" s="332"/>
    </row>
    <row r="76" spans="1:27">
      <c r="A76" s="265"/>
      <c r="B76" s="344" t="s">
        <v>2078</v>
      </c>
      <c r="C76" s="269" t="s">
        <v>2077</v>
      </c>
      <c r="D76" s="280" t="str">
        <f>VLOOKUP(B76, 'Chem Props'!$1:$1048576,3,FALSE)</f>
        <v>No</v>
      </c>
      <c r="E76" s="598" t="str">
        <f t="shared" si="18"/>
        <v>Yes</v>
      </c>
      <c r="F76" s="7" t="str">
        <f t="shared" si="0"/>
        <v>No (not volatile)</v>
      </c>
      <c r="G76" s="270" t="str">
        <f t="shared" si="23"/>
        <v>No (not volatile)</v>
      </c>
      <c r="H76" s="76" t="str">
        <f t="shared" si="2"/>
        <v>NVT</v>
      </c>
      <c r="I76" s="271" t="str">
        <f t="shared" si="3"/>
        <v>NC</v>
      </c>
      <c r="J76" s="272" t="str">
        <f t="shared" si="4"/>
        <v>NVT</v>
      </c>
      <c r="K76" s="272" t="str">
        <f t="shared" si="5"/>
        <v>NVT</v>
      </c>
      <c r="L76" s="273" t="str">
        <f t="shared" si="6"/>
        <v>--</v>
      </c>
      <c r="M76" s="7">
        <f t="shared" si="7"/>
        <v>1.1742712814874503E-3</v>
      </c>
      <c r="N76" s="7">
        <f t="shared" si="22"/>
        <v>1.1731999999999999E-3</v>
      </c>
      <c r="O76" s="326">
        <f t="shared" si="9"/>
        <v>25</v>
      </c>
      <c r="P76" s="224" t="str">
        <f t="shared" si="19"/>
        <v/>
      </c>
      <c r="Q76" s="224" t="str">
        <f t="shared" si="11"/>
        <v/>
      </c>
      <c r="R76" s="224"/>
      <c r="S76" s="271" t="str">
        <f t="shared" si="21"/>
        <v/>
      </c>
      <c r="T76" s="7" t="str">
        <f t="shared" si="13"/>
        <v/>
      </c>
      <c r="U76" s="7">
        <f t="shared" si="14"/>
        <v>6.9999999999999999E-6</v>
      </c>
      <c r="V76" s="7" t="str">
        <f t="shared" si="15"/>
        <v>P</v>
      </c>
      <c r="W76" s="7" t="str">
        <f>VLOOKUP(C76,'Tox Summary'!$N$3:$S$1048576,6,FALSE)</f>
        <v/>
      </c>
      <c r="X76" s="76" t="str">
        <f t="shared" si="16"/>
        <v/>
      </c>
      <c r="Y76" s="76">
        <f t="shared" si="17"/>
        <v>7.3000000000000001E-3</v>
      </c>
      <c r="AA76" s="332"/>
    </row>
    <row r="77" spans="1:27">
      <c r="A77" s="265"/>
      <c r="B77" s="344" t="s">
        <v>678</v>
      </c>
      <c r="C77" s="269" t="s">
        <v>996</v>
      </c>
      <c r="D77" s="280" t="str">
        <f>VLOOKUP(B77, 'Chem Props'!$1:$1048576,3,FALSE)</f>
        <v>No</v>
      </c>
      <c r="E77" s="598" t="str">
        <f t="shared" si="18"/>
        <v>Yes</v>
      </c>
      <c r="F77" s="7" t="str">
        <f t="shared" si="0"/>
        <v>No (not volatile)</v>
      </c>
      <c r="G77" s="270" t="s">
        <v>2537</v>
      </c>
      <c r="H77" s="76" t="str">
        <f t="shared" si="2"/>
        <v>No VP</v>
      </c>
      <c r="I77" s="271" t="str">
        <f t="shared" si="3"/>
        <v>NC</v>
      </c>
      <c r="J77" s="272" t="str">
        <f t="shared" si="4"/>
        <v>No VP</v>
      </c>
      <c r="K77" s="272" t="str">
        <f t="shared" si="5"/>
        <v>No VP</v>
      </c>
      <c r="L77" s="273" t="str">
        <f t="shared" si="6"/>
        <v>No (2000)</v>
      </c>
      <c r="M77" s="7" t="str">
        <f t="shared" si="7"/>
        <v>No VP</v>
      </c>
      <c r="N77" s="7" t="str">
        <f t="shared" si="22"/>
        <v>No S</v>
      </c>
      <c r="O77" s="326">
        <f t="shared" si="9"/>
        <v>25</v>
      </c>
      <c r="P77" s="224" t="str">
        <f t="shared" si="19"/>
        <v/>
      </c>
      <c r="Q77" s="224" t="str">
        <f t="shared" si="11"/>
        <v/>
      </c>
      <c r="R77" s="224"/>
      <c r="S77" s="271" t="str">
        <f t="shared" si="21"/>
        <v/>
      </c>
      <c r="T77" s="7" t="str">
        <f t="shared" si="13"/>
        <v/>
      </c>
      <c r="U77" s="7">
        <f t="shared" si="14"/>
        <v>5.0000000000000001E-4</v>
      </c>
      <c r="V77" s="7" t="str">
        <f t="shared" si="15"/>
        <v>H</v>
      </c>
      <c r="W77" s="7" t="str">
        <f>VLOOKUP(C77,'Tox Summary'!$N$3:$S$1048576,6,FALSE)</f>
        <v/>
      </c>
      <c r="X77" s="76" t="str">
        <f t="shared" si="16"/>
        <v/>
      </c>
      <c r="Y77" s="76">
        <f t="shared" si="17"/>
        <v>0.52142857142857146</v>
      </c>
      <c r="AA77" s="332"/>
    </row>
    <row r="78" spans="1:27">
      <c r="A78" s="265"/>
      <c r="B78" s="344" t="s">
        <v>682</v>
      </c>
      <c r="C78" s="269" t="s">
        <v>2300</v>
      </c>
      <c r="D78" s="280" t="str">
        <f>VLOOKUP(B78, 'Chem Props'!$1:$1048576,3,FALSE)</f>
        <v>Yes</v>
      </c>
      <c r="E78" s="598" t="str">
        <f t="shared" si="18"/>
        <v>No</v>
      </c>
      <c r="F78" s="7" t="str">
        <f t="shared" si="0"/>
        <v>No Inhal. Tox. Info</v>
      </c>
      <c r="G78" s="270" t="str">
        <f t="shared" ref="G78:G105" si="24">IF(LEFT(D78,2)="No","No (not volatile)",IF(D78="unknown","unknown",IF(H78="NVT","No",IF(AND(X78="",Y78=""),"No Inhal. Tox. Info",IF(MIN(X78:Y78)&gt;=N78,"No",IF(N78&gt;H78,"Yes","No"))))))</f>
        <v>No Inhal. Tox. Info</v>
      </c>
      <c r="H78" s="76" t="str">
        <f t="shared" si="2"/>
        <v>--</v>
      </c>
      <c r="I78" s="271" t="str">
        <f t="shared" si="3"/>
        <v>--</v>
      </c>
      <c r="J78" s="272" t="str">
        <f t="shared" si="4"/>
        <v>--</v>
      </c>
      <c r="K78" s="272" t="str">
        <f t="shared" si="5"/>
        <v>--</v>
      </c>
      <c r="L78" s="273" t="str">
        <f t="shared" si="6"/>
        <v>--</v>
      </c>
      <c r="M78" s="7">
        <f t="shared" si="7"/>
        <v>1178.1130673561634</v>
      </c>
      <c r="N78" s="7">
        <f t="shared" si="22"/>
        <v>1189.7</v>
      </c>
      <c r="O78" s="326">
        <f t="shared" si="9"/>
        <v>25</v>
      </c>
      <c r="P78" s="224" t="str">
        <f t="shared" ref="P78:P109" si="25">IF(VLOOKUP(B78,AllChemProps,32,FALSE)&gt;0,VLOOKUP(B78,AllChemProps,32,FALSE),"")</f>
        <v/>
      </c>
      <c r="Q78" s="224" t="str">
        <f t="shared" si="11"/>
        <v/>
      </c>
      <c r="R78" s="224"/>
      <c r="S78" s="271" t="str">
        <f t="shared" si="21"/>
        <v/>
      </c>
      <c r="T78" s="7" t="str">
        <f t="shared" si="13"/>
        <v/>
      </c>
      <c r="U78" s="7" t="str">
        <f t="shared" si="14"/>
        <v/>
      </c>
      <c r="V78" s="7" t="str">
        <f t="shared" si="15"/>
        <v/>
      </c>
      <c r="W78" s="7" t="str">
        <f>VLOOKUP(C78,'Tox Summary'!$N$3:$S$1048576,6,FALSE)</f>
        <v/>
      </c>
      <c r="X78" s="76" t="str">
        <f t="shared" si="16"/>
        <v/>
      </c>
      <c r="Y78" s="76" t="str">
        <f t="shared" si="17"/>
        <v/>
      </c>
      <c r="AA78" s="332"/>
    </row>
    <row r="79" spans="1:27">
      <c r="A79" s="265"/>
      <c r="B79" s="344" t="s">
        <v>683</v>
      </c>
      <c r="C79" s="269" t="s">
        <v>997</v>
      </c>
      <c r="D79" s="280" t="str">
        <f>VLOOKUP(B79, 'Chem Props'!$1:$1048576,3,FALSE)</f>
        <v>No</v>
      </c>
      <c r="E79" s="598" t="str">
        <f t="shared" si="18"/>
        <v>No</v>
      </c>
      <c r="F79" s="7" t="str">
        <f t="shared" si="0"/>
        <v>No (not volatile)</v>
      </c>
      <c r="G79" s="270" t="str">
        <f t="shared" si="24"/>
        <v>No (not volatile)</v>
      </c>
      <c r="H79" s="76" t="str">
        <f t="shared" si="2"/>
        <v>--</v>
      </c>
      <c r="I79" s="271" t="str">
        <f t="shared" si="3"/>
        <v>--</v>
      </c>
      <c r="J79" s="272" t="str">
        <f t="shared" si="4"/>
        <v>--</v>
      </c>
      <c r="K79" s="272" t="str">
        <f t="shared" si="5"/>
        <v>--</v>
      </c>
      <c r="L79" s="273" t="str">
        <f t="shared" si="6"/>
        <v>--</v>
      </c>
      <c r="M79" s="7">
        <f t="shared" si="7"/>
        <v>5.7800536599544115E-2</v>
      </c>
      <c r="N79" s="7">
        <f t="shared" si="22"/>
        <v>7.6608000000000004E-4</v>
      </c>
      <c r="O79" s="326">
        <f t="shared" si="9"/>
        <v>25</v>
      </c>
      <c r="P79" s="224" t="str">
        <f t="shared" si="25"/>
        <v/>
      </c>
      <c r="Q79" s="224" t="str">
        <f t="shared" si="11"/>
        <v/>
      </c>
      <c r="R79" s="224"/>
      <c r="S79" s="271" t="str">
        <f t="shared" si="21"/>
        <v/>
      </c>
      <c r="T79" s="7" t="str">
        <f t="shared" si="13"/>
        <v/>
      </c>
      <c r="U79" s="7" t="str">
        <f t="shared" si="14"/>
        <v/>
      </c>
      <c r="V79" s="7" t="str">
        <f t="shared" si="15"/>
        <v/>
      </c>
      <c r="W79" s="7" t="str">
        <f>VLOOKUP(C79,'Tox Summary'!$N$3:$S$1048576,6,FALSE)</f>
        <v/>
      </c>
      <c r="X79" s="76" t="str">
        <f t="shared" si="16"/>
        <v/>
      </c>
      <c r="Y79" s="76" t="str">
        <f t="shared" si="17"/>
        <v/>
      </c>
      <c r="AA79" s="332"/>
    </row>
    <row r="80" spans="1:27">
      <c r="A80" s="265"/>
      <c r="B80" s="344" t="s">
        <v>45</v>
      </c>
      <c r="C80" s="269" t="s">
        <v>2301</v>
      </c>
      <c r="D80" s="280" t="str">
        <f>VLOOKUP(B80, 'Chem Props'!$1:$1048576,3,FALSE)</f>
        <v>No</v>
      </c>
      <c r="E80" s="598" t="str">
        <f t="shared" si="18"/>
        <v>No</v>
      </c>
      <c r="F80" s="7" t="str">
        <f t="shared" si="0"/>
        <v>No (not volatile)</v>
      </c>
      <c r="G80" s="270" t="str">
        <f t="shared" si="24"/>
        <v>No (not volatile)</v>
      </c>
      <c r="H80" s="76" t="str">
        <f t="shared" si="2"/>
        <v>--</v>
      </c>
      <c r="I80" s="271" t="str">
        <f t="shared" si="3"/>
        <v>--</v>
      </c>
      <c r="J80" s="272" t="str">
        <f t="shared" si="4"/>
        <v>--</v>
      </c>
      <c r="K80" s="272" t="str">
        <f t="shared" si="5"/>
        <v>--</v>
      </c>
      <c r="L80" s="273" t="str">
        <f t="shared" si="6"/>
        <v>--</v>
      </c>
      <c r="M80" s="7">
        <f t="shared" si="7"/>
        <v>4.6375693804990297E-7</v>
      </c>
      <c r="N80" s="7">
        <f t="shared" si="22"/>
        <v>1.8540000000000002E-5</v>
      </c>
      <c r="O80" s="326">
        <f t="shared" si="9"/>
        <v>25</v>
      </c>
      <c r="P80" s="224" t="str">
        <f t="shared" si="25"/>
        <v/>
      </c>
      <c r="Q80" s="224" t="str">
        <f t="shared" si="11"/>
        <v/>
      </c>
      <c r="R80" s="224"/>
      <c r="S80" s="271" t="str">
        <f t="shared" si="21"/>
        <v/>
      </c>
      <c r="T80" s="7" t="str">
        <f t="shared" si="13"/>
        <v/>
      </c>
      <c r="U80" s="7" t="str">
        <f t="shared" si="14"/>
        <v/>
      </c>
      <c r="V80" s="7" t="str">
        <f t="shared" si="15"/>
        <v/>
      </c>
      <c r="W80" s="7" t="str">
        <f>VLOOKUP(C80,'Tox Summary'!$N$3:$S$1048576,6,FALSE)</f>
        <v/>
      </c>
      <c r="X80" s="76" t="str">
        <f t="shared" si="16"/>
        <v/>
      </c>
      <c r="Y80" s="76" t="str">
        <f t="shared" si="17"/>
        <v/>
      </c>
      <c r="AA80" s="332"/>
    </row>
    <row r="81" spans="1:27">
      <c r="A81" s="265"/>
      <c r="B81" s="344" t="s">
        <v>684</v>
      </c>
      <c r="C81" s="269" t="s">
        <v>998</v>
      </c>
      <c r="D81" s="280" t="str">
        <f>VLOOKUP(B81, 'Chem Props'!$1:$1048576,3,FALSE)</f>
        <v>No</v>
      </c>
      <c r="E81" s="598" t="str">
        <f t="shared" si="18"/>
        <v>No</v>
      </c>
      <c r="F81" s="7" t="str">
        <f t="shared" si="0"/>
        <v>No (not volatile)</v>
      </c>
      <c r="G81" s="270" t="str">
        <f t="shared" si="24"/>
        <v>No (not volatile)</v>
      </c>
      <c r="H81" s="76" t="str">
        <f t="shared" si="2"/>
        <v>--</v>
      </c>
      <c r="I81" s="271" t="str">
        <f t="shared" si="3"/>
        <v>--</v>
      </c>
      <c r="J81" s="272" t="str">
        <f t="shared" si="4"/>
        <v>--</v>
      </c>
      <c r="K81" s="272" t="str">
        <f t="shared" si="5"/>
        <v>--</v>
      </c>
      <c r="L81" s="273" t="str">
        <f t="shared" si="6"/>
        <v>--</v>
      </c>
      <c r="M81" s="7">
        <f t="shared" si="7"/>
        <v>44.605653801190194</v>
      </c>
      <c r="N81" s="7">
        <f t="shared" si="22"/>
        <v>44.5625</v>
      </c>
      <c r="O81" s="326">
        <f t="shared" si="9"/>
        <v>25</v>
      </c>
      <c r="P81" s="224" t="str">
        <f t="shared" si="25"/>
        <v/>
      </c>
      <c r="Q81" s="224" t="str">
        <f t="shared" si="11"/>
        <v/>
      </c>
      <c r="R81" s="224"/>
      <c r="S81" s="271" t="str">
        <f t="shared" si="21"/>
        <v/>
      </c>
      <c r="T81" s="7" t="str">
        <f t="shared" si="13"/>
        <v/>
      </c>
      <c r="U81" s="7" t="str">
        <f t="shared" si="14"/>
        <v/>
      </c>
      <c r="V81" s="7" t="str">
        <f t="shared" si="15"/>
        <v/>
      </c>
      <c r="W81" s="7" t="str">
        <f>VLOOKUP(C81,'Tox Summary'!$N$3:$S$1048576,6,FALSE)</f>
        <v/>
      </c>
      <c r="X81" s="76" t="str">
        <f t="shared" si="16"/>
        <v/>
      </c>
      <c r="Y81" s="76" t="str">
        <f t="shared" si="17"/>
        <v/>
      </c>
      <c r="AA81" s="332"/>
    </row>
    <row r="82" spans="1:27">
      <c r="A82" s="265"/>
      <c r="B82" s="344" t="s">
        <v>203</v>
      </c>
      <c r="C82" s="269" t="s">
        <v>2235</v>
      </c>
      <c r="D82" s="280" t="str">
        <f>VLOOKUP(B82, 'Chem Props'!$1:$1048576,3,FALSE)</f>
        <v>Yes</v>
      </c>
      <c r="E82" s="598" t="str">
        <f t="shared" si="18"/>
        <v>Yes</v>
      </c>
      <c r="F82" s="7" t="str">
        <f t="shared" ref="F82:F145" si="26">IF(LEFT(D82,2)="No","No (not volatile)",IF(D82="unknown","unknown",IF(H82="NVT","No",IF(AND(X82="",Y82=""),"No Inhal. Tox. Info",IF(MIN(X82:Y82)&gt;=M82,"No",IF(M82&gt;H82,"Yes","No"))))))</f>
        <v>Yes</v>
      </c>
      <c r="G82" s="270" t="str">
        <f t="shared" si="24"/>
        <v>Yes</v>
      </c>
      <c r="H82" s="76">
        <f t="shared" ref="H82:H145" si="27">IF(ISNUMBER(M82),IF(AND(X82="",Y82=""),"--",IF(MIN(X82:Y82)&gt;=M82,"NVT",MIN(X82:Y82))),M82)</f>
        <v>1.6898148148148145E-2</v>
      </c>
      <c r="I82" s="271" t="str">
        <f t="shared" ref="I82:I145" si="28">IF(AND(S82="",U82=""),"--",IF(MIN(X82,Y82)=X82,"C","NC"))</f>
        <v>C</v>
      </c>
      <c r="J82" s="272">
        <f t="shared" ref="J82:J145" si="29">IF(ISNUMBER(H82),IF(OR(H82="--",H82="NVT"),H82,IF(H82/Afss&gt;=M82,"NVT",H82/Afss)),H82)</f>
        <v>0.56327160493827155</v>
      </c>
      <c r="K82" s="272" t="str">
        <f t="shared" ref="K82:K145" si="30">IF(ISNUMBER(H82),IF(H82="--","--", IF(LEFT(N82,2)="No",N82,IF(H82*0.001/(INDEX(HLC,MATCH(C82,ChemNameChem,0))*AFgw)&gt;=1000*INDEX(PWCS,MATCH(C82,ChemNameChem,0)), "NVT", H82*0.001/(INDEX(HLC,MATCH(C82,ChemNameChem,0))*AFgw)))),H82)</f>
        <v>NVT</v>
      </c>
      <c r="L82" s="273" t="str">
        <f t="shared" ref="L82:L145" si="31">IF(INDEX(MCL,MATCH(C82,ChemNameChem,0))="","--",IF(K82&lt;INDEX(MCL,MATCH(C82,ChemNameChem,0)),"Yes ("&amp;(INDEX(MCL,MATCH(C82,ChemNameChem,0)))&amp;")","No ("&amp;(INDEX(MCL,MATCH(C82,ChemNameChem,0)))&amp;")"))</f>
        <v>--</v>
      </c>
      <c r="M82" s="7">
        <f t="shared" ref="M82:M145" si="32">IF(INDEX(_VP25,MATCH(B82,CASNoChem,0))="No VP","No VP",IF(INDEX(MW,MATCH(B82,CASNoChem,0))="No MW","No MW",INDEX(MW,MATCH(B82,CASNoChem,0))*INDEX(_VP25,MATCH(B82,CASNoChem,0))*53808.7856452378))</f>
        <v>2.579754610189636</v>
      </c>
      <c r="N82" s="7">
        <f t="shared" si="22"/>
        <v>4.6116400000000004</v>
      </c>
      <c r="O82" s="326">
        <f t="shared" ref="O82:O145" si="33">IF(INDEX(HTgw,MATCH(B82,CASNoChem,0),1)="",25,Tgw)</f>
        <v>25</v>
      </c>
      <c r="P82" s="224" t="str">
        <f t="shared" si="25"/>
        <v/>
      </c>
      <c r="Q82" s="224" t="str">
        <f t="shared" ref="Q82:Q145" si="34">IF(INDEX(LELsource,MATCH(B82,CASNoChem,0),1)="","",INDEX(LELsource,MATCH(B82,CASNoChem,0),1))</f>
        <v/>
      </c>
      <c r="R82" s="224"/>
      <c r="S82" s="271">
        <f t="shared" si="21"/>
        <v>6.0000000000000002E-5</v>
      </c>
      <c r="T82" s="7" t="str">
        <f t="shared" ref="T82:T145" si="35">IF(INDEX(IURSource,MATCH(B82,CASNoTox,0))="","",SUBSTITUTE(INDEX(IURSource,MATCH(B82,CASNoTox,0)),"C","CA"))</f>
        <v>E</v>
      </c>
      <c r="U82" s="7" t="str">
        <f t="shared" ref="U82:U145" si="36">IF(INDEX(RFC,MATCH(B82,CASNoTox,0))=" ","",INDEX(RFC,MATCH(B82,CASNoTox,0)))</f>
        <v/>
      </c>
      <c r="V82" s="7" t="str">
        <f t="shared" ref="V82:V145" si="37">IF(INDEX(RFCSource,MATCH(B82,CASNoTox,0))="","",SUBSTITUTE(INDEX(RFCSource,MATCH(B82,CASNoTox,0)),"C","CA"))</f>
        <v/>
      </c>
      <c r="W82" s="7" t="str">
        <f>VLOOKUP(C82,'Tox Summary'!$N$3:$S$1048576,6,FALSE)</f>
        <v>Mut</v>
      </c>
      <c r="X82" s="76">
        <f t="shared" ref="X82:X145" si="38">IF(S82="","",IF(W82&lt;&gt;"TCE",TCR/(IF(AND(W82="VC",Scenario="Residential"),S82,0)+(EF*IF(W82="Mut",MMOAAF,ED)*ET*S82/(Atc*365*24))), 1/((EF*MMOAAF*ET*mIURTCE/(TCR*Atc*365*24))+EF*ED*ET*IURTCE/(TCR*Atc*365*24))))</f>
        <v>1.6898148148148145E-2</v>
      </c>
      <c r="Y82" s="76" t="str">
        <f t="shared" ref="Y82:Y145" si="39">IF(U82="","",THQ*Atnc*365*24*U82*1000/(EF*ED*ET))</f>
        <v/>
      </c>
      <c r="AA82" s="332"/>
    </row>
    <row r="83" spans="1:27">
      <c r="A83" s="265"/>
      <c r="B83" s="344" t="s">
        <v>685</v>
      </c>
      <c r="C83" s="269" t="s">
        <v>1415</v>
      </c>
      <c r="D83" s="280" t="str">
        <f>VLOOKUP(B83, 'Chem Props'!$1:$1048576,3,FALSE)</f>
        <v>Yes</v>
      </c>
      <c r="E83" s="598" t="str">
        <f t="shared" ref="E83:E146" si="40">IF(OR(ISNUMBER(S83),ISNUMBER(U83)),"Yes","No")</f>
        <v>No</v>
      </c>
      <c r="F83" s="7" t="str">
        <f t="shared" si="26"/>
        <v>No Inhal. Tox. Info</v>
      </c>
      <c r="G83" s="270" t="str">
        <f t="shared" si="24"/>
        <v>No Inhal. Tox. Info</v>
      </c>
      <c r="H83" s="76" t="str">
        <f t="shared" si="27"/>
        <v>--</v>
      </c>
      <c r="I83" s="271" t="str">
        <f t="shared" si="28"/>
        <v>--</v>
      </c>
      <c r="J83" s="272" t="str">
        <f t="shared" si="29"/>
        <v>--</v>
      </c>
      <c r="K83" s="272" t="str">
        <f t="shared" si="30"/>
        <v>--</v>
      </c>
      <c r="L83" s="273" t="str">
        <f t="shared" si="31"/>
        <v>--</v>
      </c>
      <c r="M83" s="7">
        <f t="shared" si="32"/>
        <v>7252622.5540719405</v>
      </c>
      <c r="N83" s="7">
        <f t="shared" si="22"/>
        <v>7586620.0000000009</v>
      </c>
      <c r="O83" s="326">
        <f t="shared" si="33"/>
        <v>25</v>
      </c>
      <c r="P83" s="224">
        <f t="shared" si="25"/>
        <v>1.4</v>
      </c>
      <c r="Q83" s="224" t="str">
        <f t="shared" si="34"/>
        <v>M</v>
      </c>
      <c r="R83" s="224"/>
      <c r="S83" s="271" t="str">
        <f t="shared" si="21"/>
        <v/>
      </c>
      <c r="T83" s="7" t="str">
        <f t="shared" si="35"/>
        <v/>
      </c>
      <c r="U83" s="7" t="str">
        <f t="shared" si="36"/>
        <v/>
      </c>
      <c r="V83" s="7" t="str">
        <f t="shared" si="37"/>
        <v/>
      </c>
      <c r="W83" s="7" t="str">
        <f>VLOOKUP(C83,'Tox Summary'!$N$3:$S$1048576,6,FALSE)</f>
        <v/>
      </c>
      <c r="X83" s="76" t="str">
        <f t="shared" si="38"/>
        <v/>
      </c>
      <c r="Y83" s="76" t="str">
        <f t="shared" si="39"/>
        <v/>
      </c>
      <c r="AA83" s="332"/>
    </row>
    <row r="84" spans="1:27">
      <c r="A84" s="265"/>
      <c r="B84" s="344" t="s">
        <v>686</v>
      </c>
      <c r="C84" s="269" t="s">
        <v>426</v>
      </c>
      <c r="D84" s="280" t="str">
        <f>VLOOKUP(B84, 'Chem Props'!$1:$1048576,3,FALSE)</f>
        <v>Yes</v>
      </c>
      <c r="E84" s="598" t="str">
        <f t="shared" si="40"/>
        <v>Yes</v>
      </c>
      <c r="F84" s="7" t="str">
        <f t="shared" si="26"/>
        <v>Yes</v>
      </c>
      <c r="G84" s="270" t="str">
        <f t="shared" si="24"/>
        <v>Yes</v>
      </c>
      <c r="H84" s="76">
        <f t="shared" si="27"/>
        <v>0.35996055226824458</v>
      </c>
      <c r="I84" s="271" t="str">
        <f t="shared" si="28"/>
        <v>C</v>
      </c>
      <c r="J84" s="272">
        <f t="shared" si="29"/>
        <v>11.998685075608153</v>
      </c>
      <c r="K84" s="272">
        <f t="shared" si="30"/>
        <v>1.5864204812944696</v>
      </c>
      <c r="L84" s="273" t="str">
        <f t="shared" si="31"/>
        <v>Yes (5)</v>
      </c>
      <c r="M84" s="7">
        <f t="shared" si="32"/>
        <v>398470307.95625073</v>
      </c>
      <c r="N84" s="7">
        <f t="shared" si="22"/>
        <v>406152969</v>
      </c>
      <c r="O84" s="326">
        <f t="shared" si="33"/>
        <v>25</v>
      </c>
      <c r="P84" s="224">
        <f t="shared" si="25"/>
        <v>1.2</v>
      </c>
      <c r="Q84" s="224" t="str">
        <f t="shared" si="34"/>
        <v>N</v>
      </c>
      <c r="R84" s="224"/>
      <c r="S84" s="271">
        <f t="shared" si="21"/>
        <v>7.7999999999999999E-6</v>
      </c>
      <c r="T84" s="7" t="str">
        <f t="shared" si="35"/>
        <v>I</v>
      </c>
      <c r="U84" s="7">
        <f t="shared" si="36"/>
        <v>0.03</v>
      </c>
      <c r="V84" s="7" t="str">
        <f t="shared" si="37"/>
        <v>I</v>
      </c>
      <c r="W84" s="7" t="str">
        <f>VLOOKUP(C84,'Tox Summary'!$N$3:$S$1048576,6,FALSE)</f>
        <v/>
      </c>
      <c r="X84" s="76">
        <f t="shared" si="38"/>
        <v>0.35996055226824458</v>
      </c>
      <c r="Y84" s="76">
        <f t="shared" si="39"/>
        <v>31.285714285714285</v>
      </c>
      <c r="AA84" s="332"/>
    </row>
    <row r="85" spans="1:27">
      <c r="A85" s="265"/>
      <c r="B85" s="344" t="s">
        <v>1560</v>
      </c>
      <c r="C85" s="269" t="s">
        <v>1559</v>
      </c>
      <c r="D85" s="280" t="str">
        <f>VLOOKUP(B85, 'Chem Props'!$1:$1048576,3,FALSE)</f>
        <v>No</v>
      </c>
      <c r="E85" s="598" t="str">
        <f t="shared" si="40"/>
        <v>No</v>
      </c>
      <c r="F85" s="7" t="str">
        <f t="shared" si="26"/>
        <v>No (not volatile)</v>
      </c>
      <c r="G85" s="270" t="str">
        <f t="shared" si="24"/>
        <v>No (not volatile)</v>
      </c>
      <c r="H85" s="76" t="str">
        <f t="shared" si="27"/>
        <v>--</v>
      </c>
      <c r="I85" s="271" t="str">
        <f t="shared" si="28"/>
        <v>--</v>
      </c>
      <c r="J85" s="272" t="str">
        <f t="shared" si="29"/>
        <v>--</v>
      </c>
      <c r="K85" s="272" t="str">
        <f t="shared" si="30"/>
        <v>--</v>
      </c>
      <c r="L85" s="273" t="str">
        <f t="shared" si="31"/>
        <v>--</v>
      </c>
      <c r="M85" s="7">
        <f t="shared" si="32"/>
        <v>3.4367456156470801E-7</v>
      </c>
      <c r="N85" s="7">
        <f t="shared" si="22"/>
        <v>8.8600000000000004E-10</v>
      </c>
      <c r="O85" s="326">
        <f t="shared" si="33"/>
        <v>25</v>
      </c>
      <c r="P85" s="224" t="str">
        <f t="shared" si="25"/>
        <v/>
      </c>
      <c r="Q85" s="224" t="str">
        <f t="shared" si="34"/>
        <v/>
      </c>
      <c r="R85" s="224"/>
      <c r="S85" s="271" t="str">
        <f t="shared" si="21"/>
        <v/>
      </c>
      <c r="T85" s="7" t="str">
        <f t="shared" si="35"/>
        <v/>
      </c>
      <c r="U85" s="7" t="str">
        <f t="shared" si="36"/>
        <v/>
      </c>
      <c r="V85" s="7" t="str">
        <f t="shared" si="37"/>
        <v/>
      </c>
      <c r="W85" s="7" t="str">
        <f>VLOOKUP(C85,'Tox Summary'!$N$3:$S$1048576,6,FALSE)</f>
        <v/>
      </c>
      <c r="X85" s="76" t="str">
        <f t="shared" si="38"/>
        <v/>
      </c>
      <c r="Y85" s="76" t="str">
        <f t="shared" si="39"/>
        <v/>
      </c>
      <c r="AA85" s="332"/>
    </row>
    <row r="86" spans="1:27">
      <c r="A86" s="265"/>
      <c r="B86" s="344" t="s">
        <v>687</v>
      </c>
      <c r="C86" s="269" t="s">
        <v>999</v>
      </c>
      <c r="D86" s="280" t="str">
        <f>VLOOKUP(B86, 'Chem Props'!$1:$1048576,3,FALSE)</f>
        <v>Yes</v>
      </c>
      <c r="E86" s="598" t="str">
        <f t="shared" si="40"/>
        <v>No</v>
      </c>
      <c r="F86" s="7" t="str">
        <f t="shared" si="26"/>
        <v>No Inhal. Tox. Info</v>
      </c>
      <c r="G86" s="270" t="str">
        <f t="shared" si="24"/>
        <v>No Inhal. Tox. Info</v>
      </c>
      <c r="H86" s="76" t="str">
        <f t="shared" si="27"/>
        <v>--</v>
      </c>
      <c r="I86" s="271" t="str">
        <f t="shared" si="28"/>
        <v>--</v>
      </c>
      <c r="J86" s="272" t="str">
        <f t="shared" si="29"/>
        <v>--</v>
      </c>
      <c r="K86" s="272" t="str">
        <f t="shared" si="30"/>
        <v>--</v>
      </c>
      <c r="L86" s="273" t="str">
        <f t="shared" si="31"/>
        <v>--</v>
      </c>
      <c r="M86" s="7">
        <f t="shared" si="32"/>
        <v>11442298.364617141</v>
      </c>
      <c r="N86" s="7">
        <f t="shared" si="22"/>
        <v>11435993</v>
      </c>
      <c r="O86" s="326">
        <f t="shared" si="33"/>
        <v>25</v>
      </c>
      <c r="P86" s="224" t="str">
        <f t="shared" si="25"/>
        <v/>
      </c>
      <c r="Q86" s="224" t="str">
        <f t="shared" si="34"/>
        <v/>
      </c>
      <c r="R86" s="224"/>
      <c r="S86" s="271" t="str">
        <f t="shared" si="21"/>
        <v/>
      </c>
      <c r="T86" s="7" t="str">
        <f t="shared" si="35"/>
        <v/>
      </c>
      <c r="U86" s="7" t="str">
        <f t="shared" si="36"/>
        <v/>
      </c>
      <c r="V86" s="7" t="str">
        <f t="shared" si="37"/>
        <v/>
      </c>
      <c r="W86" s="7" t="str">
        <f>VLOOKUP(C86,'Tox Summary'!$N$3:$S$1048576,6,FALSE)</f>
        <v/>
      </c>
      <c r="X86" s="76" t="str">
        <f t="shared" si="38"/>
        <v/>
      </c>
      <c r="Y86" s="76" t="str">
        <f t="shared" si="39"/>
        <v/>
      </c>
      <c r="AA86" s="332"/>
    </row>
    <row r="87" spans="1:27">
      <c r="A87" s="265" t="s">
        <v>1413</v>
      </c>
      <c r="B87" s="269" t="s">
        <v>688</v>
      </c>
      <c r="C87" s="269" t="s">
        <v>1399</v>
      </c>
      <c r="D87" s="280" t="str">
        <f>VLOOKUP(B87, 'Chem Props'!$1:$1048576,3,FALSE)</f>
        <v>No</v>
      </c>
      <c r="E87" s="598" t="str">
        <f t="shared" si="40"/>
        <v>Yes</v>
      </c>
      <c r="F87" s="7" t="str">
        <f t="shared" si="26"/>
        <v>No (not volatile)</v>
      </c>
      <c r="G87" s="270" t="str">
        <f t="shared" si="24"/>
        <v>No (not volatile)</v>
      </c>
      <c r="H87" s="76">
        <f t="shared" si="27"/>
        <v>1.5132669983416248E-5</v>
      </c>
      <c r="I87" s="271" t="str">
        <f t="shared" si="28"/>
        <v>C</v>
      </c>
      <c r="J87" s="272">
        <f t="shared" si="29"/>
        <v>5.0442233278054165E-4</v>
      </c>
      <c r="K87" s="272">
        <f t="shared" si="30"/>
        <v>7159.3272382155692</v>
      </c>
      <c r="L87" s="273" t="str">
        <f t="shared" si="31"/>
        <v>--</v>
      </c>
      <c r="M87" s="7">
        <f t="shared" si="32"/>
        <v>8.9025301392161929</v>
      </c>
      <c r="N87" s="7">
        <f t="shared" si="22"/>
        <v>0.68061139999999998</v>
      </c>
      <c r="O87" s="326">
        <f t="shared" si="33"/>
        <v>25</v>
      </c>
      <c r="P87" s="224" t="str">
        <f t="shared" si="25"/>
        <v/>
      </c>
      <c r="Q87" s="224" t="str">
        <f t="shared" si="34"/>
        <v/>
      </c>
      <c r="R87" s="224"/>
      <c r="S87" s="271">
        <f t="shared" ref="S87:S118" si="41">IF(INDEX(IUR,MATCH(B87,CASNoTox,0))=" ","",IF(W87="TCE","see note",INDEX(IUR,MATCH(B87,CASNoTox,0))))</f>
        <v>6.7000000000000004E-2</v>
      </c>
      <c r="T87" s="7" t="str">
        <f t="shared" si="35"/>
        <v>I</v>
      </c>
      <c r="U87" s="7" t="str">
        <f t="shared" si="36"/>
        <v/>
      </c>
      <c r="V87" s="7" t="str">
        <f t="shared" si="37"/>
        <v/>
      </c>
      <c r="W87" s="7" t="str">
        <f>VLOOKUP(C87,'Tox Summary'!$N$3:$S$1048576,6,FALSE)</f>
        <v>Mut</v>
      </c>
      <c r="X87" s="76">
        <f t="shared" si="38"/>
        <v>1.5132669983416248E-5</v>
      </c>
      <c r="Y87" s="76" t="str">
        <f t="shared" si="39"/>
        <v/>
      </c>
      <c r="AA87" s="243"/>
    </row>
    <row r="88" spans="1:27">
      <c r="A88" s="265"/>
      <c r="B88" s="269" t="s">
        <v>204</v>
      </c>
      <c r="C88" s="269" t="s">
        <v>2348</v>
      </c>
      <c r="D88" s="280" t="str">
        <f>VLOOKUP(B88, 'Chem Props'!$1:$1048576,3,FALSE)</f>
        <v>No</v>
      </c>
      <c r="E88" s="598" t="str">
        <f t="shared" si="40"/>
        <v>Yes</v>
      </c>
      <c r="F88" s="7" t="str">
        <f t="shared" si="26"/>
        <v>No (not volatile)</v>
      </c>
      <c r="G88" s="270" t="str">
        <f t="shared" si="24"/>
        <v>No (not volatile)</v>
      </c>
      <c r="H88" s="76">
        <f t="shared" si="27"/>
        <v>2.5524475524475523E-2</v>
      </c>
      <c r="I88" s="271" t="str">
        <f t="shared" si="28"/>
        <v>C</v>
      </c>
      <c r="J88" s="272" t="str">
        <f t="shared" si="29"/>
        <v>NVT</v>
      </c>
      <c r="K88" s="272" t="str">
        <f t="shared" si="30"/>
        <v>NVT</v>
      </c>
      <c r="L88" s="273" t="str">
        <f t="shared" si="31"/>
        <v>--</v>
      </c>
      <c r="M88" s="7">
        <f t="shared" si="32"/>
        <v>0.35571825920296768</v>
      </c>
      <c r="N88" s="7">
        <f t="shared" si="22"/>
        <v>2.0748250000000003E-2</v>
      </c>
      <c r="O88" s="326">
        <f t="shared" si="33"/>
        <v>25</v>
      </c>
      <c r="P88" s="224" t="str">
        <f t="shared" si="25"/>
        <v/>
      </c>
      <c r="Q88" s="224" t="str">
        <f t="shared" si="34"/>
        <v/>
      </c>
      <c r="R88" s="224"/>
      <c r="S88" s="271">
        <f t="shared" si="41"/>
        <v>1.1E-4</v>
      </c>
      <c r="T88" s="7" t="str">
        <f t="shared" si="35"/>
        <v>CA</v>
      </c>
      <c r="U88" s="7" t="str">
        <f t="shared" si="36"/>
        <v/>
      </c>
      <c r="V88" s="7" t="str">
        <f t="shared" si="37"/>
        <v/>
      </c>
      <c r="W88" s="7" t="str">
        <f>VLOOKUP(C88,'Tox Summary'!$N$3:$S$1048576,6,FALSE)</f>
        <v/>
      </c>
      <c r="X88" s="76">
        <f t="shared" si="38"/>
        <v>2.5524475524475523E-2</v>
      </c>
      <c r="Y88" s="76" t="str">
        <f t="shared" si="39"/>
        <v/>
      </c>
      <c r="AA88" s="243"/>
    </row>
    <row r="89" spans="1:27">
      <c r="A89" s="265"/>
      <c r="B89" s="344" t="s">
        <v>205</v>
      </c>
      <c r="C89" s="269" t="s">
        <v>2349</v>
      </c>
      <c r="D89" s="280" t="str">
        <f>VLOOKUP(B89, 'Chem Props'!$1:$1048576,3,FALSE)</f>
        <v>No</v>
      </c>
      <c r="E89" s="598" t="str">
        <f t="shared" si="40"/>
        <v>Yes</v>
      </c>
      <c r="F89" s="7" t="str">
        <f t="shared" si="26"/>
        <v>No (not volatile)</v>
      </c>
      <c r="G89" s="270" t="str">
        <f t="shared" si="24"/>
        <v>No (not volatile)</v>
      </c>
      <c r="H89" s="76">
        <f t="shared" si="27"/>
        <v>1.6898148148148148E-3</v>
      </c>
      <c r="I89" s="271" t="str">
        <f t="shared" si="28"/>
        <v>C</v>
      </c>
      <c r="J89" s="272">
        <f t="shared" si="29"/>
        <v>5.6327160493827161E-2</v>
      </c>
      <c r="K89" s="272" t="str">
        <f t="shared" si="30"/>
        <v>NVT</v>
      </c>
      <c r="L89" s="273" t="str">
        <f t="shared" si="31"/>
        <v>No (0.2)</v>
      </c>
      <c r="M89" s="7">
        <f t="shared" si="32"/>
        <v>7.4537910039095143E-2</v>
      </c>
      <c r="N89" s="7">
        <f t="shared" si="22"/>
        <v>3.0294000000000001E-2</v>
      </c>
      <c r="O89" s="326">
        <f t="shared" si="33"/>
        <v>25</v>
      </c>
      <c r="P89" s="224" t="str">
        <f t="shared" si="25"/>
        <v/>
      </c>
      <c r="Q89" s="224" t="str">
        <f t="shared" si="34"/>
        <v/>
      </c>
      <c r="R89" s="224"/>
      <c r="S89" s="271">
        <f t="shared" si="41"/>
        <v>5.9999999999999995E-4</v>
      </c>
      <c r="T89" s="7" t="str">
        <f t="shared" si="35"/>
        <v>I</v>
      </c>
      <c r="U89" s="7">
        <f t="shared" si="36"/>
        <v>1.9999999999999999E-6</v>
      </c>
      <c r="V89" s="7" t="str">
        <f t="shared" si="37"/>
        <v>I</v>
      </c>
      <c r="W89" s="7" t="str">
        <f>VLOOKUP(C89,'Tox Summary'!$N$3:$S$1048576,6,FALSE)</f>
        <v>Mut</v>
      </c>
      <c r="X89" s="76">
        <f t="shared" si="38"/>
        <v>1.6898148148148148E-3</v>
      </c>
      <c r="Y89" s="76">
        <f t="shared" si="39"/>
        <v>2.0857142857142858E-3</v>
      </c>
      <c r="AA89" s="332"/>
    </row>
    <row r="90" spans="1:27">
      <c r="A90" s="265"/>
      <c r="B90" s="344" t="s">
        <v>206</v>
      </c>
      <c r="C90" s="269" t="s">
        <v>2350</v>
      </c>
      <c r="D90" s="280" t="str">
        <f>VLOOKUP(B90, 'Chem Props'!$1:$1048576,3,FALSE)</f>
        <v>No</v>
      </c>
      <c r="E90" s="598" t="str">
        <f t="shared" si="40"/>
        <v>Yes</v>
      </c>
      <c r="F90" s="7" t="str">
        <f t="shared" si="26"/>
        <v>No (not volatile)</v>
      </c>
      <c r="G90" s="270" t="str">
        <f t="shared" si="24"/>
        <v>No (not volatile)</v>
      </c>
      <c r="H90" s="76">
        <f t="shared" si="27"/>
        <v>1.6898148148148145E-2</v>
      </c>
      <c r="I90" s="271" t="str">
        <f t="shared" si="28"/>
        <v>C</v>
      </c>
      <c r="J90" s="272">
        <f t="shared" si="29"/>
        <v>0.56327160493827155</v>
      </c>
      <c r="K90" s="272" t="str">
        <f t="shared" si="30"/>
        <v>NVT</v>
      </c>
      <c r="L90" s="273" t="str">
        <f t="shared" si="31"/>
        <v>--</v>
      </c>
      <c r="M90" s="7">
        <f t="shared" si="32"/>
        <v>6.7885163970032005</v>
      </c>
      <c r="N90" s="7">
        <f t="shared" si="22"/>
        <v>4.0350000000000004E-2</v>
      </c>
      <c r="O90" s="326">
        <f t="shared" si="33"/>
        <v>25</v>
      </c>
      <c r="P90" s="224" t="str">
        <f t="shared" si="25"/>
        <v/>
      </c>
      <c r="Q90" s="224" t="str">
        <f t="shared" si="34"/>
        <v/>
      </c>
      <c r="R90" s="224"/>
      <c r="S90" s="271">
        <f t="shared" si="41"/>
        <v>6.0000000000000002E-5</v>
      </c>
      <c r="T90" s="7" t="str">
        <f t="shared" si="35"/>
        <v>E</v>
      </c>
      <c r="U90" s="7" t="str">
        <f t="shared" si="36"/>
        <v/>
      </c>
      <c r="V90" s="7" t="str">
        <f t="shared" si="37"/>
        <v/>
      </c>
      <c r="W90" s="7" t="str">
        <f>VLOOKUP(C90,'Tox Summary'!$N$3:$S$1048576,6,FALSE)</f>
        <v>Mut</v>
      </c>
      <c r="X90" s="76">
        <f t="shared" si="38"/>
        <v>1.6898148148148145E-2</v>
      </c>
      <c r="Y90" s="76" t="str">
        <f t="shared" si="39"/>
        <v/>
      </c>
      <c r="AA90" s="332"/>
    </row>
    <row r="91" spans="1:27">
      <c r="A91" s="265"/>
      <c r="B91" s="344" t="s">
        <v>207</v>
      </c>
      <c r="C91" s="269" t="s">
        <v>2351</v>
      </c>
      <c r="D91" s="280" t="str">
        <f>VLOOKUP(B91, 'Chem Props'!$1:$1048576,3,FALSE)</f>
        <v>No</v>
      </c>
      <c r="E91" s="598" t="str">
        <f t="shared" si="40"/>
        <v>Yes</v>
      </c>
      <c r="F91" s="7" t="str">
        <f t="shared" si="26"/>
        <v>No (not volatile)</v>
      </c>
      <c r="G91" s="270" t="str">
        <f t="shared" si="24"/>
        <v>No (not volatile)</v>
      </c>
      <c r="H91" s="76" t="str">
        <f t="shared" si="27"/>
        <v>NVT</v>
      </c>
      <c r="I91" s="271" t="str">
        <f t="shared" si="28"/>
        <v>C</v>
      </c>
      <c r="J91" s="272" t="str">
        <f t="shared" si="29"/>
        <v>NVT</v>
      </c>
      <c r="K91" s="272" t="str">
        <f t="shared" si="30"/>
        <v>NVT</v>
      </c>
      <c r="L91" s="273" t="str">
        <f t="shared" si="31"/>
        <v>--</v>
      </c>
      <c r="M91" s="7">
        <f t="shared" si="32"/>
        <v>1.3101836646216176E-2</v>
      </c>
      <c r="N91" s="7">
        <f t="shared" si="22"/>
        <v>1.9120000000000002E-2</v>
      </c>
      <c r="O91" s="326">
        <f t="shared" si="33"/>
        <v>25</v>
      </c>
      <c r="P91" s="224" t="str">
        <f t="shared" si="25"/>
        <v/>
      </c>
      <c r="Q91" s="224" t="str">
        <f t="shared" si="34"/>
        <v/>
      </c>
      <c r="R91" s="224"/>
      <c r="S91" s="271">
        <f t="shared" si="41"/>
        <v>6.0000000000000002E-6</v>
      </c>
      <c r="T91" s="7" t="str">
        <f t="shared" si="35"/>
        <v>E</v>
      </c>
      <c r="U91" s="7" t="str">
        <f t="shared" si="36"/>
        <v/>
      </c>
      <c r="V91" s="7" t="str">
        <f t="shared" si="37"/>
        <v/>
      </c>
      <c r="W91" s="7" t="str">
        <f>VLOOKUP(C91,'Tox Summary'!$N$3:$S$1048576,6,FALSE)</f>
        <v>Mut</v>
      </c>
      <c r="X91" s="76">
        <f t="shared" si="38"/>
        <v>0.16898148148148145</v>
      </c>
      <c r="Y91" s="76" t="str">
        <f t="shared" si="39"/>
        <v/>
      </c>
      <c r="AA91" s="332"/>
    </row>
    <row r="92" spans="1:27">
      <c r="A92" s="265"/>
      <c r="B92" s="344" t="s">
        <v>689</v>
      </c>
      <c r="C92" s="269" t="s">
        <v>427</v>
      </c>
      <c r="D92" s="280" t="str">
        <f>VLOOKUP(B92, 'Chem Props'!$1:$1048576,3,FALSE)</f>
        <v>No</v>
      </c>
      <c r="E92" s="598" t="str">
        <f t="shared" si="40"/>
        <v>No</v>
      </c>
      <c r="F92" s="7" t="str">
        <f t="shared" si="26"/>
        <v>No (not volatile)</v>
      </c>
      <c r="G92" s="270" t="str">
        <f t="shared" si="24"/>
        <v>No (not volatile)</v>
      </c>
      <c r="H92" s="76" t="str">
        <f t="shared" si="27"/>
        <v>--</v>
      </c>
      <c r="I92" s="271" t="str">
        <f t="shared" si="28"/>
        <v>--</v>
      </c>
      <c r="J92" s="272" t="str">
        <f t="shared" si="29"/>
        <v>--</v>
      </c>
      <c r="K92" s="272" t="str">
        <f t="shared" si="30"/>
        <v>--</v>
      </c>
      <c r="L92" s="273" t="str">
        <f t="shared" si="31"/>
        <v>--</v>
      </c>
      <c r="M92" s="7">
        <f t="shared" si="32"/>
        <v>4599.7902320975081</v>
      </c>
      <c r="N92" s="7">
        <f t="shared" si="22"/>
        <v>5295.8399999999992</v>
      </c>
      <c r="O92" s="326">
        <f t="shared" si="33"/>
        <v>25</v>
      </c>
      <c r="P92" s="224" t="str">
        <f t="shared" si="25"/>
        <v/>
      </c>
      <c r="Q92" s="224" t="str">
        <f t="shared" si="34"/>
        <v/>
      </c>
      <c r="R92" s="224"/>
      <c r="S92" s="271" t="str">
        <f t="shared" si="41"/>
        <v/>
      </c>
      <c r="T92" s="7" t="str">
        <f t="shared" si="35"/>
        <v/>
      </c>
      <c r="U92" s="7" t="str">
        <f t="shared" si="36"/>
        <v/>
      </c>
      <c r="V92" s="7" t="str">
        <f t="shared" si="37"/>
        <v/>
      </c>
      <c r="W92" s="7" t="str">
        <f>VLOOKUP(C92,'Tox Summary'!$N$3:$S$1048576,6,FALSE)</f>
        <v/>
      </c>
      <c r="X92" s="76" t="str">
        <f t="shared" si="38"/>
        <v/>
      </c>
      <c r="Y92" s="76" t="str">
        <f t="shared" si="39"/>
        <v/>
      </c>
      <c r="AA92" s="332"/>
    </row>
    <row r="93" spans="1:27">
      <c r="A93" s="265"/>
      <c r="B93" s="344" t="s">
        <v>690</v>
      </c>
      <c r="C93" s="269" t="s">
        <v>1000</v>
      </c>
      <c r="D93" s="280" t="str">
        <f>VLOOKUP(B93, 'Chem Props'!$1:$1048576,3,FALSE)</f>
        <v>Yes</v>
      </c>
      <c r="E93" s="598" t="str">
        <f t="shared" si="40"/>
        <v>No</v>
      </c>
      <c r="F93" s="7" t="str">
        <f t="shared" si="26"/>
        <v>No Inhal. Tox. Info</v>
      </c>
      <c r="G93" s="270" t="str">
        <f t="shared" si="24"/>
        <v>No Inhal. Tox. Info</v>
      </c>
      <c r="H93" s="76" t="str">
        <f t="shared" si="27"/>
        <v>--</v>
      </c>
      <c r="I93" s="271" t="str">
        <f t="shared" si="28"/>
        <v>--</v>
      </c>
      <c r="J93" s="272" t="str">
        <f t="shared" si="29"/>
        <v>--</v>
      </c>
      <c r="K93" s="272" t="str">
        <f t="shared" si="30"/>
        <v>--</v>
      </c>
      <c r="L93" s="273" t="str">
        <f t="shared" si="31"/>
        <v>--</v>
      </c>
      <c r="M93" s="7">
        <f t="shared" si="32"/>
        <v>4354676.1470234692</v>
      </c>
      <c r="N93" s="7">
        <f t="shared" si="22"/>
        <v>563368.80000000005</v>
      </c>
      <c r="O93" s="326">
        <f t="shared" si="33"/>
        <v>25</v>
      </c>
      <c r="P93" s="224" t="str">
        <f t="shared" si="25"/>
        <v/>
      </c>
      <c r="Q93" s="224" t="str">
        <f t="shared" si="34"/>
        <v/>
      </c>
      <c r="R93" s="224"/>
      <c r="S93" s="271" t="str">
        <f t="shared" si="41"/>
        <v/>
      </c>
      <c r="T93" s="7" t="str">
        <f t="shared" si="35"/>
        <v/>
      </c>
      <c r="U93" s="7" t="str">
        <f t="shared" si="36"/>
        <v/>
      </c>
      <c r="V93" s="7" t="str">
        <f t="shared" si="37"/>
        <v/>
      </c>
      <c r="W93" s="7" t="str">
        <f>VLOOKUP(C93,'Tox Summary'!$N$3:$S$1048576,6,FALSE)</f>
        <v/>
      </c>
      <c r="X93" s="76" t="str">
        <f t="shared" si="38"/>
        <v/>
      </c>
      <c r="Y93" s="76" t="str">
        <f t="shared" si="39"/>
        <v/>
      </c>
      <c r="AA93" s="332"/>
    </row>
    <row r="94" spans="1:27">
      <c r="A94" s="265"/>
      <c r="B94" s="344" t="s">
        <v>691</v>
      </c>
      <c r="C94" s="269" t="s">
        <v>1001</v>
      </c>
      <c r="D94" s="280" t="str">
        <f>VLOOKUP(B94, 'Chem Props'!$1:$1048576,3,FALSE)</f>
        <v>No</v>
      </c>
      <c r="E94" s="598" t="str">
        <f t="shared" si="40"/>
        <v>No</v>
      </c>
      <c r="F94" s="7" t="str">
        <f t="shared" si="26"/>
        <v>No (not volatile)</v>
      </c>
      <c r="G94" s="270" t="str">
        <f t="shared" si="24"/>
        <v>No (not volatile)</v>
      </c>
      <c r="H94" s="76" t="str">
        <f t="shared" si="27"/>
        <v>--</v>
      </c>
      <c r="I94" s="271" t="str">
        <f t="shared" si="28"/>
        <v>--</v>
      </c>
      <c r="J94" s="272" t="str">
        <f t="shared" si="29"/>
        <v>--</v>
      </c>
      <c r="K94" s="272" t="str">
        <f t="shared" si="30"/>
        <v>--</v>
      </c>
      <c r="L94" s="273" t="str">
        <f t="shared" si="31"/>
        <v>--</v>
      </c>
      <c r="M94" s="7">
        <f t="shared" si="32"/>
        <v>546974.91548954544</v>
      </c>
      <c r="N94" s="7">
        <f t="shared" si="22"/>
        <v>592020</v>
      </c>
      <c r="O94" s="326">
        <f t="shared" si="33"/>
        <v>25</v>
      </c>
      <c r="P94" s="224" t="str">
        <f t="shared" si="25"/>
        <v/>
      </c>
      <c r="Q94" s="224" t="str">
        <f t="shared" si="34"/>
        <v/>
      </c>
      <c r="R94" s="224"/>
      <c r="S94" s="271" t="str">
        <f t="shared" si="41"/>
        <v/>
      </c>
      <c r="T94" s="7" t="str">
        <f t="shared" si="35"/>
        <v/>
      </c>
      <c r="U94" s="7" t="str">
        <f t="shared" si="36"/>
        <v/>
      </c>
      <c r="V94" s="7" t="str">
        <f t="shared" si="37"/>
        <v/>
      </c>
      <c r="W94" s="7" t="str">
        <f>VLOOKUP(C94,'Tox Summary'!$N$3:$S$1048576,6,FALSE)</f>
        <v/>
      </c>
      <c r="X94" s="76" t="str">
        <f t="shared" si="38"/>
        <v/>
      </c>
      <c r="Y94" s="76" t="str">
        <f t="shared" si="39"/>
        <v/>
      </c>
      <c r="AA94" s="332"/>
    </row>
    <row r="95" spans="1:27">
      <c r="A95" s="265"/>
      <c r="B95" s="344" t="s">
        <v>692</v>
      </c>
      <c r="C95" s="269" t="s">
        <v>1002</v>
      </c>
      <c r="D95" s="280" t="str">
        <f>VLOOKUP(B95, 'Chem Props'!$1:$1048576,3,FALSE)</f>
        <v>Yes</v>
      </c>
      <c r="E95" s="598" t="str">
        <f t="shared" si="40"/>
        <v>Yes</v>
      </c>
      <c r="F95" s="7" t="str">
        <f t="shared" si="26"/>
        <v>Yes</v>
      </c>
      <c r="G95" s="270" t="str">
        <f t="shared" si="24"/>
        <v>Yes</v>
      </c>
      <c r="H95" s="76">
        <f t="shared" si="27"/>
        <v>5.7299843014128729E-2</v>
      </c>
      <c r="I95" s="271" t="str">
        <f t="shared" si="28"/>
        <v>C</v>
      </c>
      <c r="J95" s="272">
        <f t="shared" si="29"/>
        <v>1.9099947671376243</v>
      </c>
      <c r="K95" s="272">
        <f t="shared" si="30"/>
        <v>3.4018358692295521</v>
      </c>
      <c r="L95" s="273" t="str">
        <f t="shared" si="31"/>
        <v>--</v>
      </c>
      <c r="M95" s="7">
        <f t="shared" si="32"/>
        <v>8378334.6350417035</v>
      </c>
      <c r="N95" s="7">
        <f t="shared" si="22"/>
        <v>8842995</v>
      </c>
      <c r="O95" s="326">
        <f t="shared" si="33"/>
        <v>25</v>
      </c>
      <c r="P95" s="224">
        <f t="shared" si="25"/>
        <v>1.1000000000000001</v>
      </c>
      <c r="Q95" s="224" t="str">
        <f t="shared" si="34"/>
        <v>N</v>
      </c>
      <c r="R95" s="224"/>
      <c r="S95" s="271">
        <f t="shared" si="41"/>
        <v>4.8999999999999998E-5</v>
      </c>
      <c r="T95" s="7" t="str">
        <f t="shared" si="35"/>
        <v>CA</v>
      </c>
      <c r="U95" s="7">
        <f t="shared" si="36"/>
        <v>1E-3</v>
      </c>
      <c r="V95" s="7" t="str">
        <f t="shared" si="37"/>
        <v>P</v>
      </c>
      <c r="W95" s="7" t="str">
        <f>VLOOKUP(C95,'Tox Summary'!$N$3:$S$1048576,6,FALSE)</f>
        <v/>
      </c>
      <c r="X95" s="76">
        <f t="shared" si="38"/>
        <v>5.7299843014128729E-2</v>
      </c>
      <c r="Y95" s="76">
        <f t="shared" si="39"/>
        <v>1.0428571428571429</v>
      </c>
      <c r="AA95" s="332"/>
    </row>
    <row r="96" spans="1:27">
      <c r="A96" s="265"/>
      <c r="B96" s="344" t="s">
        <v>693</v>
      </c>
      <c r="C96" s="269" t="s">
        <v>1003</v>
      </c>
      <c r="D96" s="280" t="str">
        <f>VLOOKUP(B96, 'Chem Props'!$1:$1048576,3,FALSE)</f>
        <v>No</v>
      </c>
      <c r="E96" s="598" t="str">
        <f t="shared" si="40"/>
        <v>Yes</v>
      </c>
      <c r="F96" s="7" t="str">
        <f t="shared" si="26"/>
        <v>No (not volatile)</v>
      </c>
      <c r="G96" s="270" t="str">
        <f t="shared" si="24"/>
        <v>No (not volatile)</v>
      </c>
      <c r="H96" s="76" t="str">
        <f t="shared" si="27"/>
        <v>NVT</v>
      </c>
      <c r="I96" s="271" t="str">
        <f t="shared" si="28"/>
        <v>C</v>
      </c>
      <c r="J96" s="272" t="str">
        <f t="shared" si="29"/>
        <v>NVT</v>
      </c>
      <c r="K96" s="272" t="str">
        <f t="shared" si="30"/>
        <v>NVT</v>
      </c>
      <c r="L96" s="273" t="str">
        <f t="shared" si="31"/>
        <v>No (4)</v>
      </c>
      <c r="M96" s="7">
        <f t="shared" si="32"/>
        <v>0</v>
      </c>
      <c r="N96" s="7"/>
      <c r="O96" s="326">
        <f t="shared" si="33"/>
        <v>25</v>
      </c>
      <c r="P96" s="224" t="str">
        <f t="shared" si="25"/>
        <v/>
      </c>
      <c r="Q96" s="224" t="str">
        <f t="shared" si="34"/>
        <v/>
      </c>
      <c r="R96" s="224"/>
      <c r="S96" s="271">
        <f t="shared" si="41"/>
        <v>2.3999999999999998E-3</v>
      </c>
      <c r="T96" s="7" t="str">
        <f t="shared" si="35"/>
        <v>I</v>
      </c>
      <c r="U96" s="7">
        <f t="shared" si="36"/>
        <v>2.0000000000000002E-5</v>
      </c>
      <c r="V96" s="7" t="str">
        <f t="shared" si="37"/>
        <v>I</v>
      </c>
      <c r="W96" s="7" t="str">
        <f>VLOOKUP(C96,'Tox Summary'!$N$3:$S$1048576,6,FALSE)</f>
        <v/>
      </c>
      <c r="X96" s="76">
        <f t="shared" si="38"/>
        <v>1.169871794871795E-3</v>
      </c>
      <c r="Y96" s="76">
        <f t="shared" si="39"/>
        <v>2.0857142857142855E-2</v>
      </c>
      <c r="AA96" s="332"/>
    </row>
    <row r="97" spans="1:27">
      <c r="A97" s="265" t="s">
        <v>1413</v>
      </c>
      <c r="B97" s="269" t="s">
        <v>695</v>
      </c>
      <c r="C97" s="269" t="s">
        <v>1004</v>
      </c>
      <c r="D97" s="280" t="str">
        <f>VLOOKUP(B97, 'Chem Props'!$1:$1048576,3,FALSE)</f>
        <v>No</v>
      </c>
      <c r="E97" s="598" t="str">
        <f t="shared" si="40"/>
        <v>No</v>
      </c>
      <c r="F97" s="7" t="str">
        <f t="shared" si="26"/>
        <v>No (not volatile)</v>
      </c>
      <c r="G97" s="270" t="str">
        <f t="shared" si="24"/>
        <v>No (not volatile)</v>
      </c>
      <c r="H97" s="76" t="str">
        <f t="shared" si="27"/>
        <v>--</v>
      </c>
      <c r="I97" s="271" t="str">
        <f t="shared" si="28"/>
        <v>--</v>
      </c>
      <c r="J97" s="272" t="str">
        <f t="shared" si="29"/>
        <v>--</v>
      </c>
      <c r="K97" s="272" t="str">
        <f t="shared" si="30"/>
        <v>--</v>
      </c>
      <c r="L97" s="273" t="str">
        <f t="shared" si="31"/>
        <v>--</v>
      </c>
      <c r="M97" s="7">
        <f t="shared" si="32"/>
        <v>1.8410137920661658</v>
      </c>
      <c r="N97" s="7">
        <f t="shared" ref="N97:N107" si="42">IF(INDEX(HLC,MATCH(C97,ChemNameChem,0))="","No HLC",IF(INDEX(Sol,MATCH(C97,ChemNameChem,0))="No S","No S",INDEX(HLC,MATCH(C97,ChemNameChem,0))*INDEX(Sol,MATCH(C97,ChemNameChem,0))*1000000))</f>
        <v>1.7573292</v>
      </c>
      <c r="O97" s="326">
        <f t="shared" si="33"/>
        <v>25</v>
      </c>
      <c r="P97" s="224" t="str">
        <f t="shared" si="25"/>
        <v/>
      </c>
      <c r="Q97" s="224" t="str">
        <f t="shared" si="34"/>
        <v/>
      </c>
      <c r="R97" s="224"/>
      <c r="S97" s="271" t="str">
        <f t="shared" si="41"/>
        <v/>
      </c>
      <c r="T97" s="7" t="str">
        <f t="shared" si="35"/>
        <v/>
      </c>
      <c r="U97" s="7" t="str">
        <f t="shared" si="36"/>
        <v/>
      </c>
      <c r="V97" s="7" t="str">
        <f t="shared" si="37"/>
        <v/>
      </c>
      <c r="W97" s="7" t="str">
        <f>VLOOKUP(C97,'Tox Summary'!$N$3:$S$1048576,6,FALSE)</f>
        <v/>
      </c>
      <c r="X97" s="76" t="str">
        <f t="shared" si="38"/>
        <v/>
      </c>
      <c r="Y97" s="76" t="str">
        <f t="shared" si="39"/>
        <v/>
      </c>
      <c r="AA97" s="243"/>
    </row>
    <row r="98" spans="1:27">
      <c r="A98" s="265" t="s">
        <v>1413</v>
      </c>
      <c r="B98" s="344" t="s">
        <v>696</v>
      </c>
      <c r="C98" s="269" t="s">
        <v>1005</v>
      </c>
      <c r="D98" s="280" t="str">
        <f>VLOOKUP(B98, 'Chem Props'!$1:$1048576,3,FALSE)</f>
        <v>No</v>
      </c>
      <c r="E98" s="598" t="str">
        <f t="shared" si="40"/>
        <v>No</v>
      </c>
      <c r="F98" s="7" t="str">
        <f t="shared" si="26"/>
        <v>No (not volatile)</v>
      </c>
      <c r="G98" s="270" t="str">
        <f t="shared" si="24"/>
        <v>No (not volatile)</v>
      </c>
      <c r="H98" s="76" t="str">
        <f t="shared" si="27"/>
        <v>--</v>
      </c>
      <c r="I98" s="271" t="str">
        <f t="shared" si="28"/>
        <v>--</v>
      </c>
      <c r="J98" s="272" t="str">
        <f t="shared" si="29"/>
        <v>--</v>
      </c>
      <c r="K98" s="272" t="str">
        <f t="shared" si="30"/>
        <v>--</v>
      </c>
      <c r="L98" s="273" t="str">
        <f t="shared" si="31"/>
        <v>--</v>
      </c>
      <c r="M98" s="7">
        <f t="shared" si="32"/>
        <v>4.0958386692584687</v>
      </c>
      <c r="N98" s="7">
        <f t="shared" si="42"/>
        <v>4.0899999999999999E-2</v>
      </c>
      <c r="O98" s="326">
        <f t="shared" si="33"/>
        <v>25</v>
      </c>
      <c r="P98" s="224" t="str">
        <f t="shared" si="25"/>
        <v/>
      </c>
      <c r="Q98" s="224" t="str">
        <f t="shared" si="34"/>
        <v/>
      </c>
      <c r="R98" s="224"/>
      <c r="S98" s="271" t="str">
        <f t="shared" si="41"/>
        <v/>
      </c>
      <c r="T98" s="7" t="str">
        <f t="shared" si="35"/>
        <v/>
      </c>
      <c r="U98" s="7" t="str">
        <f t="shared" si="36"/>
        <v/>
      </c>
      <c r="V98" s="7" t="str">
        <f t="shared" si="37"/>
        <v/>
      </c>
      <c r="W98" s="7" t="str">
        <f>VLOOKUP(C98,'Tox Summary'!$N$3:$S$1048576,6,FALSE)</f>
        <v/>
      </c>
      <c r="X98" s="76" t="str">
        <f t="shared" si="38"/>
        <v/>
      </c>
      <c r="Y98" s="76" t="str">
        <f t="shared" si="39"/>
        <v/>
      </c>
      <c r="AA98" s="332"/>
    </row>
    <row r="99" spans="1:27">
      <c r="A99" s="265"/>
      <c r="B99" s="344" t="s">
        <v>374</v>
      </c>
      <c r="C99" s="269" t="s">
        <v>1006</v>
      </c>
      <c r="D99" s="280" t="str">
        <f>VLOOKUP(B99, 'Chem Props'!$1:$1048576,3,FALSE)</f>
        <v>Yes</v>
      </c>
      <c r="E99" s="598" t="str">
        <f t="shared" si="40"/>
        <v>Yes</v>
      </c>
      <c r="F99" s="7" t="str">
        <f t="shared" si="26"/>
        <v>Yes</v>
      </c>
      <c r="G99" s="270" t="str">
        <f t="shared" si="24"/>
        <v>Yes</v>
      </c>
      <c r="H99" s="76">
        <f t="shared" si="27"/>
        <v>0.41714285714285715</v>
      </c>
      <c r="I99" s="271" t="str">
        <f t="shared" si="28"/>
        <v>NC</v>
      </c>
      <c r="J99" s="272">
        <f t="shared" si="29"/>
        <v>13.904761904761905</v>
      </c>
      <c r="K99" s="272">
        <f t="shared" si="30"/>
        <v>33.127609366491193</v>
      </c>
      <c r="L99" s="273" t="str">
        <f t="shared" si="31"/>
        <v>--</v>
      </c>
      <c r="M99" s="7">
        <f t="shared" si="32"/>
        <v>74099.825810764451</v>
      </c>
      <c r="N99" s="7">
        <f t="shared" si="42"/>
        <v>94188.160000000003</v>
      </c>
      <c r="O99" s="326">
        <f t="shared" si="33"/>
        <v>25</v>
      </c>
      <c r="P99" s="224">
        <f t="shared" si="25"/>
        <v>0.6</v>
      </c>
      <c r="Q99" s="224" t="str">
        <f t="shared" si="34"/>
        <v>N</v>
      </c>
      <c r="R99" s="224"/>
      <c r="S99" s="271" t="str">
        <f t="shared" si="41"/>
        <v/>
      </c>
      <c r="T99" s="7" t="str">
        <f t="shared" si="35"/>
        <v/>
      </c>
      <c r="U99" s="7">
        <f t="shared" si="36"/>
        <v>4.0000000000000002E-4</v>
      </c>
      <c r="V99" s="7" t="str">
        <f t="shared" si="37"/>
        <v>X</v>
      </c>
      <c r="W99" s="7" t="str">
        <f>VLOOKUP(C99,'Tox Summary'!$N$3:$S$1048576,6,FALSE)</f>
        <v/>
      </c>
      <c r="X99" s="76" t="str">
        <f t="shared" si="38"/>
        <v/>
      </c>
      <c r="Y99" s="76">
        <f t="shared" si="39"/>
        <v>0.41714285714285715</v>
      </c>
      <c r="AA99" s="332"/>
    </row>
    <row r="100" spans="1:27">
      <c r="A100" s="265"/>
      <c r="B100" s="344" t="s">
        <v>375</v>
      </c>
      <c r="C100" s="269" t="s">
        <v>1008</v>
      </c>
      <c r="D100" s="280" t="str">
        <f>VLOOKUP(B100, 'Chem Props'!$1:$1048576,3,FALSE)</f>
        <v>Yes</v>
      </c>
      <c r="E100" s="598" t="str">
        <f t="shared" si="40"/>
        <v>No</v>
      </c>
      <c r="F100" s="7" t="str">
        <f t="shared" si="26"/>
        <v>No Inhal. Tox. Info</v>
      </c>
      <c r="G100" s="270" t="str">
        <f t="shared" si="24"/>
        <v>No Inhal. Tox. Info</v>
      </c>
      <c r="H100" s="76" t="str">
        <f t="shared" si="27"/>
        <v>--</v>
      </c>
      <c r="I100" s="271" t="str">
        <f t="shared" si="28"/>
        <v>--</v>
      </c>
      <c r="J100" s="272" t="str">
        <f t="shared" si="29"/>
        <v>--</v>
      </c>
      <c r="K100" s="272" t="str">
        <f t="shared" si="30"/>
        <v>--</v>
      </c>
      <c r="L100" s="273" t="str">
        <f t="shared" si="31"/>
        <v>--</v>
      </c>
      <c r="M100" s="7">
        <f t="shared" si="32"/>
        <v>5154838.6177852647</v>
      </c>
      <c r="N100" s="7">
        <f t="shared" si="42"/>
        <v>5156950</v>
      </c>
      <c r="O100" s="326">
        <f t="shared" si="33"/>
        <v>25</v>
      </c>
      <c r="P100" s="224" t="str">
        <f t="shared" si="25"/>
        <v/>
      </c>
      <c r="Q100" s="224" t="str">
        <f t="shared" si="34"/>
        <v/>
      </c>
      <c r="R100" s="224"/>
      <c r="S100" s="271" t="str">
        <f t="shared" si="41"/>
        <v/>
      </c>
      <c r="T100" s="7" t="str">
        <f t="shared" si="35"/>
        <v/>
      </c>
      <c r="U100" s="7" t="str">
        <f t="shared" si="36"/>
        <v/>
      </c>
      <c r="V100" s="7" t="str">
        <f t="shared" si="37"/>
        <v/>
      </c>
      <c r="W100" s="7" t="str">
        <f>VLOOKUP(C100,'Tox Summary'!$N$3:$S$1048576,6,FALSE)</f>
        <v/>
      </c>
      <c r="X100" s="76" t="str">
        <f t="shared" si="38"/>
        <v/>
      </c>
      <c r="Y100" s="76" t="str">
        <f t="shared" si="39"/>
        <v/>
      </c>
      <c r="AA100" s="332"/>
    </row>
    <row r="101" spans="1:27">
      <c r="A101" s="265"/>
      <c r="B101" s="344" t="s">
        <v>697</v>
      </c>
      <c r="C101" s="269" t="s">
        <v>1007</v>
      </c>
      <c r="D101" s="280" t="str">
        <f>VLOOKUP(B101, 'Chem Props'!$1:$1048576,3,FALSE)</f>
        <v>No</v>
      </c>
      <c r="E101" s="598" t="str">
        <f t="shared" si="40"/>
        <v>No</v>
      </c>
      <c r="F101" s="7" t="str">
        <f t="shared" si="26"/>
        <v>No (not volatile)</v>
      </c>
      <c r="G101" s="270" t="str">
        <f t="shared" si="24"/>
        <v>No (not volatile)</v>
      </c>
      <c r="H101" s="76" t="str">
        <f t="shared" si="27"/>
        <v>--</v>
      </c>
      <c r="I101" s="271" t="str">
        <f t="shared" si="28"/>
        <v>--</v>
      </c>
      <c r="J101" s="272" t="str">
        <f t="shared" si="29"/>
        <v>--</v>
      </c>
      <c r="K101" s="272" t="str">
        <f t="shared" si="30"/>
        <v>--</v>
      </c>
      <c r="L101" s="273" t="str">
        <f t="shared" si="31"/>
        <v>--</v>
      </c>
      <c r="M101" s="7">
        <f t="shared" si="32"/>
        <v>1229061.5393828573</v>
      </c>
      <c r="N101" s="7">
        <f t="shared" si="42"/>
        <v>1227720</v>
      </c>
      <c r="O101" s="326">
        <f t="shared" si="33"/>
        <v>25</v>
      </c>
      <c r="P101" s="224" t="str">
        <f t="shared" si="25"/>
        <v/>
      </c>
      <c r="Q101" s="224" t="str">
        <f t="shared" si="34"/>
        <v/>
      </c>
      <c r="R101" s="224"/>
      <c r="S101" s="271" t="str">
        <f t="shared" si="41"/>
        <v/>
      </c>
      <c r="T101" s="7" t="str">
        <f t="shared" si="35"/>
        <v/>
      </c>
      <c r="U101" s="7" t="str">
        <f t="shared" si="36"/>
        <v/>
      </c>
      <c r="V101" s="7" t="str">
        <f t="shared" si="37"/>
        <v/>
      </c>
      <c r="W101" s="7" t="str">
        <f>VLOOKUP(C101,'Tox Summary'!$N$3:$S$1048576,6,FALSE)</f>
        <v/>
      </c>
      <c r="X101" s="76" t="str">
        <f t="shared" si="38"/>
        <v/>
      </c>
      <c r="Y101" s="76" t="str">
        <f t="shared" si="39"/>
        <v/>
      </c>
      <c r="AA101" s="332"/>
    </row>
    <row r="102" spans="1:27">
      <c r="A102" s="265"/>
      <c r="B102" s="269" t="s">
        <v>698</v>
      </c>
      <c r="C102" s="269" t="s">
        <v>428</v>
      </c>
      <c r="D102" s="280" t="str">
        <f>VLOOKUP(B102, 'Chem Props'!$1:$1048576,3,FALSE)</f>
        <v>Yes</v>
      </c>
      <c r="E102" s="598" t="str">
        <f t="shared" si="40"/>
        <v>Yes</v>
      </c>
      <c r="F102" s="7" t="str">
        <f t="shared" si="26"/>
        <v>Yes</v>
      </c>
      <c r="G102" s="270" t="str">
        <f t="shared" si="24"/>
        <v>Yes</v>
      </c>
      <c r="H102" s="76">
        <f t="shared" si="27"/>
        <v>8.5081585081585084E-3</v>
      </c>
      <c r="I102" s="271" t="str">
        <f t="shared" si="28"/>
        <v>C</v>
      </c>
      <c r="J102" s="272">
        <f t="shared" si="29"/>
        <v>0.28360528360528364</v>
      </c>
      <c r="K102" s="272">
        <f t="shared" si="30"/>
        <v>12.241954687997854</v>
      </c>
      <c r="L102" s="273" t="str">
        <f t="shared" si="31"/>
        <v>--</v>
      </c>
      <c r="M102" s="7">
        <f t="shared" si="32"/>
        <v>11927551.374444457</v>
      </c>
      <c r="N102" s="7">
        <f t="shared" si="42"/>
        <v>11953999.999999998</v>
      </c>
      <c r="O102" s="326">
        <f t="shared" si="33"/>
        <v>25</v>
      </c>
      <c r="P102" s="224">
        <f t="shared" si="25"/>
        <v>2.7</v>
      </c>
      <c r="Q102" s="224" t="str">
        <f t="shared" si="34"/>
        <v>N</v>
      </c>
      <c r="R102" s="224"/>
      <c r="S102" s="271">
        <f t="shared" si="41"/>
        <v>3.3E-4</v>
      </c>
      <c r="T102" s="7" t="str">
        <f t="shared" si="35"/>
        <v>I</v>
      </c>
      <c r="U102" s="7" t="str">
        <f t="shared" si="36"/>
        <v/>
      </c>
      <c r="V102" s="7" t="str">
        <f t="shared" si="37"/>
        <v/>
      </c>
      <c r="W102" s="7" t="str">
        <f>VLOOKUP(C102,'Tox Summary'!$N$3:$S$1048576,6,FALSE)</f>
        <v/>
      </c>
      <c r="X102" s="76">
        <f t="shared" si="38"/>
        <v>8.5081585081585084E-3</v>
      </c>
      <c r="Y102" s="76" t="str">
        <f t="shared" si="39"/>
        <v/>
      </c>
      <c r="AA102" s="243"/>
    </row>
    <row r="103" spans="1:27">
      <c r="A103" s="265"/>
      <c r="B103" s="269" t="s">
        <v>699</v>
      </c>
      <c r="C103" s="269" t="s">
        <v>2340</v>
      </c>
      <c r="D103" s="280" t="str">
        <f>VLOOKUP(B103, 'Chem Props'!$1:$1048576,3,FALSE)</f>
        <v>No</v>
      </c>
      <c r="E103" s="598" t="str">
        <f t="shared" si="40"/>
        <v>Yes</v>
      </c>
      <c r="F103" s="7" t="str">
        <f t="shared" si="26"/>
        <v>No (not volatile)</v>
      </c>
      <c r="G103" s="270" t="str">
        <f t="shared" si="24"/>
        <v>No (not volatile)</v>
      </c>
      <c r="H103" s="76">
        <f t="shared" si="27"/>
        <v>1.1698717948717949</v>
      </c>
      <c r="I103" s="271" t="str">
        <f t="shared" si="28"/>
        <v>C</v>
      </c>
      <c r="J103" s="272" t="str">
        <f t="shared" si="29"/>
        <v>NVT</v>
      </c>
      <c r="K103" s="272" t="str">
        <f t="shared" si="30"/>
        <v>NVT</v>
      </c>
      <c r="L103" s="273" t="str">
        <f t="shared" si="31"/>
        <v>No (6)</v>
      </c>
      <c r="M103" s="7">
        <f t="shared" si="32"/>
        <v>2.9842858321433945</v>
      </c>
      <c r="N103" s="7">
        <f t="shared" si="42"/>
        <v>2.9699999999999998</v>
      </c>
      <c r="O103" s="326">
        <f t="shared" si="33"/>
        <v>25</v>
      </c>
      <c r="P103" s="224" t="str">
        <f t="shared" si="25"/>
        <v/>
      </c>
      <c r="Q103" s="224" t="str">
        <f t="shared" si="34"/>
        <v/>
      </c>
      <c r="R103" s="224"/>
      <c r="S103" s="271">
        <f t="shared" si="41"/>
        <v>2.3999999999999999E-6</v>
      </c>
      <c r="T103" s="7" t="str">
        <f t="shared" si="35"/>
        <v>CA</v>
      </c>
      <c r="U103" s="7" t="str">
        <f t="shared" si="36"/>
        <v/>
      </c>
      <c r="V103" s="7" t="str">
        <f t="shared" si="37"/>
        <v/>
      </c>
      <c r="W103" s="7" t="str">
        <f>VLOOKUP(C103,'Tox Summary'!$N$3:$S$1048576,6,FALSE)</f>
        <v/>
      </c>
      <c r="X103" s="76">
        <f t="shared" si="38"/>
        <v>1.1698717948717949</v>
      </c>
      <c r="Y103" s="76" t="str">
        <f t="shared" si="39"/>
        <v/>
      </c>
      <c r="AA103" s="243"/>
    </row>
    <row r="104" spans="1:27">
      <c r="A104" s="265"/>
      <c r="B104" s="344" t="s">
        <v>700</v>
      </c>
      <c r="C104" s="269" t="s">
        <v>1435</v>
      </c>
      <c r="D104" s="280" t="str">
        <f>VLOOKUP(B104, 'Chem Props'!$1:$1048576,3,FALSE)</f>
        <v>Yes</v>
      </c>
      <c r="E104" s="598" t="str">
        <f t="shared" si="40"/>
        <v>Yes</v>
      </c>
      <c r="F104" s="7" t="str">
        <f t="shared" si="26"/>
        <v>Yes</v>
      </c>
      <c r="G104" s="270" t="str">
        <f t="shared" si="24"/>
        <v>Yes</v>
      </c>
      <c r="H104" s="76">
        <f t="shared" si="27"/>
        <v>4.5285359801488839E-5</v>
      </c>
      <c r="I104" s="271" t="str">
        <f t="shared" si="28"/>
        <v>C</v>
      </c>
      <c r="J104" s="272">
        <f t="shared" si="29"/>
        <v>1.5095119933829614E-3</v>
      </c>
      <c r="K104" s="272">
        <f t="shared" si="30"/>
        <v>2.540550293996239E-4</v>
      </c>
      <c r="L104" s="273" t="str">
        <f t="shared" si="31"/>
        <v>--</v>
      </c>
      <c r="M104" s="7">
        <f t="shared" si="32"/>
        <v>181864225.13463017</v>
      </c>
      <c r="N104" s="7">
        <f t="shared" si="42"/>
        <v>3921504400</v>
      </c>
      <c r="O104" s="326">
        <f t="shared" si="33"/>
        <v>25</v>
      </c>
      <c r="P104" s="224" t="str">
        <f t="shared" si="25"/>
        <v/>
      </c>
      <c r="Q104" s="224" t="str">
        <f t="shared" si="34"/>
        <v/>
      </c>
      <c r="R104" s="224"/>
      <c r="S104" s="271">
        <f t="shared" si="41"/>
        <v>6.2E-2</v>
      </c>
      <c r="T104" s="7" t="str">
        <f t="shared" si="35"/>
        <v>I</v>
      </c>
      <c r="U104" s="7" t="str">
        <f t="shared" si="36"/>
        <v/>
      </c>
      <c r="V104" s="7" t="str">
        <f t="shared" si="37"/>
        <v/>
      </c>
      <c r="W104" s="7" t="str">
        <f>VLOOKUP(C104,'Tox Summary'!$N$3:$S$1048576,6,FALSE)</f>
        <v/>
      </c>
      <c r="X104" s="76">
        <f t="shared" si="38"/>
        <v>4.5285359801488839E-5</v>
      </c>
      <c r="Y104" s="76" t="str">
        <f t="shared" si="39"/>
        <v/>
      </c>
      <c r="AA104" s="332"/>
    </row>
    <row r="105" spans="1:27">
      <c r="A105" s="265"/>
      <c r="B105" s="269" t="s">
        <v>701</v>
      </c>
      <c r="C105" s="269" t="s">
        <v>1009</v>
      </c>
      <c r="D105" s="280" t="str">
        <f>VLOOKUP(B105, 'Chem Props'!$1:$1048576,3,FALSE)</f>
        <v>No</v>
      </c>
      <c r="E105" s="598" t="str">
        <f t="shared" si="40"/>
        <v>No</v>
      </c>
      <c r="F105" s="7" t="str">
        <f t="shared" si="26"/>
        <v>No (not volatile)</v>
      </c>
      <c r="G105" s="270" t="str">
        <f t="shared" si="24"/>
        <v>No (not volatile)</v>
      </c>
      <c r="H105" s="76" t="str">
        <f t="shared" si="27"/>
        <v>--</v>
      </c>
      <c r="I105" s="271" t="str">
        <f t="shared" si="28"/>
        <v>--</v>
      </c>
      <c r="J105" s="272" t="str">
        <f t="shared" si="29"/>
        <v>--</v>
      </c>
      <c r="K105" s="272" t="str">
        <f t="shared" si="30"/>
        <v>--</v>
      </c>
      <c r="L105" s="273" t="str">
        <f t="shared" si="31"/>
        <v>--</v>
      </c>
      <c r="M105" s="7">
        <f t="shared" si="32"/>
        <v>4.8030470009059725</v>
      </c>
      <c r="N105" s="7">
        <f t="shared" si="42"/>
        <v>4.9056000000000009E-2</v>
      </c>
      <c r="O105" s="326">
        <f t="shared" si="33"/>
        <v>25</v>
      </c>
      <c r="P105" s="224" t="str">
        <f t="shared" si="25"/>
        <v/>
      </c>
      <c r="Q105" s="224" t="str">
        <f t="shared" si="34"/>
        <v/>
      </c>
      <c r="R105" s="224"/>
      <c r="S105" s="271" t="str">
        <f t="shared" si="41"/>
        <v/>
      </c>
      <c r="T105" s="7" t="str">
        <f t="shared" si="35"/>
        <v/>
      </c>
      <c r="U105" s="7" t="str">
        <f t="shared" si="36"/>
        <v/>
      </c>
      <c r="V105" s="7" t="str">
        <f t="shared" si="37"/>
        <v/>
      </c>
      <c r="W105" s="7" t="str">
        <f>VLOOKUP(C105,'Tox Summary'!$N$3:$S$1048576,6,FALSE)</f>
        <v/>
      </c>
      <c r="X105" s="76" t="str">
        <f t="shared" si="38"/>
        <v/>
      </c>
      <c r="Y105" s="76" t="str">
        <f t="shared" si="39"/>
        <v/>
      </c>
      <c r="AA105" s="243"/>
    </row>
    <row r="106" spans="1:27">
      <c r="A106" s="265"/>
      <c r="B106" s="344" t="s">
        <v>702</v>
      </c>
      <c r="C106" s="269" t="s">
        <v>1010</v>
      </c>
      <c r="D106" s="280" t="str">
        <f>VLOOKUP(B106, 'Chem Props'!$1:$1048576,3,FALSE)</f>
        <v>No</v>
      </c>
      <c r="E106" s="598" t="str">
        <f t="shared" si="40"/>
        <v>Yes</v>
      </c>
      <c r="F106" s="7" t="str">
        <f t="shared" si="26"/>
        <v>No (not volatile)</v>
      </c>
      <c r="G106" s="270"/>
      <c r="H106" s="76" t="str">
        <f t="shared" si="27"/>
        <v>No VP</v>
      </c>
      <c r="I106" s="271" t="str">
        <f t="shared" si="28"/>
        <v>NC</v>
      </c>
      <c r="J106" s="272" t="str">
        <f t="shared" si="29"/>
        <v>No VP</v>
      </c>
      <c r="K106" s="272" t="str">
        <f t="shared" si="30"/>
        <v>No VP</v>
      </c>
      <c r="L106" s="273" t="str">
        <f t="shared" si="31"/>
        <v>--</v>
      </c>
      <c r="M106" s="7" t="str">
        <f t="shared" si="32"/>
        <v>No VP</v>
      </c>
      <c r="N106" s="7" t="str">
        <f t="shared" si="42"/>
        <v>No S</v>
      </c>
      <c r="O106" s="326">
        <f t="shared" si="33"/>
        <v>25</v>
      </c>
      <c r="P106" s="224" t="str">
        <f t="shared" si="25"/>
        <v/>
      </c>
      <c r="Q106" s="224" t="str">
        <f t="shared" si="34"/>
        <v/>
      </c>
      <c r="R106" s="224"/>
      <c r="S106" s="271" t="str">
        <f t="shared" si="41"/>
        <v/>
      </c>
      <c r="T106" s="7" t="str">
        <f t="shared" si="35"/>
        <v/>
      </c>
      <c r="U106" s="7">
        <f t="shared" si="36"/>
        <v>0.02</v>
      </c>
      <c r="V106" s="7" t="str">
        <f t="shared" si="37"/>
        <v>H</v>
      </c>
      <c r="W106" s="7" t="str">
        <f>VLOOKUP(C106,'Tox Summary'!$N$3:$S$1048576,6,FALSE)</f>
        <v/>
      </c>
      <c r="X106" s="76" t="str">
        <f t="shared" si="38"/>
        <v/>
      </c>
      <c r="Y106" s="76">
        <f t="shared" si="39"/>
        <v>20.857142857142858</v>
      </c>
      <c r="AA106" s="332"/>
    </row>
    <row r="107" spans="1:27">
      <c r="A107" s="265" t="s">
        <v>1413</v>
      </c>
      <c r="B107" s="269" t="s">
        <v>1997</v>
      </c>
      <c r="C107" s="269" t="s">
        <v>1996</v>
      </c>
      <c r="D107" s="280" t="str">
        <f>VLOOKUP(B107, 'Chem Props'!$1:$1048576,3,FALSE)</f>
        <v>Yes</v>
      </c>
      <c r="E107" s="598" t="str">
        <f t="shared" si="40"/>
        <v>Yes</v>
      </c>
      <c r="F107" s="7" t="str">
        <f t="shared" si="26"/>
        <v>Yes</v>
      </c>
      <c r="G107" s="270" t="str">
        <f t="shared" ref="G107:G170" si="43">IF(LEFT(D107,2)="No","No (not volatile)",IF(D107="unknown","unknown",IF(H107="NVT","No",IF(AND(X107="",Y107=""),"No Inhal. Tox. Info",IF(MIN(X107:Y107)&gt;=N107,"No",IF(N107&gt;H107,"Yes","No"))))))</f>
        <v>Yes</v>
      </c>
      <c r="H107" s="76">
        <f t="shared" si="27"/>
        <v>20.857142857142858</v>
      </c>
      <c r="I107" s="271" t="str">
        <f t="shared" si="28"/>
        <v>NC</v>
      </c>
      <c r="J107" s="272">
        <f t="shared" si="29"/>
        <v>695.2380952380953</v>
      </c>
      <c r="K107" s="272" t="str">
        <f t="shared" si="30"/>
        <v>No S</v>
      </c>
      <c r="L107" s="273" t="str">
        <f t="shared" si="31"/>
        <v>--</v>
      </c>
      <c r="M107" s="7">
        <f t="shared" si="32"/>
        <v>6304775.4140525125</v>
      </c>
      <c r="N107" s="7" t="str">
        <f t="shared" si="42"/>
        <v>No S</v>
      </c>
      <c r="O107" s="326">
        <f t="shared" si="33"/>
        <v>25</v>
      </c>
      <c r="P107" s="224" t="str">
        <f t="shared" si="25"/>
        <v/>
      </c>
      <c r="Q107" s="224" t="str">
        <f t="shared" si="34"/>
        <v/>
      </c>
      <c r="R107" s="224"/>
      <c r="S107" s="271" t="str">
        <f t="shared" si="41"/>
        <v/>
      </c>
      <c r="T107" s="7" t="str">
        <f t="shared" si="35"/>
        <v/>
      </c>
      <c r="U107" s="7">
        <f t="shared" si="36"/>
        <v>0.02</v>
      </c>
      <c r="V107" s="7" t="str">
        <f t="shared" si="37"/>
        <v>P</v>
      </c>
      <c r="W107" s="7" t="str">
        <f>VLOOKUP(C107,'Tox Summary'!$N$3:$S$1048576,6,FALSE)</f>
        <v/>
      </c>
      <c r="X107" s="76" t="str">
        <f t="shared" si="38"/>
        <v/>
      </c>
      <c r="Y107" s="76">
        <f t="shared" si="39"/>
        <v>20.857142857142858</v>
      </c>
      <c r="AA107" s="243"/>
    </row>
    <row r="108" spans="1:27">
      <c r="A108" s="265"/>
      <c r="B108" s="344" t="s">
        <v>703</v>
      </c>
      <c r="C108" s="269" t="s">
        <v>1011</v>
      </c>
      <c r="D108" s="280" t="str">
        <f>VLOOKUP(B108, 'Chem Props'!$1:$1048576,3,FALSE)</f>
        <v>Yes</v>
      </c>
      <c r="E108" s="598" t="str">
        <f t="shared" si="40"/>
        <v>Yes</v>
      </c>
      <c r="F108" s="7" t="str">
        <f t="shared" si="26"/>
        <v>Yes</v>
      </c>
      <c r="G108" s="270" t="str">
        <f t="shared" si="43"/>
        <v>Yes</v>
      </c>
      <c r="H108" s="76">
        <f t="shared" si="27"/>
        <v>13.557142857142855</v>
      </c>
      <c r="I108" s="271" t="str">
        <f t="shared" si="28"/>
        <v>NC</v>
      </c>
      <c r="J108" s="272">
        <f t="shared" si="29"/>
        <v>451.90476190476187</v>
      </c>
      <c r="K108" s="272" t="str">
        <f t="shared" si="30"/>
        <v>No HLC</v>
      </c>
      <c r="L108" s="273" t="str">
        <f t="shared" si="31"/>
        <v>--</v>
      </c>
      <c r="M108" s="7">
        <f t="shared" si="32"/>
        <v>133373056678.89664</v>
      </c>
      <c r="N108" s="7" t="s">
        <v>2210</v>
      </c>
      <c r="O108" s="326">
        <f t="shared" si="33"/>
        <v>25</v>
      </c>
      <c r="P108" s="224" t="str">
        <f t="shared" si="25"/>
        <v/>
      </c>
      <c r="Q108" s="224" t="str">
        <f t="shared" si="34"/>
        <v/>
      </c>
      <c r="R108" s="224"/>
      <c r="S108" s="271" t="str">
        <f t="shared" si="41"/>
        <v/>
      </c>
      <c r="T108" s="7" t="str">
        <f t="shared" si="35"/>
        <v/>
      </c>
      <c r="U108" s="7">
        <f t="shared" si="36"/>
        <v>1.2999999999999999E-2</v>
      </c>
      <c r="V108" s="7" t="str">
        <f t="shared" si="37"/>
        <v>CA</v>
      </c>
      <c r="W108" s="7" t="str">
        <f>VLOOKUP(C108,'Tox Summary'!$N$3:$S$1048576,6,FALSE)</f>
        <v/>
      </c>
      <c r="X108" s="76" t="str">
        <f t="shared" si="38"/>
        <v/>
      </c>
      <c r="Y108" s="76">
        <f t="shared" si="39"/>
        <v>13.557142857142855</v>
      </c>
      <c r="AA108" s="332"/>
    </row>
    <row r="109" spans="1:27">
      <c r="A109" s="265"/>
      <c r="B109" s="344" t="s">
        <v>704</v>
      </c>
      <c r="C109" s="269" t="s">
        <v>1012</v>
      </c>
      <c r="D109" s="280" t="str">
        <f>VLOOKUP(B109, 'Chem Props'!$1:$1048576,3,FALSE)</f>
        <v>No</v>
      </c>
      <c r="E109" s="598" t="str">
        <f t="shared" si="40"/>
        <v>No</v>
      </c>
      <c r="F109" s="7" t="str">
        <f t="shared" si="26"/>
        <v>No (not volatile)</v>
      </c>
      <c r="G109" s="270" t="str">
        <f t="shared" si="43"/>
        <v>No (not volatile)</v>
      </c>
      <c r="H109" s="76" t="str">
        <f t="shared" si="27"/>
        <v>No VP</v>
      </c>
      <c r="I109" s="271" t="str">
        <f t="shared" si="28"/>
        <v>--</v>
      </c>
      <c r="J109" s="272" t="str">
        <f t="shared" si="29"/>
        <v>No VP</v>
      </c>
      <c r="K109" s="272" t="str">
        <f t="shared" si="30"/>
        <v>No VP</v>
      </c>
      <c r="L109" s="273" t="str">
        <f t="shared" si="31"/>
        <v>No (10)</v>
      </c>
      <c r="M109" s="7" t="str">
        <f t="shared" si="32"/>
        <v>No VP</v>
      </c>
      <c r="N109" s="7" t="str">
        <f t="shared" ref="N109:N140" si="44">IF(INDEX(HLC,MATCH(C109,ChemNameChem,0))="","No HLC",IF(INDEX(Sol,MATCH(C109,ChemNameChem,0))="No S","No S",INDEX(HLC,MATCH(C109,ChemNameChem,0))*INDEX(Sol,MATCH(C109,ChemNameChem,0))*1000000))</f>
        <v>No S</v>
      </c>
      <c r="O109" s="326">
        <f t="shared" si="33"/>
        <v>25</v>
      </c>
      <c r="P109" s="224" t="str">
        <f t="shared" si="25"/>
        <v/>
      </c>
      <c r="Q109" s="224" t="str">
        <f t="shared" si="34"/>
        <v/>
      </c>
      <c r="R109" s="224"/>
      <c r="S109" s="271" t="str">
        <f t="shared" si="41"/>
        <v/>
      </c>
      <c r="T109" s="7" t="str">
        <f t="shared" si="35"/>
        <v/>
      </c>
      <c r="U109" s="7" t="str">
        <f t="shared" si="36"/>
        <v/>
      </c>
      <c r="V109" s="7" t="str">
        <f t="shared" si="37"/>
        <v/>
      </c>
      <c r="W109" s="7" t="str">
        <f>VLOOKUP(C109,'Tox Summary'!$N$3:$S$1048576,6,FALSE)</f>
        <v/>
      </c>
      <c r="X109" s="76" t="str">
        <f t="shared" si="38"/>
        <v/>
      </c>
      <c r="Y109" s="76" t="str">
        <f t="shared" si="39"/>
        <v/>
      </c>
      <c r="AA109" s="332"/>
    </row>
    <row r="110" spans="1:27">
      <c r="A110" s="265"/>
      <c r="B110" s="269" t="s">
        <v>705</v>
      </c>
      <c r="C110" s="269" t="s">
        <v>561</v>
      </c>
      <c r="D110" s="280" t="str">
        <f>VLOOKUP(B110, 'Chem Props'!$1:$1048576,3,FALSE)</f>
        <v>Yes</v>
      </c>
      <c r="E110" s="598" t="str">
        <f t="shared" si="40"/>
        <v>Yes</v>
      </c>
      <c r="F110" s="7" t="str">
        <f t="shared" si="26"/>
        <v>Yes</v>
      </c>
      <c r="G110" s="270" t="str">
        <f t="shared" si="43"/>
        <v>Yes</v>
      </c>
      <c r="H110" s="76">
        <f t="shared" si="27"/>
        <v>4.6794871794871799E-3</v>
      </c>
      <c r="I110" s="271" t="str">
        <f t="shared" si="28"/>
        <v>C</v>
      </c>
      <c r="J110" s="272">
        <f t="shared" si="29"/>
        <v>0.15598290598290601</v>
      </c>
      <c r="K110" s="272">
        <f t="shared" si="30"/>
        <v>0.12591892353050721</v>
      </c>
      <c r="L110" s="273" t="str">
        <f t="shared" si="31"/>
        <v>--</v>
      </c>
      <c r="M110" s="7">
        <f t="shared" si="32"/>
        <v>255423364.12459558</v>
      </c>
      <c r="N110" s="7">
        <f t="shared" si="44"/>
        <v>256422630.00000003</v>
      </c>
      <c r="O110" s="326">
        <f t="shared" si="33"/>
        <v>25</v>
      </c>
      <c r="P110" s="224" t="str">
        <f t="shared" ref="P110:P141" si="45">IF(VLOOKUP(B110,AllChemProps,32,FALSE)&gt;0,VLOOKUP(B110,AllChemProps,32,FALSE),"")</f>
        <v/>
      </c>
      <c r="Q110" s="224" t="str">
        <f t="shared" si="34"/>
        <v/>
      </c>
      <c r="R110" s="224"/>
      <c r="S110" s="271">
        <f t="shared" si="41"/>
        <v>5.9999999999999995E-4</v>
      </c>
      <c r="T110" s="7" t="str">
        <f t="shared" si="35"/>
        <v>X</v>
      </c>
      <c r="U110" s="7" t="str">
        <f t="shared" si="36"/>
        <v/>
      </c>
      <c r="V110" s="7" t="str">
        <f t="shared" si="37"/>
        <v/>
      </c>
      <c r="W110" s="7" t="str">
        <f>VLOOKUP(C110,'Tox Summary'!$N$3:$S$1048576,6,FALSE)</f>
        <v/>
      </c>
      <c r="X110" s="76">
        <f t="shared" si="38"/>
        <v>4.6794871794871799E-3</v>
      </c>
      <c r="Y110" s="76" t="str">
        <f t="shared" si="39"/>
        <v/>
      </c>
      <c r="AA110" s="243"/>
    </row>
    <row r="111" spans="1:27">
      <c r="A111" s="265"/>
      <c r="B111" s="96" t="s">
        <v>2492</v>
      </c>
      <c r="C111" s="96" t="s">
        <v>2491</v>
      </c>
      <c r="D111" s="280" t="str">
        <f>VLOOKUP(B111, 'Chem Props'!$1:$1048576,3,FALSE)</f>
        <v>Yes</v>
      </c>
      <c r="E111" s="598" t="str">
        <f t="shared" si="40"/>
        <v>No</v>
      </c>
      <c r="F111" s="7" t="str">
        <f t="shared" si="26"/>
        <v>No Inhal. Tox. Info</v>
      </c>
      <c r="G111" s="270" t="str">
        <f t="shared" si="43"/>
        <v>No Inhal. Tox. Info</v>
      </c>
      <c r="H111" s="76" t="str">
        <f t="shared" si="27"/>
        <v>--</v>
      </c>
      <c r="I111" s="271" t="str">
        <f t="shared" si="28"/>
        <v>--</v>
      </c>
      <c r="J111" s="272" t="str">
        <f t="shared" si="29"/>
        <v>--</v>
      </c>
      <c r="K111" s="272" t="str">
        <f t="shared" si="30"/>
        <v>--</v>
      </c>
      <c r="L111" s="273" t="str">
        <f t="shared" si="31"/>
        <v>--</v>
      </c>
      <c r="M111" s="7">
        <f t="shared" si="32"/>
        <v>26742966.465683185</v>
      </c>
      <c r="N111" s="7">
        <f t="shared" si="44"/>
        <v>38634510.600000001</v>
      </c>
      <c r="O111" s="326">
        <f t="shared" si="33"/>
        <v>25</v>
      </c>
      <c r="P111" s="224" t="str">
        <f t="shared" si="45"/>
        <v/>
      </c>
      <c r="Q111" s="224" t="str">
        <f t="shared" si="34"/>
        <v/>
      </c>
      <c r="R111" s="224"/>
      <c r="S111" s="271" t="str">
        <f t="shared" si="41"/>
        <v/>
      </c>
      <c r="T111" s="7" t="str">
        <f t="shared" si="35"/>
        <v/>
      </c>
      <c r="U111" s="7" t="str">
        <f t="shared" si="36"/>
        <v/>
      </c>
      <c r="V111" s="7" t="str">
        <f t="shared" si="37"/>
        <v/>
      </c>
      <c r="W111" s="7" t="str">
        <f>VLOOKUP(C111,'Tox Summary'!$N$3:$S$1048576,6,FALSE)</f>
        <v/>
      </c>
      <c r="X111" s="76" t="str">
        <f t="shared" si="38"/>
        <v/>
      </c>
      <c r="Y111" s="76" t="str">
        <f t="shared" si="39"/>
        <v/>
      </c>
      <c r="AA111" s="332"/>
    </row>
    <row r="112" spans="1:27">
      <c r="A112" s="265"/>
      <c r="B112" s="96" t="s">
        <v>2494</v>
      </c>
      <c r="C112" s="96" t="s">
        <v>2493</v>
      </c>
      <c r="D112" s="280" t="str">
        <f>VLOOKUP(B112, 'Chem Props'!$1:$1048576,3,FALSE)</f>
        <v>Yes</v>
      </c>
      <c r="E112" s="598" t="str">
        <f t="shared" si="40"/>
        <v>No</v>
      </c>
      <c r="F112" s="7" t="str">
        <f t="shared" si="26"/>
        <v>No Inhal. Tox. Info</v>
      </c>
      <c r="G112" s="270" t="str">
        <f t="shared" si="43"/>
        <v>No Inhal. Tox. Info</v>
      </c>
      <c r="H112" s="76" t="str">
        <f t="shared" si="27"/>
        <v>--</v>
      </c>
      <c r="I112" s="271" t="str">
        <f t="shared" si="28"/>
        <v>--</v>
      </c>
      <c r="J112" s="272" t="str">
        <f t="shared" si="29"/>
        <v>--</v>
      </c>
      <c r="K112" s="272" t="str">
        <f t="shared" si="30"/>
        <v>--</v>
      </c>
      <c r="L112" s="273" t="str">
        <f t="shared" si="31"/>
        <v>--</v>
      </c>
      <c r="M112" s="7">
        <f t="shared" si="32"/>
        <v>26742966.465683185</v>
      </c>
      <c r="N112" s="7">
        <f t="shared" si="44"/>
        <v>13941130.280000001</v>
      </c>
      <c r="O112" s="326">
        <f t="shared" si="33"/>
        <v>25</v>
      </c>
      <c r="P112" s="224" t="str">
        <f t="shared" si="45"/>
        <v/>
      </c>
      <c r="Q112" s="224" t="str">
        <f t="shared" si="34"/>
        <v/>
      </c>
      <c r="R112" s="224"/>
      <c r="S112" s="271" t="str">
        <f t="shared" si="41"/>
        <v/>
      </c>
      <c r="T112" s="7" t="str">
        <f t="shared" si="35"/>
        <v/>
      </c>
      <c r="U112" s="7" t="str">
        <f t="shared" si="36"/>
        <v/>
      </c>
      <c r="V112" s="7" t="str">
        <f t="shared" si="37"/>
        <v/>
      </c>
      <c r="W112" s="7" t="str">
        <f>VLOOKUP(C112,'Tox Summary'!$N$3:$S$1048576,6,FALSE)</f>
        <v/>
      </c>
      <c r="X112" s="76" t="str">
        <f t="shared" si="38"/>
        <v/>
      </c>
      <c r="Y112" s="76" t="str">
        <f t="shared" si="39"/>
        <v/>
      </c>
      <c r="AA112" s="332"/>
    </row>
    <row r="113" spans="1:27">
      <c r="A113" s="265"/>
      <c r="B113" s="274" t="s">
        <v>706</v>
      </c>
      <c r="C113" s="269" t="s">
        <v>523</v>
      </c>
      <c r="D113" s="280" t="str">
        <f>VLOOKUP(B113, 'Chem Props'!$1:$1048576,3,FALSE)</f>
        <v>Yes</v>
      </c>
      <c r="E113" s="598" t="str">
        <f t="shared" si="40"/>
        <v>Yes</v>
      </c>
      <c r="F113" s="7" t="str">
        <f t="shared" si="26"/>
        <v>Yes</v>
      </c>
      <c r="G113" s="270" t="str">
        <f t="shared" si="43"/>
        <v>Yes</v>
      </c>
      <c r="H113" s="76">
        <f t="shared" si="27"/>
        <v>62.571428571428569</v>
      </c>
      <c r="I113" s="271" t="str">
        <f t="shared" si="28"/>
        <v>NC</v>
      </c>
      <c r="J113" s="272">
        <f t="shared" si="29"/>
        <v>2085.7142857142858</v>
      </c>
      <c r="K113" s="272">
        <f t="shared" si="30"/>
        <v>619.63443266101581</v>
      </c>
      <c r="L113" s="273" t="str">
        <f t="shared" si="31"/>
        <v>--</v>
      </c>
      <c r="M113" s="7">
        <f t="shared" si="32"/>
        <v>35331699.909652047</v>
      </c>
      <c r="N113" s="7">
        <f t="shared" si="44"/>
        <v>45037615.199999996</v>
      </c>
      <c r="O113" s="326">
        <f t="shared" si="33"/>
        <v>25</v>
      </c>
      <c r="P113" s="224" t="str">
        <f t="shared" si="45"/>
        <v/>
      </c>
      <c r="Q113" s="224" t="str">
        <f t="shared" si="34"/>
        <v/>
      </c>
      <c r="R113" s="224"/>
      <c r="S113" s="271" t="str">
        <f t="shared" si="41"/>
        <v/>
      </c>
      <c r="T113" s="7" t="str">
        <f t="shared" si="35"/>
        <v/>
      </c>
      <c r="U113" s="7">
        <f t="shared" si="36"/>
        <v>0.06</v>
      </c>
      <c r="V113" s="7" t="str">
        <f t="shared" si="37"/>
        <v>I</v>
      </c>
      <c r="W113" s="7" t="str">
        <f>VLOOKUP(C113,'Tox Summary'!$N$3:$S$1048576,6,FALSE)</f>
        <v/>
      </c>
      <c r="X113" s="76" t="str">
        <f t="shared" si="38"/>
        <v/>
      </c>
      <c r="Y113" s="76">
        <f t="shared" si="39"/>
        <v>62.571428571428569</v>
      </c>
      <c r="AA113" s="243"/>
    </row>
    <row r="114" spans="1:27">
      <c r="A114" s="265"/>
      <c r="B114" s="344" t="s">
        <v>1562</v>
      </c>
      <c r="C114" s="269" t="s">
        <v>1561</v>
      </c>
      <c r="D114" s="280" t="str">
        <f>VLOOKUP(B114, 'Chem Props'!$1:$1048576,3,FALSE)</f>
        <v>Yes</v>
      </c>
      <c r="E114" s="598" t="str">
        <f t="shared" si="40"/>
        <v>Yes</v>
      </c>
      <c r="F114" s="7" t="str">
        <f t="shared" si="26"/>
        <v>Yes</v>
      </c>
      <c r="G114" s="270" t="str">
        <f t="shared" si="43"/>
        <v>Yes</v>
      </c>
      <c r="H114" s="76">
        <f t="shared" si="27"/>
        <v>41.714285714285715</v>
      </c>
      <c r="I114" s="271" t="str">
        <f t="shared" si="28"/>
        <v>NC</v>
      </c>
      <c r="J114" s="272">
        <f t="shared" si="29"/>
        <v>1390.4761904761906</v>
      </c>
      <c r="K114" s="272">
        <f t="shared" si="30"/>
        <v>698.85700978710952</v>
      </c>
      <c r="L114" s="273" t="str">
        <f t="shared" si="31"/>
        <v>--</v>
      </c>
      <c r="M114" s="7">
        <f t="shared" si="32"/>
        <v>992053747.86627328</v>
      </c>
      <c r="N114" s="7">
        <f t="shared" si="44"/>
        <v>996811310</v>
      </c>
      <c r="O114" s="326">
        <f t="shared" si="33"/>
        <v>25</v>
      </c>
      <c r="P114" s="224" t="str">
        <f t="shared" si="45"/>
        <v/>
      </c>
      <c r="Q114" s="224" t="str">
        <f t="shared" si="34"/>
        <v/>
      </c>
      <c r="R114" s="224"/>
      <c r="S114" s="271" t="str">
        <f t="shared" si="41"/>
        <v/>
      </c>
      <c r="T114" s="7" t="str">
        <f t="shared" si="35"/>
        <v/>
      </c>
      <c r="U114" s="7">
        <f t="shared" si="36"/>
        <v>0.04</v>
      </c>
      <c r="V114" s="7" t="str">
        <f t="shared" si="37"/>
        <v>X</v>
      </c>
      <c r="W114" s="7" t="str">
        <f>VLOOKUP(C114,'Tox Summary'!$N$3:$S$1048576,6,FALSE)</f>
        <v/>
      </c>
      <c r="X114" s="76" t="str">
        <f t="shared" si="38"/>
        <v/>
      </c>
      <c r="Y114" s="76">
        <f t="shared" si="39"/>
        <v>41.714285714285715</v>
      </c>
      <c r="AA114" s="332"/>
    </row>
    <row r="115" spans="1:27">
      <c r="A115" s="265" t="s">
        <v>1413</v>
      </c>
      <c r="B115" s="269" t="s">
        <v>707</v>
      </c>
      <c r="C115" s="269" t="s">
        <v>429</v>
      </c>
      <c r="D115" s="280" t="str">
        <f>VLOOKUP(B115, 'Chem Props'!$1:$1048576,3,FALSE)</f>
        <v>Yes</v>
      </c>
      <c r="E115" s="598" t="str">
        <f t="shared" si="40"/>
        <v>Yes</v>
      </c>
      <c r="F115" s="7" t="str">
        <f t="shared" si="26"/>
        <v>Yes</v>
      </c>
      <c r="G115" s="270" t="str">
        <f t="shared" si="43"/>
        <v>Yes</v>
      </c>
      <c r="H115" s="76">
        <f t="shared" si="27"/>
        <v>7.5883575883575888E-2</v>
      </c>
      <c r="I115" s="271" t="str">
        <f t="shared" si="28"/>
        <v>C</v>
      </c>
      <c r="J115" s="272">
        <f t="shared" si="29"/>
        <v>2.5294525294525299</v>
      </c>
      <c r="K115" s="272">
        <f t="shared" si="30"/>
        <v>0.87552483306134132</v>
      </c>
      <c r="L115" s="273" t="str">
        <f t="shared" si="31"/>
        <v>Yes (8.0E+01(F))</v>
      </c>
      <c r="M115" s="7">
        <f t="shared" si="32"/>
        <v>440774667.61296546</v>
      </c>
      <c r="N115" s="7">
        <f t="shared" si="44"/>
        <v>262789807.19999999</v>
      </c>
      <c r="O115" s="326">
        <f t="shared" si="33"/>
        <v>25</v>
      </c>
      <c r="P115" s="224" t="str">
        <f t="shared" si="45"/>
        <v/>
      </c>
      <c r="Q115" s="224" t="str">
        <f t="shared" si="34"/>
        <v/>
      </c>
      <c r="R115" s="224"/>
      <c r="S115" s="271">
        <f t="shared" si="41"/>
        <v>3.6999999999999998E-5</v>
      </c>
      <c r="T115" s="7" t="str">
        <f t="shared" si="35"/>
        <v>CA</v>
      </c>
      <c r="U115" s="7" t="str">
        <f t="shared" si="36"/>
        <v/>
      </c>
      <c r="V115" s="7" t="str">
        <f t="shared" si="37"/>
        <v/>
      </c>
      <c r="W115" s="7" t="str">
        <f>VLOOKUP(C115,'Tox Summary'!$N$3:$S$1048576,6,FALSE)</f>
        <v/>
      </c>
      <c r="X115" s="76">
        <f t="shared" si="38"/>
        <v>7.5883575883575888E-2</v>
      </c>
      <c r="Y115" s="76" t="str">
        <f t="shared" si="39"/>
        <v/>
      </c>
      <c r="AA115" s="243"/>
    </row>
    <row r="116" spans="1:27">
      <c r="A116" s="265"/>
      <c r="B116" s="269" t="s">
        <v>708</v>
      </c>
      <c r="C116" s="269" t="s">
        <v>430</v>
      </c>
      <c r="D116" s="280" t="str">
        <f>VLOOKUP(B116, 'Chem Props'!$1:$1048576,3,FALSE)</f>
        <v>Yes</v>
      </c>
      <c r="E116" s="598" t="str">
        <f t="shared" si="40"/>
        <v>Yes</v>
      </c>
      <c r="F116" s="7" t="str">
        <f t="shared" si="26"/>
        <v>Yes</v>
      </c>
      <c r="G116" s="270" t="str">
        <f t="shared" si="43"/>
        <v>Yes</v>
      </c>
      <c r="H116" s="76">
        <f t="shared" si="27"/>
        <v>2.5524475524475521</v>
      </c>
      <c r="I116" s="271" t="str">
        <f t="shared" si="28"/>
        <v>C</v>
      </c>
      <c r="J116" s="272">
        <f t="shared" si="29"/>
        <v>85.081585081585075</v>
      </c>
      <c r="K116" s="272">
        <f t="shared" si="30"/>
        <v>116.69718697754027</v>
      </c>
      <c r="L116" s="273" t="str">
        <f t="shared" si="31"/>
        <v>Yes (8.0E+01(F))</v>
      </c>
      <c r="M116" s="7">
        <f t="shared" si="32"/>
        <v>73435109.739053115</v>
      </c>
      <c r="N116" s="7">
        <f t="shared" si="44"/>
        <v>67804440</v>
      </c>
      <c r="O116" s="326">
        <f t="shared" si="33"/>
        <v>25</v>
      </c>
      <c r="P116" s="224" t="str">
        <f t="shared" si="45"/>
        <v/>
      </c>
      <c r="Q116" s="224" t="str">
        <f t="shared" si="34"/>
        <v/>
      </c>
      <c r="R116" s="224"/>
      <c r="S116" s="271">
        <f t="shared" si="41"/>
        <v>1.1000000000000001E-6</v>
      </c>
      <c r="T116" s="7" t="str">
        <f t="shared" si="35"/>
        <v>I</v>
      </c>
      <c r="U116" s="7" t="str">
        <f t="shared" si="36"/>
        <v/>
      </c>
      <c r="V116" s="7" t="str">
        <f t="shared" si="37"/>
        <v/>
      </c>
      <c r="W116" s="7" t="str">
        <f>VLOOKUP(C116,'Tox Summary'!$N$3:$S$1048576,6,FALSE)</f>
        <v/>
      </c>
      <c r="X116" s="76">
        <f t="shared" si="38"/>
        <v>2.5524475524475521</v>
      </c>
      <c r="Y116" s="76" t="str">
        <f t="shared" si="39"/>
        <v/>
      </c>
      <c r="AA116" s="243"/>
    </row>
    <row r="117" spans="1:27">
      <c r="A117" s="265" t="s">
        <v>1413</v>
      </c>
      <c r="B117" s="269" t="s">
        <v>709</v>
      </c>
      <c r="C117" s="269" t="s">
        <v>1013</v>
      </c>
      <c r="D117" s="280" t="str">
        <f>VLOOKUP(B117, 'Chem Props'!$1:$1048576,3,FALSE)</f>
        <v>Yes</v>
      </c>
      <c r="E117" s="598" t="str">
        <f t="shared" si="40"/>
        <v>Yes</v>
      </c>
      <c r="F117" s="7" t="str">
        <f t="shared" si="26"/>
        <v>Yes</v>
      </c>
      <c r="G117" s="270" t="str">
        <f t="shared" si="43"/>
        <v>Yes</v>
      </c>
      <c r="H117" s="76">
        <f t="shared" si="27"/>
        <v>5.2142857142857144</v>
      </c>
      <c r="I117" s="271" t="str">
        <f t="shared" si="28"/>
        <v>NC</v>
      </c>
      <c r="J117" s="272">
        <f t="shared" si="29"/>
        <v>173.80952380952382</v>
      </c>
      <c r="K117" s="272">
        <f t="shared" si="30"/>
        <v>17.376214466474522</v>
      </c>
      <c r="L117" s="273" t="str">
        <f t="shared" si="31"/>
        <v>--</v>
      </c>
      <c r="M117" s="7">
        <f t="shared" si="32"/>
        <v>8255420517.403141</v>
      </c>
      <c r="N117" s="7">
        <f t="shared" si="44"/>
        <v>4561243360</v>
      </c>
      <c r="O117" s="326">
        <f t="shared" si="33"/>
        <v>25</v>
      </c>
      <c r="P117" s="224">
        <f t="shared" si="45"/>
        <v>10</v>
      </c>
      <c r="Q117" s="224" t="str">
        <f t="shared" si="34"/>
        <v>N</v>
      </c>
      <c r="R117" s="224"/>
      <c r="S117" s="271" t="str">
        <f t="shared" si="41"/>
        <v/>
      </c>
      <c r="T117" s="7" t="str">
        <f t="shared" si="35"/>
        <v/>
      </c>
      <c r="U117" s="7">
        <f t="shared" si="36"/>
        <v>5.0000000000000001E-3</v>
      </c>
      <c r="V117" s="7" t="str">
        <f t="shared" si="37"/>
        <v>I</v>
      </c>
      <c r="W117" s="7" t="str">
        <f>VLOOKUP(C117,'Tox Summary'!$N$3:$S$1048576,6,FALSE)</f>
        <v/>
      </c>
      <c r="X117" s="76" t="str">
        <f t="shared" si="38"/>
        <v/>
      </c>
      <c r="Y117" s="76">
        <f t="shared" si="39"/>
        <v>5.2142857142857144</v>
      </c>
      <c r="AA117" s="243"/>
    </row>
    <row r="118" spans="1:27">
      <c r="A118" s="265"/>
      <c r="B118" s="269" t="s">
        <v>710</v>
      </c>
      <c r="C118" s="269" t="s">
        <v>1014</v>
      </c>
      <c r="D118" s="280" t="str">
        <f>VLOOKUP(B118, 'Chem Props'!$1:$1048576,3,FALSE)</f>
        <v>Yes</v>
      </c>
      <c r="E118" s="598" t="str">
        <f t="shared" si="40"/>
        <v>No</v>
      </c>
      <c r="F118" s="7" t="str">
        <f t="shared" si="26"/>
        <v>No Inhal. Tox. Info</v>
      </c>
      <c r="G118" s="270" t="str">
        <f t="shared" si="43"/>
        <v>No Inhal. Tox. Info</v>
      </c>
      <c r="H118" s="76" t="str">
        <f t="shared" si="27"/>
        <v>--</v>
      </c>
      <c r="I118" s="271" t="str">
        <f t="shared" si="28"/>
        <v>--</v>
      </c>
      <c r="J118" s="272" t="str">
        <f t="shared" si="29"/>
        <v>--</v>
      </c>
      <c r="K118" s="272" t="str">
        <f t="shared" si="30"/>
        <v>--</v>
      </c>
      <c r="L118" s="273" t="str">
        <f t="shared" si="31"/>
        <v>--</v>
      </c>
      <c r="M118" s="7">
        <f t="shared" si="32"/>
        <v>2510.9869821350221</v>
      </c>
      <c r="N118" s="7">
        <f t="shared" si="44"/>
        <v>2514.2999999999997</v>
      </c>
      <c r="O118" s="326">
        <f t="shared" si="33"/>
        <v>25</v>
      </c>
      <c r="P118" s="224" t="str">
        <f t="shared" si="45"/>
        <v/>
      </c>
      <c r="Q118" s="224" t="str">
        <f t="shared" si="34"/>
        <v/>
      </c>
      <c r="R118" s="224"/>
      <c r="S118" s="271" t="str">
        <f t="shared" si="41"/>
        <v/>
      </c>
      <c r="T118" s="7" t="str">
        <f t="shared" si="35"/>
        <v/>
      </c>
      <c r="U118" s="7" t="str">
        <f t="shared" si="36"/>
        <v/>
      </c>
      <c r="V118" s="7" t="str">
        <f t="shared" si="37"/>
        <v/>
      </c>
      <c r="W118" s="7" t="str">
        <f>VLOOKUP(C118,'Tox Summary'!$N$3:$S$1048576,6,FALSE)</f>
        <v/>
      </c>
      <c r="X118" s="76" t="str">
        <f t="shared" si="38"/>
        <v/>
      </c>
      <c r="Y118" s="76" t="str">
        <f t="shared" si="39"/>
        <v/>
      </c>
      <c r="AA118" s="243"/>
    </row>
    <row r="119" spans="1:27">
      <c r="A119" s="265"/>
      <c r="B119" s="96" t="s">
        <v>2496</v>
      </c>
      <c r="C119" s="96" t="s">
        <v>2495</v>
      </c>
      <c r="D119" s="280" t="str">
        <f>VLOOKUP(B119, 'Chem Props'!$1:$1048576,3,FALSE)</f>
        <v>Yes</v>
      </c>
      <c r="E119" s="598" t="str">
        <f t="shared" si="40"/>
        <v>Yes</v>
      </c>
      <c r="F119" s="7" t="str">
        <f t="shared" si="26"/>
        <v>Yes</v>
      </c>
      <c r="G119" s="270" t="str">
        <f t="shared" si="43"/>
        <v>Yes</v>
      </c>
      <c r="H119" s="76">
        <f t="shared" si="27"/>
        <v>104.28571428571429</v>
      </c>
      <c r="I119" s="271" t="str">
        <f t="shared" si="28"/>
        <v>NC</v>
      </c>
      <c r="J119" s="272">
        <f t="shared" si="29"/>
        <v>3476.1904761904766</v>
      </c>
      <c r="K119" s="272">
        <f t="shared" si="30"/>
        <v>348.4786282353615</v>
      </c>
      <c r="L119" s="273" t="str">
        <f t="shared" si="31"/>
        <v>--</v>
      </c>
      <c r="M119" s="7">
        <f t="shared" si="32"/>
        <v>733268034.15306377</v>
      </c>
      <c r="N119" s="7">
        <f t="shared" si="44"/>
        <v>733187000</v>
      </c>
      <c r="O119" s="326">
        <f t="shared" si="33"/>
        <v>25</v>
      </c>
      <c r="P119" s="224" t="str">
        <f t="shared" si="45"/>
        <v/>
      </c>
      <c r="Q119" s="224" t="str">
        <f t="shared" si="34"/>
        <v/>
      </c>
      <c r="R119" s="224"/>
      <c r="S119" s="271" t="str">
        <f t="shared" ref="S119:S150" si="46">IF(INDEX(IUR,MATCH(B119,CASNoTox,0))=" ","",IF(W119="TCE","see note",INDEX(IUR,MATCH(B119,CASNoTox,0))))</f>
        <v/>
      </c>
      <c r="T119" s="7" t="str">
        <f t="shared" si="35"/>
        <v/>
      </c>
      <c r="U119" s="7">
        <f t="shared" si="36"/>
        <v>0.1</v>
      </c>
      <c r="V119" s="7" t="str">
        <f t="shared" si="37"/>
        <v>A</v>
      </c>
      <c r="W119" s="7" t="str">
        <f>VLOOKUP(C119,'Tox Summary'!$N$3:$S$1048576,6,FALSE)</f>
        <v/>
      </c>
      <c r="X119" s="76" t="str">
        <f t="shared" si="38"/>
        <v/>
      </c>
      <c r="Y119" s="76">
        <f t="shared" si="39"/>
        <v>104.28571428571429</v>
      </c>
      <c r="AA119" s="332"/>
    </row>
    <row r="120" spans="1:27">
      <c r="A120" s="265"/>
      <c r="B120" s="269" t="s">
        <v>711</v>
      </c>
      <c r="C120" s="269" t="s">
        <v>1015</v>
      </c>
      <c r="D120" s="280" t="str">
        <f>VLOOKUP(B120, 'Chem Props'!$1:$1048576,3,FALSE)</f>
        <v>No</v>
      </c>
      <c r="E120" s="598" t="str">
        <f t="shared" si="40"/>
        <v>No</v>
      </c>
      <c r="F120" s="7" t="str">
        <f t="shared" si="26"/>
        <v>No (not volatile)</v>
      </c>
      <c r="G120" s="270" t="str">
        <f t="shared" si="43"/>
        <v>No (not volatile)</v>
      </c>
      <c r="H120" s="76" t="str">
        <f t="shared" si="27"/>
        <v>--</v>
      </c>
      <c r="I120" s="271" t="str">
        <f t="shared" si="28"/>
        <v>--</v>
      </c>
      <c r="J120" s="272" t="str">
        <f t="shared" si="29"/>
        <v>--</v>
      </c>
      <c r="K120" s="272" t="str">
        <f t="shared" si="30"/>
        <v>--</v>
      </c>
      <c r="L120" s="273" t="str">
        <f t="shared" si="31"/>
        <v>--</v>
      </c>
      <c r="M120" s="7">
        <f t="shared" si="32"/>
        <v>0.70331440506550069</v>
      </c>
      <c r="N120" s="7">
        <f t="shared" si="44"/>
        <v>0.70155800000000001</v>
      </c>
      <c r="O120" s="326">
        <f t="shared" si="33"/>
        <v>25</v>
      </c>
      <c r="P120" s="224" t="str">
        <f t="shared" si="45"/>
        <v/>
      </c>
      <c r="Q120" s="224" t="str">
        <f t="shared" si="34"/>
        <v/>
      </c>
      <c r="R120" s="224"/>
      <c r="S120" s="271" t="str">
        <f t="shared" si="46"/>
        <v/>
      </c>
      <c r="T120" s="7" t="str">
        <f t="shared" si="35"/>
        <v/>
      </c>
      <c r="U120" s="7" t="str">
        <f t="shared" si="36"/>
        <v/>
      </c>
      <c r="V120" s="7" t="str">
        <f t="shared" si="37"/>
        <v/>
      </c>
      <c r="W120" s="7" t="str">
        <f>VLOOKUP(C120,'Tox Summary'!$N$3:$S$1048576,6,FALSE)</f>
        <v/>
      </c>
      <c r="X120" s="76" t="str">
        <f t="shared" si="38"/>
        <v/>
      </c>
      <c r="Y120" s="76" t="str">
        <f t="shared" si="39"/>
        <v/>
      </c>
      <c r="AA120" s="243"/>
    </row>
    <row r="121" spans="1:27">
      <c r="A121" s="265"/>
      <c r="B121" s="269" t="s">
        <v>712</v>
      </c>
      <c r="C121" s="269" t="s">
        <v>1016</v>
      </c>
      <c r="D121" s="280" t="str">
        <f>VLOOKUP(B121, 'Chem Props'!$1:$1048576,3,FALSE)</f>
        <v>Yes</v>
      </c>
      <c r="E121" s="598" t="str">
        <f t="shared" si="40"/>
        <v>No</v>
      </c>
      <c r="F121" s="7" t="str">
        <f t="shared" si="26"/>
        <v>No Inhal. Tox. Info</v>
      </c>
      <c r="G121" s="270" t="str">
        <f t="shared" si="43"/>
        <v>No Inhal. Tox. Info</v>
      </c>
      <c r="H121" s="76" t="str">
        <f t="shared" si="27"/>
        <v>--</v>
      </c>
      <c r="I121" s="271" t="str">
        <f t="shared" si="28"/>
        <v>--</v>
      </c>
      <c r="J121" s="272" t="str">
        <f t="shared" si="29"/>
        <v>--</v>
      </c>
      <c r="K121" s="272" t="str">
        <f t="shared" si="30"/>
        <v>--</v>
      </c>
      <c r="L121" s="273" t="str">
        <f t="shared" si="31"/>
        <v>--</v>
      </c>
      <c r="M121" s="7">
        <f t="shared" si="32"/>
        <v>104.11870881267964</v>
      </c>
      <c r="N121" s="7">
        <f t="shared" si="44"/>
        <v>104.336</v>
      </c>
      <c r="O121" s="326">
        <f t="shared" si="33"/>
        <v>25</v>
      </c>
      <c r="P121" s="224" t="str">
        <f t="shared" si="45"/>
        <v/>
      </c>
      <c r="Q121" s="224" t="str">
        <f t="shared" si="34"/>
        <v/>
      </c>
      <c r="R121" s="224"/>
      <c r="S121" s="271" t="str">
        <f t="shared" si="46"/>
        <v/>
      </c>
      <c r="T121" s="7" t="str">
        <f t="shared" si="35"/>
        <v/>
      </c>
      <c r="U121" s="7" t="str">
        <f t="shared" si="36"/>
        <v/>
      </c>
      <c r="V121" s="7" t="str">
        <f t="shared" si="37"/>
        <v/>
      </c>
      <c r="W121" s="7" t="str">
        <f>VLOOKUP(C121,'Tox Summary'!$N$3:$S$1048576,6,FALSE)</f>
        <v/>
      </c>
      <c r="X121" s="76" t="str">
        <f t="shared" si="38"/>
        <v/>
      </c>
      <c r="Y121" s="76" t="str">
        <f t="shared" si="39"/>
        <v/>
      </c>
      <c r="AA121" s="243"/>
    </row>
    <row r="122" spans="1:27">
      <c r="A122" s="265"/>
      <c r="B122" s="344" t="s">
        <v>713</v>
      </c>
      <c r="C122" s="269" t="s">
        <v>1017</v>
      </c>
      <c r="D122" s="280" t="str">
        <f>VLOOKUP(B122, 'Chem Props'!$1:$1048576,3,FALSE)</f>
        <v>Yes</v>
      </c>
      <c r="E122" s="598" t="str">
        <f t="shared" si="40"/>
        <v>Yes</v>
      </c>
      <c r="F122" s="7" t="str">
        <f t="shared" si="26"/>
        <v>Yes</v>
      </c>
      <c r="G122" s="270" t="str">
        <f t="shared" si="43"/>
        <v>Yes</v>
      </c>
      <c r="H122" s="76">
        <f t="shared" si="27"/>
        <v>9.3589743589743576E-2</v>
      </c>
      <c r="I122" s="271" t="str">
        <f t="shared" si="28"/>
        <v>C</v>
      </c>
      <c r="J122" s="272">
        <f t="shared" si="29"/>
        <v>3.1196581196581192</v>
      </c>
      <c r="K122" s="272">
        <f t="shared" si="30"/>
        <v>3.1103330302002758E-2</v>
      </c>
      <c r="L122" s="273" t="str">
        <f t="shared" si="31"/>
        <v>--</v>
      </c>
      <c r="M122" s="7">
        <f t="shared" si="32"/>
        <v>6132686523.3884811</v>
      </c>
      <c r="N122" s="7">
        <f t="shared" si="44"/>
        <v>2211610810.5</v>
      </c>
      <c r="O122" s="326">
        <f t="shared" si="33"/>
        <v>25</v>
      </c>
      <c r="P122" s="224">
        <f t="shared" si="45"/>
        <v>2</v>
      </c>
      <c r="Q122" s="224" t="str">
        <f t="shared" si="34"/>
        <v>N</v>
      </c>
      <c r="R122" s="224"/>
      <c r="S122" s="271">
        <f t="shared" si="46"/>
        <v>3.0000000000000001E-5</v>
      </c>
      <c r="T122" s="7" t="str">
        <f t="shared" si="35"/>
        <v>I</v>
      </c>
      <c r="U122" s="7">
        <f t="shared" si="36"/>
        <v>2E-3</v>
      </c>
      <c r="V122" s="7" t="str">
        <f t="shared" si="37"/>
        <v>I</v>
      </c>
      <c r="W122" s="7" t="str">
        <f>VLOOKUP(C122,'Tox Summary'!$N$3:$S$1048576,6,FALSE)</f>
        <v/>
      </c>
      <c r="X122" s="76">
        <f t="shared" si="38"/>
        <v>9.3589743589743576E-2</v>
      </c>
      <c r="Y122" s="76">
        <f t="shared" si="39"/>
        <v>2.0857142857142859</v>
      </c>
      <c r="AA122" s="332"/>
    </row>
    <row r="123" spans="1:27">
      <c r="A123" s="265"/>
      <c r="B123" s="344" t="s">
        <v>841</v>
      </c>
      <c r="C123" s="269" t="s">
        <v>2428</v>
      </c>
      <c r="D123" s="280" t="str">
        <f>VLOOKUP(B123, 'Chem Props'!$1:$1048576,3,FALSE)</f>
        <v>No</v>
      </c>
      <c r="E123" s="598" t="str">
        <f t="shared" si="40"/>
        <v>No</v>
      </c>
      <c r="F123" s="7" t="str">
        <f t="shared" si="26"/>
        <v>No (not volatile)</v>
      </c>
      <c r="G123" s="270" t="str">
        <f t="shared" si="43"/>
        <v>No (not volatile)</v>
      </c>
      <c r="H123" s="76" t="str">
        <f t="shared" si="27"/>
        <v>--</v>
      </c>
      <c r="I123" s="271" t="str">
        <f t="shared" si="28"/>
        <v>--</v>
      </c>
      <c r="J123" s="272" t="str">
        <f t="shared" si="29"/>
        <v>--</v>
      </c>
      <c r="K123" s="272" t="str">
        <f t="shared" si="30"/>
        <v>--</v>
      </c>
      <c r="L123" s="273" t="str">
        <f t="shared" si="31"/>
        <v>--</v>
      </c>
      <c r="M123" s="7">
        <f t="shared" si="32"/>
        <v>148.78183039693897</v>
      </c>
      <c r="N123" s="7">
        <f t="shared" si="44"/>
        <v>4.3066120000000003</v>
      </c>
      <c r="O123" s="326">
        <f t="shared" si="33"/>
        <v>25</v>
      </c>
      <c r="P123" s="224" t="str">
        <f t="shared" si="45"/>
        <v/>
      </c>
      <c r="Q123" s="224" t="str">
        <f t="shared" si="34"/>
        <v/>
      </c>
      <c r="R123" s="224"/>
      <c r="S123" s="271" t="str">
        <f t="shared" si="46"/>
        <v/>
      </c>
      <c r="T123" s="7" t="str">
        <f t="shared" si="35"/>
        <v/>
      </c>
      <c r="U123" s="7" t="str">
        <f t="shared" si="36"/>
        <v/>
      </c>
      <c r="V123" s="7" t="str">
        <f t="shared" si="37"/>
        <v/>
      </c>
      <c r="W123" s="7" t="str">
        <f>VLOOKUP(C123,'Tox Summary'!$N$3:$S$1048576,6,FALSE)</f>
        <v/>
      </c>
      <c r="X123" s="76" t="str">
        <f t="shared" si="38"/>
        <v/>
      </c>
      <c r="Y123" s="76" t="str">
        <f t="shared" si="39"/>
        <v/>
      </c>
      <c r="AA123" s="332"/>
    </row>
    <row r="124" spans="1:27">
      <c r="A124" s="265" t="s">
        <v>1413</v>
      </c>
      <c r="B124" s="344" t="s">
        <v>714</v>
      </c>
      <c r="C124" s="269" t="s">
        <v>1018</v>
      </c>
      <c r="D124" s="280" t="str">
        <f>VLOOKUP(B124, 'Chem Props'!$1:$1048576,3,FALSE)</f>
        <v>Yes</v>
      </c>
      <c r="E124" s="598" t="str">
        <f t="shared" si="40"/>
        <v>No</v>
      </c>
      <c r="F124" s="7" t="str">
        <f t="shared" si="26"/>
        <v>No Inhal. Tox. Info</v>
      </c>
      <c r="G124" s="270" t="str">
        <f t="shared" si="43"/>
        <v>No Inhal. Tox. Info</v>
      </c>
      <c r="H124" s="76" t="str">
        <f t="shared" si="27"/>
        <v>--</v>
      </c>
      <c r="I124" s="271" t="str">
        <f t="shared" si="28"/>
        <v>--</v>
      </c>
      <c r="J124" s="272" t="str">
        <f t="shared" si="29"/>
        <v>--</v>
      </c>
      <c r="K124" s="272" t="str">
        <f t="shared" si="30"/>
        <v>--</v>
      </c>
      <c r="L124" s="273" t="str">
        <f t="shared" si="31"/>
        <v>--</v>
      </c>
      <c r="M124" s="7">
        <f t="shared" si="32"/>
        <v>26723100.262022961</v>
      </c>
      <c r="N124" s="7">
        <f t="shared" si="44"/>
        <v>22764640</v>
      </c>
      <c r="O124" s="326">
        <f t="shared" si="33"/>
        <v>25</v>
      </c>
      <c r="P124" s="224" t="str">
        <f t="shared" si="45"/>
        <v/>
      </c>
      <c r="Q124" s="224" t="str">
        <f t="shared" si="34"/>
        <v/>
      </c>
      <c r="R124" s="224"/>
      <c r="S124" s="271" t="str">
        <f t="shared" si="46"/>
        <v/>
      </c>
      <c r="T124" s="7" t="str">
        <f t="shared" si="35"/>
        <v/>
      </c>
      <c r="U124" s="7" t="str">
        <f t="shared" si="36"/>
        <v/>
      </c>
      <c r="V124" s="7" t="str">
        <f t="shared" si="37"/>
        <v/>
      </c>
      <c r="W124" s="7" t="str">
        <f>VLOOKUP(C124,'Tox Summary'!$N$3:$S$1048576,6,FALSE)</f>
        <v/>
      </c>
      <c r="X124" s="76" t="str">
        <f t="shared" si="38"/>
        <v/>
      </c>
      <c r="Y124" s="76" t="str">
        <f t="shared" si="39"/>
        <v/>
      </c>
      <c r="AA124" s="332"/>
    </row>
    <row r="125" spans="1:27">
      <c r="A125" s="265" t="s">
        <v>1413</v>
      </c>
      <c r="B125" s="344" t="s">
        <v>716</v>
      </c>
      <c r="C125" s="269" t="s">
        <v>562</v>
      </c>
      <c r="D125" s="280" t="str">
        <f>VLOOKUP(B125, 'Chem Props'!$1:$1048576,3,FALSE)</f>
        <v>Yes</v>
      </c>
      <c r="E125" s="598" t="str">
        <f t="shared" si="40"/>
        <v>Yes</v>
      </c>
      <c r="F125" s="7" t="str">
        <f t="shared" si="26"/>
        <v>Yes</v>
      </c>
      <c r="G125" s="270" t="str">
        <f t="shared" si="43"/>
        <v>Yes</v>
      </c>
      <c r="H125" s="76">
        <f t="shared" si="27"/>
        <v>31285.714285714286</v>
      </c>
      <c r="I125" s="271" t="str">
        <f t="shared" si="28"/>
        <v>NC</v>
      </c>
      <c r="J125" s="272">
        <f t="shared" si="29"/>
        <v>1042857.142857143</v>
      </c>
      <c r="K125" s="272">
        <f t="shared" si="30"/>
        <v>84464671.397716746</v>
      </c>
      <c r="L125" s="273" t="str">
        <f t="shared" si="31"/>
        <v>--</v>
      </c>
      <c r="M125" s="7">
        <f t="shared" si="32"/>
        <v>73109616.089982212</v>
      </c>
      <c r="N125" s="7">
        <f t="shared" si="44"/>
        <v>67042400</v>
      </c>
      <c r="O125" s="326">
        <f t="shared" si="33"/>
        <v>25</v>
      </c>
      <c r="P125" s="224">
        <f t="shared" si="45"/>
        <v>1.7</v>
      </c>
      <c r="Q125" s="224" t="str">
        <f t="shared" si="34"/>
        <v>N</v>
      </c>
      <c r="R125" s="224"/>
      <c r="S125" s="271" t="str">
        <f t="shared" si="46"/>
        <v/>
      </c>
      <c r="T125" s="7" t="str">
        <f t="shared" si="35"/>
        <v/>
      </c>
      <c r="U125" s="7">
        <f t="shared" si="36"/>
        <v>30</v>
      </c>
      <c r="V125" s="7" t="str">
        <f t="shared" si="37"/>
        <v>P</v>
      </c>
      <c r="W125" s="7" t="str">
        <f>VLOOKUP(C125,'Tox Summary'!$N$3:$S$1048576,6,FALSE)</f>
        <v/>
      </c>
      <c r="X125" s="76" t="str">
        <f t="shared" si="38"/>
        <v/>
      </c>
      <c r="Y125" s="76">
        <f t="shared" si="39"/>
        <v>31285.714285714286</v>
      </c>
      <c r="AA125" s="332"/>
    </row>
    <row r="126" spans="1:27">
      <c r="A126" s="265"/>
      <c r="B126" s="269" t="s">
        <v>715</v>
      </c>
      <c r="C126" s="269" t="s">
        <v>2302</v>
      </c>
      <c r="D126" s="280" t="str">
        <f>VLOOKUP(B126, 'Chem Props'!$1:$1048576,3,FALSE)</f>
        <v>No</v>
      </c>
      <c r="E126" s="598" t="str">
        <f t="shared" si="40"/>
        <v>No</v>
      </c>
      <c r="F126" s="7" t="str">
        <f t="shared" si="26"/>
        <v>No (not volatile)</v>
      </c>
      <c r="G126" s="270" t="str">
        <f t="shared" si="43"/>
        <v>No (not volatile)</v>
      </c>
      <c r="H126" s="76" t="str">
        <f t="shared" si="27"/>
        <v>--</v>
      </c>
      <c r="I126" s="271" t="str">
        <f t="shared" si="28"/>
        <v>--</v>
      </c>
      <c r="J126" s="272" t="str">
        <f t="shared" si="29"/>
        <v>--</v>
      </c>
      <c r="K126" s="272" t="str">
        <f t="shared" si="30"/>
        <v>--</v>
      </c>
      <c r="L126" s="273" t="str">
        <f t="shared" si="31"/>
        <v>--</v>
      </c>
      <c r="M126" s="7">
        <f t="shared" si="32"/>
        <v>138.66806556902421</v>
      </c>
      <c r="N126" s="7">
        <f t="shared" si="44"/>
        <v>138.535</v>
      </c>
      <c r="O126" s="326">
        <f t="shared" si="33"/>
        <v>25</v>
      </c>
      <c r="P126" s="224" t="str">
        <f t="shared" si="45"/>
        <v/>
      </c>
      <c r="Q126" s="224" t="str">
        <f t="shared" si="34"/>
        <v/>
      </c>
      <c r="R126" s="224"/>
      <c r="S126" s="271" t="str">
        <f t="shared" si="46"/>
        <v/>
      </c>
      <c r="T126" s="7" t="str">
        <f t="shared" si="35"/>
        <v/>
      </c>
      <c r="U126" s="7" t="str">
        <f t="shared" si="36"/>
        <v/>
      </c>
      <c r="V126" s="7" t="str">
        <f t="shared" si="37"/>
        <v/>
      </c>
      <c r="W126" s="7" t="str">
        <f>VLOOKUP(C126,'Tox Summary'!$N$3:$S$1048576,6,FALSE)</f>
        <v/>
      </c>
      <c r="X126" s="76" t="str">
        <f t="shared" si="38"/>
        <v/>
      </c>
      <c r="Y126" s="76" t="str">
        <f t="shared" si="39"/>
        <v/>
      </c>
      <c r="AA126" s="243"/>
    </row>
    <row r="127" spans="1:27">
      <c r="A127" s="265" t="s">
        <v>1413</v>
      </c>
      <c r="B127" s="344" t="s">
        <v>717</v>
      </c>
      <c r="C127" s="269" t="s">
        <v>1019</v>
      </c>
      <c r="D127" s="280" t="str">
        <f>VLOOKUP(B127, 'Chem Props'!$1:$1048576,3,FALSE)</f>
        <v>Yes</v>
      </c>
      <c r="E127" s="598" t="str">
        <f t="shared" si="40"/>
        <v>No</v>
      </c>
      <c r="F127" s="7" t="str">
        <f t="shared" si="26"/>
        <v>No Inhal. Tox. Info</v>
      </c>
      <c r="G127" s="270" t="str">
        <f t="shared" si="43"/>
        <v>No Inhal. Tox. Info</v>
      </c>
      <c r="H127" s="76" t="str">
        <f t="shared" si="27"/>
        <v>--</v>
      </c>
      <c r="I127" s="271" t="str">
        <f t="shared" si="28"/>
        <v>--</v>
      </c>
      <c r="J127" s="272" t="str">
        <f t="shared" si="29"/>
        <v>--</v>
      </c>
      <c r="K127" s="272" t="str">
        <f t="shared" si="30"/>
        <v>--</v>
      </c>
      <c r="L127" s="273" t="str">
        <f t="shared" si="31"/>
        <v>--</v>
      </c>
      <c r="M127" s="7">
        <f t="shared" si="32"/>
        <v>152060.39970630329</v>
      </c>
      <c r="N127" s="7">
        <f t="shared" si="44"/>
        <v>155456.99999999997</v>
      </c>
      <c r="O127" s="326">
        <f t="shared" si="33"/>
        <v>25</v>
      </c>
      <c r="P127" s="224" t="str">
        <f t="shared" si="45"/>
        <v/>
      </c>
      <c r="Q127" s="224" t="str">
        <f t="shared" si="34"/>
        <v/>
      </c>
      <c r="R127" s="224"/>
      <c r="S127" s="271" t="str">
        <f t="shared" si="46"/>
        <v/>
      </c>
      <c r="T127" s="7" t="str">
        <f t="shared" si="35"/>
        <v/>
      </c>
      <c r="U127" s="7" t="str">
        <f t="shared" si="36"/>
        <v/>
      </c>
      <c r="V127" s="7" t="str">
        <f t="shared" si="37"/>
        <v/>
      </c>
      <c r="W127" s="7" t="str">
        <f>VLOOKUP(C127,'Tox Summary'!$N$3:$S$1048576,6,FALSE)</f>
        <v/>
      </c>
      <c r="X127" s="76" t="str">
        <f t="shared" si="38"/>
        <v/>
      </c>
      <c r="Y127" s="76" t="str">
        <f t="shared" si="39"/>
        <v/>
      </c>
      <c r="AA127" s="332"/>
    </row>
    <row r="128" spans="1:27">
      <c r="A128" s="265" t="s">
        <v>1413</v>
      </c>
      <c r="B128" s="269" t="s">
        <v>718</v>
      </c>
      <c r="C128" s="269" t="s">
        <v>563</v>
      </c>
      <c r="D128" s="280" t="str">
        <f>VLOOKUP(B128, 'Chem Props'!$1:$1048576,3,FALSE)</f>
        <v>No</v>
      </c>
      <c r="E128" s="598" t="str">
        <f t="shared" si="40"/>
        <v>Yes</v>
      </c>
      <c r="F128" s="7" t="str">
        <f t="shared" si="26"/>
        <v>No (not volatile)</v>
      </c>
      <c r="G128" s="270" t="str">
        <f t="shared" si="43"/>
        <v>No (not volatile)</v>
      </c>
      <c r="H128" s="76">
        <f t="shared" si="27"/>
        <v>49.257759784075567</v>
      </c>
      <c r="I128" s="271" t="str">
        <f t="shared" si="28"/>
        <v>C</v>
      </c>
      <c r="J128" s="272">
        <f t="shared" si="29"/>
        <v>1641.9253261358524</v>
      </c>
      <c r="K128" s="272" t="str">
        <f t="shared" si="30"/>
        <v>NVT</v>
      </c>
      <c r="L128" s="273" t="str">
        <f t="shared" si="31"/>
        <v>--</v>
      </c>
      <c r="M128" s="7">
        <f t="shared" si="32"/>
        <v>48107.206718268397</v>
      </c>
      <c r="N128" s="7">
        <f t="shared" si="44"/>
        <v>10171.840000000002</v>
      </c>
      <c r="O128" s="326">
        <f t="shared" si="33"/>
        <v>25</v>
      </c>
      <c r="P128" s="224" t="str">
        <f t="shared" si="45"/>
        <v/>
      </c>
      <c r="Q128" s="224" t="str">
        <f t="shared" si="34"/>
        <v/>
      </c>
      <c r="R128" s="224"/>
      <c r="S128" s="271">
        <f t="shared" si="46"/>
        <v>5.7000000000000001E-8</v>
      </c>
      <c r="T128" s="7" t="str">
        <f t="shared" si="35"/>
        <v>CA</v>
      </c>
      <c r="U128" s="7" t="str">
        <f t="shared" si="36"/>
        <v/>
      </c>
      <c r="V128" s="7" t="str">
        <f t="shared" si="37"/>
        <v/>
      </c>
      <c r="W128" s="7" t="str">
        <f>VLOOKUP(C128,'Tox Summary'!$N$3:$S$1048576,6,FALSE)</f>
        <v/>
      </c>
      <c r="X128" s="76">
        <f t="shared" si="38"/>
        <v>49.257759784075567</v>
      </c>
      <c r="Y128" s="76" t="str">
        <f t="shared" si="39"/>
        <v/>
      </c>
      <c r="AA128" s="243"/>
    </row>
    <row r="129" spans="1:27">
      <c r="A129" s="265"/>
      <c r="B129" s="344" t="s">
        <v>2043</v>
      </c>
      <c r="C129" s="269" t="s">
        <v>2042</v>
      </c>
      <c r="D129" s="280" t="str">
        <f>VLOOKUP(B129, 'Chem Props'!$1:$1048576,3,FALSE)</f>
        <v>No</v>
      </c>
      <c r="E129" s="598" t="str">
        <f t="shared" si="40"/>
        <v>No</v>
      </c>
      <c r="F129" s="7" t="str">
        <f t="shared" si="26"/>
        <v>No (not volatile)</v>
      </c>
      <c r="G129" s="270" t="str">
        <f t="shared" si="43"/>
        <v>No (not volatile)</v>
      </c>
      <c r="H129" s="76" t="str">
        <f t="shared" si="27"/>
        <v>--</v>
      </c>
      <c r="I129" s="271" t="str">
        <f t="shared" si="28"/>
        <v>--</v>
      </c>
      <c r="J129" s="272" t="str">
        <f t="shared" si="29"/>
        <v>--</v>
      </c>
      <c r="K129" s="272" t="str">
        <f t="shared" si="30"/>
        <v>--</v>
      </c>
      <c r="L129" s="273" t="str">
        <f t="shared" si="31"/>
        <v>--</v>
      </c>
      <c r="M129" s="7">
        <f t="shared" si="32"/>
        <v>61183.688664688532</v>
      </c>
      <c r="N129" s="7">
        <f t="shared" si="44"/>
        <v>101.03999999999999</v>
      </c>
      <c r="O129" s="326">
        <f t="shared" si="33"/>
        <v>25</v>
      </c>
      <c r="P129" s="224" t="str">
        <f t="shared" si="45"/>
        <v/>
      </c>
      <c r="Q129" s="224" t="str">
        <f t="shared" si="34"/>
        <v/>
      </c>
      <c r="R129" s="224"/>
      <c r="S129" s="271" t="str">
        <f t="shared" si="46"/>
        <v/>
      </c>
      <c r="T129" s="7" t="str">
        <f t="shared" si="35"/>
        <v/>
      </c>
      <c r="U129" s="7" t="str">
        <f t="shared" si="36"/>
        <v/>
      </c>
      <c r="V129" s="7" t="str">
        <f t="shared" si="37"/>
        <v/>
      </c>
      <c r="W129" s="7" t="str">
        <f>VLOOKUP(C129,'Tox Summary'!$N$3:$S$1048576,6,FALSE)</f>
        <v/>
      </c>
      <c r="X129" s="76" t="str">
        <f t="shared" si="38"/>
        <v/>
      </c>
      <c r="Y129" s="76" t="str">
        <f t="shared" si="39"/>
        <v/>
      </c>
      <c r="AA129" s="332"/>
    </row>
    <row r="130" spans="1:27">
      <c r="A130" s="265" t="s">
        <v>1413</v>
      </c>
      <c r="B130" s="344" t="s">
        <v>1564</v>
      </c>
      <c r="C130" s="269" t="s">
        <v>1563</v>
      </c>
      <c r="D130" s="280" t="str">
        <f>VLOOKUP(B130, 'Chem Props'!$1:$1048576,3,FALSE)</f>
        <v>Yes</v>
      </c>
      <c r="E130" s="598" t="str">
        <f t="shared" si="40"/>
        <v>No</v>
      </c>
      <c r="F130" s="7" t="str">
        <f t="shared" si="26"/>
        <v>No Inhal. Tox. Info</v>
      </c>
      <c r="G130" s="270" t="str">
        <f t="shared" si="43"/>
        <v>No Inhal. Tox. Info</v>
      </c>
      <c r="H130" s="76" t="str">
        <f t="shared" si="27"/>
        <v>--</v>
      </c>
      <c r="I130" s="271" t="str">
        <f t="shared" si="28"/>
        <v>--</v>
      </c>
      <c r="J130" s="272" t="str">
        <f t="shared" si="29"/>
        <v>--</v>
      </c>
      <c r="K130" s="272" t="str">
        <f t="shared" si="30"/>
        <v>--</v>
      </c>
      <c r="L130" s="273" t="str">
        <f t="shared" si="31"/>
        <v>--</v>
      </c>
      <c r="M130" s="7">
        <f t="shared" si="32"/>
        <v>7685159.2042201925</v>
      </c>
      <c r="N130" s="7">
        <f t="shared" si="44"/>
        <v>7670482.6200000001</v>
      </c>
      <c r="O130" s="326">
        <f t="shared" si="33"/>
        <v>25</v>
      </c>
      <c r="P130" s="224" t="str">
        <f t="shared" si="45"/>
        <v/>
      </c>
      <c r="Q130" s="224" t="str">
        <f t="shared" si="34"/>
        <v/>
      </c>
      <c r="R130" s="224"/>
      <c r="S130" s="271" t="str">
        <f t="shared" si="46"/>
        <v/>
      </c>
      <c r="T130" s="7" t="str">
        <f t="shared" si="35"/>
        <v/>
      </c>
      <c r="U130" s="7" t="str">
        <f t="shared" si="36"/>
        <v/>
      </c>
      <c r="V130" s="7" t="str">
        <f t="shared" si="37"/>
        <v/>
      </c>
      <c r="W130" s="7" t="str">
        <f>VLOOKUP(C130,'Tox Summary'!$N$3:$S$1048576,6,FALSE)</f>
        <v/>
      </c>
      <c r="X130" s="76" t="str">
        <f t="shared" si="38"/>
        <v/>
      </c>
      <c r="Y130" s="76" t="str">
        <f t="shared" si="39"/>
        <v/>
      </c>
      <c r="AA130" s="332"/>
    </row>
    <row r="131" spans="1:27">
      <c r="A131" s="265" t="s">
        <v>1413</v>
      </c>
      <c r="B131" s="344" t="s">
        <v>2028</v>
      </c>
      <c r="C131" s="269" t="s">
        <v>2027</v>
      </c>
      <c r="D131" s="280" t="str">
        <f>VLOOKUP(B131, 'Chem Props'!$1:$1048576,3,FALSE)</f>
        <v>Yes</v>
      </c>
      <c r="E131" s="598" t="str">
        <f t="shared" si="40"/>
        <v>No</v>
      </c>
      <c r="F131" s="7" t="str">
        <f t="shared" si="26"/>
        <v>No Inhal. Tox. Info</v>
      </c>
      <c r="G131" s="270" t="str">
        <f t="shared" si="43"/>
        <v>No Inhal. Tox. Info</v>
      </c>
      <c r="H131" s="76" t="str">
        <f t="shared" si="27"/>
        <v>--</v>
      </c>
      <c r="I131" s="271" t="str">
        <f t="shared" si="28"/>
        <v>--</v>
      </c>
      <c r="J131" s="272" t="str">
        <f t="shared" si="29"/>
        <v>--</v>
      </c>
      <c r="K131" s="272" t="str">
        <f t="shared" si="30"/>
        <v>--</v>
      </c>
      <c r="L131" s="273" t="str">
        <f t="shared" si="31"/>
        <v>--</v>
      </c>
      <c r="M131" s="7">
        <f t="shared" si="32"/>
        <v>12653321.046700288</v>
      </c>
      <c r="N131" s="7">
        <f t="shared" si="44"/>
        <v>12663940.959999999</v>
      </c>
      <c r="O131" s="326">
        <f t="shared" si="33"/>
        <v>25</v>
      </c>
      <c r="P131" s="224" t="str">
        <f t="shared" si="45"/>
        <v/>
      </c>
      <c r="Q131" s="224" t="str">
        <f t="shared" si="34"/>
        <v/>
      </c>
      <c r="R131" s="224"/>
      <c r="S131" s="271" t="str">
        <f t="shared" si="46"/>
        <v/>
      </c>
      <c r="T131" s="7" t="str">
        <f t="shared" si="35"/>
        <v/>
      </c>
      <c r="U131" s="7" t="str">
        <f t="shared" si="36"/>
        <v/>
      </c>
      <c r="V131" s="7" t="str">
        <f t="shared" si="37"/>
        <v/>
      </c>
      <c r="W131" s="7" t="str">
        <f>VLOOKUP(C131,'Tox Summary'!$N$3:$S$1048576,6,FALSE)</f>
        <v/>
      </c>
      <c r="X131" s="76" t="str">
        <f t="shared" si="38"/>
        <v/>
      </c>
      <c r="Y131" s="76" t="str">
        <f t="shared" si="39"/>
        <v/>
      </c>
      <c r="AA131" s="332"/>
    </row>
    <row r="132" spans="1:27">
      <c r="A132" s="265" t="s">
        <v>1413</v>
      </c>
      <c r="B132" s="344" t="s">
        <v>2030</v>
      </c>
      <c r="C132" s="269" t="s">
        <v>2029</v>
      </c>
      <c r="D132" s="280" t="str">
        <f>VLOOKUP(B132, 'Chem Props'!$1:$1048576,3,FALSE)</f>
        <v>Yes</v>
      </c>
      <c r="E132" s="598" t="str">
        <f t="shared" si="40"/>
        <v>No</v>
      </c>
      <c r="F132" s="7" t="str">
        <f t="shared" si="26"/>
        <v>No Inhal. Tox. Info</v>
      </c>
      <c r="G132" s="270" t="str">
        <f t="shared" si="43"/>
        <v>No Inhal. Tox. Info</v>
      </c>
      <c r="H132" s="76" t="str">
        <f t="shared" si="27"/>
        <v>--</v>
      </c>
      <c r="I132" s="271" t="str">
        <f t="shared" si="28"/>
        <v>--</v>
      </c>
      <c r="J132" s="272" t="str">
        <f t="shared" si="29"/>
        <v>--</v>
      </c>
      <c r="K132" s="272" t="str">
        <f t="shared" si="30"/>
        <v>--</v>
      </c>
      <c r="L132" s="273" t="str">
        <f t="shared" si="31"/>
        <v>--</v>
      </c>
      <c r="M132" s="7">
        <f t="shared" si="32"/>
        <v>15920651.207389334</v>
      </c>
      <c r="N132" s="7">
        <f t="shared" si="44"/>
        <v>15919869.700000001</v>
      </c>
      <c r="O132" s="326">
        <f t="shared" si="33"/>
        <v>25</v>
      </c>
      <c r="P132" s="224" t="str">
        <f t="shared" si="45"/>
        <v/>
      </c>
      <c r="Q132" s="224" t="str">
        <f t="shared" si="34"/>
        <v/>
      </c>
      <c r="R132" s="224"/>
      <c r="S132" s="271" t="str">
        <f t="shared" si="46"/>
        <v/>
      </c>
      <c r="T132" s="7" t="str">
        <f t="shared" si="35"/>
        <v/>
      </c>
      <c r="U132" s="7" t="str">
        <f t="shared" si="36"/>
        <v/>
      </c>
      <c r="V132" s="7" t="str">
        <f t="shared" si="37"/>
        <v/>
      </c>
      <c r="W132" s="7" t="str">
        <f>VLOOKUP(C132,'Tox Summary'!$N$3:$S$1048576,6,FALSE)</f>
        <v/>
      </c>
      <c r="X132" s="76" t="str">
        <f t="shared" si="38"/>
        <v/>
      </c>
      <c r="Y132" s="76" t="str">
        <f t="shared" si="39"/>
        <v/>
      </c>
      <c r="AA132" s="332"/>
    </row>
    <row r="133" spans="1:27">
      <c r="A133" s="265"/>
      <c r="B133" s="344" t="s">
        <v>719</v>
      </c>
      <c r="C133" s="269" t="s">
        <v>2341</v>
      </c>
      <c r="D133" s="280" t="str">
        <f>VLOOKUP(B133, 'Chem Props'!$1:$1048576,3,FALSE)</f>
        <v>No</v>
      </c>
      <c r="E133" s="598" t="str">
        <f t="shared" si="40"/>
        <v>No</v>
      </c>
      <c r="F133" s="7" t="str">
        <f t="shared" si="26"/>
        <v>No (not volatile)</v>
      </c>
      <c r="G133" s="270" t="str">
        <f t="shared" si="43"/>
        <v>No (not volatile)</v>
      </c>
      <c r="H133" s="76" t="str">
        <f t="shared" si="27"/>
        <v>--</v>
      </c>
      <c r="I133" s="271" t="str">
        <f t="shared" si="28"/>
        <v>--</v>
      </c>
      <c r="J133" s="272" t="str">
        <f t="shared" si="29"/>
        <v>--</v>
      </c>
      <c r="K133" s="272" t="str">
        <f t="shared" si="30"/>
        <v>--</v>
      </c>
      <c r="L133" s="273" t="str">
        <f t="shared" si="31"/>
        <v>--</v>
      </c>
      <c r="M133" s="7">
        <f t="shared" si="32"/>
        <v>127.9722134406349</v>
      </c>
      <c r="N133" s="7">
        <f t="shared" si="44"/>
        <v>7.4112720000000003</v>
      </c>
      <c r="O133" s="326">
        <f t="shared" si="33"/>
        <v>25</v>
      </c>
      <c r="P133" s="224" t="str">
        <f t="shared" si="45"/>
        <v/>
      </c>
      <c r="Q133" s="224" t="str">
        <f t="shared" si="34"/>
        <v/>
      </c>
      <c r="R133" s="224"/>
      <c r="S133" s="271" t="str">
        <f t="shared" si="46"/>
        <v/>
      </c>
      <c r="T133" s="7" t="str">
        <f t="shared" si="35"/>
        <v/>
      </c>
      <c r="U133" s="7" t="str">
        <f t="shared" si="36"/>
        <v/>
      </c>
      <c r="V133" s="7" t="str">
        <f t="shared" si="37"/>
        <v/>
      </c>
      <c r="W133" s="7" t="str">
        <f>VLOOKUP(C133,'Tox Summary'!$N$3:$S$1048576,6,FALSE)</f>
        <v/>
      </c>
      <c r="X133" s="76" t="str">
        <f t="shared" si="38"/>
        <v/>
      </c>
      <c r="Y133" s="76" t="str">
        <f t="shared" si="39"/>
        <v/>
      </c>
      <c r="AA133" s="332"/>
    </row>
    <row r="134" spans="1:27">
      <c r="A134" s="265"/>
      <c r="B134" s="344" t="s">
        <v>720</v>
      </c>
      <c r="C134" s="269" t="s">
        <v>1020</v>
      </c>
      <c r="D134" s="280" t="str">
        <f>VLOOKUP(B134, 'Chem Props'!$1:$1048576,3,FALSE)</f>
        <v>No</v>
      </c>
      <c r="E134" s="598" t="str">
        <f t="shared" si="40"/>
        <v>No</v>
      </c>
      <c r="F134" s="7" t="str">
        <f t="shared" si="26"/>
        <v>No (not volatile)</v>
      </c>
      <c r="G134" s="270" t="str">
        <f t="shared" si="43"/>
        <v>No (not volatile)</v>
      </c>
      <c r="H134" s="76" t="str">
        <f t="shared" si="27"/>
        <v>--</v>
      </c>
      <c r="I134" s="271" t="str">
        <f t="shared" si="28"/>
        <v>--</v>
      </c>
      <c r="J134" s="272" t="str">
        <f t="shared" si="29"/>
        <v>--</v>
      </c>
      <c r="K134" s="272" t="str">
        <f t="shared" si="30"/>
        <v>--</v>
      </c>
      <c r="L134" s="273" t="str">
        <f t="shared" si="31"/>
        <v>--</v>
      </c>
      <c r="M134" s="7">
        <f t="shared" si="32"/>
        <v>0.74256124190428163</v>
      </c>
      <c r="N134" s="7">
        <f t="shared" si="44"/>
        <v>1.4718</v>
      </c>
      <c r="O134" s="326">
        <f t="shared" si="33"/>
        <v>25</v>
      </c>
      <c r="P134" s="224" t="str">
        <f t="shared" si="45"/>
        <v/>
      </c>
      <c r="Q134" s="224" t="str">
        <f t="shared" si="34"/>
        <v/>
      </c>
      <c r="R134" s="224"/>
      <c r="S134" s="271" t="str">
        <f t="shared" si="46"/>
        <v/>
      </c>
      <c r="T134" s="7" t="str">
        <f t="shared" si="35"/>
        <v/>
      </c>
      <c r="U134" s="7" t="str">
        <f t="shared" si="36"/>
        <v/>
      </c>
      <c r="V134" s="7" t="str">
        <f t="shared" si="37"/>
        <v/>
      </c>
      <c r="W134" s="7" t="str">
        <f>VLOOKUP(C134,'Tox Summary'!$N$3:$S$1048576,6,FALSE)</f>
        <v/>
      </c>
      <c r="X134" s="76" t="str">
        <f t="shared" si="38"/>
        <v/>
      </c>
      <c r="Y134" s="76" t="str">
        <f t="shared" si="39"/>
        <v/>
      </c>
      <c r="AA134" s="332"/>
    </row>
    <row r="135" spans="1:27">
      <c r="A135" s="265"/>
      <c r="B135" s="344" t="s">
        <v>721</v>
      </c>
      <c r="C135" s="269" t="s">
        <v>554</v>
      </c>
      <c r="D135" s="280" t="str">
        <f>VLOOKUP(B135, 'Chem Props'!$1:$1048576,3,FALSE)</f>
        <v>No</v>
      </c>
      <c r="E135" s="598" t="str">
        <f t="shared" si="40"/>
        <v>Yes</v>
      </c>
      <c r="F135" s="7" t="str">
        <f t="shared" si="26"/>
        <v>No (not volatile)</v>
      </c>
      <c r="G135" s="270" t="str">
        <f t="shared" si="43"/>
        <v>No (not volatile)</v>
      </c>
      <c r="H135" s="76" t="str">
        <f t="shared" si="27"/>
        <v>NVT</v>
      </c>
      <c r="I135" s="271" t="str">
        <f t="shared" si="28"/>
        <v>C</v>
      </c>
      <c r="J135" s="272" t="str">
        <f t="shared" si="29"/>
        <v>NVT</v>
      </c>
      <c r="K135" s="272" t="str">
        <f t="shared" si="30"/>
        <v>NVT</v>
      </c>
      <c r="L135" s="273" t="str">
        <f t="shared" si="31"/>
        <v>--</v>
      </c>
      <c r="M135" s="7">
        <f t="shared" si="32"/>
        <v>0</v>
      </c>
      <c r="N135" s="7" t="str">
        <f t="shared" si="44"/>
        <v>No S</v>
      </c>
      <c r="O135" s="326">
        <f t="shared" si="33"/>
        <v>25</v>
      </c>
      <c r="P135" s="224" t="str">
        <f t="shared" si="45"/>
        <v/>
      </c>
      <c r="Q135" s="224" t="str">
        <f t="shared" si="34"/>
        <v/>
      </c>
      <c r="R135" s="224"/>
      <c r="S135" s="271">
        <f t="shared" si="46"/>
        <v>1.8E-3</v>
      </c>
      <c r="T135" s="7" t="str">
        <f t="shared" si="35"/>
        <v>I</v>
      </c>
      <c r="U135" s="7">
        <f t="shared" si="36"/>
        <v>1.0000000000000001E-5</v>
      </c>
      <c r="V135" s="7" t="str">
        <f t="shared" si="37"/>
        <v>A</v>
      </c>
      <c r="W135" s="7" t="str">
        <f>VLOOKUP(C135,'Tox Summary'!$N$3:$S$1048576,6,FALSE)</f>
        <v/>
      </c>
      <c r="X135" s="76">
        <f t="shared" si="38"/>
        <v>1.5598290598290599E-3</v>
      </c>
      <c r="Y135" s="76">
        <f t="shared" si="39"/>
        <v>1.0428571428571428E-2</v>
      </c>
      <c r="AA135" s="332"/>
    </row>
    <row r="136" spans="1:27">
      <c r="A136" s="265" t="s">
        <v>1413</v>
      </c>
      <c r="B136" s="344" t="s">
        <v>721</v>
      </c>
      <c r="C136" s="269" t="s">
        <v>554</v>
      </c>
      <c r="D136" s="280" t="str">
        <f>VLOOKUP(B136, 'Chem Props'!$1:$1048576,3,FALSE)</f>
        <v>No</v>
      </c>
      <c r="E136" s="598" t="str">
        <f t="shared" si="40"/>
        <v>Yes</v>
      </c>
      <c r="F136" s="7" t="str">
        <f t="shared" si="26"/>
        <v>No (not volatile)</v>
      </c>
      <c r="G136" s="270" t="str">
        <f t="shared" si="43"/>
        <v>No (not volatile)</v>
      </c>
      <c r="H136" s="76" t="str">
        <f t="shared" si="27"/>
        <v>NVT</v>
      </c>
      <c r="I136" s="271" t="str">
        <f t="shared" si="28"/>
        <v>C</v>
      </c>
      <c r="J136" s="272" t="str">
        <f t="shared" si="29"/>
        <v>NVT</v>
      </c>
      <c r="K136" s="272" t="str">
        <f t="shared" si="30"/>
        <v>NVT</v>
      </c>
      <c r="L136" s="273" t="str">
        <f t="shared" si="31"/>
        <v>--</v>
      </c>
      <c r="M136" s="7">
        <f t="shared" si="32"/>
        <v>0</v>
      </c>
      <c r="N136" s="7" t="str">
        <f t="shared" si="44"/>
        <v>No S</v>
      </c>
      <c r="O136" s="326">
        <f t="shared" si="33"/>
        <v>25</v>
      </c>
      <c r="P136" s="224" t="str">
        <f t="shared" si="45"/>
        <v/>
      </c>
      <c r="Q136" s="224" t="str">
        <f t="shared" si="34"/>
        <v/>
      </c>
      <c r="R136" s="224"/>
      <c r="S136" s="271">
        <f t="shared" si="46"/>
        <v>1.8E-3</v>
      </c>
      <c r="T136" s="7" t="str">
        <f t="shared" si="35"/>
        <v>I</v>
      </c>
      <c r="U136" s="7">
        <f t="shared" si="36"/>
        <v>1.0000000000000001E-5</v>
      </c>
      <c r="V136" s="7" t="str">
        <f t="shared" si="37"/>
        <v>A</v>
      </c>
      <c r="W136" s="7" t="str">
        <f>VLOOKUP(C136,'Tox Summary'!$N$3:$S$1048576,6,FALSE)</f>
        <v/>
      </c>
      <c r="X136" s="76">
        <f t="shared" si="38"/>
        <v>1.5598290598290599E-3</v>
      </c>
      <c r="Y136" s="76">
        <f t="shared" si="39"/>
        <v>1.0428571428571428E-2</v>
      </c>
      <c r="AA136" s="332"/>
    </row>
    <row r="137" spans="1:27">
      <c r="A137" s="98"/>
      <c r="B137" s="509" t="s">
        <v>721</v>
      </c>
      <c r="C137" s="509" t="s">
        <v>1021</v>
      </c>
      <c r="D137" s="280" t="str">
        <f>VLOOKUP(B137, 'Chem Props'!$1:$1048576,3,FALSE)</f>
        <v>No</v>
      </c>
      <c r="E137" s="598" t="str">
        <f t="shared" si="40"/>
        <v>Yes</v>
      </c>
      <c r="F137" s="7" t="str">
        <f t="shared" si="26"/>
        <v>No (not volatile)</v>
      </c>
      <c r="G137" s="270" t="str">
        <f t="shared" si="43"/>
        <v>No (not volatile)</v>
      </c>
      <c r="H137" s="76" t="str">
        <f t="shared" si="27"/>
        <v>NVT</v>
      </c>
      <c r="I137" s="271" t="str">
        <f t="shared" si="28"/>
        <v>C</v>
      </c>
      <c r="J137" s="272" t="str">
        <f t="shared" si="29"/>
        <v>NVT</v>
      </c>
      <c r="K137" s="272" t="str">
        <f t="shared" si="30"/>
        <v>NVT</v>
      </c>
      <c r="L137" s="273" t="str">
        <f t="shared" si="31"/>
        <v>--</v>
      </c>
      <c r="M137" s="7">
        <f t="shared" si="32"/>
        <v>0</v>
      </c>
      <c r="N137" s="7" t="str">
        <f t="shared" si="44"/>
        <v>No S</v>
      </c>
      <c r="O137" s="326">
        <f t="shared" si="33"/>
        <v>25</v>
      </c>
      <c r="P137" s="224" t="str">
        <f t="shared" si="45"/>
        <v/>
      </c>
      <c r="Q137" s="224" t="str">
        <f t="shared" si="34"/>
        <v/>
      </c>
      <c r="R137" s="224"/>
      <c r="S137" s="271">
        <f t="shared" si="46"/>
        <v>1.8E-3</v>
      </c>
      <c r="T137" s="7" t="str">
        <f t="shared" si="35"/>
        <v>I</v>
      </c>
      <c r="U137" s="7">
        <f t="shared" si="36"/>
        <v>1.0000000000000001E-5</v>
      </c>
      <c r="V137" s="7" t="str">
        <f t="shared" si="37"/>
        <v>A</v>
      </c>
      <c r="W137" s="7" t="str">
        <f>VLOOKUP(C137,'Tox Summary'!$N$3:$S$1048576,6,FALSE)</f>
        <v/>
      </c>
      <c r="X137" s="76">
        <f t="shared" si="38"/>
        <v>1.5598290598290599E-3</v>
      </c>
      <c r="Y137" s="76">
        <f t="shared" si="39"/>
        <v>1.0428571428571428E-2</v>
      </c>
      <c r="Z137" s="243"/>
      <c r="AA137" s="243"/>
    </row>
    <row r="138" spans="1:27">
      <c r="A138" s="265" t="s">
        <v>1413</v>
      </c>
      <c r="B138" s="344" t="s">
        <v>788</v>
      </c>
      <c r="C138" s="269" t="s">
        <v>2363</v>
      </c>
      <c r="D138" s="280" t="str">
        <f>VLOOKUP(B138, 'Chem Props'!$1:$1048576,3,FALSE)</f>
        <v>No</v>
      </c>
      <c r="E138" s="598" t="str">
        <f t="shared" si="40"/>
        <v>No</v>
      </c>
      <c r="F138" s="7" t="str">
        <f t="shared" si="26"/>
        <v>No (not volatile)</v>
      </c>
      <c r="G138" s="270" t="str">
        <f t="shared" si="43"/>
        <v>No (not volatile)</v>
      </c>
      <c r="H138" s="76" t="str">
        <f t="shared" si="27"/>
        <v>No VP</v>
      </c>
      <c r="I138" s="271" t="str">
        <f t="shared" si="28"/>
        <v>--</v>
      </c>
      <c r="J138" s="272" t="str">
        <f t="shared" si="29"/>
        <v>No VP</v>
      </c>
      <c r="K138" s="272" t="str">
        <f t="shared" si="30"/>
        <v>No VP</v>
      </c>
      <c r="L138" s="273" t="str">
        <f t="shared" si="31"/>
        <v>--</v>
      </c>
      <c r="M138" s="7" t="str">
        <f t="shared" si="32"/>
        <v>No VP</v>
      </c>
      <c r="N138" s="7" t="str">
        <f t="shared" si="44"/>
        <v>No S</v>
      </c>
      <c r="O138" s="326">
        <f t="shared" si="33"/>
        <v>25</v>
      </c>
      <c r="P138" s="224" t="str">
        <f t="shared" si="45"/>
        <v/>
      </c>
      <c r="Q138" s="224" t="str">
        <f t="shared" si="34"/>
        <v/>
      </c>
      <c r="R138" s="224"/>
      <c r="S138" s="271" t="str">
        <f t="shared" si="46"/>
        <v/>
      </c>
      <c r="T138" s="7" t="str">
        <f t="shared" si="35"/>
        <v/>
      </c>
      <c r="U138" s="7" t="str">
        <f t="shared" si="36"/>
        <v/>
      </c>
      <c r="V138" s="7" t="str">
        <f t="shared" si="37"/>
        <v/>
      </c>
      <c r="W138" s="7" t="str">
        <f>VLOOKUP(C138,'Tox Summary'!$N$3:$S$1048576,6,FALSE)</f>
        <v/>
      </c>
      <c r="X138" s="76" t="str">
        <f t="shared" si="38"/>
        <v/>
      </c>
      <c r="Y138" s="76" t="str">
        <f t="shared" si="39"/>
        <v/>
      </c>
      <c r="AA138" s="332"/>
    </row>
    <row r="139" spans="1:27">
      <c r="A139" s="265"/>
      <c r="B139" s="344" t="s">
        <v>1583</v>
      </c>
      <c r="C139" s="269" t="s">
        <v>2383</v>
      </c>
      <c r="D139" s="280" t="str">
        <f>VLOOKUP(B139, 'Chem Props'!$1:$1048576,3,FALSE)</f>
        <v>No</v>
      </c>
      <c r="E139" s="598" t="str">
        <f t="shared" si="40"/>
        <v>No</v>
      </c>
      <c r="F139" s="7" t="str">
        <f t="shared" si="26"/>
        <v>No (not volatile)</v>
      </c>
      <c r="G139" s="270" t="str">
        <f t="shared" si="43"/>
        <v>No (not volatile)</v>
      </c>
      <c r="H139" s="76" t="str">
        <f t="shared" si="27"/>
        <v>No VP</v>
      </c>
      <c r="I139" s="271" t="str">
        <f t="shared" si="28"/>
        <v>--</v>
      </c>
      <c r="J139" s="272" t="str">
        <f t="shared" si="29"/>
        <v>No VP</v>
      </c>
      <c r="K139" s="272" t="str">
        <f t="shared" si="30"/>
        <v>No VP</v>
      </c>
      <c r="L139" s="273" t="str">
        <f t="shared" si="31"/>
        <v>--</v>
      </c>
      <c r="M139" s="7" t="str">
        <f t="shared" si="32"/>
        <v>No VP</v>
      </c>
      <c r="N139" s="7" t="str">
        <f t="shared" si="44"/>
        <v>No S</v>
      </c>
      <c r="O139" s="326">
        <f t="shared" si="33"/>
        <v>25</v>
      </c>
      <c r="P139" s="224" t="str">
        <f t="shared" si="45"/>
        <v/>
      </c>
      <c r="Q139" s="224" t="str">
        <f t="shared" si="34"/>
        <v/>
      </c>
      <c r="R139" s="224"/>
      <c r="S139" s="271" t="str">
        <f t="shared" si="46"/>
        <v/>
      </c>
      <c r="T139" s="7" t="str">
        <f t="shared" si="35"/>
        <v/>
      </c>
      <c r="U139" s="7" t="str">
        <f t="shared" si="36"/>
        <v/>
      </c>
      <c r="V139" s="7" t="str">
        <f t="shared" si="37"/>
        <v/>
      </c>
      <c r="W139" s="7" t="str">
        <f>VLOOKUP(C139,'Tox Summary'!$N$3:$S$1048576,6,FALSE)</f>
        <v/>
      </c>
      <c r="X139" s="76" t="str">
        <f t="shared" si="38"/>
        <v/>
      </c>
      <c r="Y139" s="76" t="str">
        <f t="shared" si="39"/>
        <v/>
      </c>
      <c r="AA139" s="332"/>
    </row>
    <row r="140" spans="1:27">
      <c r="A140" s="265"/>
      <c r="B140" s="344" t="s">
        <v>722</v>
      </c>
      <c r="C140" s="269" t="s">
        <v>1022</v>
      </c>
      <c r="D140" s="280" t="str">
        <f>VLOOKUP(B140, 'Chem Props'!$1:$1048576,3,FALSE)</f>
        <v>No</v>
      </c>
      <c r="E140" s="598" t="str">
        <f t="shared" si="40"/>
        <v>Yes</v>
      </c>
      <c r="F140" s="7" t="str">
        <f t="shared" si="26"/>
        <v>No (not volatile)</v>
      </c>
      <c r="G140" s="270" t="str">
        <f t="shared" si="43"/>
        <v>No (not volatile)</v>
      </c>
      <c r="H140" s="76">
        <f t="shared" si="27"/>
        <v>2.2942857142857145</v>
      </c>
      <c r="I140" s="271" t="str">
        <f t="shared" si="28"/>
        <v>NC</v>
      </c>
      <c r="J140" s="272">
        <f t="shared" si="29"/>
        <v>76.476190476190482</v>
      </c>
      <c r="K140" s="272">
        <f t="shared" si="30"/>
        <v>2218201.4060579273</v>
      </c>
      <c r="L140" s="273" t="str">
        <f t="shared" si="31"/>
        <v>--</v>
      </c>
      <c r="M140" s="7">
        <f t="shared" si="32"/>
        <v>9742.4034937841734</v>
      </c>
      <c r="N140" s="7">
        <f t="shared" si="44"/>
        <v>798479.6</v>
      </c>
      <c r="O140" s="326">
        <f t="shared" si="33"/>
        <v>25</v>
      </c>
      <c r="P140" s="224" t="str">
        <f t="shared" si="45"/>
        <v/>
      </c>
      <c r="Q140" s="224" t="str">
        <f t="shared" si="34"/>
        <v/>
      </c>
      <c r="R140" s="224"/>
      <c r="S140" s="271" t="str">
        <f t="shared" si="46"/>
        <v/>
      </c>
      <c r="T140" s="7" t="str">
        <f t="shared" si="35"/>
        <v/>
      </c>
      <c r="U140" s="7">
        <f t="shared" si="36"/>
        <v>2.2000000000000001E-3</v>
      </c>
      <c r="V140" s="7" t="str">
        <f t="shared" si="37"/>
        <v>CA</v>
      </c>
      <c r="W140" s="7" t="str">
        <f>VLOOKUP(C140,'Tox Summary'!$N$3:$S$1048576,6,FALSE)</f>
        <v/>
      </c>
      <c r="X140" s="76" t="str">
        <f t="shared" si="38"/>
        <v/>
      </c>
      <c r="Y140" s="76">
        <f t="shared" si="39"/>
        <v>2.2942857142857145</v>
      </c>
      <c r="AA140" s="332"/>
    </row>
    <row r="141" spans="1:27">
      <c r="A141" s="265"/>
      <c r="B141" s="344" t="s">
        <v>723</v>
      </c>
      <c r="C141" s="269" t="s">
        <v>1400</v>
      </c>
      <c r="D141" s="280" t="str">
        <f>VLOOKUP(B141, 'Chem Props'!$1:$1048576,3,FALSE)</f>
        <v>No</v>
      </c>
      <c r="E141" s="598" t="str">
        <f t="shared" si="40"/>
        <v>Yes</v>
      </c>
      <c r="F141" s="7" t="str">
        <f t="shared" si="26"/>
        <v>No (not volatile)</v>
      </c>
      <c r="G141" s="270" t="str">
        <f t="shared" si="43"/>
        <v>No (not volatile)</v>
      </c>
      <c r="H141" s="76">
        <f t="shared" si="27"/>
        <v>6.5295169946332735E-2</v>
      </c>
      <c r="I141" s="271" t="str">
        <f t="shared" si="28"/>
        <v>C</v>
      </c>
      <c r="J141" s="272" t="str">
        <f t="shared" si="29"/>
        <v>NVT</v>
      </c>
      <c r="K141" s="272" t="str">
        <f t="shared" si="30"/>
        <v>NVT</v>
      </c>
      <c r="L141" s="273" t="str">
        <f t="shared" si="31"/>
        <v>--</v>
      </c>
      <c r="M141" s="7">
        <f t="shared" si="32"/>
        <v>0.28173742075990055</v>
      </c>
      <c r="N141" s="7">
        <f t="shared" ref="N141:N159" si="47">IF(INDEX(HLC,MATCH(C141,ChemNameChem,0))="","No HLC",IF(INDEX(Sol,MATCH(C141,ChemNameChem,0))="No S","No S",INDEX(HLC,MATCH(C141,ChemNameChem,0))*INDEX(Sol,MATCH(C141,ChemNameChem,0))*1000000))</f>
        <v>0.28159599999999996</v>
      </c>
      <c r="O141" s="326">
        <f t="shared" si="33"/>
        <v>25</v>
      </c>
      <c r="P141" s="224" t="str">
        <f t="shared" si="45"/>
        <v/>
      </c>
      <c r="Q141" s="224" t="str">
        <f t="shared" si="34"/>
        <v/>
      </c>
      <c r="R141" s="224"/>
      <c r="S141" s="271">
        <f t="shared" si="46"/>
        <v>4.3000000000000002E-5</v>
      </c>
      <c r="T141" s="7" t="str">
        <f t="shared" si="35"/>
        <v>CA</v>
      </c>
      <c r="U141" s="7" t="str">
        <f t="shared" si="36"/>
        <v/>
      </c>
      <c r="V141" s="7" t="str">
        <f t="shared" si="37"/>
        <v/>
      </c>
      <c r="W141" s="7" t="str">
        <f>VLOOKUP(C141,'Tox Summary'!$N$3:$S$1048576,6,FALSE)</f>
        <v/>
      </c>
      <c r="X141" s="76">
        <f t="shared" si="38"/>
        <v>6.5295169946332735E-2</v>
      </c>
      <c r="Y141" s="76" t="str">
        <f t="shared" si="39"/>
        <v/>
      </c>
      <c r="AA141" s="332"/>
    </row>
    <row r="142" spans="1:27">
      <c r="A142" s="265"/>
      <c r="B142" s="344" t="s">
        <v>724</v>
      </c>
      <c r="C142" s="269" t="s">
        <v>1401</v>
      </c>
      <c r="D142" s="280" t="str">
        <f>VLOOKUP(B142, 'Chem Props'!$1:$1048576,3,FALSE)</f>
        <v>No</v>
      </c>
      <c r="E142" s="598" t="str">
        <f t="shared" si="40"/>
        <v>Yes</v>
      </c>
      <c r="F142" s="7" t="str">
        <f t="shared" si="26"/>
        <v>No (not volatile)</v>
      </c>
      <c r="G142" s="270" t="str">
        <f t="shared" si="43"/>
        <v>No (not volatile)</v>
      </c>
      <c r="H142" s="76" t="str">
        <f t="shared" si="27"/>
        <v>NVT</v>
      </c>
      <c r="I142" s="271" t="str">
        <f t="shared" si="28"/>
        <v>C</v>
      </c>
      <c r="J142" s="272" t="str">
        <f t="shared" si="29"/>
        <v>NVT</v>
      </c>
      <c r="K142" s="272" t="str">
        <f t="shared" si="30"/>
        <v>NVT</v>
      </c>
      <c r="L142" s="273" t="str">
        <f t="shared" si="31"/>
        <v>--</v>
      </c>
      <c r="M142" s="7">
        <f t="shared" si="32"/>
        <v>1.4556944589391825</v>
      </c>
      <c r="N142" s="7">
        <f t="shared" si="47"/>
        <v>1.4595179999999999</v>
      </c>
      <c r="O142" s="326">
        <f t="shared" si="33"/>
        <v>25</v>
      </c>
      <c r="P142" s="224" t="str">
        <f t="shared" ref="P142:P169" si="48">IF(VLOOKUP(B142,AllChemProps,32,FALSE)&gt;0,VLOOKUP(B142,AllChemProps,32,FALSE),"")</f>
        <v/>
      </c>
      <c r="Q142" s="224" t="str">
        <f t="shared" si="34"/>
        <v/>
      </c>
      <c r="R142" s="224"/>
      <c r="S142" s="271">
        <f t="shared" si="46"/>
        <v>6.6000000000000003E-7</v>
      </c>
      <c r="T142" s="7" t="str">
        <f t="shared" si="35"/>
        <v>CA</v>
      </c>
      <c r="U142" s="7" t="str">
        <f t="shared" si="36"/>
        <v/>
      </c>
      <c r="V142" s="7" t="str">
        <f t="shared" si="37"/>
        <v/>
      </c>
      <c r="W142" s="7" t="str">
        <f>VLOOKUP(C142,'Tox Summary'!$N$3:$S$1048576,6,FALSE)</f>
        <v/>
      </c>
      <c r="X142" s="76">
        <f t="shared" si="38"/>
        <v>4.2540792540792536</v>
      </c>
      <c r="Y142" s="76" t="str">
        <f t="shared" si="39"/>
        <v/>
      </c>
      <c r="AA142" s="332"/>
    </row>
    <row r="143" spans="1:27">
      <c r="A143" s="265"/>
      <c r="B143" s="344" t="s">
        <v>725</v>
      </c>
      <c r="C143" s="269" t="s">
        <v>1023</v>
      </c>
      <c r="D143" s="280" t="str">
        <f>VLOOKUP(B143, 'Chem Props'!$1:$1048576,3,FALSE)</f>
        <v>No</v>
      </c>
      <c r="E143" s="598" t="str">
        <f t="shared" si="40"/>
        <v>No</v>
      </c>
      <c r="F143" s="7" t="str">
        <f t="shared" si="26"/>
        <v>No (not volatile)</v>
      </c>
      <c r="G143" s="270" t="str">
        <f t="shared" si="43"/>
        <v>No (not volatile)</v>
      </c>
      <c r="H143" s="76" t="str">
        <f t="shared" si="27"/>
        <v>--</v>
      </c>
      <c r="I143" s="271" t="str">
        <f t="shared" si="28"/>
        <v>--</v>
      </c>
      <c r="J143" s="272" t="str">
        <f t="shared" si="29"/>
        <v>--</v>
      </c>
      <c r="K143" s="272" t="str">
        <f t="shared" si="30"/>
        <v>--</v>
      </c>
      <c r="L143" s="273" t="str">
        <f t="shared" si="31"/>
        <v>--</v>
      </c>
      <c r="M143" s="7">
        <f t="shared" si="32"/>
        <v>14.726001032132034</v>
      </c>
      <c r="N143" s="7">
        <f t="shared" si="47"/>
        <v>14.705900000000002</v>
      </c>
      <c r="O143" s="326">
        <f t="shared" si="33"/>
        <v>25</v>
      </c>
      <c r="P143" s="224" t="str">
        <f t="shared" si="48"/>
        <v/>
      </c>
      <c r="Q143" s="224" t="str">
        <f t="shared" si="34"/>
        <v/>
      </c>
      <c r="R143" s="224"/>
      <c r="S143" s="271" t="str">
        <f t="shared" si="46"/>
        <v/>
      </c>
      <c r="T143" s="7" t="str">
        <f t="shared" si="35"/>
        <v/>
      </c>
      <c r="U143" s="7" t="str">
        <f t="shared" si="36"/>
        <v/>
      </c>
      <c r="V143" s="7" t="str">
        <f t="shared" si="37"/>
        <v/>
      </c>
      <c r="W143" s="7" t="str">
        <f>VLOOKUP(C143,'Tox Summary'!$N$3:$S$1048576,6,FALSE)</f>
        <v/>
      </c>
      <c r="X143" s="76" t="str">
        <f t="shared" si="38"/>
        <v/>
      </c>
      <c r="Y143" s="76" t="str">
        <f t="shared" si="39"/>
        <v/>
      </c>
      <c r="AA143" s="332"/>
    </row>
    <row r="144" spans="1:27">
      <c r="A144" s="265"/>
      <c r="B144" s="269" t="s">
        <v>726</v>
      </c>
      <c r="C144" s="269" t="s">
        <v>1024</v>
      </c>
      <c r="D144" s="280" t="str">
        <f>VLOOKUP(B144, 'Chem Props'!$1:$1048576,3,FALSE)</f>
        <v>No</v>
      </c>
      <c r="E144" s="598" t="str">
        <f t="shared" si="40"/>
        <v>No</v>
      </c>
      <c r="F144" s="7" t="str">
        <f t="shared" si="26"/>
        <v>No (not volatile)</v>
      </c>
      <c r="G144" s="270" t="str">
        <f t="shared" si="43"/>
        <v>No (not volatile)</v>
      </c>
      <c r="H144" s="76" t="str">
        <f t="shared" si="27"/>
        <v>--</v>
      </c>
      <c r="I144" s="271" t="str">
        <f t="shared" si="28"/>
        <v>--</v>
      </c>
      <c r="J144" s="272" t="str">
        <f t="shared" si="29"/>
        <v>--</v>
      </c>
      <c r="K144" s="272" t="str">
        <f t="shared" si="30"/>
        <v>--</v>
      </c>
      <c r="L144" s="273" t="str">
        <f t="shared" si="31"/>
        <v>No (40)</v>
      </c>
      <c r="M144" s="7">
        <f t="shared" si="32"/>
        <v>57.742799772546782</v>
      </c>
      <c r="N144" s="7">
        <f t="shared" si="47"/>
        <v>40.425599999999996</v>
      </c>
      <c r="O144" s="326">
        <f t="shared" si="33"/>
        <v>25</v>
      </c>
      <c r="P144" s="224" t="str">
        <f t="shared" si="48"/>
        <v/>
      </c>
      <c r="Q144" s="224" t="str">
        <f t="shared" si="34"/>
        <v/>
      </c>
      <c r="R144" s="224"/>
      <c r="S144" s="271" t="str">
        <f t="shared" si="46"/>
        <v/>
      </c>
      <c r="T144" s="7" t="str">
        <f t="shared" si="35"/>
        <v/>
      </c>
      <c r="U144" s="7" t="str">
        <f t="shared" si="36"/>
        <v/>
      </c>
      <c r="V144" s="7" t="str">
        <f t="shared" si="37"/>
        <v/>
      </c>
      <c r="W144" s="7" t="str">
        <f>VLOOKUP(C144,'Tox Summary'!$N$3:$S$1048576,6,FALSE)</f>
        <v/>
      </c>
      <c r="X144" s="76" t="str">
        <f t="shared" si="38"/>
        <v/>
      </c>
      <c r="Y144" s="76" t="str">
        <f t="shared" si="39"/>
        <v/>
      </c>
      <c r="AA144" s="243"/>
    </row>
    <row r="145" spans="1:27">
      <c r="A145" s="265"/>
      <c r="B145" s="269" t="s">
        <v>727</v>
      </c>
      <c r="C145" s="269" t="s">
        <v>1025</v>
      </c>
      <c r="D145" s="280" t="str">
        <f>VLOOKUP(B145, 'Chem Props'!$1:$1048576,3,FALSE)</f>
        <v>Yes</v>
      </c>
      <c r="E145" s="598" t="str">
        <f t="shared" si="40"/>
        <v>Yes</v>
      </c>
      <c r="F145" s="7" t="str">
        <f t="shared" si="26"/>
        <v>Yes</v>
      </c>
      <c r="G145" s="270" t="str">
        <f t="shared" si="43"/>
        <v>Yes</v>
      </c>
      <c r="H145" s="76">
        <f t="shared" si="27"/>
        <v>730</v>
      </c>
      <c r="I145" s="271" t="str">
        <f t="shared" si="28"/>
        <v>NC</v>
      </c>
      <c r="J145" s="272">
        <f t="shared" si="29"/>
        <v>24333.333333333336</v>
      </c>
      <c r="K145" s="272">
        <f t="shared" si="30"/>
        <v>1239.9860510062317</v>
      </c>
      <c r="L145" s="273" t="str">
        <f t="shared" si="31"/>
        <v>--</v>
      </c>
      <c r="M145" s="7">
        <f t="shared" si="32"/>
        <v>1470804019.7571509</v>
      </c>
      <c r="N145" s="7">
        <f t="shared" si="47"/>
        <v>1271627208</v>
      </c>
      <c r="O145" s="326">
        <f t="shared" si="33"/>
        <v>25</v>
      </c>
      <c r="P145" s="224">
        <f t="shared" si="48"/>
        <v>1.3</v>
      </c>
      <c r="Q145" s="224" t="str">
        <f t="shared" si="34"/>
        <v>N</v>
      </c>
      <c r="R145" s="224"/>
      <c r="S145" s="271" t="str">
        <f t="shared" si="46"/>
        <v/>
      </c>
      <c r="T145" s="7" t="str">
        <f t="shared" si="35"/>
        <v/>
      </c>
      <c r="U145" s="7">
        <f t="shared" si="36"/>
        <v>0.7</v>
      </c>
      <c r="V145" s="7" t="str">
        <f t="shared" si="37"/>
        <v>I</v>
      </c>
      <c r="W145" s="7" t="str">
        <f>VLOOKUP(C145,'Tox Summary'!$N$3:$S$1048576,6,FALSE)</f>
        <v/>
      </c>
      <c r="X145" s="76" t="str">
        <f t="shared" si="38"/>
        <v/>
      </c>
      <c r="Y145" s="76">
        <f t="shared" si="39"/>
        <v>730</v>
      </c>
      <c r="AA145" s="243"/>
    </row>
    <row r="146" spans="1:27">
      <c r="A146" s="265"/>
      <c r="B146" s="344" t="s">
        <v>728</v>
      </c>
      <c r="C146" s="269" t="s">
        <v>1026</v>
      </c>
      <c r="D146" s="280" t="str">
        <f>VLOOKUP(B146, 'Chem Props'!$1:$1048576,3,FALSE)</f>
        <v>Yes</v>
      </c>
      <c r="E146" s="598" t="str">
        <f t="shared" si="40"/>
        <v>Yes</v>
      </c>
      <c r="F146" s="7" t="str">
        <f t="shared" ref="F146:F209" si="49">IF(LEFT(D146,2)="No","No (not volatile)",IF(D146="unknown","unknown",IF(H146="NVT","No",IF(AND(X146="",Y146=""),"No Inhal. Tox. Info",IF(MIN(X146:Y146)&gt;=M146,"No",IF(M146&gt;H146,"Yes","No"))))))</f>
        <v>Yes</v>
      </c>
      <c r="G146" s="270" t="str">
        <f t="shared" si="43"/>
        <v>Yes</v>
      </c>
      <c r="H146" s="76">
        <f t="shared" ref="H146:H209" si="50">IF(ISNUMBER(M146),IF(AND(X146="",Y146=""),"--",IF(MIN(X146:Y146)&gt;=M146,"NVT",MIN(X146:Y146))),M146)</f>
        <v>0.4679487179487179</v>
      </c>
      <c r="I146" s="271" t="str">
        <f t="shared" ref="I146:I209" si="51">IF(AND(S146="",U146=""),"--",IF(MIN(X146,Y146)=X146,"C","NC"))</f>
        <v>C</v>
      </c>
      <c r="J146" s="272">
        <f t="shared" ref="J146:J209" si="52">IF(ISNUMBER(H146),IF(OR(H146="--",H146="NVT"),H146,IF(H146/Afss&gt;=M146,"NVT",H146/Afss)),H146)</f>
        <v>15.598290598290598</v>
      </c>
      <c r="K146" s="272">
        <f t="shared" ref="K146:K209" si="53">IF(ISNUMBER(H146),IF(H146="--","--", IF(LEFT(N146,2)="No",N146,IF(H146*0.001/(INDEX(HLC,MATCH(C146,ChemNameChem,0))*AFgw)&gt;=1000*INDEX(PWCS,MATCH(C146,ChemNameChem,0)), "NVT", H146*0.001/(INDEX(HLC,MATCH(C146,ChemNameChem,0))*AFgw)))),H146)</f>
        <v>0.4147110569109892</v>
      </c>
      <c r="L146" s="273" t="str">
        <f t="shared" ref="L146:L209" si="54">IF(INDEX(MCL,MATCH(C146,ChemNameChem,0))="","--",IF(K146&lt;INDEX(MCL,MATCH(C146,ChemNameChem,0)),"Yes ("&amp;(INDEX(MCL,MATCH(C146,ChemNameChem,0)))&amp;")","No ("&amp;(INDEX(MCL,MATCH(C146,ChemNameChem,0)))&amp;")"))</f>
        <v>Yes (5)</v>
      </c>
      <c r="M146" s="7">
        <f t="shared" ref="M146:M209" si="55">IF(INDEX(_VP25,MATCH(B146,CASNoChem,0))="No VP","No VP",IF(INDEX(MW,MATCH(B146,CASNoChem,0))="No MW","No MW",INDEX(MW,MATCH(B146,CASNoChem,0))*INDEX(_VP25,MATCH(B146,CASNoChem,0))*53808.7856452378))</f>
        <v>951839751.91430497</v>
      </c>
      <c r="N146" s="7">
        <f t="shared" si="47"/>
        <v>894799709.70000005</v>
      </c>
      <c r="O146" s="326">
        <f t="shared" ref="O146:O209" si="56">IF(INDEX(HTgw,MATCH(B146,CASNoChem,0),1)="",25,Tgw)</f>
        <v>25</v>
      </c>
      <c r="P146" s="224" t="str">
        <f t="shared" si="48"/>
        <v/>
      </c>
      <c r="Q146" s="224" t="str">
        <f t="shared" ref="Q146:Q209" si="57">IF(INDEX(LELsource,MATCH(B146,CASNoChem,0),1)="","",INDEX(LELsource,MATCH(B146,CASNoChem,0),1))</f>
        <v/>
      </c>
      <c r="R146" s="224"/>
      <c r="S146" s="271">
        <f t="shared" si="46"/>
        <v>6.0000000000000002E-6</v>
      </c>
      <c r="T146" s="7" t="str">
        <f t="shared" ref="T146:T209" si="58">IF(INDEX(IURSource,MATCH(B146,CASNoTox,0))="","",SUBSTITUTE(INDEX(IURSource,MATCH(B146,CASNoTox,0)),"C","CA"))</f>
        <v>I</v>
      </c>
      <c r="U146" s="7">
        <f t="shared" ref="U146:U209" si="59">IF(INDEX(RFC,MATCH(B146,CASNoTox,0))=" ","",INDEX(RFC,MATCH(B146,CASNoTox,0)))</f>
        <v>0.1</v>
      </c>
      <c r="V146" s="7" t="str">
        <f t="shared" ref="V146:V209" si="60">IF(INDEX(RFCSource,MATCH(B146,CASNoTox,0))="","",SUBSTITUTE(INDEX(RFCSource,MATCH(B146,CASNoTox,0)),"C","CA"))</f>
        <v>I</v>
      </c>
      <c r="W146" s="7" t="str">
        <f>VLOOKUP(C146,'Tox Summary'!$N$3:$S$1048576,6,FALSE)</f>
        <v/>
      </c>
      <c r="X146" s="76">
        <f t="shared" ref="X146:X209" si="61">IF(S146="","",IF(W146&lt;&gt;"TCE",TCR/(IF(AND(W146="VC",Scenario="Residential"),S146,0)+(EF*IF(W146="Mut",MMOAAF,ED)*ET*S146/(Atc*365*24))), 1/((EF*MMOAAF*ET*mIURTCE/(TCR*Atc*365*24))+EF*ED*ET*IURTCE/(TCR*Atc*365*24))))</f>
        <v>0.4679487179487179</v>
      </c>
      <c r="Y146" s="76">
        <f t="shared" ref="Y146:Y209" si="62">IF(U146="","",THQ*Atnc*365*24*U146*1000/(EF*ED*ET))</f>
        <v>104.28571428571429</v>
      </c>
      <c r="AA146" s="332"/>
    </row>
    <row r="147" spans="1:27">
      <c r="A147" s="265"/>
      <c r="B147" s="344" t="s">
        <v>2280</v>
      </c>
      <c r="C147" s="269" t="s">
        <v>2281</v>
      </c>
      <c r="D147" s="280" t="str">
        <f>VLOOKUP(B147, 'Chem Props'!$1:$1048576,3,FALSE)</f>
        <v>Yes</v>
      </c>
      <c r="E147" s="598" t="str">
        <f t="shared" ref="E147:E210" si="63">IF(OR(ISNUMBER(S147),ISNUMBER(U147)),"Yes","No")</f>
        <v>Yes</v>
      </c>
      <c r="F147" s="7" t="str">
        <f t="shared" si="49"/>
        <v>Yes</v>
      </c>
      <c r="G147" s="270" t="str">
        <f t="shared" si="43"/>
        <v>Yes</v>
      </c>
      <c r="H147" s="76">
        <f t="shared" si="50"/>
        <v>104.28571428571429</v>
      </c>
      <c r="I147" s="271" t="str">
        <f t="shared" si="51"/>
        <v>NC</v>
      </c>
      <c r="J147" s="272">
        <f t="shared" si="52"/>
        <v>3476.1904761904766</v>
      </c>
      <c r="K147" s="272">
        <f t="shared" si="53"/>
        <v>4.1814640852331308</v>
      </c>
      <c r="L147" s="273" t="str">
        <f t="shared" si="54"/>
        <v>--</v>
      </c>
      <c r="M147" s="7">
        <f t="shared" si="55"/>
        <v>30424881051.365662</v>
      </c>
      <c r="N147" s="7">
        <f t="shared" si="47"/>
        <v>30426800000.000004</v>
      </c>
      <c r="O147" s="326">
        <f t="shared" si="56"/>
        <v>25</v>
      </c>
      <c r="P147" s="224" t="str">
        <f t="shared" si="48"/>
        <v/>
      </c>
      <c r="Q147" s="224" t="str">
        <f t="shared" si="57"/>
        <v/>
      </c>
      <c r="R147" s="224"/>
      <c r="S147" s="271" t="str">
        <f t="shared" si="46"/>
        <v/>
      </c>
      <c r="T147" s="7" t="str">
        <f t="shared" si="58"/>
        <v/>
      </c>
      <c r="U147" s="7">
        <f t="shared" si="59"/>
        <v>0.1</v>
      </c>
      <c r="V147" s="7" t="str">
        <f t="shared" si="60"/>
        <v>P</v>
      </c>
      <c r="W147" s="7" t="str">
        <f>VLOOKUP(C147,'Tox Summary'!$N$3:$S$1048576,6,FALSE)</f>
        <v/>
      </c>
      <c r="X147" s="76" t="str">
        <f t="shared" si="61"/>
        <v/>
      </c>
      <c r="Y147" s="76">
        <f t="shared" si="62"/>
        <v>104.28571428571429</v>
      </c>
      <c r="AA147" s="332"/>
    </row>
    <row r="148" spans="1:27">
      <c r="A148" s="265"/>
      <c r="B148" s="269" t="s">
        <v>729</v>
      </c>
      <c r="C148" s="269" t="s">
        <v>1027</v>
      </c>
      <c r="D148" s="280" t="str">
        <f>VLOOKUP(B148, 'Chem Props'!$1:$1048576,3,FALSE)</f>
        <v>No</v>
      </c>
      <c r="E148" s="598" t="str">
        <f t="shared" si="63"/>
        <v>No</v>
      </c>
      <c r="F148" s="7" t="str">
        <f t="shared" si="49"/>
        <v>No (not volatile)</v>
      </c>
      <c r="G148" s="270" t="str">
        <f t="shared" si="43"/>
        <v>No (not volatile)</v>
      </c>
      <c r="H148" s="76" t="str">
        <f t="shared" si="50"/>
        <v>--</v>
      </c>
      <c r="I148" s="271" t="str">
        <f t="shared" si="51"/>
        <v>--</v>
      </c>
      <c r="J148" s="272" t="str">
        <f t="shared" si="52"/>
        <v>--</v>
      </c>
      <c r="K148" s="272" t="str">
        <f t="shared" si="53"/>
        <v>--</v>
      </c>
      <c r="L148" s="273" t="str">
        <f t="shared" si="54"/>
        <v>--</v>
      </c>
      <c r="M148" s="7">
        <f t="shared" si="55"/>
        <v>6.2864185468296396</v>
      </c>
      <c r="N148" s="7">
        <f t="shared" si="47"/>
        <v>6.2700000000000005</v>
      </c>
      <c r="O148" s="326">
        <f t="shared" si="56"/>
        <v>25</v>
      </c>
      <c r="P148" s="224" t="str">
        <f t="shared" si="48"/>
        <v/>
      </c>
      <c r="Q148" s="224" t="str">
        <f t="shared" si="57"/>
        <v/>
      </c>
      <c r="R148" s="224"/>
      <c r="S148" s="271" t="str">
        <f t="shared" si="46"/>
        <v/>
      </c>
      <c r="T148" s="7" t="str">
        <f t="shared" si="58"/>
        <v/>
      </c>
      <c r="U148" s="7" t="str">
        <f t="shared" si="59"/>
        <v/>
      </c>
      <c r="V148" s="7" t="str">
        <f t="shared" si="60"/>
        <v/>
      </c>
      <c r="W148" s="7" t="str">
        <f>VLOOKUP(C148,'Tox Summary'!$N$3:$S$1048576,6,FALSE)</f>
        <v/>
      </c>
      <c r="X148" s="76" t="str">
        <f t="shared" si="61"/>
        <v/>
      </c>
      <c r="Y148" s="76" t="str">
        <f t="shared" si="62"/>
        <v/>
      </c>
      <c r="AA148" s="243"/>
    </row>
    <row r="149" spans="1:27">
      <c r="A149" s="265"/>
      <c r="B149" s="344" t="s">
        <v>730</v>
      </c>
      <c r="C149" s="269" t="s">
        <v>1028</v>
      </c>
      <c r="D149" s="280" t="str">
        <f>VLOOKUP(B149, 'Chem Props'!$1:$1048576,3,FALSE)</f>
        <v>No</v>
      </c>
      <c r="E149" s="598" t="str">
        <f t="shared" si="63"/>
        <v>No</v>
      </c>
      <c r="F149" s="7" t="str">
        <f t="shared" si="49"/>
        <v>No (not volatile)</v>
      </c>
      <c r="G149" s="270" t="str">
        <f t="shared" si="43"/>
        <v>No (not volatile)</v>
      </c>
      <c r="H149" s="76" t="str">
        <f t="shared" si="50"/>
        <v>--</v>
      </c>
      <c r="I149" s="271" t="str">
        <f t="shared" si="51"/>
        <v>--</v>
      </c>
      <c r="J149" s="272" t="str">
        <f t="shared" si="52"/>
        <v>--</v>
      </c>
      <c r="K149" s="272" t="str">
        <f t="shared" si="53"/>
        <v>--</v>
      </c>
      <c r="L149" s="273" t="str">
        <f t="shared" si="54"/>
        <v>--</v>
      </c>
      <c r="M149" s="7">
        <f t="shared" si="55"/>
        <v>1.8992618025271357</v>
      </c>
      <c r="N149" s="7">
        <f t="shared" si="47"/>
        <v>1.9232009999999999</v>
      </c>
      <c r="O149" s="326">
        <f t="shared" si="56"/>
        <v>25</v>
      </c>
      <c r="P149" s="224" t="str">
        <f t="shared" si="48"/>
        <v/>
      </c>
      <c r="Q149" s="224" t="str">
        <f t="shared" si="57"/>
        <v/>
      </c>
      <c r="R149" s="224"/>
      <c r="S149" s="271" t="str">
        <f t="shared" si="46"/>
        <v/>
      </c>
      <c r="T149" s="7" t="str">
        <f t="shared" si="58"/>
        <v/>
      </c>
      <c r="U149" s="7" t="str">
        <f t="shared" si="59"/>
        <v/>
      </c>
      <c r="V149" s="7" t="str">
        <f t="shared" si="60"/>
        <v/>
      </c>
      <c r="W149" s="7" t="str">
        <f>VLOOKUP(C149,'Tox Summary'!$N$3:$S$1048576,6,FALSE)</f>
        <v/>
      </c>
      <c r="X149" s="76" t="str">
        <f t="shared" si="61"/>
        <v/>
      </c>
      <c r="Y149" s="76" t="str">
        <f t="shared" si="62"/>
        <v/>
      </c>
      <c r="AA149" s="332"/>
    </row>
    <row r="150" spans="1:27">
      <c r="A150" s="265"/>
      <c r="B150" s="344" t="s">
        <v>731</v>
      </c>
      <c r="C150" s="269" t="s">
        <v>564</v>
      </c>
      <c r="D150" s="280" t="str">
        <f>VLOOKUP(B150, 'Chem Props'!$1:$1048576,3,FALSE)</f>
        <v>No</v>
      </c>
      <c r="E150" s="598" t="str">
        <f t="shared" si="63"/>
        <v>Yes</v>
      </c>
      <c r="F150" s="7" t="str">
        <f t="shared" si="49"/>
        <v>No (not volatile)</v>
      </c>
      <c r="G150" s="270" t="str">
        <f t="shared" si="43"/>
        <v>No (not volatile)</v>
      </c>
      <c r="H150" s="76" t="str">
        <f t="shared" si="50"/>
        <v>No VP</v>
      </c>
      <c r="I150" s="271" t="str">
        <f t="shared" si="51"/>
        <v>NC</v>
      </c>
      <c r="J150" s="272" t="str">
        <f t="shared" si="52"/>
        <v>No VP</v>
      </c>
      <c r="K150" s="272" t="str">
        <f t="shared" si="53"/>
        <v>No VP</v>
      </c>
      <c r="L150" s="273" t="str">
        <f t="shared" si="54"/>
        <v>--</v>
      </c>
      <c r="M150" s="7" t="str">
        <f t="shared" si="55"/>
        <v>No VP</v>
      </c>
      <c r="N150" s="7" t="str">
        <f t="shared" si="47"/>
        <v>No S</v>
      </c>
      <c r="O150" s="326">
        <f t="shared" si="56"/>
        <v>25</v>
      </c>
      <c r="P150" s="224" t="str">
        <f t="shared" si="48"/>
        <v/>
      </c>
      <c r="Q150" s="224" t="str">
        <f t="shared" si="57"/>
        <v/>
      </c>
      <c r="R150" s="224"/>
      <c r="S150" s="271" t="str">
        <f t="shared" si="46"/>
        <v/>
      </c>
      <c r="T150" s="7" t="str">
        <f t="shared" si="58"/>
        <v/>
      </c>
      <c r="U150" s="7">
        <f t="shared" si="59"/>
        <v>8.9999999999999998E-4</v>
      </c>
      <c r="V150" s="7" t="str">
        <f t="shared" si="60"/>
        <v>I</v>
      </c>
      <c r="W150" s="7" t="str">
        <f>VLOOKUP(C150,'Tox Summary'!$N$3:$S$1048576,6,FALSE)</f>
        <v/>
      </c>
      <c r="X150" s="76" t="str">
        <f t="shared" si="61"/>
        <v/>
      </c>
      <c r="Y150" s="76">
        <f t="shared" si="62"/>
        <v>0.93857142857142839</v>
      </c>
      <c r="AA150" s="332"/>
    </row>
    <row r="151" spans="1:27">
      <c r="A151" s="265"/>
      <c r="B151" s="344" t="s">
        <v>732</v>
      </c>
      <c r="C151" s="269" t="s">
        <v>1029</v>
      </c>
      <c r="D151" s="280" t="str">
        <f>VLOOKUP(B151, 'Chem Props'!$1:$1048576,3,FALSE)</f>
        <v>Yes</v>
      </c>
      <c r="E151" s="598" t="str">
        <f t="shared" si="63"/>
        <v>No</v>
      </c>
      <c r="F151" s="7" t="str">
        <f t="shared" si="49"/>
        <v>No Inhal. Tox. Info</v>
      </c>
      <c r="G151" s="270" t="str">
        <f t="shared" si="43"/>
        <v>No Inhal. Tox. Info</v>
      </c>
      <c r="H151" s="76" t="str">
        <f t="shared" si="50"/>
        <v>--</v>
      </c>
      <c r="I151" s="271" t="str">
        <f t="shared" si="51"/>
        <v>--</v>
      </c>
      <c r="J151" s="272" t="str">
        <f t="shared" si="52"/>
        <v>--</v>
      </c>
      <c r="K151" s="272" t="str">
        <f t="shared" si="53"/>
        <v>--</v>
      </c>
      <c r="L151" s="273" t="str">
        <f t="shared" si="54"/>
        <v>--</v>
      </c>
      <c r="M151" s="7">
        <f t="shared" si="55"/>
        <v>133490697.21268925</v>
      </c>
      <c r="N151" s="7">
        <f t="shared" si="47"/>
        <v>185117.91999999998</v>
      </c>
      <c r="O151" s="326">
        <f t="shared" si="56"/>
        <v>25</v>
      </c>
      <c r="P151" s="224" t="str">
        <f t="shared" si="48"/>
        <v/>
      </c>
      <c r="Q151" s="224" t="str">
        <f t="shared" si="57"/>
        <v/>
      </c>
      <c r="R151" s="224"/>
      <c r="S151" s="271" t="str">
        <f t="shared" ref="S151:S182" si="64">IF(INDEX(IUR,MATCH(B151,CASNoTox,0))=" ","",IF(W151="TCE","see note",INDEX(IUR,MATCH(B151,CASNoTox,0))))</f>
        <v/>
      </c>
      <c r="T151" s="7" t="str">
        <f t="shared" si="58"/>
        <v/>
      </c>
      <c r="U151" s="7" t="str">
        <f t="shared" si="59"/>
        <v/>
      </c>
      <c r="V151" s="7" t="str">
        <f t="shared" si="60"/>
        <v/>
      </c>
      <c r="W151" s="7" t="str">
        <f>VLOOKUP(C151,'Tox Summary'!$N$3:$S$1048576,6,FALSE)</f>
        <v/>
      </c>
      <c r="X151" s="76" t="str">
        <f t="shared" si="61"/>
        <v/>
      </c>
      <c r="Y151" s="76" t="str">
        <f t="shared" si="62"/>
        <v/>
      </c>
      <c r="AA151" s="332"/>
    </row>
    <row r="152" spans="1:27">
      <c r="A152" s="265"/>
      <c r="B152" s="269" t="s">
        <v>733</v>
      </c>
      <c r="C152" s="269" t="s">
        <v>1030</v>
      </c>
      <c r="D152" s="280" t="str">
        <f>VLOOKUP(B152, 'Chem Props'!$1:$1048576,3,FALSE)</f>
        <v>No</v>
      </c>
      <c r="E152" s="598" t="str">
        <f t="shared" si="63"/>
        <v>No</v>
      </c>
      <c r="F152" s="7" t="str">
        <f t="shared" si="49"/>
        <v>No (not volatile)</v>
      </c>
      <c r="G152" s="270" t="str">
        <f t="shared" si="43"/>
        <v>No (not volatile)</v>
      </c>
      <c r="H152" s="76" t="str">
        <f t="shared" si="50"/>
        <v>--</v>
      </c>
      <c r="I152" s="271" t="str">
        <f t="shared" si="51"/>
        <v>--</v>
      </c>
      <c r="J152" s="272" t="str">
        <f t="shared" si="52"/>
        <v>--</v>
      </c>
      <c r="K152" s="272" t="str">
        <f t="shared" si="53"/>
        <v>--</v>
      </c>
      <c r="L152" s="273" t="str">
        <f t="shared" si="54"/>
        <v>--</v>
      </c>
      <c r="M152" s="7">
        <f t="shared" si="55"/>
        <v>1.1086224106488343</v>
      </c>
      <c r="N152" s="7">
        <f t="shared" si="47"/>
        <v>1.10754</v>
      </c>
      <c r="O152" s="326">
        <f t="shared" si="56"/>
        <v>25</v>
      </c>
      <c r="P152" s="224" t="str">
        <f t="shared" si="48"/>
        <v/>
      </c>
      <c r="Q152" s="224" t="str">
        <f t="shared" si="57"/>
        <v/>
      </c>
      <c r="R152" s="224"/>
      <c r="S152" s="271" t="str">
        <f t="shared" si="64"/>
        <v/>
      </c>
      <c r="T152" s="7" t="str">
        <f t="shared" si="58"/>
        <v/>
      </c>
      <c r="U152" s="7" t="str">
        <f t="shared" si="59"/>
        <v/>
      </c>
      <c r="V152" s="7" t="str">
        <f t="shared" si="60"/>
        <v/>
      </c>
      <c r="W152" s="7" t="str">
        <f>VLOOKUP(C152,'Tox Summary'!$N$3:$S$1048576,6,FALSE)</f>
        <v/>
      </c>
      <c r="X152" s="76" t="str">
        <f t="shared" si="61"/>
        <v/>
      </c>
      <c r="Y152" s="76" t="str">
        <f t="shared" si="62"/>
        <v/>
      </c>
      <c r="AA152" s="243"/>
    </row>
    <row r="153" spans="1:27">
      <c r="A153" s="265"/>
      <c r="B153" s="344" t="s">
        <v>734</v>
      </c>
      <c r="C153" s="269" t="s">
        <v>1031</v>
      </c>
      <c r="D153" s="280" t="str">
        <f>VLOOKUP(B153, 'Chem Props'!$1:$1048576,3,FALSE)</f>
        <v>No</v>
      </c>
      <c r="E153" s="598" t="str">
        <f t="shared" si="63"/>
        <v>No</v>
      </c>
      <c r="F153" s="7" t="str">
        <f t="shared" si="49"/>
        <v>No (not volatile)</v>
      </c>
      <c r="G153" s="270" t="str">
        <f t="shared" si="43"/>
        <v>No (not volatile)</v>
      </c>
      <c r="H153" s="76" t="str">
        <f t="shared" si="50"/>
        <v>--</v>
      </c>
      <c r="I153" s="271" t="str">
        <f t="shared" si="51"/>
        <v>--</v>
      </c>
      <c r="J153" s="272" t="str">
        <f t="shared" si="52"/>
        <v>--</v>
      </c>
      <c r="K153" s="272" t="str">
        <f t="shared" si="53"/>
        <v>--</v>
      </c>
      <c r="L153" s="273" t="str">
        <f t="shared" si="54"/>
        <v>--</v>
      </c>
      <c r="M153" s="7">
        <f t="shared" si="55"/>
        <v>30.165549608948442</v>
      </c>
      <c r="N153" s="7">
        <f t="shared" si="47"/>
        <v>3.3422499999999999</v>
      </c>
      <c r="O153" s="326">
        <f t="shared" si="56"/>
        <v>25</v>
      </c>
      <c r="P153" s="224" t="str">
        <f t="shared" si="48"/>
        <v/>
      </c>
      <c r="Q153" s="224" t="str">
        <f t="shared" si="57"/>
        <v/>
      </c>
      <c r="R153" s="224"/>
      <c r="S153" s="271" t="str">
        <f t="shared" si="64"/>
        <v/>
      </c>
      <c r="T153" s="7" t="str">
        <f t="shared" si="58"/>
        <v/>
      </c>
      <c r="U153" s="7" t="str">
        <f t="shared" si="59"/>
        <v/>
      </c>
      <c r="V153" s="7" t="str">
        <f t="shared" si="60"/>
        <v/>
      </c>
      <c r="W153" s="7" t="str">
        <f>VLOOKUP(C153,'Tox Summary'!$N$3:$S$1048576,6,FALSE)</f>
        <v/>
      </c>
      <c r="X153" s="76" t="str">
        <f t="shared" si="61"/>
        <v/>
      </c>
      <c r="Y153" s="76" t="str">
        <f t="shared" si="62"/>
        <v/>
      </c>
      <c r="AA153" s="332"/>
    </row>
    <row r="154" spans="1:27">
      <c r="A154" s="265"/>
      <c r="B154" s="344" t="s">
        <v>735</v>
      </c>
      <c r="C154" s="269" t="s">
        <v>431</v>
      </c>
      <c r="D154" s="280" t="str">
        <f>VLOOKUP(B154, 'Chem Props'!$1:$1048576,3,FALSE)</f>
        <v>Yes</v>
      </c>
      <c r="E154" s="598" t="str">
        <f t="shared" si="63"/>
        <v>Yes</v>
      </c>
      <c r="F154" s="7" t="str">
        <f t="shared" si="49"/>
        <v>Yes</v>
      </c>
      <c r="G154" s="270" t="str">
        <f t="shared" si="43"/>
        <v>Yes</v>
      </c>
      <c r="H154" s="76">
        <f t="shared" si="50"/>
        <v>2.8076923076923076E-2</v>
      </c>
      <c r="I154" s="271" t="str">
        <f t="shared" si="51"/>
        <v>C</v>
      </c>
      <c r="J154" s="272">
        <f t="shared" si="52"/>
        <v>0.9358974358974359</v>
      </c>
      <c r="K154" s="272">
        <f t="shared" si="53"/>
        <v>14.131019717611892</v>
      </c>
      <c r="L154" s="273" t="str">
        <f t="shared" si="54"/>
        <v>No (2)</v>
      </c>
      <c r="M154" s="7">
        <f t="shared" si="55"/>
        <v>220.05664653342129</v>
      </c>
      <c r="N154" s="7">
        <f t="shared" si="47"/>
        <v>111.26640000000002</v>
      </c>
      <c r="O154" s="326">
        <f t="shared" si="56"/>
        <v>25</v>
      </c>
      <c r="P154" s="224" t="str">
        <f t="shared" si="48"/>
        <v/>
      </c>
      <c r="Q154" s="224" t="str">
        <f t="shared" si="57"/>
        <v/>
      </c>
      <c r="R154" s="224"/>
      <c r="S154" s="271">
        <f t="shared" si="64"/>
        <v>1E-4</v>
      </c>
      <c r="T154" s="7" t="str">
        <f t="shared" si="58"/>
        <v>I</v>
      </c>
      <c r="U154" s="7">
        <f t="shared" si="59"/>
        <v>6.9999999999999999E-4</v>
      </c>
      <c r="V154" s="7" t="str">
        <f t="shared" si="60"/>
        <v>I</v>
      </c>
      <c r="W154" s="7" t="str">
        <f>VLOOKUP(C154,'Tox Summary'!$N$3:$S$1048576,6,FALSE)</f>
        <v/>
      </c>
      <c r="X154" s="76">
        <f t="shared" si="61"/>
        <v>2.8076923076923076E-2</v>
      </c>
      <c r="Y154" s="76">
        <f t="shared" si="62"/>
        <v>0.73</v>
      </c>
      <c r="AA154" s="332"/>
    </row>
    <row r="155" spans="1:27">
      <c r="A155" s="265"/>
      <c r="B155" s="344" t="s">
        <v>736</v>
      </c>
      <c r="C155" s="269" t="s">
        <v>1032</v>
      </c>
      <c r="D155" s="280" t="str">
        <f>VLOOKUP(B155, 'Chem Props'!$1:$1048576,3,FALSE)</f>
        <v>No</v>
      </c>
      <c r="E155" s="598" t="str">
        <f t="shared" si="63"/>
        <v>Yes</v>
      </c>
      <c r="F155" s="7" t="str">
        <f t="shared" si="49"/>
        <v>No (not volatile)</v>
      </c>
      <c r="G155" s="270" t="str">
        <f t="shared" si="43"/>
        <v>No (not volatile)</v>
      </c>
      <c r="H155" s="76">
        <f t="shared" si="50"/>
        <v>6.1036789297658862E-4</v>
      </c>
      <c r="I155" s="271" t="str">
        <f t="shared" si="51"/>
        <v>C</v>
      </c>
      <c r="J155" s="272">
        <f t="shared" si="52"/>
        <v>2.0345596432552956E-2</v>
      </c>
      <c r="K155" s="272">
        <f t="shared" si="53"/>
        <v>277.5030202212269</v>
      </c>
      <c r="L155" s="273" t="str">
        <f t="shared" si="54"/>
        <v>--</v>
      </c>
      <c r="M155" s="7">
        <f t="shared" si="55"/>
        <v>5.9401670825203805</v>
      </c>
      <c r="N155" s="7">
        <f t="shared" si="47"/>
        <v>5.93865</v>
      </c>
      <c r="O155" s="326">
        <f t="shared" si="56"/>
        <v>25</v>
      </c>
      <c r="P155" s="224" t="str">
        <f t="shared" si="48"/>
        <v/>
      </c>
      <c r="Q155" s="224" t="str">
        <f t="shared" si="57"/>
        <v/>
      </c>
      <c r="R155" s="224"/>
      <c r="S155" s="271">
        <f t="shared" si="64"/>
        <v>4.5999999999999999E-3</v>
      </c>
      <c r="T155" s="7" t="str">
        <f t="shared" si="58"/>
        <v>CA</v>
      </c>
      <c r="U155" s="7" t="str">
        <f t="shared" si="59"/>
        <v/>
      </c>
      <c r="V155" s="7" t="str">
        <f t="shared" si="60"/>
        <v/>
      </c>
      <c r="W155" s="7" t="str">
        <f>VLOOKUP(C155,'Tox Summary'!$N$3:$S$1048576,6,FALSE)</f>
        <v/>
      </c>
      <c r="X155" s="76">
        <f t="shared" si="61"/>
        <v>6.1036789297658862E-4</v>
      </c>
      <c r="Y155" s="76" t="str">
        <f t="shared" si="62"/>
        <v/>
      </c>
      <c r="AA155" s="332"/>
    </row>
    <row r="156" spans="1:27">
      <c r="A156" s="265" t="s">
        <v>1413</v>
      </c>
      <c r="B156" s="269" t="s">
        <v>737</v>
      </c>
      <c r="C156" s="269" t="s">
        <v>565</v>
      </c>
      <c r="D156" s="280" t="str">
        <f>VLOOKUP(B156, 'Chem Props'!$1:$1048576,3,FALSE)</f>
        <v>No</v>
      </c>
      <c r="E156" s="598" t="str">
        <f t="shared" si="63"/>
        <v>No</v>
      </c>
      <c r="F156" s="7" t="str">
        <f t="shared" si="49"/>
        <v>No (not volatile)</v>
      </c>
      <c r="G156" s="270" t="str">
        <f t="shared" si="43"/>
        <v>No (not volatile)</v>
      </c>
      <c r="H156" s="76" t="str">
        <f t="shared" si="50"/>
        <v>--</v>
      </c>
      <c r="I156" s="271" t="str">
        <f t="shared" si="51"/>
        <v>--</v>
      </c>
      <c r="J156" s="272" t="str">
        <f t="shared" si="52"/>
        <v>--</v>
      </c>
      <c r="K156" s="272" t="str">
        <f t="shared" si="53"/>
        <v>--</v>
      </c>
      <c r="L156" s="273" t="str">
        <f t="shared" si="54"/>
        <v>--</v>
      </c>
      <c r="M156" s="7">
        <f t="shared" si="55"/>
        <v>145.11422356735955</v>
      </c>
      <c r="N156" s="7">
        <f t="shared" si="47"/>
        <v>146.506</v>
      </c>
      <c r="O156" s="326">
        <f t="shared" si="56"/>
        <v>25</v>
      </c>
      <c r="P156" s="224" t="str">
        <f t="shared" si="48"/>
        <v/>
      </c>
      <c r="Q156" s="224" t="str">
        <f t="shared" si="57"/>
        <v/>
      </c>
      <c r="R156" s="224"/>
      <c r="S156" s="271" t="str">
        <f t="shared" si="64"/>
        <v/>
      </c>
      <c r="T156" s="7" t="str">
        <f t="shared" si="58"/>
        <v/>
      </c>
      <c r="U156" s="7" t="str">
        <f t="shared" si="59"/>
        <v/>
      </c>
      <c r="V156" s="7" t="str">
        <f t="shared" si="60"/>
        <v/>
      </c>
      <c r="W156" s="7" t="str">
        <f>VLOOKUP(C156,'Tox Summary'!$N$3:$S$1048576,6,FALSE)</f>
        <v/>
      </c>
      <c r="X156" s="76" t="str">
        <f t="shared" si="61"/>
        <v/>
      </c>
      <c r="Y156" s="76" t="str">
        <f t="shared" si="62"/>
        <v/>
      </c>
      <c r="AA156" s="243"/>
    </row>
    <row r="157" spans="1:27">
      <c r="A157" s="265"/>
      <c r="B157" s="344" t="s">
        <v>738</v>
      </c>
      <c r="C157" s="269" t="s">
        <v>1033</v>
      </c>
      <c r="D157" s="280" t="str">
        <f>VLOOKUP(B157, 'Chem Props'!$1:$1048576,3,FALSE)</f>
        <v>No</v>
      </c>
      <c r="E157" s="598" t="str">
        <f t="shared" si="63"/>
        <v>No</v>
      </c>
      <c r="F157" s="7" t="str">
        <f t="shared" si="49"/>
        <v>No (not volatile)</v>
      </c>
      <c r="G157" s="270" t="str">
        <f t="shared" si="43"/>
        <v>No (not volatile)</v>
      </c>
      <c r="H157" s="76" t="str">
        <f t="shared" si="50"/>
        <v>--</v>
      </c>
      <c r="I157" s="271" t="str">
        <f t="shared" si="51"/>
        <v>--</v>
      </c>
      <c r="J157" s="272" t="str">
        <f t="shared" si="52"/>
        <v>--</v>
      </c>
      <c r="K157" s="272" t="str">
        <f t="shared" si="53"/>
        <v>--</v>
      </c>
      <c r="L157" s="273" t="str">
        <f t="shared" si="54"/>
        <v>--</v>
      </c>
      <c r="M157" s="7">
        <f t="shared" si="55"/>
        <v>8.9285994196855968E-5</v>
      </c>
      <c r="N157" s="7">
        <f t="shared" si="47"/>
        <v>8.9291999999999998E-5</v>
      </c>
      <c r="O157" s="326">
        <f t="shared" si="56"/>
        <v>25</v>
      </c>
      <c r="P157" s="224" t="str">
        <f t="shared" si="48"/>
        <v/>
      </c>
      <c r="Q157" s="224" t="str">
        <f t="shared" si="57"/>
        <v/>
      </c>
      <c r="R157" s="224"/>
      <c r="S157" s="271" t="str">
        <f t="shared" si="64"/>
        <v/>
      </c>
      <c r="T157" s="7" t="str">
        <f t="shared" si="58"/>
        <v/>
      </c>
      <c r="U157" s="7" t="str">
        <f t="shared" si="59"/>
        <v/>
      </c>
      <c r="V157" s="7" t="str">
        <f t="shared" si="60"/>
        <v/>
      </c>
      <c r="W157" s="7" t="str">
        <f>VLOOKUP(C157,'Tox Summary'!$N$3:$S$1048576,6,FALSE)</f>
        <v/>
      </c>
      <c r="X157" s="76" t="str">
        <f t="shared" si="61"/>
        <v/>
      </c>
      <c r="Y157" s="76" t="str">
        <f t="shared" si="62"/>
        <v/>
      </c>
      <c r="AA157" s="332"/>
    </row>
    <row r="158" spans="1:27">
      <c r="A158" s="265"/>
      <c r="B158" s="344" t="s">
        <v>739</v>
      </c>
      <c r="C158" s="269" t="s">
        <v>1034</v>
      </c>
      <c r="D158" s="280" t="str">
        <f>VLOOKUP(B158, 'Chem Props'!$1:$1048576,3,FALSE)</f>
        <v>Yes</v>
      </c>
      <c r="E158" s="598" t="str">
        <f t="shared" si="63"/>
        <v>Yes</v>
      </c>
      <c r="F158" s="7" t="str">
        <f t="shared" si="49"/>
        <v>Yes</v>
      </c>
      <c r="G158" s="270" t="str">
        <f t="shared" si="43"/>
        <v>Yes</v>
      </c>
      <c r="H158" s="76">
        <f t="shared" si="50"/>
        <v>0.15642857142857139</v>
      </c>
      <c r="I158" s="271" t="str">
        <f t="shared" si="51"/>
        <v>NC</v>
      </c>
      <c r="J158" s="272">
        <f t="shared" si="52"/>
        <v>5.2142857142857135</v>
      </c>
      <c r="K158" s="272">
        <f t="shared" si="53"/>
        <v>0.32705116334637546</v>
      </c>
      <c r="L158" s="273" t="str">
        <f t="shared" si="54"/>
        <v>--</v>
      </c>
      <c r="M158" s="7">
        <f t="shared" si="55"/>
        <v>22335151129.543049</v>
      </c>
      <c r="N158" s="7">
        <f t="shared" si="47"/>
        <v>3013290000</v>
      </c>
      <c r="O158" s="326">
        <f t="shared" si="56"/>
        <v>25</v>
      </c>
      <c r="P158" s="224" t="str">
        <f t="shared" si="48"/>
        <v/>
      </c>
      <c r="Q158" s="224" t="str">
        <f t="shared" si="57"/>
        <v/>
      </c>
      <c r="R158" s="224"/>
      <c r="S158" s="271" t="str">
        <f t="shared" si="64"/>
        <v/>
      </c>
      <c r="T158" s="7" t="str">
        <f t="shared" si="58"/>
        <v/>
      </c>
      <c r="U158" s="7">
        <f t="shared" si="59"/>
        <v>1.4999999999999999E-4</v>
      </c>
      <c r="V158" s="7" t="str">
        <f t="shared" si="60"/>
        <v>A</v>
      </c>
      <c r="W158" s="7" t="str">
        <f>VLOOKUP(C158,'Tox Summary'!$N$3:$S$1048576,6,FALSE)</f>
        <v/>
      </c>
      <c r="X158" s="76" t="str">
        <f t="shared" si="61"/>
        <v/>
      </c>
      <c r="Y158" s="76">
        <f t="shared" si="62"/>
        <v>0.15642857142857139</v>
      </c>
      <c r="AA158" s="332"/>
    </row>
    <row r="159" spans="1:27">
      <c r="A159" s="265" t="s">
        <v>1413</v>
      </c>
      <c r="B159" s="269" t="s">
        <v>740</v>
      </c>
      <c r="C159" s="269" t="s">
        <v>1035</v>
      </c>
      <c r="D159" s="280" t="str">
        <f>VLOOKUP(B159, 'Chem Props'!$1:$1048576,3,FALSE)</f>
        <v>Yes</v>
      </c>
      <c r="E159" s="598" t="str">
        <f t="shared" si="63"/>
        <v>Yes</v>
      </c>
      <c r="F159" s="7" t="str">
        <f t="shared" si="49"/>
        <v>Yes</v>
      </c>
      <c r="G159" s="270" t="str">
        <f t="shared" si="43"/>
        <v>Yes</v>
      </c>
      <c r="H159" s="76">
        <f t="shared" si="50"/>
        <v>0.20857142857142857</v>
      </c>
      <c r="I159" s="271" t="str">
        <f t="shared" si="51"/>
        <v>NC</v>
      </c>
      <c r="J159" s="272">
        <f t="shared" si="52"/>
        <v>6.9523809523809526</v>
      </c>
      <c r="K159" s="272" t="str">
        <f t="shared" si="53"/>
        <v>No S</v>
      </c>
      <c r="L159" s="273" t="str">
        <f t="shared" si="54"/>
        <v>--</v>
      </c>
      <c r="M159" s="7">
        <f t="shared" si="55"/>
        <v>2751087164.5626373</v>
      </c>
      <c r="N159" s="7" t="str">
        <f t="shared" si="47"/>
        <v>No S</v>
      </c>
      <c r="O159" s="326">
        <f t="shared" si="56"/>
        <v>25</v>
      </c>
      <c r="P159" s="224" t="str">
        <f t="shared" si="48"/>
        <v/>
      </c>
      <c r="Q159" s="224" t="str">
        <f t="shared" si="57"/>
        <v/>
      </c>
      <c r="R159" s="224"/>
      <c r="S159" s="271" t="str">
        <f t="shared" si="64"/>
        <v/>
      </c>
      <c r="T159" s="7" t="str">
        <f t="shared" si="58"/>
        <v/>
      </c>
      <c r="U159" s="7">
        <f t="shared" si="59"/>
        <v>2.0000000000000001E-4</v>
      </c>
      <c r="V159" s="7" t="str">
        <f t="shared" si="60"/>
        <v>I</v>
      </c>
      <c r="W159" s="7" t="str">
        <f>VLOOKUP(C159,'Tox Summary'!$N$3:$S$1048576,6,FALSE)</f>
        <v/>
      </c>
      <c r="X159" s="76" t="str">
        <f t="shared" si="61"/>
        <v/>
      </c>
      <c r="Y159" s="76">
        <f t="shared" si="62"/>
        <v>0.20857142857142857</v>
      </c>
      <c r="AA159" s="243"/>
    </row>
    <row r="160" spans="1:27">
      <c r="A160" s="265"/>
      <c r="B160" s="269" t="s">
        <v>741</v>
      </c>
      <c r="C160" s="269" t="s">
        <v>1036</v>
      </c>
      <c r="D160" s="280" t="str">
        <f>VLOOKUP(B160, 'Chem Props'!$1:$1048576,3,FALSE)</f>
        <v>No</v>
      </c>
      <c r="E160" s="598" t="str">
        <f t="shared" si="63"/>
        <v>No</v>
      </c>
      <c r="F160" s="7" t="str">
        <f t="shared" si="49"/>
        <v>No (not volatile)</v>
      </c>
      <c r="G160" s="270" t="str">
        <f t="shared" si="43"/>
        <v>No (not volatile)</v>
      </c>
      <c r="H160" s="76" t="str">
        <f t="shared" si="50"/>
        <v>No VP</v>
      </c>
      <c r="I160" s="271" t="str">
        <f t="shared" si="51"/>
        <v>--</v>
      </c>
      <c r="J160" s="272" t="str">
        <f t="shared" si="52"/>
        <v>No VP</v>
      </c>
      <c r="K160" s="272" t="str">
        <f t="shared" si="53"/>
        <v>No VP</v>
      </c>
      <c r="L160" s="273" t="str">
        <f t="shared" si="54"/>
        <v>No (1000)</v>
      </c>
      <c r="M160" s="7" t="str">
        <f t="shared" si="55"/>
        <v>No VP</v>
      </c>
      <c r="N160" s="7"/>
      <c r="O160" s="326">
        <f t="shared" si="56"/>
        <v>25</v>
      </c>
      <c r="P160" s="224" t="str">
        <f t="shared" si="48"/>
        <v/>
      </c>
      <c r="Q160" s="224" t="str">
        <f t="shared" si="57"/>
        <v/>
      </c>
      <c r="R160" s="224"/>
      <c r="S160" s="271" t="str">
        <f t="shared" si="64"/>
        <v/>
      </c>
      <c r="T160" s="7" t="str">
        <f t="shared" si="58"/>
        <v/>
      </c>
      <c r="U160" s="7" t="str">
        <f t="shared" si="59"/>
        <v/>
      </c>
      <c r="V160" s="7" t="str">
        <f t="shared" si="60"/>
        <v/>
      </c>
      <c r="W160" s="7" t="str">
        <f>VLOOKUP(C160,'Tox Summary'!$N$3:$S$1048576,6,FALSE)</f>
        <v/>
      </c>
      <c r="X160" s="76" t="str">
        <f t="shared" si="61"/>
        <v/>
      </c>
      <c r="Y160" s="76" t="str">
        <f t="shared" si="62"/>
        <v/>
      </c>
      <c r="AA160" s="243"/>
    </row>
    <row r="161" spans="1:27">
      <c r="A161" s="265"/>
      <c r="B161" s="344" t="s">
        <v>742</v>
      </c>
      <c r="C161" s="269" t="s">
        <v>1037</v>
      </c>
      <c r="D161" s="280" t="str">
        <f>VLOOKUP(B161, 'Chem Props'!$1:$1048576,3,FALSE)</f>
        <v>Yes</v>
      </c>
      <c r="E161" s="598" t="str">
        <f t="shared" si="63"/>
        <v>Yes</v>
      </c>
      <c r="F161" s="7" t="str">
        <f t="shared" si="49"/>
        <v>Yes</v>
      </c>
      <c r="G161" s="270" t="str">
        <f t="shared" si="43"/>
        <v>Yes</v>
      </c>
      <c r="H161" s="76">
        <f t="shared" si="50"/>
        <v>52142.857142857145</v>
      </c>
      <c r="I161" s="271" t="str">
        <f t="shared" si="51"/>
        <v>NC</v>
      </c>
      <c r="J161" s="272">
        <f t="shared" si="52"/>
        <v>1738095.2380952383</v>
      </c>
      <c r="K161" s="272">
        <f t="shared" si="53"/>
        <v>21690.718920515796</v>
      </c>
      <c r="L161" s="273" t="str">
        <f t="shared" si="54"/>
        <v>--</v>
      </c>
      <c r="M161" s="7">
        <f t="shared" si="55"/>
        <v>13757399843.489239</v>
      </c>
      <c r="N161" s="7">
        <f t="shared" ref="N161:N195" si="65">IF(INDEX(HLC,MATCH(C161,ChemNameChem,0))="","No HLC",IF(INDEX(Sol,MATCH(C161,ChemNameChem,0))="No S","No S",INDEX(HLC,MATCH(C161,ChemNameChem,0))*INDEX(Sol,MATCH(C161,ChemNameChem,0))*1000000))</f>
        <v>3365494720</v>
      </c>
      <c r="O161" s="326">
        <f t="shared" si="56"/>
        <v>25</v>
      </c>
      <c r="P161" s="224" t="str">
        <f t="shared" si="48"/>
        <v/>
      </c>
      <c r="Q161" s="224" t="str">
        <f t="shared" si="57"/>
        <v/>
      </c>
      <c r="R161" s="224"/>
      <c r="S161" s="271" t="str">
        <f t="shared" si="64"/>
        <v/>
      </c>
      <c r="T161" s="7" t="str">
        <f t="shared" si="58"/>
        <v/>
      </c>
      <c r="U161" s="7">
        <f t="shared" si="59"/>
        <v>50</v>
      </c>
      <c r="V161" s="7" t="str">
        <f t="shared" si="60"/>
        <v>I</v>
      </c>
      <c r="W161" s="7" t="str">
        <f>VLOOKUP(C161,'Tox Summary'!$N$3:$S$1048576,6,FALSE)</f>
        <v/>
      </c>
      <c r="X161" s="76" t="str">
        <f t="shared" si="61"/>
        <v/>
      </c>
      <c r="Y161" s="76">
        <f t="shared" si="62"/>
        <v>52142.857142857145</v>
      </c>
      <c r="AA161" s="332"/>
    </row>
    <row r="162" spans="1:27">
      <c r="A162" s="265"/>
      <c r="B162" s="344" t="s">
        <v>743</v>
      </c>
      <c r="C162" s="269" t="s">
        <v>1038</v>
      </c>
      <c r="D162" s="280" t="str">
        <f>VLOOKUP(B162, 'Chem Props'!$1:$1048576,3,FALSE)</f>
        <v>Yes</v>
      </c>
      <c r="E162" s="598" t="str">
        <f t="shared" si="63"/>
        <v>Yes</v>
      </c>
      <c r="F162" s="7" t="str">
        <f t="shared" si="49"/>
        <v>Yes</v>
      </c>
      <c r="G162" s="270" t="str">
        <f t="shared" si="43"/>
        <v>Yes</v>
      </c>
      <c r="H162" s="76">
        <f t="shared" si="50"/>
        <v>9.3589743589743597E-3</v>
      </c>
      <c r="I162" s="271" t="str">
        <f t="shared" si="51"/>
        <v>C</v>
      </c>
      <c r="J162" s="272">
        <f t="shared" si="52"/>
        <v>0.31196581196581202</v>
      </c>
      <c r="K162" s="272">
        <f t="shared" si="53"/>
        <v>4.0805795053430972E-3</v>
      </c>
      <c r="L162" s="273" t="str">
        <f t="shared" si="54"/>
        <v>--</v>
      </c>
      <c r="M162" s="7">
        <f t="shared" si="55"/>
        <v>1026656751.9819063</v>
      </c>
      <c r="N162" s="7">
        <f t="shared" si="65"/>
        <v>2006618583.4500003</v>
      </c>
      <c r="O162" s="326">
        <f t="shared" si="56"/>
        <v>25</v>
      </c>
      <c r="P162" s="224">
        <f t="shared" si="48"/>
        <v>1.9</v>
      </c>
      <c r="Q162" s="224" t="str">
        <f t="shared" si="57"/>
        <v>N</v>
      </c>
      <c r="R162" s="224"/>
      <c r="S162" s="271">
        <f t="shared" si="64"/>
        <v>2.9999999999999997E-4</v>
      </c>
      <c r="T162" s="7" t="str">
        <f t="shared" si="58"/>
        <v>I</v>
      </c>
      <c r="U162" s="7">
        <f t="shared" si="59"/>
        <v>0.02</v>
      </c>
      <c r="V162" s="7" t="str">
        <f t="shared" si="60"/>
        <v>I</v>
      </c>
      <c r="W162" s="7" t="str">
        <f>VLOOKUP(C162,'Tox Summary'!$N$3:$S$1048576,6,FALSE)</f>
        <v/>
      </c>
      <c r="X162" s="76">
        <f t="shared" si="61"/>
        <v>9.3589743589743597E-3</v>
      </c>
      <c r="Y162" s="76">
        <f t="shared" si="62"/>
        <v>20.857142857142858</v>
      </c>
      <c r="AA162" s="332"/>
    </row>
    <row r="163" spans="1:27">
      <c r="A163" s="265" t="s">
        <v>1413</v>
      </c>
      <c r="B163" s="344" t="s">
        <v>744</v>
      </c>
      <c r="C163" s="269" t="s">
        <v>1039</v>
      </c>
      <c r="D163" s="280" t="str">
        <f>VLOOKUP(B163, 'Chem Props'!$1:$1048576,3,FALSE)</f>
        <v>No</v>
      </c>
      <c r="E163" s="598" t="str">
        <f t="shared" si="63"/>
        <v>No</v>
      </c>
      <c r="F163" s="7" t="str">
        <f t="shared" si="49"/>
        <v>No (not volatile)</v>
      </c>
      <c r="G163" s="270" t="str">
        <f t="shared" si="43"/>
        <v>No (not volatile)</v>
      </c>
      <c r="H163" s="76" t="str">
        <f t="shared" si="50"/>
        <v>--</v>
      </c>
      <c r="I163" s="271" t="str">
        <f t="shared" si="51"/>
        <v>--</v>
      </c>
      <c r="J163" s="272" t="str">
        <f t="shared" si="52"/>
        <v>--</v>
      </c>
      <c r="K163" s="272" t="str">
        <f t="shared" si="53"/>
        <v>--</v>
      </c>
      <c r="L163" s="273" t="str">
        <f t="shared" si="54"/>
        <v>--</v>
      </c>
      <c r="M163" s="7">
        <f t="shared" si="55"/>
        <v>390912.64877723454</v>
      </c>
      <c r="N163" s="7">
        <f t="shared" si="65"/>
        <v>60858.82</v>
      </c>
      <c r="O163" s="326">
        <f t="shared" si="56"/>
        <v>25</v>
      </c>
      <c r="P163" s="224" t="str">
        <f t="shared" si="48"/>
        <v/>
      </c>
      <c r="Q163" s="224" t="str">
        <f t="shared" si="57"/>
        <v/>
      </c>
      <c r="R163" s="224"/>
      <c r="S163" s="271" t="str">
        <f t="shared" si="64"/>
        <v/>
      </c>
      <c r="T163" s="7" t="str">
        <f t="shared" si="58"/>
        <v/>
      </c>
      <c r="U163" s="7" t="str">
        <f t="shared" si="59"/>
        <v/>
      </c>
      <c r="V163" s="7" t="str">
        <f t="shared" si="60"/>
        <v/>
      </c>
      <c r="W163" s="7" t="str">
        <f>VLOOKUP(C163,'Tox Summary'!$N$3:$S$1048576,6,FALSE)</f>
        <v/>
      </c>
      <c r="X163" s="76" t="str">
        <f t="shared" si="61"/>
        <v/>
      </c>
      <c r="Y163" s="76" t="str">
        <f t="shared" si="62"/>
        <v/>
      </c>
      <c r="AA163" s="332"/>
    </row>
    <row r="164" spans="1:27">
      <c r="A164" s="265"/>
      <c r="B164" s="344" t="s">
        <v>1566</v>
      </c>
      <c r="C164" s="269" t="s">
        <v>1565</v>
      </c>
      <c r="D164" s="280" t="str">
        <f>VLOOKUP(B164, 'Chem Props'!$1:$1048576,3,FALSE)</f>
        <v>No</v>
      </c>
      <c r="E164" s="598" t="str">
        <f t="shared" si="63"/>
        <v>Yes</v>
      </c>
      <c r="F164" s="7" t="str">
        <f t="shared" si="49"/>
        <v>No (not volatile)</v>
      </c>
      <c r="G164" s="270" t="str">
        <f t="shared" si="43"/>
        <v>No (not volatile)</v>
      </c>
      <c r="H164" s="76">
        <f t="shared" si="50"/>
        <v>3.6463536463536457E-2</v>
      </c>
      <c r="I164" s="271" t="str">
        <f t="shared" si="51"/>
        <v>C</v>
      </c>
      <c r="J164" s="272">
        <f t="shared" si="52"/>
        <v>1.2154512154512154</v>
      </c>
      <c r="K164" s="272">
        <f t="shared" si="53"/>
        <v>447.95499340953876</v>
      </c>
      <c r="L164" s="273" t="str">
        <f t="shared" si="54"/>
        <v>--</v>
      </c>
      <c r="M164" s="7">
        <f t="shared" si="55"/>
        <v>310868.42113251943</v>
      </c>
      <c r="N164" s="7">
        <f t="shared" si="65"/>
        <v>77647.460000000006</v>
      </c>
      <c r="O164" s="326">
        <f t="shared" si="56"/>
        <v>25</v>
      </c>
      <c r="P164" s="224" t="str">
        <f t="shared" si="48"/>
        <v/>
      </c>
      <c r="Q164" s="224" t="str">
        <f t="shared" si="57"/>
        <v/>
      </c>
      <c r="R164" s="224"/>
      <c r="S164" s="271">
        <f t="shared" si="64"/>
        <v>7.7000000000000001E-5</v>
      </c>
      <c r="T164" s="7" t="str">
        <f t="shared" si="58"/>
        <v>CA</v>
      </c>
      <c r="U164" s="7" t="str">
        <f t="shared" si="59"/>
        <v/>
      </c>
      <c r="V164" s="7" t="str">
        <f t="shared" si="60"/>
        <v/>
      </c>
      <c r="W164" s="7" t="str">
        <f>VLOOKUP(C164,'Tox Summary'!$N$3:$S$1048576,6,FALSE)</f>
        <v/>
      </c>
      <c r="X164" s="76">
        <f t="shared" si="61"/>
        <v>3.6463536463536457E-2</v>
      </c>
      <c r="Y164" s="76" t="str">
        <f t="shared" si="62"/>
        <v/>
      </c>
      <c r="AA164" s="332"/>
    </row>
    <row r="165" spans="1:27">
      <c r="A165" s="265"/>
      <c r="B165" s="344" t="s">
        <v>746</v>
      </c>
      <c r="C165" s="269" t="s">
        <v>745</v>
      </c>
      <c r="D165" s="280" t="str">
        <f>VLOOKUP(B165, 'Chem Props'!$1:$1048576,3,FALSE)</f>
        <v>Yes</v>
      </c>
      <c r="E165" s="598" t="str">
        <f t="shared" si="63"/>
        <v>No</v>
      </c>
      <c r="F165" s="7" t="str">
        <f t="shared" si="49"/>
        <v>No Inhal. Tox. Info</v>
      </c>
      <c r="G165" s="270" t="str">
        <f t="shared" si="43"/>
        <v>No Inhal. Tox. Info</v>
      </c>
      <c r="H165" s="76" t="str">
        <f t="shared" si="50"/>
        <v>--</v>
      </c>
      <c r="I165" s="271" t="str">
        <f t="shared" si="51"/>
        <v>--</v>
      </c>
      <c r="J165" s="272" t="str">
        <f t="shared" si="52"/>
        <v>--</v>
      </c>
      <c r="K165" s="272" t="str">
        <f t="shared" si="53"/>
        <v>--</v>
      </c>
      <c r="L165" s="273" t="str">
        <f t="shared" si="54"/>
        <v>--</v>
      </c>
      <c r="M165" s="7">
        <f t="shared" si="55"/>
        <v>271455462.2593146</v>
      </c>
      <c r="N165" s="7">
        <f t="shared" si="65"/>
        <v>108164970.00000001</v>
      </c>
      <c r="O165" s="326">
        <f t="shared" si="56"/>
        <v>25</v>
      </c>
      <c r="P165" s="224" t="str">
        <f t="shared" si="48"/>
        <v/>
      </c>
      <c r="Q165" s="224" t="str">
        <f t="shared" si="57"/>
        <v/>
      </c>
      <c r="R165" s="224"/>
      <c r="S165" s="271" t="str">
        <f t="shared" si="64"/>
        <v/>
      </c>
      <c r="T165" s="7" t="str">
        <f t="shared" si="58"/>
        <v/>
      </c>
      <c r="U165" s="7" t="str">
        <f t="shared" si="59"/>
        <v/>
      </c>
      <c r="V165" s="7" t="str">
        <f t="shared" si="60"/>
        <v/>
      </c>
      <c r="W165" s="7" t="str">
        <f>VLOOKUP(C165,'Tox Summary'!$N$3:$S$1048576,6,FALSE)</f>
        <v/>
      </c>
      <c r="X165" s="76" t="str">
        <f t="shared" si="61"/>
        <v/>
      </c>
      <c r="Y165" s="76" t="str">
        <f t="shared" si="62"/>
        <v/>
      </c>
      <c r="AA165" s="332"/>
    </row>
    <row r="166" spans="1:27">
      <c r="A166" s="265"/>
      <c r="B166" s="269" t="s">
        <v>747</v>
      </c>
      <c r="C166" s="269" t="s">
        <v>1040</v>
      </c>
      <c r="D166" s="280" t="str">
        <f>VLOOKUP(B166, 'Chem Props'!$1:$1048576,3,FALSE)</f>
        <v>No</v>
      </c>
      <c r="E166" s="598" t="str">
        <f t="shared" si="63"/>
        <v>No</v>
      </c>
      <c r="F166" s="7" t="str">
        <f t="shared" si="49"/>
        <v>No (not volatile)</v>
      </c>
      <c r="G166" s="270" t="str">
        <f t="shared" si="43"/>
        <v>No (not volatile)</v>
      </c>
      <c r="H166" s="76" t="str">
        <f t="shared" si="50"/>
        <v>--</v>
      </c>
      <c r="I166" s="271" t="str">
        <f t="shared" si="51"/>
        <v>--</v>
      </c>
      <c r="J166" s="272" t="str">
        <f t="shared" si="52"/>
        <v>--</v>
      </c>
      <c r="K166" s="272" t="str">
        <f t="shared" si="53"/>
        <v>--</v>
      </c>
      <c r="L166" s="273" t="str">
        <f t="shared" si="54"/>
        <v>No (60)</v>
      </c>
      <c r="M166" s="7">
        <f t="shared" si="55"/>
        <v>330513.47068373929</v>
      </c>
      <c r="N166" s="7">
        <f t="shared" si="65"/>
        <v>324821.63999999996</v>
      </c>
      <c r="O166" s="326">
        <f t="shared" si="56"/>
        <v>25</v>
      </c>
      <c r="P166" s="224" t="str">
        <f t="shared" si="48"/>
        <v/>
      </c>
      <c r="Q166" s="224" t="str">
        <f t="shared" si="57"/>
        <v/>
      </c>
      <c r="R166" s="224"/>
      <c r="S166" s="271" t="str">
        <f t="shared" si="64"/>
        <v/>
      </c>
      <c r="T166" s="7" t="str">
        <f t="shared" si="58"/>
        <v/>
      </c>
      <c r="U166" s="7" t="str">
        <f t="shared" si="59"/>
        <v/>
      </c>
      <c r="V166" s="7" t="str">
        <f t="shared" si="60"/>
        <v/>
      </c>
      <c r="W166" s="7" t="str">
        <f>VLOOKUP(C166,'Tox Summary'!$N$3:$S$1048576,6,FALSE)</f>
        <v/>
      </c>
      <c r="X166" s="76" t="str">
        <f t="shared" si="61"/>
        <v/>
      </c>
      <c r="Y166" s="76" t="str">
        <f t="shared" si="62"/>
        <v/>
      </c>
      <c r="AA166" s="243"/>
    </row>
    <row r="167" spans="1:27">
      <c r="A167" s="265" t="s">
        <v>1413</v>
      </c>
      <c r="B167" s="344" t="s">
        <v>748</v>
      </c>
      <c r="C167" s="269" t="s">
        <v>1041</v>
      </c>
      <c r="D167" s="280" t="str">
        <f>VLOOKUP(B167, 'Chem Props'!$1:$1048576,3,FALSE)</f>
        <v>No</v>
      </c>
      <c r="E167" s="598" t="str">
        <f t="shared" si="63"/>
        <v>Yes</v>
      </c>
      <c r="F167" s="7" t="str">
        <f t="shared" si="49"/>
        <v>No (not volatile)</v>
      </c>
      <c r="G167" s="270" t="str">
        <f t="shared" si="43"/>
        <v>No (not volatile)</v>
      </c>
      <c r="H167" s="76">
        <f t="shared" si="50"/>
        <v>3.1285714285714285E-2</v>
      </c>
      <c r="I167" s="271" t="str">
        <f t="shared" si="51"/>
        <v>NC</v>
      </c>
      <c r="J167" s="272">
        <f t="shared" si="52"/>
        <v>1.0428571428571429</v>
      </c>
      <c r="K167" s="272">
        <f t="shared" si="53"/>
        <v>221.10045431600204</v>
      </c>
      <c r="L167" s="273" t="str">
        <f t="shared" si="54"/>
        <v>--</v>
      </c>
      <c r="M167" s="7">
        <f t="shared" si="55"/>
        <v>44921.726608070327</v>
      </c>
      <c r="N167" s="7">
        <f t="shared" si="65"/>
        <v>155650</v>
      </c>
      <c r="O167" s="326">
        <f t="shared" si="56"/>
        <v>25</v>
      </c>
      <c r="P167" s="224" t="str">
        <f t="shared" si="48"/>
        <v/>
      </c>
      <c r="Q167" s="224" t="str">
        <f t="shared" si="57"/>
        <v/>
      </c>
      <c r="R167" s="224"/>
      <c r="S167" s="271" t="str">
        <f t="shared" si="64"/>
        <v/>
      </c>
      <c r="T167" s="7" t="str">
        <f t="shared" si="58"/>
        <v/>
      </c>
      <c r="U167" s="7">
        <f t="shared" si="59"/>
        <v>3.0000000000000001E-5</v>
      </c>
      <c r="V167" s="7" t="str">
        <f t="shared" si="60"/>
        <v>I</v>
      </c>
      <c r="W167" s="7" t="str">
        <f>VLOOKUP(C167,'Tox Summary'!$N$3:$S$1048576,6,FALSE)</f>
        <v/>
      </c>
      <c r="X167" s="76" t="str">
        <f t="shared" si="61"/>
        <v/>
      </c>
      <c r="Y167" s="76">
        <f t="shared" si="62"/>
        <v>3.1285714285714285E-2</v>
      </c>
      <c r="AA167" s="332"/>
    </row>
    <row r="168" spans="1:27">
      <c r="A168" s="265"/>
      <c r="B168" s="344" t="s">
        <v>749</v>
      </c>
      <c r="C168" s="269" t="s">
        <v>1042</v>
      </c>
      <c r="D168" s="280" t="str">
        <f>VLOOKUP(B168, 'Chem Props'!$1:$1048576,3,FALSE)</f>
        <v>No</v>
      </c>
      <c r="E168" s="598" t="str">
        <f t="shared" si="63"/>
        <v>No</v>
      </c>
      <c r="F168" s="7" t="str">
        <f t="shared" si="49"/>
        <v>No (not volatile)</v>
      </c>
      <c r="G168" s="270" t="str">
        <f t="shared" si="43"/>
        <v>No (not volatile)</v>
      </c>
      <c r="H168" s="76" t="str">
        <f t="shared" si="50"/>
        <v>--</v>
      </c>
      <c r="I168" s="271" t="str">
        <f t="shared" si="51"/>
        <v>--</v>
      </c>
      <c r="J168" s="272" t="str">
        <f t="shared" si="52"/>
        <v>--</v>
      </c>
      <c r="K168" s="272" t="str">
        <f t="shared" si="53"/>
        <v>--</v>
      </c>
      <c r="L168" s="273" t="str">
        <f t="shared" si="54"/>
        <v>--</v>
      </c>
      <c r="M168" s="7">
        <f t="shared" si="55"/>
        <v>185338.44318860059</v>
      </c>
      <c r="N168" s="7">
        <f t="shared" si="65"/>
        <v>184860</v>
      </c>
      <c r="O168" s="326">
        <f t="shared" si="56"/>
        <v>25</v>
      </c>
      <c r="P168" s="224" t="str">
        <f t="shared" si="48"/>
        <v/>
      </c>
      <c r="Q168" s="224" t="str">
        <f t="shared" si="57"/>
        <v/>
      </c>
      <c r="R168" s="224"/>
      <c r="S168" s="271" t="str">
        <f t="shared" si="64"/>
        <v/>
      </c>
      <c r="T168" s="7" t="str">
        <f t="shared" si="58"/>
        <v/>
      </c>
      <c r="U168" s="7" t="str">
        <f t="shared" si="59"/>
        <v/>
      </c>
      <c r="V168" s="7" t="str">
        <f t="shared" si="60"/>
        <v/>
      </c>
      <c r="W168" s="7" t="str">
        <f>VLOOKUP(C168,'Tox Summary'!$N$3:$S$1048576,6,FALSE)</f>
        <v/>
      </c>
      <c r="X168" s="76" t="str">
        <f t="shared" si="61"/>
        <v/>
      </c>
      <c r="Y168" s="76" t="str">
        <f t="shared" si="62"/>
        <v/>
      </c>
      <c r="AA168" s="332"/>
    </row>
    <row r="169" spans="1:27">
      <c r="A169" s="265"/>
      <c r="B169" s="269" t="s">
        <v>750</v>
      </c>
      <c r="C169" s="269" t="s">
        <v>432</v>
      </c>
      <c r="D169" s="280" t="str">
        <f>VLOOKUP(B169, 'Chem Props'!$1:$1048576,3,FALSE)</f>
        <v>Yes</v>
      </c>
      <c r="E169" s="598" t="str">
        <f t="shared" si="63"/>
        <v>Yes</v>
      </c>
      <c r="F169" s="7" t="str">
        <f t="shared" si="49"/>
        <v>Yes</v>
      </c>
      <c r="G169" s="270" t="str">
        <f t="shared" si="43"/>
        <v>Yes</v>
      </c>
      <c r="H169" s="76">
        <f t="shared" si="50"/>
        <v>52.142857142857146</v>
      </c>
      <c r="I169" s="271" t="str">
        <f t="shared" si="51"/>
        <v>NC</v>
      </c>
      <c r="J169" s="272">
        <f t="shared" si="52"/>
        <v>1738.0952380952383</v>
      </c>
      <c r="K169" s="272">
        <f t="shared" si="53"/>
        <v>410.10093201897297</v>
      </c>
      <c r="L169" s="273" t="str">
        <f t="shared" si="54"/>
        <v>No (100)</v>
      </c>
      <c r="M169" s="7">
        <f t="shared" si="55"/>
        <v>72498901.439368755</v>
      </c>
      <c r="N169" s="7">
        <f t="shared" si="65"/>
        <v>63318907.199999996</v>
      </c>
      <c r="O169" s="326">
        <f t="shared" si="56"/>
        <v>25</v>
      </c>
      <c r="P169" s="224">
        <f t="shared" si="48"/>
        <v>1.3</v>
      </c>
      <c r="Q169" s="224" t="str">
        <f t="shared" si="57"/>
        <v>N</v>
      </c>
      <c r="R169" s="224"/>
      <c r="S169" s="271" t="str">
        <f t="shared" si="64"/>
        <v/>
      </c>
      <c r="T169" s="7" t="str">
        <f t="shared" si="58"/>
        <v/>
      </c>
      <c r="U169" s="7">
        <f t="shared" si="59"/>
        <v>0.05</v>
      </c>
      <c r="V169" s="7" t="str">
        <f t="shared" si="60"/>
        <v>P</v>
      </c>
      <c r="W169" s="7" t="str">
        <f>VLOOKUP(C169,'Tox Summary'!$N$3:$S$1048576,6,FALSE)</f>
        <v/>
      </c>
      <c r="X169" s="76" t="str">
        <f t="shared" si="61"/>
        <v/>
      </c>
      <c r="Y169" s="76">
        <f t="shared" si="62"/>
        <v>52.142857142857146</v>
      </c>
      <c r="AA169" s="243"/>
    </row>
    <row r="170" spans="1:27">
      <c r="A170" s="98"/>
      <c r="B170" s="509" t="s">
        <v>2446</v>
      </c>
      <c r="C170" s="509" t="s">
        <v>2445</v>
      </c>
      <c r="D170" s="280" t="str">
        <f>VLOOKUP(B170, 'Chem Props'!$1:$1048576,3,FALSE)</f>
        <v>No</v>
      </c>
      <c r="E170" s="598" t="str">
        <f t="shared" si="63"/>
        <v>No</v>
      </c>
      <c r="F170" s="7" t="str">
        <f t="shared" si="49"/>
        <v>No (not volatile)</v>
      </c>
      <c r="G170" s="270" t="str">
        <f t="shared" si="43"/>
        <v>No (not volatile)</v>
      </c>
      <c r="H170" s="76" t="str">
        <f t="shared" si="50"/>
        <v>--</v>
      </c>
      <c r="I170" s="271" t="str">
        <f t="shared" si="51"/>
        <v>--</v>
      </c>
      <c r="J170" s="272" t="str">
        <f t="shared" si="52"/>
        <v>--</v>
      </c>
      <c r="K170" s="272" t="str">
        <f t="shared" si="53"/>
        <v>--</v>
      </c>
      <c r="L170" s="273" t="str">
        <f t="shared" si="54"/>
        <v>--</v>
      </c>
      <c r="M170" s="7">
        <f t="shared" si="55"/>
        <v>44.360694685418814</v>
      </c>
      <c r="N170" s="7">
        <f t="shared" si="65"/>
        <v>23291.9709</v>
      </c>
      <c r="O170" s="326">
        <f t="shared" si="56"/>
        <v>25</v>
      </c>
      <c r="P170" s="224"/>
      <c r="Q170" s="224" t="str">
        <f t="shared" si="57"/>
        <v/>
      </c>
      <c r="R170" s="224"/>
      <c r="S170" s="271" t="str">
        <f t="shared" si="64"/>
        <v/>
      </c>
      <c r="T170" s="7" t="str">
        <f t="shared" si="58"/>
        <v/>
      </c>
      <c r="U170" s="7" t="str">
        <f t="shared" si="59"/>
        <v/>
      </c>
      <c r="V170" s="7" t="str">
        <f t="shared" si="60"/>
        <v/>
      </c>
      <c r="W170" s="7" t="str">
        <f>VLOOKUP(C170,'Tox Summary'!$N$3:$S$1048576,6,FALSE)</f>
        <v/>
      </c>
      <c r="X170" s="76" t="str">
        <f t="shared" si="61"/>
        <v/>
      </c>
      <c r="Y170" s="76" t="str">
        <f t="shared" si="62"/>
        <v/>
      </c>
      <c r="Z170" s="243"/>
      <c r="AA170" s="243"/>
    </row>
    <row r="171" spans="1:27">
      <c r="A171" s="265" t="s">
        <v>1413</v>
      </c>
      <c r="B171" s="269" t="s">
        <v>751</v>
      </c>
      <c r="C171" s="269" t="s">
        <v>1043</v>
      </c>
      <c r="D171" s="280" t="str">
        <f>VLOOKUP(B171, 'Chem Props'!$1:$1048576,3,FALSE)</f>
        <v>No</v>
      </c>
      <c r="E171" s="598" t="str">
        <f t="shared" si="63"/>
        <v>Yes</v>
      </c>
      <c r="F171" s="7" t="str">
        <f t="shared" si="49"/>
        <v>No (not volatile)</v>
      </c>
      <c r="G171" s="270" t="str">
        <f t="shared" ref="G171:G234" si="66">IF(LEFT(D171,2)="No","No (not volatile)",IF(D171="unknown","unknown",IF(H171="NVT","No",IF(AND(X171="",Y171=""),"No Inhal. Tox. Info",IF(MIN(X171:Y171)&gt;=N171,"No",IF(N171&gt;H171,"Yes","No"))))))</f>
        <v>No (not volatile)</v>
      </c>
      <c r="H171" s="76">
        <f t="shared" si="50"/>
        <v>9.0570719602977662E-2</v>
      </c>
      <c r="I171" s="271" t="str">
        <f t="shared" si="51"/>
        <v>C</v>
      </c>
      <c r="J171" s="272">
        <f t="shared" si="52"/>
        <v>3.0190239867659221</v>
      </c>
      <c r="K171" s="272" t="str">
        <f t="shared" si="53"/>
        <v>NVT</v>
      </c>
      <c r="L171" s="273" t="str">
        <f t="shared" si="54"/>
        <v>--</v>
      </c>
      <c r="M171" s="7">
        <f t="shared" si="55"/>
        <v>38.495773808744737</v>
      </c>
      <c r="N171" s="7">
        <f t="shared" si="65"/>
        <v>38.478699999999996</v>
      </c>
      <c r="O171" s="326">
        <f t="shared" si="56"/>
        <v>25</v>
      </c>
      <c r="P171" s="224" t="str">
        <f t="shared" ref="P171:P234" si="67">IF(VLOOKUP(B171,AllChemProps,32,FALSE)&gt;0,VLOOKUP(B171,AllChemProps,32,FALSE),"")</f>
        <v/>
      </c>
      <c r="Q171" s="224" t="str">
        <f t="shared" si="57"/>
        <v/>
      </c>
      <c r="R171" s="224"/>
      <c r="S171" s="271">
        <f t="shared" si="64"/>
        <v>3.1000000000000001E-5</v>
      </c>
      <c r="T171" s="7" t="str">
        <f t="shared" si="58"/>
        <v>CA</v>
      </c>
      <c r="U171" s="7" t="str">
        <f t="shared" si="59"/>
        <v/>
      </c>
      <c r="V171" s="7" t="str">
        <f t="shared" si="60"/>
        <v/>
      </c>
      <c r="W171" s="7" t="str">
        <f>VLOOKUP(C171,'Tox Summary'!$N$3:$S$1048576,6,FALSE)</f>
        <v/>
      </c>
      <c r="X171" s="76">
        <f t="shared" si="61"/>
        <v>9.0570719602977662E-2</v>
      </c>
      <c r="Y171" s="76" t="str">
        <f t="shared" si="62"/>
        <v/>
      </c>
      <c r="AA171" s="243"/>
    </row>
    <row r="172" spans="1:27">
      <c r="A172" s="265" t="s">
        <v>1413</v>
      </c>
      <c r="B172" s="344" t="s">
        <v>752</v>
      </c>
      <c r="C172" s="269" t="s">
        <v>566</v>
      </c>
      <c r="D172" s="280" t="str">
        <f>VLOOKUP(B172, 'Chem Props'!$1:$1048576,3,FALSE)</f>
        <v>No</v>
      </c>
      <c r="E172" s="598" t="str">
        <f t="shared" si="63"/>
        <v>No</v>
      </c>
      <c r="F172" s="7" t="str">
        <f t="shared" si="49"/>
        <v>No (not volatile)</v>
      </c>
      <c r="G172" s="270" t="str">
        <f t="shared" si="66"/>
        <v>No (not volatile)</v>
      </c>
      <c r="H172" s="76" t="str">
        <f t="shared" si="50"/>
        <v>--</v>
      </c>
      <c r="I172" s="271" t="str">
        <f t="shared" si="51"/>
        <v>--</v>
      </c>
      <c r="J172" s="272" t="str">
        <f t="shared" si="52"/>
        <v>--</v>
      </c>
      <c r="K172" s="272" t="str">
        <f t="shared" si="53"/>
        <v>--</v>
      </c>
      <c r="L172" s="273" t="str">
        <f t="shared" si="54"/>
        <v>--</v>
      </c>
      <c r="M172" s="7">
        <f t="shared" si="55"/>
        <v>19629.880854546474</v>
      </c>
      <c r="N172" s="7">
        <f t="shared" si="65"/>
        <v>236.36879999999999</v>
      </c>
      <c r="O172" s="326">
        <f t="shared" si="56"/>
        <v>25</v>
      </c>
      <c r="P172" s="224" t="str">
        <f t="shared" si="67"/>
        <v/>
      </c>
      <c r="Q172" s="224" t="str">
        <f t="shared" si="57"/>
        <v/>
      </c>
      <c r="R172" s="224"/>
      <c r="S172" s="271" t="str">
        <f t="shared" si="64"/>
        <v/>
      </c>
      <c r="T172" s="7" t="str">
        <f t="shared" si="58"/>
        <v/>
      </c>
      <c r="U172" s="7" t="str">
        <f t="shared" si="59"/>
        <v/>
      </c>
      <c r="V172" s="7" t="str">
        <f t="shared" si="60"/>
        <v/>
      </c>
      <c r="W172" s="7" t="str">
        <f>VLOOKUP(C172,'Tox Summary'!$N$3:$S$1048576,6,FALSE)</f>
        <v/>
      </c>
      <c r="X172" s="76" t="str">
        <f t="shared" si="61"/>
        <v/>
      </c>
      <c r="Y172" s="76" t="str">
        <f t="shared" si="62"/>
        <v/>
      </c>
      <c r="AA172" s="332"/>
    </row>
    <row r="173" spans="1:27">
      <c r="A173" s="265"/>
      <c r="B173" s="269" t="s">
        <v>753</v>
      </c>
      <c r="C173" s="269" t="s">
        <v>1044</v>
      </c>
      <c r="D173" s="280" t="str">
        <f>VLOOKUP(B173, 'Chem Props'!$1:$1048576,3,FALSE)</f>
        <v>Yes</v>
      </c>
      <c r="E173" s="598" t="str">
        <f t="shared" si="63"/>
        <v>Yes</v>
      </c>
      <c r="F173" s="7" t="str">
        <f t="shared" si="49"/>
        <v>Yes</v>
      </c>
      <c r="G173" s="270" t="str">
        <f t="shared" si="66"/>
        <v>Yes</v>
      </c>
      <c r="H173" s="76">
        <f t="shared" si="50"/>
        <v>312.85714285714283</v>
      </c>
      <c r="I173" s="271" t="str">
        <f t="shared" si="51"/>
        <v>NC</v>
      </c>
      <c r="J173" s="272">
        <f t="shared" si="52"/>
        <v>10428.571428571428</v>
      </c>
      <c r="K173" s="272">
        <f t="shared" si="53"/>
        <v>220.53272670922908</v>
      </c>
      <c r="L173" s="273" t="str">
        <f t="shared" si="54"/>
        <v>--</v>
      </c>
      <c r="M173" s="7">
        <f t="shared" si="55"/>
        <v>74130900.384474561</v>
      </c>
      <c r="N173" s="7">
        <f t="shared" si="65"/>
        <v>41140638.299999997</v>
      </c>
      <c r="O173" s="326">
        <f t="shared" si="56"/>
        <v>25</v>
      </c>
      <c r="P173" s="224" t="str">
        <f t="shared" si="67"/>
        <v/>
      </c>
      <c r="Q173" s="224" t="str">
        <f t="shared" si="57"/>
        <v/>
      </c>
      <c r="R173" s="224"/>
      <c r="S173" s="271" t="str">
        <f t="shared" si="64"/>
        <v/>
      </c>
      <c r="T173" s="7" t="str">
        <f t="shared" si="58"/>
        <v/>
      </c>
      <c r="U173" s="7">
        <f t="shared" si="59"/>
        <v>0.3</v>
      </c>
      <c r="V173" s="7" t="str">
        <f t="shared" si="60"/>
        <v>P</v>
      </c>
      <c r="W173" s="7" t="str">
        <f>VLOOKUP(C173,'Tox Summary'!$N$3:$S$1048576,6,FALSE)</f>
        <v/>
      </c>
      <c r="X173" s="76" t="str">
        <f t="shared" si="61"/>
        <v/>
      </c>
      <c r="Y173" s="76">
        <f t="shared" si="62"/>
        <v>312.85714285714283</v>
      </c>
      <c r="AA173" s="243"/>
    </row>
    <row r="174" spans="1:27">
      <c r="A174" s="265"/>
      <c r="B174" s="269" t="s">
        <v>754</v>
      </c>
      <c r="C174" s="269" t="s">
        <v>1045</v>
      </c>
      <c r="D174" s="280" t="str">
        <f>VLOOKUP(B174, 'Chem Props'!$1:$1048576,3,FALSE)</f>
        <v>Yes</v>
      </c>
      <c r="E174" s="598" t="str">
        <f t="shared" si="63"/>
        <v>No</v>
      </c>
      <c r="F174" s="7" t="str">
        <f t="shared" si="49"/>
        <v>No Inhal. Tox. Info</v>
      </c>
      <c r="G174" s="270" t="str">
        <f t="shared" si="66"/>
        <v>No Inhal. Tox. Info</v>
      </c>
      <c r="H174" s="76" t="str">
        <f t="shared" si="50"/>
        <v>--</v>
      </c>
      <c r="I174" s="271" t="str">
        <f t="shared" si="51"/>
        <v>--</v>
      </c>
      <c r="J174" s="272" t="str">
        <f t="shared" si="52"/>
        <v>--</v>
      </c>
      <c r="K174" s="272" t="str">
        <f t="shared" si="53"/>
        <v>--</v>
      </c>
      <c r="L174" s="273" t="str">
        <f t="shared" si="54"/>
        <v>--</v>
      </c>
      <c r="M174" s="7">
        <f t="shared" si="55"/>
        <v>504577880.96131396</v>
      </c>
      <c r="N174" s="7">
        <f t="shared" si="65"/>
        <v>751022030</v>
      </c>
      <c r="O174" s="326">
        <f t="shared" si="56"/>
        <v>25</v>
      </c>
      <c r="P174" s="224">
        <f t="shared" si="67"/>
        <v>1.8</v>
      </c>
      <c r="Q174" s="224" t="str">
        <f t="shared" si="57"/>
        <v>M</v>
      </c>
      <c r="R174" s="224"/>
      <c r="S174" s="271" t="str">
        <f t="shared" si="64"/>
        <v/>
      </c>
      <c r="T174" s="7" t="str">
        <f t="shared" si="58"/>
        <v/>
      </c>
      <c r="U174" s="7" t="str">
        <f t="shared" si="59"/>
        <v/>
      </c>
      <c r="V174" s="7" t="str">
        <f t="shared" si="60"/>
        <v/>
      </c>
      <c r="W174" s="7" t="str">
        <f>VLOOKUP(C174,'Tox Summary'!$N$3:$S$1048576,6,FALSE)</f>
        <v/>
      </c>
      <c r="X174" s="76" t="str">
        <f t="shared" si="61"/>
        <v/>
      </c>
      <c r="Y174" s="76" t="str">
        <f t="shared" si="62"/>
        <v/>
      </c>
      <c r="AA174" s="243"/>
    </row>
    <row r="175" spans="1:27">
      <c r="A175" s="265"/>
      <c r="B175" s="269" t="s">
        <v>755</v>
      </c>
      <c r="C175" s="269" t="s">
        <v>1436</v>
      </c>
      <c r="D175" s="280" t="str">
        <f>VLOOKUP(B175, 'Chem Props'!$1:$1048576,3,FALSE)</f>
        <v>Yes</v>
      </c>
      <c r="E175" s="598" t="str">
        <f t="shared" si="63"/>
        <v>Yes</v>
      </c>
      <c r="F175" s="7" t="str">
        <f t="shared" si="49"/>
        <v>Yes</v>
      </c>
      <c r="G175" s="270" t="str">
        <f t="shared" si="66"/>
        <v>Yes</v>
      </c>
      <c r="H175" s="76">
        <f t="shared" si="50"/>
        <v>52142.857142857145</v>
      </c>
      <c r="I175" s="271" t="str">
        <f t="shared" si="51"/>
        <v>NC</v>
      </c>
      <c r="J175" s="272">
        <f t="shared" si="52"/>
        <v>1738095.2380952383</v>
      </c>
      <c r="K175" s="272">
        <f t="shared" si="53"/>
        <v>31414.145364490843</v>
      </c>
      <c r="L175" s="273" t="str">
        <f t="shared" si="54"/>
        <v>--</v>
      </c>
      <c r="M175" s="7">
        <f t="shared" si="55"/>
        <v>33742046756.967899</v>
      </c>
      <c r="N175" s="7">
        <f t="shared" si="65"/>
        <v>4597792256</v>
      </c>
      <c r="O175" s="326">
        <f t="shared" si="56"/>
        <v>25</v>
      </c>
      <c r="P175" s="224" t="str">
        <f t="shared" si="67"/>
        <v/>
      </c>
      <c r="Q175" s="224" t="str">
        <f t="shared" si="57"/>
        <v/>
      </c>
      <c r="R175" s="224"/>
      <c r="S175" s="271" t="str">
        <f t="shared" si="64"/>
        <v/>
      </c>
      <c r="T175" s="7" t="str">
        <f t="shared" si="58"/>
        <v/>
      </c>
      <c r="U175" s="7">
        <f t="shared" si="59"/>
        <v>50</v>
      </c>
      <c r="V175" s="7" t="str">
        <f t="shared" si="60"/>
        <v>I</v>
      </c>
      <c r="W175" s="7" t="str">
        <f>VLOOKUP(C175,'Tox Summary'!$N$3:$S$1048576,6,FALSE)</f>
        <v/>
      </c>
      <c r="X175" s="76" t="str">
        <f t="shared" si="61"/>
        <v/>
      </c>
      <c r="Y175" s="76">
        <f t="shared" si="62"/>
        <v>52142.857142857145</v>
      </c>
      <c r="AA175" s="243"/>
    </row>
    <row r="176" spans="1:27">
      <c r="A176" s="265"/>
      <c r="B176" s="269" t="s">
        <v>1999</v>
      </c>
      <c r="C176" s="269" t="s">
        <v>1998</v>
      </c>
      <c r="D176" s="280" t="str">
        <f>VLOOKUP(B176, 'Chem Props'!$1:$1048576,3,FALSE)</f>
        <v>Yes</v>
      </c>
      <c r="E176" s="598" t="str">
        <f t="shared" si="63"/>
        <v>No</v>
      </c>
      <c r="F176" s="7" t="str">
        <f t="shared" si="49"/>
        <v>No Inhal. Tox. Info</v>
      </c>
      <c r="G176" s="270" t="str">
        <f t="shared" si="66"/>
        <v>No Inhal. Tox. Info</v>
      </c>
      <c r="H176" s="76" t="str">
        <f t="shared" si="50"/>
        <v>--</v>
      </c>
      <c r="I176" s="271" t="str">
        <f t="shared" si="51"/>
        <v>--</v>
      </c>
      <c r="J176" s="272" t="str">
        <f t="shared" si="52"/>
        <v>--</v>
      </c>
      <c r="K176" s="272" t="str">
        <f t="shared" si="53"/>
        <v>--</v>
      </c>
      <c r="L176" s="273" t="str">
        <f t="shared" si="54"/>
        <v>--</v>
      </c>
      <c r="M176" s="7">
        <f t="shared" si="55"/>
        <v>31106735.221304987</v>
      </c>
      <c r="N176" s="7">
        <f t="shared" si="65"/>
        <v>31099999.999999996</v>
      </c>
      <c r="O176" s="326">
        <f t="shared" si="56"/>
        <v>25</v>
      </c>
      <c r="P176" s="224" t="str">
        <f t="shared" si="67"/>
        <v/>
      </c>
      <c r="Q176" s="224" t="str">
        <f t="shared" si="57"/>
        <v/>
      </c>
      <c r="R176" s="224"/>
      <c r="S176" s="271" t="str">
        <f t="shared" si="64"/>
        <v/>
      </c>
      <c r="T176" s="7" t="str">
        <f t="shared" si="58"/>
        <v/>
      </c>
      <c r="U176" s="7" t="str">
        <f t="shared" si="59"/>
        <v/>
      </c>
      <c r="V176" s="7" t="str">
        <f t="shared" si="60"/>
        <v/>
      </c>
      <c r="W176" s="7" t="str">
        <f>VLOOKUP(C176,'Tox Summary'!$N$3:$S$1048576,6,FALSE)</f>
        <v/>
      </c>
      <c r="X176" s="76" t="str">
        <f t="shared" si="61"/>
        <v/>
      </c>
      <c r="Y176" s="76" t="str">
        <f t="shared" si="62"/>
        <v/>
      </c>
      <c r="AA176" s="243"/>
    </row>
    <row r="177" spans="1:27">
      <c r="A177" s="265"/>
      <c r="B177" s="344" t="s">
        <v>756</v>
      </c>
      <c r="C177" s="269" t="s">
        <v>434</v>
      </c>
      <c r="D177" s="280" t="str">
        <f>VLOOKUP(B177, 'Chem Props'!$1:$1048576,3,FALSE)</f>
        <v>Yes</v>
      </c>
      <c r="E177" s="598" t="str">
        <f t="shared" si="63"/>
        <v>Yes</v>
      </c>
      <c r="F177" s="7" t="str">
        <f t="shared" si="49"/>
        <v>Yes</v>
      </c>
      <c r="G177" s="270" t="str">
        <f t="shared" si="66"/>
        <v>Yes</v>
      </c>
      <c r="H177" s="76">
        <f t="shared" si="50"/>
        <v>0.1220735785953177</v>
      </c>
      <c r="I177" s="271" t="str">
        <f t="shared" si="51"/>
        <v>C</v>
      </c>
      <c r="J177" s="272">
        <f t="shared" si="52"/>
        <v>4.0691192865105901</v>
      </c>
      <c r="K177" s="272">
        <f t="shared" si="53"/>
        <v>0.81360201515265307</v>
      </c>
      <c r="L177" s="273" t="str">
        <f t="shared" si="54"/>
        <v>Yes (8.0E+01(F))</v>
      </c>
      <c r="M177" s="7">
        <f t="shared" si="55"/>
        <v>1265467487.5747123</v>
      </c>
      <c r="N177" s="7">
        <f t="shared" si="65"/>
        <v>1192825155</v>
      </c>
      <c r="O177" s="326">
        <f t="shared" si="56"/>
        <v>25</v>
      </c>
      <c r="P177" s="224" t="str">
        <f t="shared" si="67"/>
        <v/>
      </c>
      <c r="Q177" s="224" t="str">
        <f t="shared" si="57"/>
        <v/>
      </c>
      <c r="R177" s="224"/>
      <c r="S177" s="271">
        <f t="shared" si="64"/>
        <v>2.3E-5</v>
      </c>
      <c r="T177" s="7" t="str">
        <f t="shared" si="58"/>
        <v>I</v>
      </c>
      <c r="U177" s="7">
        <f t="shared" si="59"/>
        <v>9.8000000000000004E-2</v>
      </c>
      <c r="V177" s="7" t="str">
        <f t="shared" si="60"/>
        <v>A</v>
      </c>
      <c r="W177" s="7" t="str">
        <f>VLOOKUP(C177,'Tox Summary'!$N$3:$S$1048576,6,FALSE)</f>
        <v/>
      </c>
      <c r="X177" s="76">
        <f t="shared" si="61"/>
        <v>0.1220735785953177</v>
      </c>
      <c r="Y177" s="76">
        <f t="shared" si="62"/>
        <v>102.2</v>
      </c>
      <c r="AA177" s="332"/>
    </row>
    <row r="178" spans="1:27">
      <c r="A178" s="265" t="s">
        <v>1413</v>
      </c>
      <c r="B178" s="269" t="s">
        <v>757</v>
      </c>
      <c r="C178" s="269" t="s">
        <v>1046</v>
      </c>
      <c r="D178" s="280" t="str">
        <f>VLOOKUP(B178, 'Chem Props'!$1:$1048576,3,FALSE)</f>
        <v>Yes</v>
      </c>
      <c r="E178" s="598" t="str">
        <f t="shared" si="63"/>
        <v>Yes</v>
      </c>
      <c r="F178" s="7" t="str">
        <f t="shared" si="49"/>
        <v>Yes</v>
      </c>
      <c r="G178" s="270" t="str">
        <f t="shared" si="66"/>
        <v>Yes</v>
      </c>
      <c r="H178" s="76">
        <f t="shared" si="50"/>
        <v>93.857142857142847</v>
      </c>
      <c r="I178" s="271" t="str">
        <f t="shared" si="51"/>
        <v>NC</v>
      </c>
      <c r="J178" s="272">
        <f t="shared" si="52"/>
        <v>3128.5714285714284</v>
      </c>
      <c r="K178" s="272">
        <f t="shared" si="53"/>
        <v>260.28864148306047</v>
      </c>
      <c r="L178" s="273" t="str">
        <f t="shared" si="54"/>
        <v>--</v>
      </c>
      <c r="M178" s="7">
        <f t="shared" si="55"/>
        <v>11681801269.524094</v>
      </c>
      <c r="N178" s="7">
        <f t="shared" si="65"/>
        <v>1918331884</v>
      </c>
      <c r="O178" s="326">
        <f t="shared" si="56"/>
        <v>25</v>
      </c>
      <c r="P178" s="224">
        <f t="shared" si="67"/>
        <v>8.1</v>
      </c>
      <c r="Q178" s="224" t="str">
        <f t="shared" si="57"/>
        <v>N</v>
      </c>
      <c r="R178" s="224"/>
      <c r="S178" s="271" t="str">
        <f t="shared" si="64"/>
        <v/>
      </c>
      <c r="T178" s="7" t="str">
        <f t="shared" si="58"/>
        <v/>
      </c>
      <c r="U178" s="7">
        <f t="shared" si="59"/>
        <v>0.09</v>
      </c>
      <c r="V178" s="7" t="str">
        <f t="shared" si="60"/>
        <v>I</v>
      </c>
      <c r="W178" s="7" t="str">
        <f>VLOOKUP(C178,'Tox Summary'!$N$3:$S$1048576,6,FALSE)</f>
        <v/>
      </c>
      <c r="X178" s="76" t="str">
        <f t="shared" si="61"/>
        <v/>
      </c>
      <c r="Y178" s="76">
        <f t="shared" si="62"/>
        <v>93.857142857142847</v>
      </c>
      <c r="AA178" s="243"/>
    </row>
    <row r="179" spans="1:27">
      <c r="A179" s="265"/>
      <c r="B179" s="344" t="s">
        <v>758</v>
      </c>
      <c r="C179" s="269" t="s">
        <v>567</v>
      </c>
      <c r="D179" s="280" t="str">
        <f>VLOOKUP(B179, 'Chem Props'!$1:$1048576,3,FALSE)</f>
        <v>Yes</v>
      </c>
      <c r="E179" s="598" t="str">
        <f t="shared" si="63"/>
        <v>Yes</v>
      </c>
      <c r="F179" s="7" t="str">
        <f t="shared" si="49"/>
        <v>Yes</v>
      </c>
      <c r="G179" s="270" t="str">
        <f t="shared" si="66"/>
        <v>Yes</v>
      </c>
      <c r="H179" s="76">
        <f t="shared" si="50"/>
        <v>4.0691192865105899E-3</v>
      </c>
      <c r="I179" s="271" t="str">
        <f t="shared" si="51"/>
        <v>C</v>
      </c>
      <c r="J179" s="272">
        <f t="shared" si="52"/>
        <v>0.135637309550353</v>
      </c>
      <c r="K179" s="272">
        <f t="shared" si="53"/>
        <v>0.32740228398524279</v>
      </c>
      <c r="L179" s="273" t="str">
        <f t="shared" si="54"/>
        <v>--</v>
      </c>
      <c r="M179" s="7">
        <f t="shared" si="55"/>
        <v>129972431.28678963</v>
      </c>
      <c r="N179" s="7">
        <f t="shared" si="65"/>
        <v>863035040</v>
      </c>
      <c r="O179" s="326">
        <f t="shared" si="56"/>
        <v>25</v>
      </c>
      <c r="P179" s="224" t="str">
        <f t="shared" si="67"/>
        <v/>
      </c>
      <c r="Q179" s="224" t="str">
        <f t="shared" si="57"/>
        <v/>
      </c>
      <c r="R179" s="224"/>
      <c r="S179" s="271">
        <f t="shared" si="64"/>
        <v>6.8999999999999997E-4</v>
      </c>
      <c r="T179" s="7" t="str">
        <f t="shared" si="58"/>
        <v>CA</v>
      </c>
      <c r="U179" s="7" t="str">
        <f t="shared" si="59"/>
        <v/>
      </c>
      <c r="V179" s="7" t="str">
        <f t="shared" si="60"/>
        <v/>
      </c>
      <c r="W179" s="7" t="str">
        <f>VLOOKUP(C179,'Tox Summary'!$N$3:$S$1048576,6,FALSE)</f>
        <v/>
      </c>
      <c r="X179" s="76">
        <f t="shared" si="61"/>
        <v>4.0691192865105899E-3</v>
      </c>
      <c r="Y179" s="76" t="str">
        <f t="shared" si="62"/>
        <v/>
      </c>
      <c r="AA179" s="332"/>
    </row>
    <row r="180" spans="1:27">
      <c r="A180" s="265"/>
      <c r="B180" s="344" t="s">
        <v>759</v>
      </c>
      <c r="C180" s="269" t="s">
        <v>2327</v>
      </c>
      <c r="D180" s="280" t="str">
        <f>VLOOKUP(B180, 'Chem Props'!$1:$1048576,3,FALSE)</f>
        <v>Yes</v>
      </c>
      <c r="E180" s="598" t="str">
        <f t="shared" si="63"/>
        <v>No</v>
      </c>
      <c r="F180" s="7" t="str">
        <f t="shared" si="49"/>
        <v>No Inhal. Tox. Info</v>
      </c>
      <c r="G180" s="270" t="str">
        <f t="shared" si="66"/>
        <v>No Inhal. Tox. Info</v>
      </c>
      <c r="H180" s="76" t="str">
        <f t="shared" si="50"/>
        <v>--</v>
      </c>
      <c r="I180" s="271" t="str">
        <f t="shared" si="51"/>
        <v>--</v>
      </c>
      <c r="J180" s="272" t="str">
        <f t="shared" si="52"/>
        <v>--</v>
      </c>
      <c r="K180" s="272" t="str">
        <f t="shared" si="53"/>
        <v>--</v>
      </c>
      <c r="L180" s="273" t="str">
        <f t="shared" si="54"/>
        <v>--</v>
      </c>
      <c r="M180" s="7">
        <f t="shared" si="55"/>
        <v>106754.69360386858</v>
      </c>
      <c r="N180" s="7">
        <f t="shared" si="65"/>
        <v>153066.41999999998</v>
      </c>
      <c r="O180" s="326">
        <f t="shared" si="56"/>
        <v>25</v>
      </c>
      <c r="P180" s="224" t="str">
        <f t="shared" si="67"/>
        <v/>
      </c>
      <c r="Q180" s="224" t="str">
        <f t="shared" si="57"/>
        <v/>
      </c>
      <c r="R180" s="224"/>
      <c r="S180" s="271" t="str">
        <f t="shared" si="64"/>
        <v/>
      </c>
      <c r="T180" s="7" t="str">
        <f t="shared" si="58"/>
        <v/>
      </c>
      <c r="U180" s="7" t="str">
        <f t="shared" si="59"/>
        <v/>
      </c>
      <c r="V180" s="7" t="str">
        <f t="shared" si="60"/>
        <v/>
      </c>
      <c r="W180" s="7" t="str">
        <f>VLOOKUP(C180,'Tox Summary'!$N$3:$S$1048576,6,FALSE)</f>
        <v/>
      </c>
      <c r="X180" s="76" t="str">
        <f t="shared" si="61"/>
        <v/>
      </c>
      <c r="Y180" s="76" t="str">
        <f t="shared" si="62"/>
        <v/>
      </c>
      <c r="AA180" s="332"/>
    </row>
    <row r="181" spans="1:27">
      <c r="A181" s="265" t="s">
        <v>1413</v>
      </c>
      <c r="B181" s="344" t="s">
        <v>760</v>
      </c>
      <c r="C181" s="269" t="s">
        <v>524</v>
      </c>
      <c r="D181" s="280" t="str">
        <f>VLOOKUP(B181, 'Chem Props'!$1:$1048576,3,FALSE)</f>
        <v>No</v>
      </c>
      <c r="E181" s="598" t="str">
        <f t="shared" si="63"/>
        <v>Yes</v>
      </c>
      <c r="F181" s="7" t="str">
        <f t="shared" si="49"/>
        <v>No (not volatile)</v>
      </c>
      <c r="G181" s="270" t="str">
        <f t="shared" si="66"/>
        <v>No (not volatile)</v>
      </c>
      <c r="H181" s="76">
        <f t="shared" si="50"/>
        <v>1.0428571428571428E-2</v>
      </c>
      <c r="I181" s="271" t="str">
        <f t="shared" si="51"/>
        <v>NC</v>
      </c>
      <c r="J181" s="272">
        <f t="shared" si="52"/>
        <v>0.34761904761904761</v>
      </c>
      <c r="K181" s="272">
        <f t="shared" si="53"/>
        <v>27.429172615916432</v>
      </c>
      <c r="L181" s="273" t="str">
        <f t="shared" si="54"/>
        <v>--</v>
      </c>
      <c r="M181" s="7">
        <f t="shared" si="55"/>
        <v>154301.64324599874</v>
      </c>
      <c r="N181" s="7">
        <f t="shared" si="65"/>
        <v>167668.20000000001</v>
      </c>
      <c r="O181" s="326">
        <f t="shared" si="56"/>
        <v>25</v>
      </c>
      <c r="P181" s="224" t="str">
        <f t="shared" si="67"/>
        <v/>
      </c>
      <c r="Q181" s="224" t="str">
        <f t="shared" si="57"/>
        <v/>
      </c>
      <c r="R181" s="224"/>
      <c r="S181" s="271" t="str">
        <f t="shared" si="64"/>
        <v/>
      </c>
      <c r="T181" s="7" t="str">
        <f t="shared" si="58"/>
        <v/>
      </c>
      <c r="U181" s="7">
        <f t="shared" si="59"/>
        <v>1.0000000000000001E-5</v>
      </c>
      <c r="V181" s="7" t="str">
        <f t="shared" si="60"/>
        <v>X</v>
      </c>
      <c r="W181" s="7" t="str">
        <f>VLOOKUP(C181,'Tox Summary'!$N$3:$S$1048576,6,FALSE)</f>
        <v/>
      </c>
      <c r="X181" s="76" t="str">
        <f t="shared" si="61"/>
        <v/>
      </c>
      <c r="Y181" s="76">
        <f t="shared" si="62"/>
        <v>1.0428571428571428E-2</v>
      </c>
      <c r="AA181" s="332"/>
    </row>
    <row r="182" spans="1:27">
      <c r="A182" s="265" t="s">
        <v>1413</v>
      </c>
      <c r="B182" s="344" t="s">
        <v>761</v>
      </c>
      <c r="C182" s="269" t="s">
        <v>525</v>
      </c>
      <c r="D182" s="280" t="str">
        <f>VLOOKUP(B182, 'Chem Props'!$1:$1048576,3,FALSE)</f>
        <v>No</v>
      </c>
      <c r="E182" s="598" t="str">
        <f t="shared" si="63"/>
        <v>Yes</v>
      </c>
      <c r="F182" s="7" t="str">
        <f t="shared" si="49"/>
        <v>No (not volatile)</v>
      </c>
      <c r="G182" s="270" t="str">
        <f t="shared" si="66"/>
        <v>No (not volatile)</v>
      </c>
      <c r="H182" s="76">
        <f t="shared" si="50"/>
        <v>2.0857142857142859</v>
      </c>
      <c r="I182" s="271" t="str">
        <f t="shared" si="51"/>
        <v>NC</v>
      </c>
      <c r="J182" s="272">
        <f t="shared" si="52"/>
        <v>69.523809523809533</v>
      </c>
      <c r="K182" s="272">
        <f t="shared" si="53"/>
        <v>10433.788322732795</v>
      </c>
      <c r="L182" s="273" t="str">
        <f t="shared" si="54"/>
        <v>--</v>
      </c>
      <c r="M182" s="7">
        <f t="shared" si="55"/>
        <v>185670.6586311743</v>
      </c>
      <c r="N182" s="7">
        <f t="shared" si="65"/>
        <v>44977.5</v>
      </c>
      <c r="O182" s="326">
        <f t="shared" si="56"/>
        <v>25</v>
      </c>
      <c r="P182" s="224" t="str">
        <f t="shared" si="67"/>
        <v/>
      </c>
      <c r="Q182" s="224" t="str">
        <f t="shared" si="57"/>
        <v/>
      </c>
      <c r="R182" s="224"/>
      <c r="S182" s="271" t="str">
        <f t="shared" si="64"/>
        <v/>
      </c>
      <c r="T182" s="7" t="str">
        <f t="shared" si="58"/>
        <v/>
      </c>
      <c r="U182" s="7">
        <f t="shared" si="59"/>
        <v>2E-3</v>
      </c>
      <c r="V182" s="7" t="str">
        <f t="shared" si="60"/>
        <v>P</v>
      </c>
      <c r="W182" s="7" t="str">
        <f>VLOOKUP(C182,'Tox Summary'!$N$3:$S$1048576,6,FALSE)</f>
        <v/>
      </c>
      <c r="X182" s="76" t="str">
        <f t="shared" si="61"/>
        <v/>
      </c>
      <c r="Y182" s="76">
        <f t="shared" si="62"/>
        <v>2.0857142857142859</v>
      </c>
      <c r="AA182" s="332"/>
    </row>
    <row r="183" spans="1:27">
      <c r="A183" s="265"/>
      <c r="B183" s="344" t="s">
        <v>762</v>
      </c>
      <c r="C183" s="269" t="s">
        <v>1047</v>
      </c>
      <c r="D183" s="280" t="str">
        <f>VLOOKUP(B183, 'Chem Props'!$1:$1048576,3,FALSE)</f>
        <v>Yes</v>
      </c>
      <c r="E183" s="598" t="str">
        <f t="shared" si="63"/>
        <v>No</v>
      </c>
      <c r="F183" s="7" t="str">
        <f t="shared" si="49"/>
        <v>No Inhal. Tox. Info</v>
      </c>
      <c r="G183" s="270" t="str">
        <f t="shared" si="66"/>
        <v>No Inhal. Tox. Info</v>
      </c>
      <c r="H183" s="76" t="str">
        <f t="shared" si="50"/>
        <v>--</v>
      </c>
      <c r="I183" s="271" t="str">
        <f t="shared" si="51"/>
        <v>--</v>
      </c>
      <c r="J183" s="272" t="str">
        <f t="shared" si="52"/>
        <v>--</v>
      </c>
      <c r="K183" s="272" t="str">
        <f t="shared" si="53"/>
        <v>--</v>
      </c>
      <c r="L183" s="273" t="str">
        <f t="shared" si="54"/>
        <v>--</v>
      </c>
      <c r="M183" s="7">
        <f t="shared" si="55"/>
        <v>17501673.430855982</v>
      </c>
      <c r="N183" s="7">
        <f t="shared" si="65"/>
        <v>5174270</v>
      </c>
      <c r="O183" s="326">
        <f t="shared" si="56"/>
        <v>25</v>
      </c>
      <c r="P183" s="224" t="str">
        <f t="shared" si="67"/>
        <v/>
      </c>
      <c r="Q183" s="224" t="str">
        <f t="shared" si="57"/>
        <v/>
      </c>
      <c r="R183" s="224"/>
      <c r="S183" s="271" t="str">
        <f t="shared" ref="S183:S214" si="68">IF(INDEX(IUR,MATCH(B183,CASNoTox,0))=" ","",IF(W183="TCE","see note",INDEX(IUR,MATCH(B183,CASNoTox,0))))</f>
        <v/>
      </c>
      <c r="T183" s="7" t="str">
        <f t="shared" si="58"/>
        <v/>
      </c>
      <c r="U183" s="7" t="str">
        <f t="shared" si="59"/>
        <v/>
      </c>
      <c r="V183" s="7" t="str">
        <f t="shared" si="60"/>
        <v/>
      </c>
      <c r="W183" s="7" t="str">
        <f>VLOOKUP(C183,'Tox Summary'!$N$3:$S$1048576,6,FALSE)</f>
        <v/>
      </c>
      <c r="X183" s="76" t="str">
        <f t="shared" si="61"/>
        <v/>
      </c>
      <c r="Y183" s="76" t="str">
        <f t="shared" si="62"/>
        <v/>
      </c>
      <c r="AA183" s="332"/>
    </row>
    <row r="184" spans="1:27">
      <c r="A184" s="265"/>
      <c r="B184" s="344" t="s">
        <v>763</v>
      </c>
      <c r="C184" s="269" t="s">
        <v>568</v>
      </c>
      <c r="D184" s="280" t="str">
        <f>VLOOKUP(B184, 'Chem Props'!$1:$1048576,3,FALSE)</f>
        <v>Yes</v>
      </c>
      <c r="E184" s="598" t="str">
        <f t="shared" si="63"/>
        <v>Yes</v>
      </c>
      <c r="F184" s="7" t="str">
        <f t="shared" si="49"/>
        <v>Yes</v>
      </c>
      <c r="G184" s="270" t="str">
        <f t="shared" si="66"/>
        <v>Yes</v>
      </c>
      <c r="H184" s="76">
        <f t="shared" si="50"/>
        <v>0.41714285714285715</v>
      </c>
      <c r="I184" s="271" t="str">
        <f t="shared" si="51"/>
        <v>NC</v>
      </c>
      <c r="J184" s="272">
        <f t="shared" si="52"/>
        <v>13.904761904761905</v>
      </c>
      <c r="K184" s="272">
        <f t="shared" si="53"/>
        <v>4.9772266313669933</v>
      </c>
      <c r="L184" s="273" t="str">
        <f t="shared" si="54"/>
        <v>--</v>
      </c>
      <c r="M184" s="7">
        <f t="shared" si="55"/>
        <v>212282116.42474052</v>
      </c>
      <c r="N184" s="7">
        <f t="shared" si="65"/>
        <v>135772686</v>
      </c>
      <c r="O184" s="326">
        <f t="shared" si="56"/>
        <v>25</v>
      </c>
      <c r="P184" s="224" t="str">
        <f t="shared" si="67"/>
        <v/>
      </c>
      <c r="Q184" s="224" t="str">
        <f t="shared" si="57"/>
        <v/>
      </c>
      <c r="R184" s="224"/>
      <c r="S184" s="271" t="str">
        <f t="shared" si="68"/>
        <v/>
      </c>
      <c r="T184" s="7" t="str">
        <f t="shared" si="58"/>
        <v/>
      </c>
      <c r="U184" s="7">
        <f t="shared" si="59"/>
        <v>4.0000000000000002E-4</v>
      </c>
      <c r="V184" s="7" t="str">
        <f t="shared" si="60"/>
        <v>CA</v>
      </c>
      <c r="W184" s="7" t="str">
        <f>VLOOKUP(C184,'Tox Summary'!$N$3:$S$1048576,6,FALSE)</f>
        <v/>
      </c>
      <c r="X184" s="76" t="str">
        <f t="shared" si="61"/>
        <v/>
      </c>
      <c r="Y184" s="76">
        <f t="shared" si="62"/>
        <v>0.41714285714285715</v>
      </c>
      <c r="AA184" s="332"/>
    </row>
    <row r="185" spans="1:27">
      <c r="A185" s="265"/>
      <c r="B185" s="344" t="s">
        <v>764</v>
      </c>
      <c r="C185" s="269" t="s">
        <v>1402</v>
      </c>
      <c r="D185" s="280" t="str">
        <f>VLOOKUP(B185, 'Chem Props'!$1:$1048576,3,FALSE)</f>
        <v>No</v>
      </c>
      <c r="E185" s="598" t="str">
        <f t="shared" si="63"/>
        <v>Yes</v>
      </c>
      <c r="F185" s="7" t="str">
        <f t="shared" si="49"/>
        <v>No (not volatile)</v>
      </c>
      <c r="G185" s="270" t="str">
        <f t="shared" si="66"/>
        <v>No (not volatile)</v>
      </c>
      <c r="H185" s="76">
        <f t="shared" si="50"/>
        <v>3.1547104580812446</v>
      </c>
      <c r="I185" s="271" t="str">
        <f t="shared" si="51"/>
        <v>C</v>
      </c>
      <c r="J185" s="272" t="str">
        <f t="shared" si="52"/>
        <v>NVT</v>
      </c>
      <c r="K185" s="272" t="str">
        <f t="shared" si="53"/>
        <v>NVT</v>
      </c>
      <c r="L185" s="273" t="str">
        <f t="shared" si="54"/>
        <v>--</v>
      </c>
      <c r="M185" s="7">
        <f t="shared" si="55"/>
        <v>8.1557276888273549</v>
      </c>
      <c r="N185" s="7">
        <f t="shared" si="65"/>
        <v>66.257999999999996</v>
      </c>
      <c r="O185" s="326">
        <f t="shared" si="56"/>
        <v>25</v>
      </c>
      <c r="P185" s="224" t="str">
        <f t="shared" si="67"/>
        <v/>
      </c>
      <c r="Q185" s="224" t="str">
        <f t="shared" si="57"/>
        <v/>
      </c>
      <c r="R185" s="224"/>
      <c r="S185" s="271">
        <f t="shared" si="68"/>
        <v>8.8999999999999995E-7</v>
      </c>
      <c r="T185" s="7" t="str">
        <f t="shared" si="58"/>
        <v>CA</v>
      </c>
      <c r="U185" s="7" t="str">
        <f t="shared" si="59"/>
        <v/>
      </c>
      <c r="V185" s="7" t="str">
        <f t="shared" si="60"/>
        <v/>
      </c>
      <c r="W185" s="7" t="str">
        <f>VLOOKUP(C185,'Tox Summary'!$N$3:$S$1048576,6,FALSE)</f>
        <v/>
      </c>
      <c r="X185" s="76">
        <f t="shared" si="61"/>
        <v>3.1547104580812446</v>
      </c>
      <c r="Y185" s="76" t="str">
        <f t="shared" si="62"/>
        <v/>
      </c>
      <c r="AA185" s="332"/>
    </row>
    <row r="186" spans="1:27">
      <c r="A186" s="265"/>
      <c r="B186" s="344" t="s">
        <v>765</v>
      </c>
      <c r="C186" s="269" t="s">
        <v>1048</v>
      </c>
      <c r="D186" s="280" t="str">
        <f>VLOOKUP(B186, 'Chem Props'!$1:$1048576,3,FALSE)</f>
        <v>Yes</v>
      </c>
      <c r="E186" s="598" t="str">
        <f t="shared" si="63"/>
        <v>No</v>
      </c>
      <c r="F186" s="7" t="str">
        <f t="shared" si="49"/>
        <v>No Inhal. Tox. Info</v>
      </c>
      <c r="G186" s="270" t="str">
        <f t="shared" si="66"/>
        <v>No Inhal. Tox. Info</v>
      </c>
      <c r="H186" s="76" t="str">
        <f t="shared" si="50"/>
        <v>--</v>
      </c>
      <c r="I186" s="271" t="str">
        <f t="shared" si="51"/>
        <v>--</v>
      </c>
      <c r="J186" s="272" t="str">
        <f t="shared" si="52"/>
        <v>--</v>
      </c>
      <c r="K186" s="272" t="str">
        <f t="shared" si="53"/>
        <v>--</v>
      </c>
      <c r="L186" s="273" t="str">
        <f t="shared" si="54"/>
        <v>--</v>
      </c>
      <c r="M186" s="7">
        <f t="shared" si="55"/>
        <v>23363973.819669139</v>
      </c>
      <c r="N186" s="7">
        <f t="shared" si="65"/>
        <v>54586272.399999999</v>
      </c>
      <c r="O186" s="326">
        <f t="shared" si="56"/>
        <v>25</v>
      </c>
      <c r="P186" s="224" t="str">
        <f t="shared" si="67"/>
        <v/>
      </c>
      <c r="Q186" s="224" t="str">
        <f t="shared" si="57"/>
        <v/>
      </c>
      <c r="R186" s="224"/>
      <c r="S186" s="271" t="str">
        <f t="shared" si="68"/>
        <v/>
      </c>
      <c r="T186" s="7" t="str">
        <f t="shared" si="58"/>
        <v/>
      </c>
      <c r="U186" s="7" t="str">
        <f t="shared" si="59"/>
        <v/>
      </c>
      <c r="V186" s="7" t="str">
        <f t="shared" si="60"/>
        <v/>
      </c>
      <c r="W186" s="7" t="str">
        <f>VLOOKUP(C186,'Tox Summary'!$N$3:$S$1048576,6,FALSE)</f>
        <v/>
      </c>
      <c r="X186" s="76" t="str">
        <f t="shared" si="61"/>
        <v/>
      </c>
      <c r="Y186" s="76" t="str">
        <f t="shared" si="62"/>
        <v/>
      </c>
      <c r="AA186" s="332"/>
    </row>
    <row r="187" spans="1:27">
      <c r="A187" s="265"/>
      <c r="B187" s="344" t="s">
        <v>766</v>
      </c>
      <c r="C187" s="269" t="s">
        <v>555</v>
      </c>
      <c r="D187" s="280" t="str">
        <f>VLOOKUP(B187, 'Chem Props'!$1:$1048576,3,FALSE)</f>
        <v>Yes</v>
      </c>
      <c r="E187" s="598" t="str">
        <f t="shared" si="63"/>
        <v>No</v>
      </c>
      <c r="F187" s="7" t="str">
        <f t="shared" si="49"/>
        <v>No Inhal. Tox. Info</v>
      </c>
      <c r="G187" s="270" t="str">
        <f t="shared" si="66"/>
        <v>No Inhal. Tox. Info</v>
      </c>
      <c r="H187" s="76" t="str">
        <f t="shared" si="50"/>
        <v>--</v>
      </c>
      <c r="I187" s="271" t="str">
        <f t="shared" si="51"/>
        <v>--</v>
      </c>
      <c r="J187" s="272" t="str">
        <f t="shared" si="52"/>
        <v>--</v>
      </c>
      <c r="K187" s="272" t="str">
        <f t="shared" si="53"/>
        <v>--</v>
      </c>
      <c r="L187" s="273" t="str">
        <f t="shared" si="54"/>
        <v>--</v>
      </c>
      <c r="M187" s="7">
        <f t="shared" si="55"/>
        <v>18323349.730294455</v>
      </c>
      <c r="N187" s="7">
        <f t="shared" si="65"/>
        <v>18981197.399999999</v>
      </c>
      <c r="O187" s="326">
        <f t="shared" si="56"/>
        <v>25</v>
      </c>
      <c r="P187" s="224" t="str">
        <f t="shared" si="67"/>
        <v/>
      </c>
      <c r="Q187" s="224" t="str">
        <f t="shared" si="57"/>
        <v/>
      </c>
      <c r="R187" s="224"/>
      <c r="S187" s="271" t="str">
        <f t="shared" si="68"/>
        <v/>
      </c>
      <c r="T187" s="7" t="str">
        <f t="shared" si="58"/>
        <v/>
      </c>
      <c r="U187" s="7" t="str">
        <f t="shared" si="59"/>
        <v/>
      </c>
      <c r="V187" s="7" t="str">
        <f t="shared" si="60"/>
        <v/>
      </c>
      <c r="W187" s="7" t="str">
        <f>VLOOKUP(C187,'Tox Summary'!$N$3:$S$1048576,6,FALSE)</f>
        <v/>
      </c>
      <c r="X187" s="76" t="str">
        <f t="shared" si="61"/>
        <v/>
      </c>
      <c r="Y187" s="76" t="str">
        <f t="shared" si="62"/>
        <v/>
      </c>
      <c r="AA187" s="332"/>
    </row>
    <row r="188" spans="1:27">
      <c r="A188" s="265"/>
      <c r="B188" s="344" t="s">
        <v>767</v>
      </c>
      <c r="C188" s="269" t="s">
        <v>569</v>
      </c>
      <c r="D188" s="280" t="str">
        <f>VLOOKUP(B188, 'Chem Props'!$1:$1048576,3,FALSE)</f>
        <v>No</v>
      </c>
      <c r="E188" s="598" t="str">
        <f t="shared" si="63"/>
        <v>Yes</v>
      </c>
      <c r="F188" s="7" t="str">
        <f t="shared" si="49"/>
        <v>No (not volatile)</v>
      </c>
      <c r="G188" s="270" t="str">
        <f t="shared" si="66"/>
        <v>No (not volatile)</v>
      </c>
      <c r="H188" s="76" t="str">
        <f t="shared" si="50"/>
        <v>NVT</v>
      </c>
      <c r="I188" s="271" t="str">
        <f t="shared" si="51"/>
        <v>C</v>
      </c>
      <c r="J188" s="272" t="str">
        <f t="shared" si="52"/>
        <v>NVT</v>
      </c>
      <c r="K188" s="272" t="str">
        <f t="shared" si="53"/>
        <v>NVT</v>
      </c>
      <c r="L188" s="273" t="str">
        <f t="shared" si="54"/>
        <v>--</v>
      </c>
      <c r="M188" s="7">
        <f t="shared" si="55"/>
        <v>5.690203749683993E-7</v>
      </c>
      <c r="N188" s="7">
        <f t="shared" si="65"/>
        <v>2.7450000000000003E-11</v>
      </c>
      <c r="O188" s="326">
        <f t="shared" si="56"/>
        <v>25</v>
      </c>
      <c r="P188" s="224" t="str">
        <f t="shared" si="67"/>
        <v/>
      </c>
      <c r="Q188" s="224" t="str">
        <f t="shared" si="57"/>
        <v/>
      </c>
      <c r="R188" s="224"/>
      <c r="S188" s="271">
        <f t="shared" si="68"/>
        <v>6.9000000000000006E-2</v>
      </c>
      <c r="T188" s="7" t="str">
        <f t="shared" si="58"/>
        <v>CA</v>
      </c>
      <c r="U188" s="7" t="str">
        <f t="shared" si="59"/>
        <v/>
      </c>
      <c r="V188" s="7" t="str">
        <f t="shared" si="60"/>
        <v/>
      </c>
      <c r="W188" s="7" t="str">
        <f>VLOOKUP(C188,'Tox Summary'!$N$3:$S$1048576,6,FALSE)</f>
        <v/>
      </c>
      <c r="X188" s="76">
        <f t="shared" si="61"/>
        <v>4.0691192865105905E-5</v>
      </c>
      <c r="Y188" s="76" t="str">
        <f t="shared" si="62"/>
        <v/>
      </c>
      <c r="AA188" s="332"/>
    </row>
    <row r="189" spans="1:27">
      <c r="A189" s="265" t="s">
        <v>1413</v>
      </c>
      <c r="B189" s="344" t="s">
        <v>768</v>
      </c>
      <c r="C189" s="269" t="s">
        <v>1049</v>
      </c>
      <c r="D189" s="280" t="str">
        <f>VLOOKUP(B189, 'Chem Props'!$1:$1048576,3,FALSE)</f>
        <v>No</v>
      </c>
      <c r="E189" s="598" t="str">
        <f t="shared" si="63"/>
        <v>No</v>
      </c>
      <c r="F189" s="7" t="str">
        <f t="shared" si="49"/>
        <v>No (not volatile)</v>
      </c>
      <c r="G189" s="270" t="str">
        <f t="shared" si="66"/>
        <v>No (not volatile)</v>
      </c>
      <c r="H189" s="76" t="str">
        <f t="shared" si="50"/>
        <v>--</v>
      </c>
      <c r="I189" s="271" t="str">
        <f t="shared" si="51"/>
        <v>--</v>
      </c>
      <c r="J189" s="272" t="str">
        <f t="shared" si="52"/>
        <v>--</v>
      </c>
      <c r="K189" s="272" t="str">
        <f t="shared" si="53"/>
        <v>--</v>
      </c>
      <c r="L189" s="273" t="str">
        <f t="shared" si="54"/>
        <v>--</v>
      </c>
      <c r="M189" s="7">
        <f t="shared" si="55"/>
        <v>2069.5181811872326</v>
      </c>
      <c r="N189" s="7">
        <f t="shared" si="65"/>
        <v>2073.6999999999998</v>
      </c>
      <c r="O189" s="326">
        <f t="shared" si="56"/>
        <v>25</v>
      </c>
      <c r="P189" s="224" t="str">
        <f t="shared" si="67"/>
        <v/>
      </c>
      <c r="Q189" s="224" t="str">
        <f t="shared" si="57"/>
        <v/>
      </c>
      <c r="R189" s="224"/>
      <c r="S189" s="271" t="str">
        <f t="shared" si="68"/>
        <v/>
      </c>
      <c r="T189" s="7" t="str">
        <f t="shared" si="58"/>
        <v/>
      </c>
      <c r="U189" s="7" t="str">
        <f t="shared" si="59"/>
        <v/>
      </c>
      <c r="V189" s="7" t="str">
        <f t="shared" si="60"/>
        <v/>
      </c>
      <c r="W189" s="7" t="str">
        <f>VLOOKUP(C189,'Tox Summary'!$N$3:$S$1048576,6,FALSE)</f>
        <v/>
      </c>
      <c r="X189" s="76" t="str">
        <f t="shared" si="61"/>
        <v/>
      </c>
      <c r="Y189" s="76" t="str">
        <f t="shared" si="62"/>
        <v/>
      </c>
      <c r="AA189" s="332"/>
    </row>
    <row r="190" spans="1:27">
      <c r="A190" s="265"/>
      <c r="B190" s="344" t="s">
        <v>769</v>
      </c>
      <c r="C190" s="269" t="s">
        <v>1050</v>
      </c>
      <c r="D190" s="280" t="str">
        <f>VLOOKUP(B190, 'Chem Props'!$1:$1048576,3,FALSE)</f>
        <v>No</v>
      </c>
      <c r="E190" s="598" t="str">
        <f t="shared" si="63"/>
        <v>No</v>
      </c>
      <c r="F190" s="7" t="str">
        <f t="shared" si="49"/>
        <v>No (not volatile)</v>
      </c>
      <c r="G190" s="270" t="str">
        <f t="shared" si="66"/>
        <v>No (not volatile)</v>
      </c>
      <c r="H190" s="76" t="str">
        <f t="shared" si="50"/>
        <v>--</v>
      </c>
      <c r="I190" s="271" t="str">
        <f t="shared" si="51"/>
        <v>--</v>
      </c>
      <c r="J190" s="272" t="str">
        <f t="shared" si="52"/>
        <v>--</v>
      </c>
      <c r="K190" s="272" t="str">
        <f t="shared" si="53"/>
        <v>--</v>
      </c>
      <c r="L190" s="273" t="str">
        <f t="shared" si="54"/>
        <v>--</v>
      </c>
      <c r="M190" s="7">
        <f t="shared" si="55"/>
        <v>382.95588983508753</v>
      </c>
      <c r="N190" s="7">
        <f t="shared" si="65"/>
        <v>134.17600000000002</v>
      </c>
      <c r="O190" s="326">
        <f t="shared" si="56"/>
        <v>25</v>
      </c>
      <c r="P190" s="224" t="str">
        <f t="shared" si="67"/>
        <v/>
      </c>
      <c r="Q190" s="224" t="str">
        <f t="shared" si="57"/>
        <v/>
      </c>
      <c r="R190" s="224"/>
      <c r="S190" s="271" t="str">
        <f t="shared" si="68"/>
        <v/>
      </c>
      <c r="T190" s="7" t="str">
        <f t="shared" si="58"/>
        <v/>
      </c>
      <c r="U190" s="7" t="str">
        <f t="shared" si="59"/>
        <v/>
      </c>
      <c r="V190" s="7" t="str">
        <f t="shared" si="60"/>
        <v/>
      </c>
      <c r="W190" s="7" t="str">
        <f>VLOOKUP(C190,'Tox Summary'!$N$3:$S$1048576,6,FALSE)</f>
        <v/>
      </c>
      <c r="X190" s="76" t="str">
        <f t="shared" si="61"/>
        <v/>
      </c>
      <c r="Y190" s="76" t="str">
        <f t="shared" si="62"/>
        <v/>
      </c>
      <c r="AA190" s="332"/>
    </row>
    <row r="191" spans="1:27">
      <c r="A191" s="265"/>
      <c r="B191" s="269" t="s">
        <v>770</v>
      </c>
      <c r="C191" s="269" t="s">
        <v>1051</v>
      </c>
      <c r="D191" s="280" t="str">
        <f>VLOOKUP(B191, 'Chem Props'!$1:$1048576,3,FALSE)</f>
        <v>No</v>
      </c>
      <c r="E191" s="598" t="str">
        <f t="shared" si="63"/>
        <v>No</v>
      </c>
      <c r="F191" s="7" t="str">
        <f t="shared" si="49"/>
        <v>No (not volatile)</v>
      </c>
      <c r="G191" s="270" t="str">
        <f t="shared" si="66"/>
        <v>No (not volatile)</v>
      </c>
      <c r="H191" s="76" t="str">
        <f t="shared" si="50"/>
        <v>--</v>
      </c>
      <c r="I191" s="271" t="str">
        <f t="shared" si="51"/>
        <v>--</v>
      </c>
      <c r="J191" s="272" t="str">
        <f t="shared" si="52"/>
        <v>--</v>
      </c>
      <c r="K191" s="272" t="str">
        <f t="shared" si="53"/>
        <v>--</v>
      </c>
      <c r="L191" s="273" t="str">
        <f t="shared" si="54"/>
        <v>--</v>
      </c>
      <c r="M191" s="7">
        <f t="shared" si="55"/>
        <v>728.93040032463</v>
      </c>
      <c r="N191" s="7">
        <f t="shared" si="65"/>
        <v>729.70800000000008</v>
      </c>
      <c r="O191" s="326">
        <f t="shared" si="56"/>
        <v>25</v>
      </c>
      <c r="P191" s="224" t="str">
        <f t="shared" si="67"/>
        <v/>
      </c>
      <c r="Q191" s="224" t="str">
        <f t="shared" si="57"/>
        <v/>
      </c>
      <c r="R191" s="224"/>
      <c r="S191" s="271" t="str">
        <f t="shared" si="68"/>
        <v/>
      </c>
      <c r="T191" s="7" t="str">
        <f t="shared" si="58"/>
        <v/>
      </c>
      <c r="U191" s="7" t="str">
        <f t="shared" si="59"/>
        <v/>
      </c>
      <c r="V191" s="7" t="str">
        <f t="shared" si="60"/>
        <v/>
      </c>
      <c r="W191" s="7" t="str">
        <f>VLOOKUP(C191,'Tox Summary'!$N$3:$S$1048576,6,FALSE)</f>
        <v/>
      </c>
      <c r="X191" s="76" t="str">
        <f t="shared" si="61"/>
        <v/>
      </c>
      <c r="Y191" s="76" t="str">
        <f t="shared" si="62"/>
        <v/>
      </c>
      <c r="AA191" s="243"/>
    </row>
    <row r="192" spans="1:27">
      <c r="A192" s="265"/>
      <c r="B192" s="344" t="s">
        <v>771</v>
      </c>
      <c r="C192" s="269" t="s">
        <v>1052</v>
      </c>
      <c r="D192" s="280" t="str">
        <f>VLOOKUP(B192, 'Chem Props'!$1:$1048576,3,FALSE)</f>
        <v>No</v>
      </c>
      <c r="E192" s="598" t="str">
        <f t="shared" si="63"/>
        <v>No</v>
      </c>
      <c r="F192" s="7" t="str">
        <f t="shared" si="49"/>
        <v>No (not volatile)</v>
      </c>
      <c r="G192" s="270" t="str">
        <f t="shared" si="66"/>
        <v>No (not volatile)</v>
      </c>
      <c r="H192" s="76" t="str">
        <f t="shared" si="50"/>
        <v>--</v>
      </c>
      <c r="I192" s="271" t="str">
        <f t="shared" si="51"/>
        <v>--</v>
      </c>
      <c r="J192" s="272" t="str">
        <f t="shared" si="52"/>
        <v>--</v>
      </c>
      <c r="K192" s="272" t="str">
        <f t="shared" si="53"/>
        <v>--</v>
      </c>
      <c r="L192" s="273" t="str">
        <f t="shared" si="54"/>
        <v>--</v>
      </c>
      <c r="M192" s="7">
        <f t="shared" si="55"/>
        <v>4.3316341488344647E-4</v>
      </c>
      <c r="N192" s="7">
        <f t="shared" si="65"/>
        <v>4.3338000000000003E-4</v>
      </c>
      <c r="O192" s="326">
        <f t="shared" si="56"/>
        <v>25</v>
      </c>
      <c r="P192" s="224" t="str">
        <f t="shared" si="67"/>
        <v/>
      </c>
      <c r="Q192" s="224" t="str">
        <f t="shared" si="57"/>
        <v/>
      </c>
      <c r="R192" s="224"/>
      <c r="S192" s="271" t="str">
        <f t="shared" si="68"/>
        <v/>
      </c>
      <c r="T192" s="7" t="str">
        <f t="shared" si="58"/>
        <v/>
      </c>
      <c r="U192" s="7" t="str">
        <f t="shared" si="59"/>
        <v/>
      </c>
      <c r="V192" s="7" t="str">
        <f t="shared" si="60"/>
        <v/>
      </c>
      <c r="W192" s="7" t="str">
        <f>VLOOKUP(C192,'Tox Summary'!$N$3:$S$1048576,6,FALSE)</f>
        <v/>
      </c>
      <c r="X192" s="76" t="str">
        <f t="shared" si="61"/>
        <v/>
      </c>
      <c r="Y192" s="76" t="str">
        <f t="shared" si="62"/>
        <v/>
      </c>
      <c r="AA192" s="332"/>
    </row>
    <row r="193" spans="1:27">
      <c r="A193" s="265"/>
      <c r="B193" s="344" t="s">
        <v>811</v>
      </c>
      <c r="C193" s="269" t="s">
        <v>2303</v>
      </c>
      <c r="D193" s="280" t="str">
        <f>VLOOKUP(B193, 'Chem Props'!$1:$1048576,3,FALSE)</f>
        <v>No</v>
      </c>
      <c r="E193" s="598" t="str">
        <f t="shared" si="63"/>
        <v>No</v>
      </c>
      <c r="F193" s="7" t="str">
        <f t="shared" si="49"/>
        <v>No (not volatile)</v>
      </c>
      <c r="G193" s="270" t="str">
        <f t="shared" si="66"/>
        <v>No (not volatile)</v>
      </c>
      <c r="H193" s="76" t="str">
        <f t="shared" si="50"/>
        <v>--</v>
      </c>
      <c r="I193" s="271" t="str">
        <f t="shared" si="51"/>
        <v>--</v>
      </c>
      <c r="J193" s="272" t="str">
        <f t="shared" si="52"/>
        <v>--</v>
      </c>
      <c r="K193" s="272" t="str">
        <f t="shared" si="53"/>
        <v>--</v>
      </c>
      <c r="L193" s="273" t="str">
        <f t="shared" si="54"/>
        <v>--</v>
      </c>
      <c r="M193" s="7">
        <f t="shared" si="55"/>
        <v>44.657256426623988</v>
      </c>
      <c r="N193" s="7">
        <f t="shared" si="65"/>
        <v>44.55</v>
      </c>
      <c r="O193" s="326">
        <f t="shared" si="56"/>
        <v>25</v>
      </c>
      <c r="P193" s="224" t="str">
        <f t="shared" si="67"/>
        <v/>
      </c>
      <c r="Q193" s="224" t="str">
        <f t="shared" si="57"/>
        <v/>
      </c>
      <c r="R193" s="224"/>
      <c r="S193" s="271" t="str">
        <f t="shared" si="68"/>
        <v/>
      </c>
      <c r="T193" s="7" t="str">
        <f t="shared" si="58"/>
        <v/>
      </c>
      <c r="U193" s="7" t="str">
        <f t="shared" si="59"/>
        <v/>
      </c>
      <c r="V193" s="7" t="str">
        <f t="shared" si="60"/>
        <v/>
      </c>
      <c r="W193" s="7" t="str">
        <f>VLOOKUP(C193,'Tox Summary'!$N$3:$S$1048576,6,FALSE)</f>
        <v/>
      </c>
      <c r="X193" s="76" t="str">
        <f t="shared" si="61"/>
        <v/>
      </c>
      <c r="Y193" s="76" t="str">
        <f t="shared" si="62"/>
        <v/>
      </c>
      <c r="AA193" s="332"/>
    </row>
    <row r="194" spans="1:27">
      <c r="A194" s="265"/>
      <c r="B194" s="344" t="s">
        <v>772</v>
      </c>
      <c r="C194" s="269" t="s">
        <v>1053</v>
      </c>
      <c r="D194" s="280" t="str">
        <f>VLOOKUP(B194, 'Chem Props'!$1:$1048576,3,FALSE)</f>
        <v>No</v>
      </c>
      <c r="E194" s="598" t="str">
        <f t="shared" si="63"/>
        <v>No</v>
      </c>
      <c r="F194" s="7" t="str">
        <f t="shared" si="49"/>
        <v>No (not volatile)</v>
      </c>
      <c r="G194" s="270" t="str">
        <f t="shared" si="66"/>
        <v>No (not volatile)</v>
      </c>
      <c r="H194" s="76" t="str">
        <f t="shared" si="50"/>
        <v>--</v>
      </c>
      <c r="I194" s="271" t="str">
        <f t="shared" si="51"/>
        <v>--</v>
      </c>
      <c r="J194" s="272" t="str">
        <f t="shared" si="52"/>
        <v>--</v>
      </c>
      <c r="K194" s="272" t="str">
        <f t="shared" si="53"/>
        <v>--</v>
      </c>
      <c r="L194" s="273" t="str">
        <f t="shared" si="54"/>
        <v>--</v>
      </c>
      <c r="M194" s="7">
        <f t="shared" si="55"/>
        <v>7717054.2542938357</v>
      </c>
      <c r="N194" s="7">
        <f t="shared" si="65"/>
        <v>14.73</v>
      </c>
      <c r="O194" s="326">
        <f t="shared" si="56"/>
        <v>25</v>
      </c>
      <c r="P194" s="224" t="str">
        <f t="shared" si="67"/>
        <v/>
      </c>
      <c r="Q194" s="224" t="str">
        <f t="shared" si="57"/>
        <v/>
      </c>
      <c r="R194" s="224"/>
      <c r="S194" s="271" t="str">
        <f t="shared" si="68"/>
        <v/>
      </c>
      <c r="T194" s="7" t="str">
        <f t="shared" si="58"/>
        <v/>
      </c>
      <c r="U194" s="7" t="str">
        <f t="shared" si="59"/>
        <v/>
      </c>
      <c r="V194" s="7" t="str">
        <f t="shared" si="60"/>
        <v/>
      </c>
      <c r="W194" s="7" t="str">
        <f>VLOOKUP(C194,'Tox Summary'!$N$3:$S$1048576,6,FALSE)</f>
        <v/>
      </c>
      <c r="X194" s="76" t="str">
        <f t="shared" si="61"/>
        <v/>
      </c>
      <c r="Y194" s="76" t="str">
        <f t="shared" si="62"/>
        <v/>
      </c>
      <c r="AA194" s="332"/>
    </row>
    <row r="195" spans="1:27">
      <c r="A195" s="265"/>
      <c r="B195" s="344" t="s">
        <v>773</v>
      </c>
      <c r="C195" s="269" t="s">
        <v>570</v>
      </c>
      <c r="D195" s="280" t="str">
        <f>VLOOKUP(B195, 'Chem Props'!$1:$1048576,3,FALSE)</f>
        <v>No</v>
      </c>
      <c r="E195" s="598" t="str">
        <f t="shared" si="63"/>
        <v>No</v>
      </c>
      <c r="F195" s="7" t="str">
        <f t="shared" si="49"/>
        <v>No (not volatile)</v>
      </c>
      <c r="G195" s="270" t="str">
        <f t="shared" si="66"/>
        <v>No (not volatile)</v>
      </c>
      <c r="H195" s="76" t="str">
        <f t="shared" si="50"/>
        <v>No VP</v>
      </c>
      <c r="I195" s="271" t="str">
        <f t="shared" si="51"/>
        <v>--</v>
      </c>
      <c r="J195" s="272" t="str">
        <f t="shared" si="52"/>
        <v>No VP</v>
      </c>
      <c r="K195" s="272" t="str">
        <f t="shared" si="53"/>
        <v>No VP</v>
      </c>
      <c r="L195" s="273" t="str">
        <f t="shared" si="54"/>
        <v>--</v>
      </c>
      <c r="M195" s="7" t="str">
        <f t="shared" si="55"/>
        <v>No VP</v>
      </c>
      <c r="N195" s="7" t="str">
        <f t="shared" si="65"/>
        <v>No S</v>
      </c>
      <c r="O195" s="326">
        <f t="shared" si="56"/>
        <v>25</v>
      </c>
      <c r="P195" s="224" t="str">
        <f t="shared" si="67"/>
        <v/>
      </c>
      <c r="Q195" s="224" t="str">
        <f t="shared" si="57"/>
        <v/>
      </c>
      <c r="R195" s="224"/>
      <c r="S195" s="271" t="str">
        <f t="shared" si="68"/>
        <v/>
      </c>
      <c r="T195" s="7" t="str">
        <f t="shared" si="58"/>
        <v/>
      </c>
      <c r="U195" s="7" t="str">
        <f t="shared" si="59"/>
        <v/>
      </c>
      <c r="V195" s="7" t="str">
        <f t="shared" si="60"/>
        <v/>
      </c>
      <c r="W195" s="7" t="str">
        <f>VLOOKUP(C195,'Tox Summary'!$N$3:$S$1048576,6,FALSE)</f>
        <v/>
      </c>
      <c r="X195" s="76" t="str">
        <f t="shared" si="61"/>
        <v/>
      </c>
      <c r="Y195" s="76" t="str">
        <f t="shared" si="62"/>
        <v/>
      </c>
      <c r="AA195" s="332"/>
    </row>
    <row r="196" spans="1:27">
      <c r="A196" s="265"/>
      <c r="B196" s="344" t="s">
        <v>774</v>
      </c>
      <c r="C196" s="269" t="s">
        <v>571</v>
      </c>
      <c r="D196" s="280" t="str">
        <f>VLOOKUP(B196, 'Chem Props'!$1:$1048576,3,FALSE)</f>
        <v>No</v>
      </c>
      <c r="E196" s="598" t="str">
        <f t="shared" si="63"/>
        <v>Yes</v>
      </c>
      <c r="F196" s="7" t="str">
        <f t="shared" si="49"/>
        <v>No (not volatile)</v>
      </c>
      <c r="G196" s="270" t="str">
        <f t="shared" si="66"/>
        <v>No (not volatile)</v>
      </c>
      <c r="H196" s="76" t="str">
        <f t="shared" si="50"/>
        <v>No VP</v>
      </c>
      <c r="I196" s="271" t="str">
        <f t="shared" si="51"/>
        <v>C</v>
      </c>
      <c r="J196" s="272" t="str">
        <f t="shared" si="52"/>
        <v>No VP</v>
      </c>
      <c r="K196" s="272" t="str">
        <f t="shared" si="53"/>
        <v>No VP</v>
      </c>
      <c r="L196" s="273" t="str">
        <f t="shared" si="54"/>
        <v>--</v>
      </c>
      <c r="M196" s="7" t="str">
        <f t="shared" si="55"/>
        <v>No VP</v>
      </c>
      <c r="N196" s="7"/>
      <c r="O196" s="326">
        <f t="shared" si="56"/>
        <v>25</v>
      </c>
      <c r="P196" s="224" t="str">
        <f t="shared" si="67"/>
        <v/>
      </c>
      <c r="Q196" s="224" t="str">
        <f t="shared" si="57"/>
        <v/>
      </c>
      <c r="R196" s="224"/>
      <c r="S196" s="271">
        <f t="shared" si="68"/>
        <v>8.4000000000000005E-2</v>
      </c>
      <c r="T196" s="7" t="str">
        <f t="shared" si="58"/>
        <v>S</v>
      </c>
      <c r="U196" s="7">
        <f t="shared" si="59"/>
        <v>1E-4</v>
      </c>
      <c r="V196" s="7" t="str">
        <f t="shared" si="60"/>
        <v>I</v>
      </c>
      <c r="W196" s="7" t="str">
        <f>VLOOKUP(C196,'Tox Summary'!$N$3:$S$1048576,6,FALSE)</f>
        <v>Mut</v>
      </c>
      <c r="X196" s="76">
        <f t="shared" si="61"/>
        <v>1.2070105820105817E-5</v>
      </c>
      <c r="Y196" s="76">
        <f t="shared" si="62"/>
        <v>0.10428571428571429</v>
      </c>
      <c r="AA196" s="332"/>
    </row>
    <row r="197" spans="1:27">
      <c r="A197" s="265"/>
      <c r="B197" s="344" t="s">
        <v>775</v>
      </c>
      <c r="C197" s="269" t="s">
        <v>572</v>
      </c>
      <c r="D197" s="280" t="str">
        <f>VLOOKUP(B197, 'Chem Props'!$1:$1048576,3,FALSE)</f>
        <v>No</v>
      </c>
      <c r="E197" s="598" t="str">
        <f t="shared" si="63"/>
        <v>No</v>
      </c>
      <c r="F197" s="7" t="str">
        <f t="shared" si="49"/>
        <v>No (not volatile)</v>
      </c>
      <c r="G197" s="270" t="str">
        <f t="shared" si="66"/>
        <v>No (not volatile)</v>
      </c>
      <c r="H197" s="76" t="str">
        <f t="shared" si="50"/>
        <v>No VP</v>
      </c>
      <c r="I197" s="271" t="str">
        <f t="shared" si="51"/>
        <v>--</v>
      </c>
      <c r="J197" s="272" t="str">
        <f t="shared" si="52"/>
        <v>No VP</v>
      </c>
      <c r="K197" s="272" t="str">
        <f t="shared" si="53"/>
        <v>No VP</v>
      </c>
      <c r="L197" s="273" t="str">
        <f t="shared" si="54"/>
        <v>No (100)</v>
      </c>
      <c r="M197" s="7" t="str">
        <f t="shared" si="55"/>
        <v>No VP</v>
      </c>
      <c r="N197" s="7" t="str">
        <f t="shared" ref="N197:N228" si="69">IF(INDEX(HLC,MATCH(C197,ChemNameChem,0))="","No HLC",IF(INDEX(Sol,MATCH(C197,ChemNameChem,0))="No S","No S",INDEX(HLC,MATCH(C197,ChemNameChem,0))*INDEX(Sol,MATCH(C197,ChemNameChem,0))*1000000))</f>
        <v>No S</v>
      </c>
      <c r="O197" s="326">
        <f t="shared" si="56"/>
        <v>25</v>
      </c>
      <c r="P197" s="224" t="str">
        <f t="shared" si="67"/>
        <v/>
      </c>
      <c r="Q197" s="224" t="str">
        <f t="shared" si="57"/>
        <v/>
      </c>
      <c r="R197" s="224"/>
      <c r="S197" s="271" t="str">
        <f t="shared" si="68"/>
        <v/>
      </c>
      <c r="T197" s="7" t="str">
        <f t="shared" si="58"/>
        <v/>
      </c>
      <c r="U197" s="7" t="str">
        <f t="shared" si="59"/>
        <v/>
      </c>
      <c r="V197" s="7" t="str">
        <f t="shared" si="60"/>
        <v/>
      </c>
      <c r="W197" s="7" t="str">
        <f>VLOOKUP(C197,'Tox Summary'!$N$3:$S$1048576,6,FALSE)</f>
        <v/>
      </c>
      <c r="X197" s="76" t="str">
        <f t="shared" si="61"/>
        <v/>
      </c>
      <c r="Y197" s="76" t="str">
        <f t="shared" si="62"/>
        <v/>
      </c>
      <c r="AA197" s="332"/>
    </row>
    <row r="198" spans="1:27">
      <c r="A198" s="265"/>
      <c r="B198" s="344" t="s">
        <v>208</v>
      </c>
      <c r="C198" s="269" t="s">
        <v>2352</v>
      </c>
      <c r="D198" s="280" t="str">
        <f>VLOOKUP(B198, 'Chem Props'!$1:$1048576,3,FALSE)</f>
        <v>No</v>
      </c>
      <c r="E198" s="598" t="str">
        <f t="shared" si="63"/>
        <v>Yes</v>
      </c>
      <c r="F198" s="7" t="str">
        <f t="shared" si="49"/>
        <v>No (not volatile)</v>
      </c>
      <c r="G198" s="270" t="str">
        <f t="shared" si="66"/>
        <v>No (not volatile)</v>
      </c>
      <c r="H198" s="76" t="str">
        <f t="shared" si="50"/>
        <v>NVT</v>
      </c>
      <c r="I198" s="271" t="str">
        <f t="shared" si="51"/>
        <v>C</v>
      </c>
      <c r="J198" s="272" t="str">
        <f t="shared" si="52"/>
        <v>NVT</v>
      </c>
      <c r="K198" s="272" t="str">
        <f t="shared" si="53"/>
        <v>NVT</v>
      </c>
      <c r="L198" s="273" t="str">
        <f t="shared" si="54"/>
        <v>--</v>
      </c>
      <c r="M198" s="7">
        <f t="shared" si="55"/>
        <v>7.6532720102292534E-2</v>
      </c>
      <c r="N198" s="7">
        <f t="shared" si="69"/>
        <v>0.42759999999999998</v>
      </c>
      <c r="O198" s="326">
        <f t="shared" si="56"/>
        <v>25</v>
      </c>
      <c r="P198" s="224" t="str">
        <f t="shared" si="67"/>
        <v/>
      </c>
      <c r="Q198" s="224" t="str">
        <f t="shared" si="57"/>
        <v/>
      </c>
      <c r="R198" s="224"/>
      <c r="S198" s="271">
        <f t="shared" si="68"/>
        <v>5.9999999999999997E-7</v>
      </c>
      <c r="T198" s="7" t="str">
        <f t="shared" si="58"/>
        <v>E</v>
      </c>
      <c r="U198" s="7" t="str">
        <f t="shared" si="59"/>
        <v/>
      </c>
      <c r="V198" s="7" t="str">
        <f t="shared" si="60"/>
        <v/>
      </c>
      <c r="W198" s="7" t="str">
        <f>VLOOKUP(C198,'Tox Summary'!$N$3:$S$1048576,6,FALSE)</f>
        <v>Mut</v>
      </c>
      <c r="X198" s="76">
        <f t="shared" si="61"/>
        <v>1.6898148148148149</v>
      </c>
      <c r="Y198" s="76" t="str">
        <f t="shared" si="62"/>
        <v/>
      </c>
      <c r="AA198" s="332"/>
    </row>
    <row r="199" spans="1:27">
      <c r="A199" s="265"/>
      <c r="B199" s="269" t="s">
        <v>668</v>
      </c>
      <c r="C199" s="269" t="s">
        <v>2304</v>
      </c>
      <c r="D199" s="280" t="str">
        <f>VLOOKUP(B199, 'Chem Props'!$1:$1048576,3,FALSE)</f>
        <v>No</v>
      </c>
      <c r="E199" s="598" t="str">
        <f t="shared" si="63"/>
        <v>No</v>
      </c>
      <c r="F199" s="7" t="str">
        <f t="shared" si="49"/>
        <v>No (not volatile)</v>
      </c>
      <c r="G199" s="270" t="str">
        <f t="shared" si="66"/>
        <v>No (not volatile)</v>
      </c>
      <c r="H199" s="76" t="str">
        <f t="shared" si="50"/>
        <v>--</v>
      </c>
      <c r="I199" s="271" t="str">
        <f t="shared" si="51"/>
        <v>--</v>
      </c>
      <c r="J199" s="272" t="str">
        <f t="shared" si="52"/>
        <v>--</v>
      </c>
      <c r="K199" s="272" t="str">
        <f t="shared" si="53"/>
        <v>--</v>
      </c>
      <c r="L199" s="273" t="str">
        <f t="shared" si="54"/>
        <v>--</v>
      </c>
      <c r="M199" s="7">
        <f t="shared" si="55"/>
        <v>1.590433003414499E-2</v>
      </c>
      <c r="N199" s="7">
        <f t="shared" si="69"/>
        <v>1.5944E-2</v>
      </c>
      <c r="O199" s="326">
        <f t="shared" si="56"/>
        <v>25</v>
      </c>
      <c r="P199" s="224" t="str">
        <f t="shared" si="67"/>
        <v/>
      </c>
      <c r="Q199" s="224" t="str">
        <f t="shared" si="57"/>
        <v/>
      </c>
      <c r="R199" s="224"/>
      <c r="S199" s="271" t="str">
        <f t="shared" si="68"/>
        <v/>
      </c>
      <c r="T199" s="7" t="str">
        <f t="shared" si="58"/>
        <v/>
      </c>
      <c r="U199" s="7" t="str">
        <f t="shared" si="59"/>
        <v/>
      </c>
      <c r="V199" s="7" t="str">
        <f t="shared" si="60"/>
        <v/>
      </c>
      <c r="W199" s="7" t="str">
        <f>VLOOKUP(C199,'Tox Summary'!$N$3:$S$1048576,6,FALSE)</f>
        <v/>
      </c>
      <c r="X199" s="76" t="str">
        <f t="shared" si="61"/>
        <v/>
      </c>
      <c r="Y199" s="76" t="str">
        <f t="shared" si="62"/>
        <v/>
      </c>
      <c r="AA199" s="243"/>
    </row>
    <row r="200" spans="1:27">
      <c r="A200" s="265"/>
      <c r="B200" s="344" t="s">
        <v>776</v>
      </c>
      <c r="C200" s="269" t="s">
        <v>526</v>
      </c>
      <c r="D200" s="280" t="str">
        <f>VLOOKUP(B200, 'Chem Props'!$1:$1048576,3,FALSE)</f>
        <v>No</v>
      </c>
      <c r="E200" s="598" t="str">
        <f t="shared" si="63"/>
        <v>Yes</v>
      </c>
      <c r="F200" s="7" t="str">
        <f t="shared" si="49"/>
        <v>No (not volatile)</v>
      </c>
      <c r="G200" s="270" t="str">
        <f t="shared" si="66"/>
        <v>No (not volatile)</v>
      </c>
      <c r="H200" s="76" t="str">
        <f t="shared" si="50"/>
        <v>NVT</v>
      </c>
      <c r="I200" s="271" t="str">
        <f t="shared" si="51"/>
        <v>C</v>
      </c>
      <c r="J200" s="272" t="str">
        <f t="shared" si="52"/>
        <v>NVT</v>
      </c>
      <c r="K200" s="272" t="str">
        <f t="shared" si="53"/>
        <v>NVT</v>
      </c>
      <c r="L200" s="273" t="str">
        <f t="shared" si="54"/>
        <v>--</v>
      </c>
      <c r="M200" s="7">
        <f t="shared" si="55"/>
        <v>0</v>
      </c>
      <c r="N200" s="7" t="str">
        <f t="shared" si="69"/>
        <v>No HLC</v>
      </c>
      <c r="O200" s="326">
        <f t="shared" si="56"/>
        <v>25</v>
      </c>
      <c r="P200" s="224" t="str">
        <f t="shared" si="67"/>
        <v/>
      </c>
      <c r="Q200" s="224" t="str">
        <f t="shared" si="57"/>
        <v/>
      </c>
      <c r="R200" s="224"/>
      <c r="S200" s="271">
        <f t="shared" si="68"/>
        <v>8.9999999999999993E-3</v>
      </c>
      <c r="T200" s="7" t="str">
        <f t="shared" si="58"/>
        <v>P</v>
      </c>
      <c r="U200" s="7">
        <f t="shared" si="59"/>
        <v>6.0000000000000002E-6</v>
      </c>
      <c r="V200" s="7" t="str">
        <f t="shared" si="60"/>
        <v>P</v>
      </c>
      <c r="W200" s="7" t="str">
        <f>VLOOKUP(C200,'Tox Summary'!$N$3:$S$1048576,6,FALSE)</f>
        <v/>
      </c>
      <c r="X200" s="76">
        <f t="shared" si="61"/>
        <v>3.1196581196581195E-4</v>
      </c>
      <c r="Y200" s="76">
        <f t="shared" si="62"/>
        <v>6.257142857142857E-3</v>
      </c>
      <c r="AA200" s="332"/>
    </row>
    <row r="201" spans="1:27">
      <c r="A201" s="265"/>
      <c r="B201" s="344" t="s">
        <v>777</v>
      </c>
      <c r="C201" s="269" t="s">
        <v>1054</v>
      </c>
      <c r="D201" s="280" t="s">
        <v>2434</v>
      </c>
      <c r="E201" s="598" t="str">
        <f t="shared" si="63"/>
        <v>Yes</v>
      </c>
      <c r="F201" s="7" t="str">
        <f t="shared" si="49"/>
        <v>No</v>
      </c>
      <c r="G201" s="270" t="str">
        <f t="shared" si="66"/>
        <v>Yes</v>
      </c>
      <c r="H201" s="76" t="str">
        <f t="shared" si="50"/>
        <v>No MW</v>
      </c>
      <c r="I201" s="271" t="str">
        <f t="shared" si="51"/>
        <v>C</v>
      </c>
      <c r="J201" s="272" t="str">
        <f t="shared" si="52"/>
        <v>No MW</v>
      </c>
      <c r="K201" s="272" t="str">
        <f t="shared" si="53"/>
        <v>No MW</v>
      </c>
      <c r="L201" s="273" t="str">
        <f t="shared" si="54"/>
        <v>--</v>
      </c>
      <c r="M201" s="7" t="str">
        <f t="shared" si="55"/>
        <v>No MW</v>
      </c>
      <c r="N201" s="7" t="str">
        <f t="shared" si="69"/>
        <v>No S</v>
      </c>
      <c r="O201" s="326">
        <f t="shared" si="56"/>
        <v>25</v>
      </c>
      <c r="P201" s="224" t="str">
        <f t="shared" si="67"/>
        <v/>
      </c>
      <c r="Q201" s="224" t="str">
        <f t="shared" si="57"/>
        <v/>
      </c>
      <c r="R201" s="224"/>
      <c r="S201" s="271">
        <f t="shared" si="68"/>
        <v>6.2E-4</v>
      </c>
      <c r="T201" s="7" t="str">
        <f t="shared" si="58"/>
        <v>I</v>
      </c>
      <c r="U201" s="7" t="str">
        <f t="shared" si="59"/>
        <v/>
      </c>
      <c r="V201" s="7" t="str">
        <f t="shared" si="60"/>
        <v/>
      </c>
      <c r="W201" s="7" t="str">
        <f>VLOOKUP(C201,'Tox Summary'!$N$3:$S$1048576,6,FALSE)</f>
        <v>Mut</v>
      </c>
      <c r="X201" s="76">
        <f t="shared" si="61"/>
        <v>1.6353046594982077E-3</v>
      </c>
      <c r="Y201" s="76" t="str">
        <f t="shared" si="62"/>
        <v/>
      </c>
      <c r="AA201" s="332"/>
    </row>
    <row r="202" spans="1:27">
      <c r="A202" s="265" t="s">
        <v>478</v>
      </c>
      <c r="B202" s="269" t="s">
        <v>778</v>
      </c>
      <c r="C202" s="269" t="s">
        <v>1055</v>
      </c>
      <c r="D202" s="280" t="str">
        <f>VLOOKUP(B202, 'Chem Props'!$1:$1048576,3,FALSE)</f>
        <v>No</v>
      </c>
      <c r="E202" s="598" t="str">
        <f t="shared" si="63"/>
        <v>No</v>
      </c>
      <c r="F202" s="7" t="str">
        <f t="shared" si="49"/>
        <v>No (not volatile)</v>
      </c>
      <c r="G202" s="270" t="str">
        <f t="shared" si="66"/>
        <v>No (not volatile)</v>
      </c>
      <c r="H202" s="76" t="str">
        <f t="shared" si="50"/>
        <v>--</v>
      </c>
      <c r="I202" s="271" t="str">
        <f t="shared" si="51"/>
        <v>--</v>
      </c>
      <c r="J202" s="272" t="str">
        <f t="shared" si="52"/>
        <v>--</v>
      </c>
      <c r="K202" s="272" t="str">
        <f t="shared" si="53"/>
        <v>--</v>
      </c>
      <c r="L202" s="273" t="str">
        <f t="shared" si="54"/>
        <v>No (1300)</v>
      </c>
      <c r="M202" s="7">
        <f t="shared" si="55"/>
        <v>0</v>
      </c>
      <c r="N202" s="7" t="str">
        <f t="shared" si="69"/>
        <v>No S</v>
      </c>
      <c r="O202" s="326">
        <f t="shared" si="56"/>
        <v>25</v>
      </c>
      <c r="P202" s="224" t="str">
        <f t="shared" si="67"/>
        <v/>
      </c>
      <c r="Q202" s="224" t="str">
        <f t="shared" si="57"/>
        <v/>
      </c>
      <c r="R202" s="224"/>
      <c r="S202" s="271" t="str">
        <f t="shared" si="68"/>
        <v/>
      </c>
      <c r="T202" s="7" t="str">
        <f t="shared" si="58"/>
        <v/>
      </c>
      <c r="U202" s="7" t="str">
        <f t="shared" si="59"/>
        <v/>
      </c>
      <c r="V202" s="7" t="str">
        <f t="shared" si="60"/>
        <v/>
      </c>
      <c r="W202" s="7" t="str">
        <f>VLOOKUP(C202,'Tox Summary'!$N$3:$S$1048576,6,FALSE)</f>
        <v/>
      </c>
      <c r="X202" s="76" t="str">
        <f t="shared" si="61"/>
        <v/>
      </c>
      <c r="Y202" s="76" t="str">
        <f t="shared" si="62"/>
        <v/>
      </c>
      <c r="AA202" s="243"/>
    </row>
    <row r="203" spans="1:27">
      <c r="A203" s="265"/>
      <c r="B203" s="269" t="s">
        <v>789</v>
      </c>
      <c r="C203" s="269" t="s">
        <v>2364</v>
      </c>
      <c r="D203" s="280" t="str">
        <f>VLOOKUP(B203, 'Chem Props'!$1:$1048576,3,FALSE)</f>
        <v>No</v>
      </c>
      <c r="E203" s="598" t="str">
        <f t="shared" si="63"/>
        <v>No</v>
      </c>
      <c r="F203" s="7" t="str">
        <f t="shared" si="49"/>
        <v>No (not volatile)</v>
      </c>
      <c r="G203" s="270" t="str">
        <f t="shared" si="66"/>
        <v>No (not volatile)</v>
      </c>
      <c r="H203" s="76" t="str">
        <f t="shared" si="50"/>
        <v>No VP</v>
      </c>
      <c r="I203" s="271" t="str">
        <f t="shared" si="51"/>
        <v>--</v>
      </c>
      <c r="J203" s="272" t="str">
        <f t="shared" si="52"/>
        <v>No VP</v>
      </c>
      <c r="K203" s="272" t="str">
        <f t="shared" si="53"/>
        <v>No VP</v>
      </c>
      <c r="L203" s="273" t="str">
        <f t="shared" si="54"/>
        <v>--</v>
      </c>
      <c r="M203" s="7" t="str">
        <f t="shared" si="55"/>
        <v>No VP</v>
      </c>
      <c r="N203" s="7" t="str">
        <f t="shared" si="69"/>
        <v>No S</v>
      </c>
      <c r="O203" s="326">
        <f t="shared" si="56"/>
        <v>25</v>
      </c>
      <c r="P203" s="224" t="str">
        <f t="shared" si="67"/>
        <v/>
      </c>
      <c r="Q203" s="224" t="str">
        <f t="shared" si="57"/>
        <v/>
      </c>
      <c r="R203" s="224"/>
      <c r="S203" s="271" t="str">
        <f t="shared" si="68"/>
        <v/>
      </c>
      <c r="T203" s="7" t="str">
        <f t="shared" si="58"/>
        <v/>
      </c>
      <c r="U203" s="7" t="str">
        <f t="shared" si="59"/>
        <v/>
      </c>
      <c r="V203" s="7" t="str">
        <f t="shared" si="60"/>
        <v/>
      </c>
      <c r="W203" s="7" t="str">
        <f>VLOOKUP(C203,'Tox Summary'!$N$3:$S$1048576,6,FALSE)</f>
        <v/>
      </c>
      <c r="X203" s="76" t="str">
        <f t="shared" si="61"/>
        <v/>
      </c>
      <c r="Y203" s="76" t="str">
        <f t="shared" si="62"/>
        <v/>
      </c>
      <c r="AA203" s="243"/>
    </row>
    <row r="204" spans="1:27">
      <c r="A204" s="265"/>
      <c r="B204" s="344" t="s">
        <v>779</v>
      </c>
      <c r="C204" s="269" t="s">
        <v>1056</v>
      </c>
      <c r="D204" s="280" t="str">
        <f>VLOOKUP(B204, 'Chem Props'!$1:$1048576,3,FALSE)</f>
        <v>No</v>
      </c>
      <c r="E204" s="598" t="str">
        <f t="shared" si="63"/>
        <v>Yes</v>
      </c>
      <c r="F204" s="7" t="str">
        <f t="shared" si="49"/>
        <v>No (not volatile)</v>
      </c>
      <c r="G204" s="270" t="str">
        <f t="shared" si="66"/>
        <v>No (not volatile)</v>
      </c>
      <c r="H204" s="76">
        <f t="shared" si="50"/>
        <v>625.71428571428567</v>
      </c>
      <c r="I204" s="271" t="str">
        <f t="shared" si="51"/>
        <v>NC</v>
      </c>
      <c r="J204" s="272">
        <f t="shared" si="52"/>
        <v>20857.142857142855</v>
      </c>
      <c r="K204" s="272">
        <f t="shared" si="53"/>
        <v>17877551.020408165</v>
      </c>
      <c r="L204" s="273" t="str">
        <f t="shared" si="54"/>
        <v>--</v>
      </c>
      <c r="M204" s="7">
        <f t="shared" si="55"/>
        <v>640077.02876436175</v>
      </c>
      <c r="N204" s="7">
        <f t="shared" si="69"/>
        <v>794500</v>
      </c>
      <c r="O204" s="326">
        <f t="shared" si="56"/>
        <v>25</v>
      </c>
      <c r="P204" s="224" t="str">
        <f t="shared" si="67"/>
        <v/>
      </c>
      <c r="Q204" s="224" t="str">
        <f t="shared" si="57"/>
        <v/>
      </c>
      <c r="R204" s="224"/>
      <c r="S204" s="271" t="str">
        <f t="shared" si="68"/>
        <v/>
      </c>
      <c r="T204" s="7" t="str">
        <f t="shared" si="58"/>
        <v/>
      </c>
      <c r="U204" s="7">
        <f t="shared" si="59"/>
        <v>0.6</v>
      </c>
      <c r="V204" s="7" t="str">
        <f t="shared" si="60"/>
        <v>CA</v>
      </c>
      <c r="W204" s="7" t="str">
        <f>VLOOKUP(C204,'Tox Summary'!$N$3:$S$1048576,6,FALSE)</f>
        <v/>
      </c>
      <c r="X204" s="76" t="str">
        <f t="shared" si="61"/>
        <v/>
      </c>
      <c r="Y204" s="76">
        <f t="shared" si="62"/>
        <v>625.71428571428567</v>
      </c>
      <c r="AA204" s="332"/>
    </row>
    <row r="205" spans="1:27">
      <c r="A205" s="265"/>
      <c r="B205" s="269" t="s">
        <v>780</v>
      </c>
      <c r="C205" s="269" t="s">
        <v>1057</v>
      </c>
      <c r="D205" s="280" t="str">
        <f>VLOOKUP(B205, 'Chem Props'!$1:$1048576,3,FALSE)</f>
        <v>No</v>
      </c>
      <c r="E205" s="598" t="str">
        <f t="shared" si="63"/>
        <v>Yes</v>
      </c>
      <c r="F205" s="7" t="str">
        <f t="shared" si="49"/>
        <v>No (not volatile)</v>
      </c>
      <c r="G205" s="270" t="str">
        <f t="shared" si="66"/>
        <v>No (not volatile)</v>
      </c>
      <c r="H205" s="76">
        <f t="shared" si="50"/>
        <v>625.71428571428567</v>
      </c>
      <c r="I205" s="271" t="str">
        <f t="shared" si="51"/>
        <v>NC</v>
      </c>
      <c r="J205" s="272">
        <f t="shared" si="52"/>
        <v>20857.142857142855</v>
      </c>
      <c r="K205" s="272">
        <f t="shared" si="53"/>
        <v>12743671.806808261</v>
      </c>
      <c r="L205" s="273" t="str">
        <f t="shared" si="54"/>
        <v>--</v>
      </c>
      <c r="M205" s="7">
        <f t="shared" si="55"/>
        <v>1739845.7418231287</v>
      </c>
      <c r="N205" s="7">
        <f t="shared" si="69"/>
        <v>1271690</v>
      </c>
      <c r="O205" s="326">
        <f t="shared" si="56"/>
        <v>25</v>
      </c>
      <c r="P205" s="224" t="str">
        <f t="shared" si="67"/>
        <v/>
      </c>
      <c r="Q205" s="224" t="str">
        <f t="shared" si="57"/>
        <v/>
      </c>
      <c r="R205" s="224"/>
      <c r="S205" s="271" t="str">
        <f t="shared" si="68"/>
        <v/>
      </c>
      <c r="T205" s="7" t="str">
        <f t="shared" si="58"/>
        <v/>
      </c>
      <c r="U205" s="7">
        <f t="shared" si="59"/>
        <v>0.6</v>
      </c>
      <c r="V205" s="7" t="str">
        <f t="shared" si="60"/>
        <v>CA</v>
      </c>
      <c r="W205" s="7" t="str">
        <f>VLOOKUP(C205,'Tox Summary'!$N$3:$S$1048576,6,FALSE)</f>
        <v/>
      </c>
      <c r="X205" s="76" t="str">
        <f t="shared" si="61"/>
        <v/>
      </c>
      <c r="Y205" s="76">
        <f t="shared" si="62"/>
        <v>625.71428571428567</v>
      </c>
      <c r="AA205" s="243"/>
    </row>
    <row r="206" spans="1:27">
      <c r="A206" s="265"/>
      <c r="B206" s="269" t="s">
        <v>781</v>
      </c>
      <c r="C206" s="269" t="s">
        <v>1058</v>
      </c>
      <c r="D206" s="280" t="str">
        <f>VLOOKUP(B206, 'Chem Props'!$1:$1048576,3,FALSE)</f>
        <v>No</v>
      </c>
      <c r="E206" s="598" t="str">
        <f t="shared" si="63"/>
        <v>Yes</v>
      </c>
      <c r="F206" s="7" t="str">
        <f t="shared" si="49"/>
        <v>No (not volatile)</v>
      </c>
      <c r="G206" s="270" t="str">
        <f t="shared" si="66"/>
        <v>No (not volatile)</v>
      </c>
      <c r="H206" s="76">
        <f t="shared" si="50"/>
        <v>625.71428571428567</v>
      </c>
      <c r="I206" s="271" t="str">
        <f t="shared" si="51"/>
        <v>NC</v>
      </c>
      <c r="J206" s="272">
        <f t="shared" si="52"/>
        <v>20857.142857142855</v>
      </c>
      <c r="K206" s="272">
        <f t="shared" si="53"/>
        <v>15298637.792525323</v>
      </c>
      <c r="L206" s="273" t="str">
        <f t="shared" si="54"/>
        <v>--</v>
      </c>
      <c r="M206" s="7">
        <f t="shared" si="55"/>
        <v>640077.02876436175</v>
      </c>
      <c r="N206" s="7">
        <f t="shared" si="69"/>
        <v>879350</v>
      </c>
      <c r="O206" s="326">
        <f t="shared" si="56"/>
        <v>25</v>
      </c>
      <c r="P206" s="224" t="str">
        <f t="shared" si="67"/>
        <v/>
      </c>
      <c r="Q206" s="224" t="str">
        <f t="shared" si="57"/>
        <v/>
      </c>
      <c r="R206" s="224"/>
      <c r="S206" s="271" t="str">
        <f t="shared" si="68"/>
        <v/>
      </c>
      <c r="T206" s="7" t="str">
        <f t="shared" si="58"/>
        <v/>
      </c>
      <c r="U206" s="7">
        <f t="shared" si="59"/>
        <v>0.6</v>
      </c>
      <c r="V206" s="7" t="str">
        <f t="shared" si="60"/>
        <v>CA</v>
      </c>
      <c r="W206" s="7" t="str">
        <f>VLOOKUP(C206,'Tox Summary'!$N$3:$S$1048576,6,FALSE)</f>
        <v/>
      </c>
      <c r="X206" s="76" t="str">
        <f t="shared" si="61"/>
        <v/>
      </c>
      <c r="Y206" s="76">
        <f t="shared" si="62"/>
        <v>625.71428571428567</v>
      </c>
      <c r="AA206" s="243"/>
    </row>
    <row r="207" spans="1:27">
      <c r="A207" s="265"/>
      <c r="B207" s="344" t="s">
        <v>782</v>
      </c>
      <c r="C207" s="269" t="s">
        <v>573</v>
      </c>
      <c r="D207" s="280" t="str">
        <f>VLOOKUP(B207, 'Chem Props'!$1:$1048576,3,FALSE)</f>
        <v>No</v>
      </c>
      <c r="E207" s="598" t="str">
        <f t="shared" si="63"/>
        <v>No</v>
      </c>
      <c r="F207" s="7" t="str">
        <f t="shared" si="49"/>
        <v>No (not volatile)</v>
      </c>
      <c r="G207" s="270" t="str">
        <f t="shared" si="66"/>
        <v>No (not volatile)</v>
      </c>
      <c r="H207" s="76" t="str">
        <f t="shared" si="50"/>
        <v>--</v>
      </c>
      <c r="I207" s="271" t="str">
        <f t="shared" si="51"/>
        <v>--</v>
      </c>
      <c r="J207" s="272" t="str">
        <f t="shared" si="52"/>
        <v>--</v>
      </c>
      <c r="K207" s="272" t="str">
        <f t="shared" si="53"/>
        <v>--</v>
      </c>
      <c r="L207" s="273" t="str">
        <f t="shared" si="54"/>
        <v>--</v>
      </c>
      <c r="M207" s="7">
        <f t="shared" si="55"/>
        <v>383629.73725772288</v>
      </c>
      <c r="N207" s="7">
        <f t="shared" si="69"/>
        <v>384166.8</v>
      </c>
      <c r="O207" s="326">
        <f t="shared" si="56"/>
        <v>25</v>
      </c>
      <c r="P207" s="224" t="str">
        <f t="shared" si="67"/>
        <v/>
      </c>
      <c r="Q207" s="224" t="str">
        <f t="shared" si="57"/>
        <v/>
      </c>
      <c r="R207" s="224"/>
      <c r="S207" s="271" t="str">
        <f t="shared" si="68"/>
        <v/>
      </c>
      <c r="T207" s="7" t="str">
        <f t="shared" si="58"/>
        <v/>
      </c>
      <c r="U207" s="7" t="str">
        <f t="shared" si="59"/>
        <v/>
      </c>
      <c r="V207" s="7" t="str">
        <f t="shared" si="60"/>
        <v/>
      </c>
      <c r="W207" s="7" t="str">
        <f>VLOOKUP(C207,'Tox Summary'!$N$3:$S$1048576,6,FALSE)</f>
        <v/>
      </c>
      <c r="X207" s="76" t="str">
        <f t="shared" si="61"/>
        <v/>
      </c>
      <c r="Y207" s="76" t="str">
        <f t="shared" si="62"/>
        <v/>
      </c>
      <c r="AA207" s="332"/>
    </row>
    <row r="208" spans="1:27">
      <c r="A208" s="265"/>
      <c r="B208" s="344" t="s">
        <v>783</v>
      </c>
      <c r="C208" s="269" t="s">
        <v>574</v>
      </c>
      <c r="D208" s="280" t="str">
        <f>VLOOKUP(B208, 'Chem Props'!$1:$1048576,3,FALSE)</f>
        <v>No</v>
      </c>
      <c r="E208" s="598" t="str">
        <f t="shared" si="63"/>
        <v>Yes</v>
      </c>
      <c r="F208" s="7" t="str">
        <f t="shared" si="49"/>
        <v>No (not volatile)</v>
      </c>
      <c r="G208" s="270" t="str">
        <f t="shared" si="66"/>
        <v>No (not volatile)</v>
      </c>
      <c r="H208" s="76">
        <f t="shared" si="50"/>
        <v>625.71428571428567</v>
      </c>
      <c r="I208" s="271" t="str">
        <f t="shared" si="51"/>
        <v>NC</v>
      </c>
      <c r="J208" s="272">
        <f t="shared" si="52"/>
        <v>20857.142857142855</v>
      </c>
      <c r="K208" s="272" t="str">
        <f t="shared" si="53"/>
        <v>NVT</v>
      </c>
      <c r="L208" s="273" t="str">
        <f t="shared" si="54"/>
        <v>--</v>
      </c>
      <c r="M208" s="7">
        <f t="shared" si="55"/>
        <v>2967629.8606347684</v>
      </c>
      <c r="N208" s="7">
        <f t="shared" si="69"/>
        <v>229369.8</v>
      </c>
      <c r="O208" s="326">
        <f t="shared" si="56"/>
        <v>25</v>
      </c>
      <c r="P208" s="224" t="str">
        <f t="shared" si="67"/>
        <v/>
      </c>
      <c r="Q208" s="224" t="str">
        <f t="shared" si="57"/>
        <v/>
      </c>
      <c r="R208" s="224"/>
      <c r="S208" s="271" t="str">
        <f t="shared" si="68"/>
        <v/>
      </c>
      <c r="T208" s="7" t="str">
        <f t="shared" si="58"/>
        <v/>
      </c>
      <c r="U208" s="7">
        <f t="shared" si="59"/>
        <v>0.6</v>
      </c>
      <c r="V208" s="7" t="str">
        <f t="shared" si="60"/>
        <v>CA</v>
      </c>
      <c r="W208" s="7" t="str">
        <f>VLOOKUP(C208,'Tox Summary'!$N$3:$S$1048576,6,FALSE)</f>
        <v/>
      </c>
      <c r="X208" s="76" t="str">
        <f t="shared" si="61"/>
        <v/>
      </c>
      <c r="Y208" s="76">
        <f t="shared" si="62"/>
        <v>625.71428571428567</v>
      </c>
      <c r="AA208" s="332"/>
    </row>
    <row r="209" spans="1:27">
      <c r="A209" s="265"/>
      <c r="B209" s="344" t="s">
        <v>784</v>
      </c>
      <c r="C209" s="269" t="s">
        <v>1059</v>
      </c>
      <c r="D209" s="280" t="str">
        <f>VLOOKUP(B209, 'Chem Props'!$1:$1048576,3,FALSE)</f>
        <v>Yes</v>
      </c>
      <c r="E209" s="598" t="str">
        <f t="shared" si="63"/>
        <v>No</v>
      </c>
      <c r="F209" s="7" t="str">
        <f t="shared" si="49"/>
        <v>No Inhal. Tox. Info</v>
      </c>
      <c r="G209" s="270" t="str">
        <f t="shared" si="66"/>
        <v>No Inhal. Tox. Info</v>
      </c>
      <c r="H209" s="76" t="str">
        <f t="shared" si="50"/>
        <v>--</v>
      </c>
      <c r="I209" s="271" t="str">
        <f t="shared" si="51"/>
        <v>--</v>
      </c>
      <c r="J209" s="272" t="str">
        <f t="shared" si="52"/>
        <v>--</v>
      </c>
      <c r="K209" s="272" t="str">
        <f t="shared" si="53"/>
        <v>--</v>
      </c>
      <c r="L209" s="273" t="str">
        <f t="shared" si="54"/>
        <v>--</v>
      </c>
      <c r="M209" s="7">
        <f t="shared" si="55"/>
        <v>113146962.10338022</v>
      </c>
      <c r="N209" s="7">
        <f t="shared" si="69"/>
        <v>118965000</v>
      </c>
      <c r="O209" s="326">
        <f t="shared" si="56"/>
        <v>25</v>
      </c>
      <c r="P209" s="224">
        <f t="shared" si="67"/>
        <v>2.1</v>
      </c>
      <c r="Q209" s="224" t="str">
        <f t="shared" si="57"/>
        <v>N</v>
      </c>
      <c r="R209" s="224"/>
      <c r="S209" s="271" t="str">
        <f t="shared" si="68"/>
        <v/>
      </c>
      <c r="T209" s="7" t="str">
        <f t="shared" si="58"/>
        <v/>
      </c>
      <c r="U209" s="7" t="str">
        <f t="shared" si="59"/>
        <v/>
      </c>
      <c r="V209" s="7" t="str">
        <f t="shared" si="60"/>
        <v/>
      </c>
      <c r="W209" s="7" t="str">
        <f>VLOOKUP(C209,'Tox Summary'!$N$3:$S$1048576,6,FALSE)</f>
        <v/>
      </c>
      <c r="X209" s="76" t="str">
        <f t="shared" si="61"/>
        <v/>
      </c>
      <c r="Y209" s="76" t="str">
        <f t="shared" si="62"/>
        <v/>
      </c>
      <c r="AA209" s="332"/>
    </row>
    <row r="210" spans="1:27">
      <c r="A210" s="265" t="s">
        <v>1413</v>
      </c>
      <c r="B210" s="344" t="s">
        <v>785</v>
      </c>
      <c r="C210" s="269" t="s">
        <v>1437</v>
      </c>
      <c r="D210" s="280" t="str">
        <f>VLOOKUP(B210, 'Chem Props'!$1:$1048576,3,FALSE)</f>
        <v>Yes</v>
      </c>
      <c r="E210" s="598" t="str">
        <f t="shared" si="63"/>
        <v>Yes</v>
      </c>
      <c r="F210" s="7" t="str">
        <f t="shared" ref="F210:F273" si="70">IF(LEFT(D210,2)="No","No (not volatile)",IF(D210="unknown","unknown",IF(H210="NVT","No",IF(AND(X210="",Y210=""),"No Inhal. Tox. Info",IF(MIN(X210:Y210)&gt;=M210,"No",IF(M210&gt;H210,"Yes","No"))))))</f>
        <v>Yes</v>
      </c>
      <c r="G210" s="270" t="str">
        <f t="shared" si="66"/>
        <v>Yes</v>
      </c>
      <c r="H210" s="76">
        <f t="shared" ref="H210:H227" si="71">IF(ISNUMBER(M210),IF(AND(X210="",Y210=""),"--",IF(MIN(X210:Y210)&gt;=M210,"NVT",MIN(X210:Y210))),M210)</f>
        <v>417.14285714285717</v>
      </c>
      <c r="I210" s="271" t="str">
        <f t="shared" ref="I210:I227" si="72">IF(AND(S210="",U210=""),"--",IF(MIN(X210,Y210)=X210,"C","NC"))</f>
        <v>NC</v>
      </c>
      <c r="J210" s="272">
        <f t="shared" ref="J210:J227" si="73">IF(ISNUMBER(H210),IF(OR(H210="--",H210="NVT"),H210,IF(H210/Afss&gt;=M210,"NVT",H210/Afss)),H210)</f>
        <v>13904.761904761906</v>
      </c>
      <c r="K210" s="272">
        <f t="shared" ref="K210:K227" si="74">IF(ISNUMBER(H210),IF(H210="--","--", IF(LEFT(N210,2)="No",N210,IF(H210*0.001/(INDEX(HLC,MATCH(C210,ChemNameChem,0))*AFgw)&gt;=1000*INDEX(PWCS,MATCH(C210,ChemNameChem,0)), "NVT", H210*0.001/(INDEX(HLC,MATCH(C210,ChemNameChem,0))*AFgw)))),H210)</f>
        <v>887.24463686444335</v>
      </c>
      <c r="L210" s="273" t="str">
        <f t="shared" ref="L210:L273" si="75">IF(INDEX(MCL,MATCH(C210,ChemNameChem,0))="","--",IF(K210&lt;INDEX(MCL,MATCH(C210,ChemNameChem,0)),"Yes ("&amp;(INDEX(MCL,MATCH(C210,ChemNameChem,0)))&amp;")","No ("&amp;(INDEX(MCL,MATCH(C210,ChemNameChem,0)))&amp;")"))</f>
        <v>--</v>
      </c>
      <c r="M210" s="7">
        <f t="shared" ref="M210:M273" si="76">IF(INDEX(_VP25,MATCH(B210,CASNoChem,0))="No VP","No VP",IF(INDEX(MW,MATCH(B210,CASNoChem,0))="No MW","No MW",INDEX(MW,MATCH(B210,CASNoChem,0))*INDEX(_VP25,MATCH(B210,CASNoChem,0))*53808.7856452378))</f>
        <v>29105172.155509122</v>
      </c>
      <c r="N210" s="7">
        <f t="shared" si="69"/>
        <v>28820526.02</v>
      </c>
      <c r="O210" s="326">
        <f t="shared" ref="O210:O273" si="77">IF(INDEX(HTgw,MATCH(B210,CASNoChem,0),1)="",25,Tgw)</f>
        <v>25</v>
      </c>
      <c r="P210" s="224">
        <f t="shared" si="67"/>
        <v>0.9</v>
      </c>
      <c r="Q210" s="224" t="str">
        <f t="shared" ref="Q210:Q273" si="78">IF(INDEX(LELsource,MATCH(B210,CASNoChem,0),1)="","",INDEX(LELsource,MATCH(B210,CASNoChem,0),1))</f>
        <v>N</v>
      </c>
      <c r="R210" s="224"/>
      <c r="S210" s="271" t="str">
        <f t="shared" si="68"/>
        <v/>
      </c>
      <c r="T210" s="7" t="str">
        <f t="shared" ref="T210:T227" si="79">IF(INDEX(IURSource,MATCH(B210,CASNoTox,0))="","",SUBSTITUTE(INDEX(IURSource,MATCH(B210,CASNoTox,0)),"C","CA"))</f>
        <v/>
      </c>
      <c r="U210" s="7">
        <f t="shared" ref="U210:U273" si="80">IF(INDEX(RFC,MATCH(B210,CASNoTox,0))=" ","",INDEX(RFC,MATCH(B210,CASNoTox,0)))</f>
        <v>0.4</v>
      </c>
      <c r="V210" s="7" t="str">
        <f t="shared" ref="V210:V273" si="81">IF(INDEX(RFCSource,MATCH(B210,CASNoTox,0))="","",SUBSTITUTE(INDEX(RFCSource,MATCH(B210,CASNoTox,0)),"C","CA"))</f>
        <v>I</v>
      </c>
      <c r="W210" s="7" t="str">
        <f>VLOOKUP(C210,'Tox Summary'!$N$3:$S$1048576,6,FALSE)</f>
        <v/>
      </c>
      <c r="X210" s="76" t="str">
        <f t="shared" ref="X210:X273" si="82">IF(S210="","",IF(W210&lt;&gt;"TCE",TCR/(IF(AND(W210="VC",Scenario="Residential"),S210,0)+(EF*IF(W210="Mut",MMOAAF,ED)*ET*S210/(Atc*365*24))), 1/((EF*MMOAAF*ET*mIURTCE/(TCR*Atc*365*24))+EF*ED*ET*IURTCE/(TCR*Atc*365*24))))</f>
        <v/>
      </c>
      <c r="Y210" s="76">
        <f t="shared" ref="Y210:Y273" si="83">IF(U210="","",THQ*Atnc*365*24*U210*1000/(EF*ED*ET))</f>
        <v>417.14285714285717</v>
      </c>
      <c r="AA210" s="332"/>
    </row>
    <row r="211" spans="1:27">
      <c r="A211" s="265"/>
      <c r="B211" s="344" t="s">
        <v>786</v>
      </c>
      <c r="C211" s="269" t="s">
        <v>575</v>
      </c>
      <c r="D211" s="280" t="str">
        <f>VLOOKUP(B211, 'Chem Props'!$1:$1048576,3,FALSE)</f>
        <v>No</v>
      </c>
      <c r="E211" s="598" t="str">
        <f t="shared" ref="E211:E274" si="84">IF(OR(ISNUMBER(S211),ISNUMBER(U211)),"Yes","No")</f>
        <v>Yes</v>
      </c>
      <c r="F211" s="7" t="str">
        <f t="shared" si="70"/>
        <v>No (not volatile)</v>
      </c>
      <c r="G211" s="270" t="str">
        <f t="shared" si="66"/>
        <v>No (not volatile)</v>
      </c>
      <c r="H211" s="76">
        <f t="shared" si="71"/>
        <v>4.4566544566544568E-2</v>
      </c>
      <c r="I211" s="271" t="str">
        <f t="shared" si="72"/>
        <v>C</v>
      </c>
      <c r="J211" s="272">
        <f t="shared" si="73"/>
        <v>1.4855514855514858</v>
      </c>
      <c r="K211" s="272">
        <f t="shared" si="74"/>
        <v>301125.30112530111</v>
      </c>
      <c r="L211" s="273" t="str">
        <f t="shared" si="75"/>
        <v>--</v>
      </c>
      <c r="M211" s="7">
        <f t="shared" si="76"/>
        <v>525.1502872669796</v>
      </c>
      <c r="N211" s="7">
        <f t="shared" si="69"/>
        <v>89984</v>
      </c>
      <c r="O211" s="326">
        <f t="shared" si="77"/>
        <v>25</v>
      </c>
      <c r="P211" s="224" t="str">
        <f t="shared" si="67"/>
        <v/>
      </c>
      <c r="Q211" s="224" t="str">
        <f t="shared" si="78"/>
        <v/>
      </c>
      <c r="R211" s="224"/>
      <c r="S211" s="271">
        <f t="shared" si="68"/>
        <v>6.3E-5</v>
      </c>
      <c r="T211" s="7" t="str">
        <f t="shared" si="79"/>
        <v>CA</v>
      </c>
      <c r="U211" s="7" t="str">
        <f t="shared" si="80"/>
        <v/>
      </c>
      <c r="V211" s="7" t="str">
        <f t="shared" si="81"/>
        <v/>
      </c>
      <c r="W211" s="7" t="str">
        <f>VLOOKUP(C211,'Tox Summary'!$N$3:$S$1048576,6,FALSE)</f>
        <v/>
      </c>
      <c r="X211" s="76">
        <f t="shared" si="82"/>
        <v>4.4566544566544568E-2</v>
      </c>
      <c r="Y211" s="76" t="str">
        <f t="shared" si="83"/>
        <v/>
      </c>
      <c r="AA211" s="332"/>
    </row>
    <row r="212" spans="1:27">
      <c r="A212" s="265"/>
      <c r="B212" s="344" t="s">
        <v>787</v>
      </c>
      <c r="C212" s="269" t="s">
        <v>1060</v>
      </c>
      <c r="D212" s="280" t="str">
        <f>VLOOKUP(B212, 'Chem Props'!$1:$1048576,3,FALSE)</f>
        <v>No</v>
      </c>
      <c r="E212" s="598" t="str">
        <f t="shared" si="84"/>
        <v>No</v>
      </c>
      <c r="F212" s="7" t="str">
        <f t="shared" si="70"/>
        <v>No (not volatile)</v>
      </c>
      <c r="G212" s="270" t="str">
        <f t="shared" si="66"/>
        <v>No (not volatile)</v>
      </c>
      <c r="H212" s="76" t="str">
        <f t="shared" si="71"/>
        <v>--</v>
      </c>
      <c r="I212" s="271" t="str">
        <f t="shared" si="72"/>
        <v>--</v>
      </c>
      <c r="J212" s="272" t="str">
        <f t="shared" si="73"/>
        <v>--</v>
      </c>
      <c r="K212" s="272" t="str">
        <f t="shared" si="74"/>
        <v>--</v>
      </c>
      <c r="L212" s="273" t="str">
        <f t="shared" si="75"/>
        <v>--</v>
      </c>
      <c r="M212" s="7">
        <f t="shared" si="76"/>
        <v>1.7873449092636056</v>
      </c>
      <c r="N212" s="7">
        <f t="shared" si="69"/>
        <v>1.7867000000000001E-2</v>
      </c>
      <c r="O212" s="326">
        <f t="shared" si="77"/>
        <v>25</v>
      </c>
      <c r="P212" s="224" t="str">
        <f t="shared" si="67"/>
        <v/>
      </c>
      <c r="Q212" s="224" t="str">
        <f t="shared" si="78"/>
        <v/>
      </c>
      <c r="R212" s="224"/>
      <c r="S212" s="271" t="str">
        <f t="shared" si="68"/>
        <v/>
      </c>
      <c r="T212" s="7" t="str">
        <f t="shared" si="79"/>
        <v/>
      </c>
      <c r="U212" s="7" t="str">
        <f t="shared" si="80"/>
        <v/>
      </c>
      <c r="V212" s="7" t="str">
        <f t="shared" si="81"/>
        <v/>
      </c>
      <c r="W212" s="7" t="str">
        <f>VLOOKUP(C212,'Tox Summary'!$N$3:$S$1048576,6,FALSE)</f>
        <v/>
      </c>
      <c r="X212" s="76" t="str">
        <f t="shared" si="82"/>
        <v/>
      </c>
      <c r="Y212" s="76" t="str">
        <f t="shared" si="83"/>
        <v/>
      </c>
      <c r="AA212" s="332"/>
    </row>
    <row r="213" spans="1:27">
      <c r="A213" s="265" t="s">
        <v>1413</v>
      </c>
      <c r="B213" s="344" t="s">
        <v>790</v>
      </c>
      <c r="C213" s="269" t="s">
        <v>2236</v>
      </c>
      <c r="D213" s="280" t="str">
        <f>VLOOKUP(B213, 'Chem Props'!$1:$1048576,3,FALSE)</f>
        <v>Yes</v>
      </c>
      <c r="E213" s="598" t="str">
        <f t="shared" si="84"/>
        <v>Yes</v>
      </c>
      <c r="F213" s="7" t="str">
        <f t="shared" si="70"/>
        <v>Yes</v>
      </c>
      <c r="G213" s="270" t="str">
        <f t="shared" si="66"/>
        <v>Yes</v>
      </c>
      <c r="H213" s="76">
        <f t="shared" si="71"/>
        <v>0.8342857142857143</v>
      </c>
      <c r="I213" s="271" t="str">
        <f t="shared" si="72"/>
        <v>NC</v>
      </c>
      <c r="J213" s="272">
        <f t="shared" si="73"/>
        <v>27.80952380952381</v>
      </c>
      <c r="K213" s="272">
        <f t="shared" si="74"/>
        <v>201.03270223752151</v>
      </c>
      <c r="L213" s="273" t="str">
        <f t="shared" si="75"/>
        <v>No (200)</v>
      </c>
      <c r="M213" s="7">
        <f t="shared" si="76"/>
        <v>431199071.35468149</v>
      </c>
      <c r="N213" s="7">
        <f t="shared" si="69"/>
        <v>395910000</v>
      </c>
      <c r="O213" s="326">
        <f t="shared" si="77"/>
        <v>25</v>
      </c>
      <c r="P213" s="224" t="str">
        <f t="shared" si="67"/>
        <v/>
      </c>
      <c r="Q213" s="224" t="str">
        <f t="shared" si="78"/>
        <v/>
      </c>
      <c r="R213" s="224"/>
      <c r="S213" s="271" t="str">
        <f t="shared" si="68"/>
        <v/>
      </c>
      <c r="T213" s="7" t="str">
        <f t="shared" si="79"/>
        <v/>
      </c>
      <c r="U213" s="7">
        <f t="shared" si="80"/>
        <v>8.0000000000000004E-4</v>
      </c>
      <c r="V213" s="7" t="str">
        <f t="shared" si="81"/>
        <v>S</v>
      </c>
      <c r="W213" s="7" t="str">
        <f>VLOOKUP(C213,'Tox Summary'!$N$3:$S$1048576,6,FALSE)</f>
        <v/>
      </c>
      <c r="X213" s="76" t="str">
        <f t="shared" si="82"/>
        <v/>
      </c>
      <c r="Y213" s="76">
        <f t="shared" si="83"/>
        <v>0.8342857142857143</v>
      </c>
      <c r="AA213" s="332"/>
    </row>
    <row r="214" spans="1:27">
      <c r="A214" s="265"/>
      <c r="B214" s="269" t="s">
        <v>791</v>
      </c>
      <c r="C214" s="269" t="s">
        <v>2328</v>
      </c>
      <c r="D214" s="280" t="str">
        <f>VLOOKUP(B214, 'Chem Props'!$1:$1048576,3,FALSE)</f>
        <v>Yes</v>
      </c>
      <c r="E214" s="598" t="str">
        <f t="shared" si="84"/>
        <v>No</v>
      </c>
      <c r="F214" s="7" t="str">
        <f t="shared" si="70"/>
        <v>No Inhal. Tox. Info</v>
      </c>
      <c r="G214" s="270" t="str">
        <f t="shared" si="66"/>
        <v>No Inhal. Tox. Info</v>
      </c>
      <c r="H214" s="76" t="str">
        <f t="shared" si="71"/>
        <v>--</v>
      </c>
      <c r="I214" s="271" t="str">
        <f t="shared" si="72"/>
        <v>--</v>
      </c>
      <c r="J214" s="272" t="str">
        <f t="shared" si="73"/>
        <v>--</v>
      </c>
      <c r="K214" s="272" t="str">
        <f t="shared" si="74"/>
        <v>--</v>
      </c>
      <c r="L214" s="273" t="str">
        <f t="shared" si="75"/>
        <v>--</v>
      </c>
      <c r="M214" s="7">
        <f t="shared" si="76"/>
        <v>12045574058.232725</v>
      </c>
      <c r="N214" s="7">
        <f t="shared" si="69"/>
        <v>1766148800.0000002</v>
      </c>
      <c r="O214" s="326">
        <f t="shared" si="77"/>
        <v>25</v>
      </c>
      <c r="P214" s="224" t="str">
        <f t="shared" si="67"/>
        <v/>
      </c>
      <c r="Q214" s="224" t="str">
        <f t="shared" si="78"/>
        <v/>
      </c>
      <c r="R214" s="224"/>
      <c r="S214" s="271" t="str">
        <f t="shared" si="68"/>
        <v/>
      </c>
      <c r="T214" s="7" t="str">
        <f t="shared" si="79"/>
        <v/>
      </c>
      <c r="U214" s="7" t="str">
        <f t="shared" si="80"/>
        <v/>
      </c>
      <c r="V214" s="7" t="str">
        <f t="shared" si="81"/>
        <v/>
      </c>
      <c r="W214" s="7" t="str">
        <f>VLOOKUP(C214,'Tox Summary'!$N$3:$S$1048576,6,FALSE)</f>
        <v/>
      </c>
      <c r="X214" s="76" t="str">
        <f t="shared" si="82"/>
        <v/>
      </c>
      <c r="Y214" s="76" t="str">
        <f t="shared" si="83"/>
        <v/>
      </c>
      <c r="AA214" s="243"/>
    </row>
    <row r="215" spans="1:27">
      <c r="A215" s="265"/>
      <c r="B215" s="344" t="s">
        <v>792</v>
      </c>
      <c r="C215" s="269" t="s">
        <v>2337</v>
      </c>
      <c r="D215" s="280" t="str">
        <f>VLOOKUP(B215, 'Chem Props'!$1:$1048576,3,FALSE)</f>
        <v>Yes</v>
      </c>
      <c r="E215" s="598" t="str">
        <f t="shared" si="84"/>
        <v>No</v>
      </c>
      <c r="F215" s="7" t="str">
        <f t="shared" si="70"/>
        <v>No Inhal. Tox. Info</v>
      </c>
      <c r="G215" s="270" t="str">
        <f t="shared" si="66"/>
        <v>No Inhal. Tox. Info</v>
      </c>
      <c r="H215" s="76" t="str">
        <f t="shared" si="71"/>
        <v>--</v>
      </c>
      <c r="I215" s="271" t="str">
        <f t="shared" si="72"/>
        <v>--</v>
      </c>
      <c r="J215" s="272" t="str">
        <f t="shared" si="73"/>
        <v>--</v>
      </c>
      <c r="K215" s="272" t="str">
        <f t="shared" si="74"/>
        <v>--</v>
      </c>
      <c r="L215" s="273" t="str">
        <f t="shared" si="75"/>
        <v>--</v>
      </c>
      <c r="M215" s="7">
        <f t="shared" si="76"/>
        <v>692887704.48290884</v>
      </c>
      <c r="N215" s="7" t="str">
        <f t="shared" si="69"/>
        <v>No S</v>
      </c>
      <c r="O215" s="326">
        <f t="shared" si="77"/>
        <v>25</v>
      </c>
      <c r="P215" s="224" t="str">
        <f t="shared" si="67"/>
        <v/>
      </c>
      <c r="Q215" s="224" t="str">
        <f t="shared" si="78"/>
        <v/>
      </c>
      <c r="R215" s="224"/>
      <c r="S215" s="271" t="str">
        <f t="shared" ref="S215:S227" si="85">IF(INDEX(IUR,MATCH(B215,CASNoTox,0))=" ","",IF(W215="TCE","see note",INDEX(IUR,MATCH(B215,CASNoTox,0))))</f>
        <v/>
      </c>
      <c r="T215" s="7" t="str">
        <f t="shared" si="79"/>
        <v/>
      </c>
      <c r="U215" s="7" t="str">
        <f t="shared" si="80"/>
        <v/>
      </c>
      <c r="V215" s="7" t="str">
        <f t="shared" si="81"/>
        <v/>
      </c>
      <c r="W215" s="7" t="str">
        <f>VLOOKUP(C215,'Tox Summary'!$N$3:$S$1048576,6,FALSE)</f>
        <v/>
      </c>
      <c r="X215" s="76" t="str">
        <f t="shared" si="82"/>
        <v/>
      </c>
      <c r="Y215" s="76" t="str">
        <f t="shared" si="83"/>
        <v/>
      </c>
      <c r="AA215" s="332"/>
    </row>
    <row r="216" spans="1:27">
      <c r="A216" s="265" t="s">
        <v>1413</v>
      </c>
      <c r="B216" s="344" t="s">
        <v>793</v>
      </c>
      <c r="C216" s="269" t="s">
        <v>2329</v>
      </c>
      <c r="D216" s="280" t="str">
        <f>VLOOKUP(B216, 'Chem Props'!$1:$1048576,3,FALSE)</f>
        <v>Yes</v>
      </c>
      <c r="E216" s="598" t="str">
        <f t="shared" si="84"/>
        <v>No</v>
      </c>
      <c r="F216" s="7" t="str">
        <f t="shared" si="70"/>
        <v>No Inhal. Tox. Info</v>
      </c>
      <c r="G216" s="270" t="str">
        <f t="shared" si="66"/>
        <v>No Inhal. Tox. Info</v>
      </c>
      <c r="H216" s="76" t="str">
        <f t="shared" si="71"/>
        <v>--</v>
      </c>
      <c r="I216" s="271" t="str">
        <f t="shared" si="72"/>
        <v>--</v>
      </c>
      <c r="J216" s="272" t="str">
        <f t="shared" si="73"/>
        <v>--</v>
      </c>
      <c r="K216" s="272" t="str">
        <f t="shared" si="74"/>
        <v>--</v>
      </c>
      <c r="L216" s="273" t="str">
        <f t="shared" si="75"/>
        <v>--</v>
      </c>
      <c r="M216" s="7">
        <f t="shared" si="76"/>
        <v>4051907831.438055</v>
      </c>
      <c r="N216" s="7">
        <f t="shared" si="69"/>
        <v>4723116000</v>
      </c>
      <c r="O216" s="326">
        <f t="shared" si="77"/>
        <v>25</v>
      </c>
      <c r="P216" s="224" t="str">
        <f t="shared" si="67"/>
        <v/>
      </c>
      <c r="Q216" s="224" t="str">
        <f t="shared" si="78"/>
        <v/>
      </c>
      <c r="R216" s="224"/>
      <c r="S216" s="271" t="str">
        <f t="shared" si="85"/>
        <v/>
      </c>
      <c r="T216" s="7" t="str">
        <f t="shared" si="79"/>
        <v/>
      </c>
      <c r="U216" s="7" t="str">
        <f t="shared" si="80"/>
        <v/>
      </c>
      <c r="V216" s="7" t="str">
        <f t="shared" si="81"/>
        <v/>
      </c>
      <c r="W216" s="7" t="str">
        <f>VLOOKUP(C216,'Tox Summary'!$N$3:$S$1048576,6,FALSE)</f>
        <v/>
      </c>
      <c r="X216" s="76" t="str">
        <f t="shared" si="82"/>
        <v/>
      </c>
      <c r="Y216" s="76" t="str">
        <f t="shared" si="83"/>
        <v/>
      </c>
      <c r="AA216" s="332"/>
    </row>
    <row r="217" spans="1:27">
      <c r="A217" s="265" t="s">
        <v>1413</v>
      </c>
      <c r="B217" s="344" t="s">
        <v>801</v>
      </c>
      <c r="C217" s="269" t="s">
        <v>1062</v>
      </c>
      <c r="D217" s="280" t="str">
        <f>VLOOKUP(B217, 'Chem Props'!$1:$1048576,3,FALSE)</f>
        <v>Yes</v>
      </c>
      <c r="E217" s="598" t="str">
        <f t="shared" si="84"/>
        <v>Yes</v>
      </c>
      <c r="F217" s="7" t="str">
        <f t="shared" si="70"/>
        <v>Yes</v>
      </c>
      <c r="G217" s="270" t="str">
        <f t="shared" si="66"/>
        <v>Yes</v>
      </c>
      <c r="H217" s="76">
        <f t="shared" si="71"/>
        <v>6257.1428571428569</v>
      </c>
      <c r="I217" s="271" t="str">
        <f t="shared" si="72"/>
        <v>NC</v>
      </c>
      <c r="J217" s="272">
        <f t="shared" si="73"/>
        <v>208571.42857142858</v>
      </c>
      <c r="K217" s="272">
        <f t="shared" si="74"/>
        <v>1020.3314220957252</v>
      </c>
      <c r="L217" s="273" t="str">
        <f t="shared" si="75"/>
        <v>--</v>
      </c>
      <c r="M217" s="7">
        <f t="shared" si="76"/>
        <v>438650736.91155797</v>
      </c>
      <c r="N217" s="7">
        <f t="shared" si="69"/>
        <v>337285366</v>
      </c>
      <c r="O217" s="326">
        <f t="shared" si="77"/>
        <v>25</v>
      </c>
      <c r="P217" s="224" t="str">
        <f t="shared" si="67"/>
        <v/>
      </c>
      <c r="Q217" s="224" t="str">
        <f t="shared" si="78"/>
        <v/>
      </c>
      <c r="R217" s="224"/>
      <c r="S217" s="271" t="str">
        <f t="shared" si="85"/>
        <v/>
      </c>
      <c r="T217" s="7" t="str">
        <f t="shared" si="79"/>
        <v/>
      </c>
      <c r="U217" s="7">
        <f t="shared" si="80"/>
        <v>6</v>
      </c>
      <c r="V217" s="7" t="str">
        <f t="shared" si="81"/>
        <v>I</v>
      </c>
      <c r="W217" s="7" t="str">
        <f>VLOOKUP(C217,'Tox Summary'!$N$3:$S$1048576,6,FALSE)</f>
        <v/>
      </c>
      <c r="X217" s="76" t="str">
        <f t="shared" si="82"/>
        <v/>
      </c>
      <c r="Y217" s="76">
        <f t="shared" si="83"/>
        <v>6257.1428571428569</v>
      </c>
      <c r="AA217" s="332"/>
    </row>
    <row r="218" spans="1:27">
      <c r="A218" s="265"/>
      <c r="B218" s="344" t="s">
        <v>802</v>
      </c>
      <c r="C218" s="269" t="s">
        <v>1063</v>
      </c>
      <c r="D218" s="280" t="str">
        <f>VLOOKUP(B218, 'Chem Props'!$1:$1048576,3,FALSE)</f>
        <v>No</v>
      </c>
      <c r="E218" s="598" t="str">
        <f t="shared" si="84"/>
        <v>No</v>
      </c>
      <c r="F218" s="7" t="str">
        <f t="shared" si="70"/>
        <v>No (not volatile)</v>
      </c>
      <c r="G218" s="270" t="str">
        <f t="shared" si="66"/>
        <v>No (not volatile)</v>
      </c>
      <c r="H218" s="76" t="str">
        <f t="shared" si="71"/>
        <v>--</v>
      </c>
      <c r="I218" s="271" t="str">
        <f t="shared" si="72"/>
        <v>--</v>
      </c>
      <c r="J218" s="272" t="str">
        <f t="shared" si="73"/>
        <v>--</v>
      </c>
      <c r="K218" s="272" t="str">
        <f t="shared" si="74"/>
        <v>--</v>
      </c>
      <c r="L218" s="273" t="str">
        <f t="shared" si="75"/>
        <v>--</v>
      </c>
      <c r="M218" s="7">
        <f t="shared" si="76"/>
        <v>95.526274400434119</v>
      </c>
      <c r="N218" s="7">
        <f t="shared" si="69"/>
        <v>2.1544319999999999</v>
      </c>
      <c r="O218" s="326">
        <f t="shared" si="77"/>
        <v>25</v>
      </c>
      <c r="P218" s="224" t="str">
        <f t="shared" si="67"/>
        <v/>
      </c>
      <c r="Q218" s="224" t="str">
        <f t="shared" si="78"/>
        <v/>
      </c>
      <c r="R218" s="224"/>
      <c r="S218" s="271" t="str">
        <f t="shared" si="85"/>
        <v/>
      </c>
      <c r="T218" s="7" t="str">
        <f t="shared" si="79"/>
        <v/>
      </c>
      <c r="U218" s="7" t="str">
        <f t="shared" si="80"/>
        <v/>
      </c>
      <c r="V218" s="7" t="str">
        <f t="shared" si="81"/>
        <v/>
      </c>
      <c r="W218" s="7" t="str">
        <f>VLOOKUP(C218,'Tox Summary'!$N$3:$S$1048576,6,FALSE)</f>
        <v/>
      </c>
      <c r="X218" s="76" t="str">
        <f t="shared" si="82"/>
        <v/>
      </c>
      <c r="Y218" s="76" t="str">
        <f t="shared" si="83"/>
        <v/>
      </c>
      <c r="AA218" s="332"/>
    </row>
    <row r="219" spans="1:27">
      <c r="A219" s="265"/>
      <c r="B219" s="344" t="s">
        <v>803</v>
      </c>
      <c r="C219" s="269" t="s">
        <v>1064</v>
      </c>
      <c r="D219" s="280" t="str">
        <f>VLOOKUP(B219, 'Chem Props'!$1:$1048576,3,FALSE)</f>
        <v>Yes</v>
      </c>
      <c r="E219" s="598" t="str">
        <f t="shared" si="84"/>
        <v>Yes</v>
      </c>
      <c r="F219" s="7" t="str">
        <f t="shared" si="70"/>
        <v>Yes</v>
      </c>
      <c r="G219" s="270" t="str">
        <f t="shared" si="66"/>
        <v>Yes</v>
      </c>
      <c r="H219" s="76">
        <f t="shared" si="71"/>
        <v>730</v>
      </c>
      <c r="I219" s="271" t="str">
        <f t="shared" si="72"/>
        <v>NC</v>
      </c>
      <c r="J219" s="272">
        <f t="shared" si="73"/>
        <v>24333.333333333336</v>
      </c>
      <c r="K219" s="272">
        <f t="shared" si="74"/>
        <v>1984234.846425659</v>
      </c>
      <c r="L219" s="273" t="str">
        <f t="shared" si="75"/>
        <v>--</v>
      </c>
      <c r="M219" s="7">
        <f t="shared" si="76"/>
        <v>22867236.938809413</v>
      </c>
      <c r="N219" s="7">
        <f t="shared" si="69"/>
        <v>9197500</v>
      </c>
      <c r="O219" s="326">
        <f t="shared" si="77"/>
        <v>25</v>
      </c>
      <c r="P219" s="224">
        <f t="shared" si="67"/>
        <v>1.1000000000000001</v>
      </c>
      <c r="Q219" s="224" t="str">
        <f t="shared" si="78"/>
        <v>N</v>
      </c>
      <c r="R219" s="224"/>
      <c r="S219" s="271" t="str">
        <f t="shared" si="85"/>
        <v/>
      </c>
      <c r="T219" s="7" t="str">
        <f t="shared" si="79"/>
        <v/>
      </c>
      <c r="U219" s="7">
        <f t="shared" si="80"/>
        <v>0.7</v>
      </c>
      <c r="V219" s="7" t="str">
        <f t="shared" si="81"/>
        <v>P</v>
      </c>
      <c r="W219" s="7" t="str">
        <f>VLOOKUP(C219,'Tox Summary'!$N$3:$S$1048576,6,FALSE)</f>
        <v/>
      </c>
      <c r="X219" s="76" t="str">
        <f t="shared" si="82"/>
        <v/>
      </c>
      <c r="Y219" s="76">
        <f t="shared" si="83"/>
        <v>730</v>
      </c>
      <c r="AA219" s="332"/>
    </row>
    <row r="220" spans="1:27">
      <c r="A220" s="265"/>
      <c r="B220" s="344" t="s">
        <v>1991</v>
      </c>
      <c r="C220" s="269" t="s">
        <v>1990</v>
      </c>
      <c r="D220" s="280" t="str">
        <f>VLOOKUP(B220, 'Chem Props'!$1:$1048576,3,FALSE)</f>
        <v>Yes</v>
      </c>
      <c r="E220" s="598" t="str">
        <f t="shared" si="84"/>
        <v>Yes</v>
      </c>
      <c r="F220" s="7" t="str">
        <f t="shared" si="70"/>
        <v>Yes</v>
      </c>
      <c r="G220" s="270" t="str">
        <f t="shared" si="66"/>
        <v>Yes</v>
      </c>
      <c r="H220" s="76">
        <f t="shared" si="71"/>
        <v>1042.8571428571429</v>
      </c>
      <c r="I220" s="271" t="str">
        <f t="shared" si="72"/>
        <v>NC</v>
      </c>
      <c r="J220" s="272">
        <f t="shared" si="73"/>
        <v>34761.904761904763</v>
      </c>
      <c r="K220" s="272">
        <f t="shared" si="74"/>
        <v>560.6216596884758</v>
      </c>
      <c r="L220" s="273" t="str">
        <f t="shared" si="75"/>
        <v>--</v>
      </c>
      <c r="M220" s="7">
        <f t="shared" si="76"/>
        <v>393400497.98154211</v>
      </c>
      <c r="N220" s="7">
        <f t="shared" si="69"/>
        <v>396218318.69999999</v>
      </c>
      <c r="O220" s="326">
        <f t="shared" si="77"/>
        <v>25</v>
      </c>
      <c r="P220" s="224" t="str">
        <f t="shared" si="67"/>
        <v/>
      </c>
      <c r="Q220" s="224" t="str">
        <f t="shared" si="78"/>
        <v/>
      </c>
      <c r="R220" s="224"/>
      <c r="S220" s="271" t="str">
        <f t="shared" si="85"/>
        <v/>
      </c>
      <c r="T220" s="7" t="str">
        <f t="shared" si="79"/>
        <v/>
      </c>
      <c r="U220" s="7">
        <f t="shared" si="80"/>
        <v>1</v>
      </c>
      <c r="V220" s="7" t="str">
        <f t="shared" si="81"/>
        <v>X</v>
      </c>
      <c r="W220" s="7" t="str">
        <f>VLOOKUP(C220,'Tox Summary'!$N$3:$S$1048576,6,FALSE)</f>
        <v/>
      </c>
      <c r="X220" s="76" t="str">
        <f t="shared" si="82"/>
        <v/>
      </c>
      <c r="Y220" s="76">
        <f t="shared" si="83"/>
        <v>1042.8571428571429</v>
      </c>
      <c r="AA220" s="332"/>
    </row>
    <row r="221" spans="1:27">
      <c r="A221" s="265"/>
      <c r="B221" s="344" t="s">
        <v>804</v>
      </c>
      <c r="C221" s="269" t="s">
        <v>1065</v>
      </c>
      <c r="D221" s="280" t="str">
        <f>VLOOKUP(B221, 'Chem Props'!$1:$1048576,3,FALSE)</f>
        <v>Yes</v>
      </c>
      <c r="E221" s="598" t="str">
        <f t="shared" si="84"/>
        <v>No</v>
      </c>
      <c r="F221" s="7" t="str">
        <f t="shared" si="70"/>
        <v>No Inhal. Tox. Info</v>
      </c>
      <c r="G221" s="270" t="str">
        <f t="shared" si="66"/>
        <v>No Inhal. Tox. Info</v>
      </c>
      <c r="H221" s="76" t="str">
        <f t="shared" si="71"/>
        <v>--</v>
      </c>
      <c r="I221" s="271" t="str">
        <f t="shared" si="72"/>
        <v>--</v>
      </c>
      <c r="J221" s="272" t="str">
        <f t="shared" si="73"/>
        <v>--</v>
      </c>
      <c r="K221" s="272" t="str">
        <f t="shared" si="74"/>
        <v>--</v>
      </c>
      <c r="L221" s="273" t="str">
        <f t="shared" si="75"/>
        <v>--</v>
      </c>
      <c r="M221" s="7">
        <f t="shared" si="76"/>
        <v>53899598.73277127</v>
      </c>
      <c r="N221" s="7">
        <f t="shared" si="69"/>
        <v>170100000</v>
      </c>
      <c r="O221" s="326">
        <f t="shared" si="77"/>
        <v>25</v>
      </c>
      <c r="P221" s="224" t="str">
        <f t="shared" si="67"/>
        <v/>
      </c>
      <c r="Q221" s="224" t="str">
        <f t="shared" si="78"/>
        <v/>
      </c>
      <c r="R221" s="224"/>
      <c r="S221" s="271" t="str">
        <f t="shared" si="85"/>
        <v/>
      </c>
      <c r="T221" s="7" t="str">
        <f t="shared" si="79"/>
        <v/>
      </c>
      <c r="U221" s="7" t="str">
        <f t="shared" si="80"/>
        <v/>
      </c>
      <c r="V221" s="7" t="str">
        <f t="shared" si="81"/>
        <v/>
      </c>
      <c r="W221" s="7" t="str">
        <f>VLOOKUP(C221,'Tox Summary'!$N$3:$S$1048576,6,FALSE)</f>
        <v/>
      </c>
      <c r="X221" s="76" t="str">
        <f t="shared" si="82"/>
        <v/>
      </c>
      <c r="Y221" s="76" t="str">
        <f t="shared" si="83"/>
        <v/>
      </c>
      <c r="AA221" s="332"/>
    </row>
    <row r="222" spans="1:27">
      <c r="A222" s="265"/>
      <c r="B222" s="344" t="s">
        <v>681</v>
      </c>
      <c r="C222" s="269" t="s">
        <v>2305</v>
      </c>
      <c r="D222" s="280" t="str">
        <f>VLOOKUP(B222, 'Chem Props'!$1:$1048576,3,FALSE)</f>
        <v>No</v>
      </c>
      <c r="E222" s="598" t="str">
        <f t="shared" si="84"/>
        <v>No</v>
      </c>
      <c r="F222" s="7" t="str">
        <f t="shared" si="70"/>
        <v>No (not volatile)</v>
      </c>
      <c r="G222" s="270" t="str">
        <f t="shared" si="66"/>
        <v>No (not volatile)</v>
      </c>
      <c r="H222" s="76" t="str">
        <f t="shared" si="71"/>
        <v>--</v>
      </c>
      <c r="I222" s="271" t="str">
        <f t="shared" si="72"/>
        <v>--</v>
      </c>
      <c r="J222" s="272" t="str">
        <f t="shared" si="73"/>
        <v>--</v>
      </c>
      <c r="K222" s="272" t="str">
        <f t="shared" si="74"/>
        <v>--</v>
      </c>
      <c r="L222" s="273" t="str">
        <f t="shared" si="75"/>
        <v>--</v>
      </c>
      <c r="M222" s="7">
        <f t="shared" si="76"/>
        <v>3.5053733408590164E-3</v>
      </c>
      <c r="N222" s="7">
        <f t="shared" si="69"/>
        <v>3.5568000000000002E-3</v>
      </c>
      <c r="O222" s="326">
        <f t="shared" si="77"/>
        <v>25</v>
      </c>
      <c r="P222" s="224" t="str">
        <f t="shared" si="67"/>
        <v/>
      </c>
      <c r="Q222" s="224" t="str">
        <f t="shared" si="78"/>
        <v/>
      </c>
      <c r="R222" s="224"/>
      <c r="S222" s="271" t="str">
        <f t="shared" si="85"/>
        <v/>
      </c>
      <c r="T222" s="7" t="str">
        <f t="shared" si="79"/>
        <v/>
      </c>
      <c r="U222" s="7" t="str">
        <f t="shared" si="80"/>
        <v/>
      </c>
      <c r="V222" s="7" t="str">
        <f t="shared" si="81"/>
        <v/>
      </c>
      <c r="W222" s="7" t="str">
        <f>VLOOKUP(C222,'Tox Summary'!$N$3:$S$1048576,6,FALSE)</f>
        <v/>
      </c>
      <c r="X222" s="76" t="str">
        <f t="shared" si="82"/>
        <v/>
      </c>
      <c r="Y222" s="76" t="str">
        <f t="shared" si="83"/>
        <v/>
      </c>
      <c r="AA222" s="332"/>
    </row>
    <row r="223" spans="1:27">
      <c r="A223" s="265"/>
      <c r="B223" s="344" t="s">
        <v>805</v>
      </c>
      <c r="C223" s="269" t="s">
        <v>2306</v>
      </c>
      <c r="D223" s="280" t="str">
        <f>VLOOKUP(B223, 'Chem Props'!$1:$1048576,3,FALSE)</f>
        <v>No</v>
      </c>
      <c r="E223" s="598" t="str">
        <f t="shared" si="84"/>
        <v>No</v>
      </c>
      <c r="F223" s="7" t="str">
        <f t="shared" si="70"/>
        <v>No (not volatile)</v>
      </c>
      <c r="G223" s="270" t="str">
        <f t="shared" si="66"/>
        <v>No (not volatile)</v>
      </c>
      <c r="H223" s="76" t="str">
        <f t="shared" si="71"/>
        <v>--</v>
      </c>
      <c r="I223" s="271" t="str">
        <f t="shared" si="72"/>
        <v>--</v>
      </c>
      <c r="J223" s="272" t="str">
        <f t="shared" si="73"/>
        <v>--</v>
      </c>
      <c r="K223" s="272" t="str">
        <f t="shared" si="74"/>
        <v>--</v>
      </c>
      <c r="L223" s="273" t="str">
        <f t="shared" si="75"/>
        <v>--</v>
      </c>
      <c r="M223" s="7">
        <f t="shared" si="76"/>
        <v>3.6309630465550011E-2</v>
      </c>
      <c r="N223" s="7">
        <f t="shared" si="69"/>
        <v>0.30249999999999999</v>
      </c>
      <c r="O223" s="326">
        <f t="shared" si="77"/>
        <v>25</v>
      </c>
      <c r="P223" s="224" t="str">
        <f t="shared" si="67"/>
        <v/>
      </c>
      <c r="Q223" s="224" t="str">
        <f t="shared" si="78"/>
        <v/>
      </c>
      <c r="R223" s="224"/>
      <c r="S223" s="271" t="str">
        <f t="shared" si="85"/>
        <v/>
      </c>
      <c r="T223" s="7" t="str">
        <f t="shared" si="79"/>
        <v/>
      </c>
      <c r="U223" s="7" t="str">
        <f t="shared" si="80"/>
        <v/>
      </c>
      <c r="V223" s="7" t="str">
        <f t="shared" si="81"/>
        <v/>
      </c>
      <c r="W223" s="7" t="str">
        <f>VLOOKUP(C223,'Tox Summary'!$N$3:$S$1048576,6,FALSE)</f>
        <v/>
      </c>
      <c r="X223" s="76" t="str">
        <f t="shared" si="82"/>
        <v/>
      </c>
      <c r="Y223" s="76" t="str">
        <f t="shared" si="83"/>
        <v/>
      </c>
      <c r="AA223" s="332"/>
    </row>
    <row r="224" spans="1:27">
      <c r="A224" s="265"/>
      <c r="B224" s="269" t="s">
        <v>806</v>
      </c>
      <c r="C224" s="269" t="s">
        <v>1066</v>
      </c>
      <c r="D224" s="280" t="str">
        <f>VLOOKUP(B224, 'Chem Props'!$1:$1048576,3,FALSE)</f>
        <v>No</v>
      </c>
      <c r="E224" s="598" t="str">
        <f t="shared" si="84"/>
        <v>No</v>
      </c>
      <c r="F224" s="7" t="str">
        <f t="shared" si="70"/>
        <v>No (not volatile)</v>
      </c>
      <c r="G224" s="270" t="str">
        <f t="shared" si="66"/>
        <v>No (not volatile)</v>
      </c>
      <c r="H224" s="76" t="str">
        <f t="shared" si="71"/>
        <v>--</v>
      </c>
      <c r="I224" s="271" t="str">
        <f t="shared" si="72"/>
        <v>--</v>
      </c>
      <c r="J224" s="272" t="str">
        <f t="shared" si="73"/>
        <v>--</v>
      </c>
      <c r="K224" s="272" t="str">
        <f t="shared" si="74"/>
        <v>--</v>
      </c>
      <c r="L224" s="273" t="str">
        <f t="shared" si="75"/>
        <v>--</v>
      </c>
      <c r="M224" s="7">
        <f t="shared" si="76"/>
        <v>6.8771486144544661E-2</v>
      </c>
      <c r="N224" s="7">
        <f t="shared" si="69"/>
        <v>6.8800000000000014E-2</v>
      </c>
      <c r="O224" s="326">
        <f t="shared" si="77"/>
        <v>25</v>
      </c>
      <c r="P224" s="224" t="str">
        <f t="shared" si="67"/>
        <v/>
      </c>
      <c r="Q224" s="224" t="str">
        <f t="shared" si="78"/>
        <v/>
      </c>
      <c r="R224" s="224"/>
      <c r="S224" s="271" t="str">
        <f t="shared" si="85"/>
        <v/>
      </c>
      <c r="T224" s="7" t="str">
        <f t="shared" si="79"/>
        <v/>
      </c>
      <c r="U224" s="7" t="str">
        <f t="shared" si="80"/>
        <v/>
      </c>
      <c r="V224" s="7" t="str">
        <f t="shared" si="81"/>
        <v/>
      </c>
      <c r="W224" s="7" t="str">
        <f>VLOOKUP(C224,'Tox Summary'!$N$3:$S$1048576,6,FALSE)</f>
        <v/>
      </c>
      <c r="X224" s="76" t="str">
        <f t="shared" si="82"/>
        <v/>
      </c>
      <c r="Y224" s="76" t="str">
        <f t="shared" si="83"/>
        <v/>
      </c>
      <c r="AA224" s="243"/>
    </row>
    <row r="225" spans="1:27">
      <c r="A225" s="265" t="s">
        <v>1413</v>
      </c>
      <c r="B225" s="344" t="s">
        <v>807</v>
      </c>
      <c r="C225" s="269" t="s">
        <v>1067</v>
      </c>
      <c r="D225" s="280" t="str">
        <f>VLOOKUP(B225, 'Chem Props'!$1:$1048576,3,FALSE)</f>
        <v>No</v>
      </c>
      <c r="E225" s="598" t="str">
        <f t="shared" si="84"/>
        <v>No</v>
      </c>
      <c r="F225" s="7" t="str">
        <f t="shared" si="70"/>
        <v>No (not volatile)</v>
      </c>
      <c r="G225" s="270" t="str">
        <f t="shared" si="66"/>
        <v>No (not volatile)</v>
      </c>
      <c r="H225" s="76" t="str">
        <f t="shared" si="71"/>
        <v>--</v>
      </c>
      <c r="I225" s="271" t="str">
        <f t="shared" si="72"/>
        <v>--</v>
      </c>
      <c r="J225" s="272" t="str">
        <f t="shared" si="73"/>
        <v>--</v>
      </c>
      <c r="K225" s="272" t="str">
        <f t="shared" si="74"/>
        <v>--</v>
      </c>
      <c r="L225" s="273" t="str">
        <f t="shared" si="75"/>
        <v>--</v>
      </c>
      <c r="M225" s="7">
        <f t="shared" si="76"/>
        <v>3.004673981024375E-2</v>
      </c>
      <c r="N225" s="7">
        <f t="shared" si="69"/>
        <v>3.0029999999999998E-2</v>
      </c>
      <c r="O225" s="326">
        <f t="shared" si="77"/>
        <v>25</v>
      </c>
      <c r="P225" s="224" t="str">
        <f t="shared" si="67"/>
        <v/>
      </c>
      <c r="Q225" s="224" t="str">
        <f t="shared" si="78"/>
        <v/>
      </c>
      <c r="R225" s="224"/>
      <c r="S225" s="271" t="str">
        <f t="shared" si="85"/>
        <v/>
      </c>
      <c r="T225" s="7" t="str">
        <f t="shared" si="79"/>
        <v/>
      </c>
      <c r="U225" s="7" t="str">
        <f t="shared" si="80"/>
        <v/>
      </c>
      <c r="V225" s="7" t="str">
        <f t="shared" si="81"/>
        <v/>
      </c>
      <c r="W225" s="7" t="str">
        <f>VLOOKUP(C225,'Tox Summary'!$N$3:$S$1048576,6,FALSE)</f>
        <v/>
      </c>
      <c r="X225" s="76" t="str">
        <f t="shared" si="82"/>
        <v/>
      </c>
      <c r="Y225" s="76" t="str">
        <f t="shared" si="83"/>
        <v/>
      </c>
      <c r="AA225" s="332"/>
    </row>
    <row r="226" spans="1:27">
      <c r="A226" s="265"/>
      <c r="B226" s="344" t="s">
        <v>812</v>
      </c>
      <c r="C226" s="269" t="s">
        <v>1068</v>
      </c>
      <c r="D226" s="280" t="str">
        <f>VLOOKUP(B226, 'Chem Props'!$1:$1048576,3,FALSE)</f>
        <v>No</v>
      </c>
      <c r="E226" s="598" t="str">
        <f t="shared" si="84"/>
        <v>No</v>
      </c>
      <c r="F226" s="7" t="str">
        <f t="shared" si="70"/>
        <v>No (not volatile)</v>
      </c>
      <c r="G226" s="270" t="str">
        <f t="shared" si="66"/>
        <v>No (not volatile)</v>
      </c>
      <c r="H226" s="76" t="str">
        <f t="shared" si="71"/>
        <v>--</v>
      </c>
      <c r="I226" s="271" t="str">
        <f t="shared" si="72"/>
        <v>--</v>
      </c>
      <c r="J226" s="272" t="str">
        <f t="shared" si="73"/>
        <v>--</v>
      </c>
      <c r="K226" s="272" t="str">
        <f t="shared" si="74"/>
        <v>--</v>
      </c>
      <c r="L226" s="273" t="str">
        <f t="shared" si="75"/>
        <v>No (200)</v>
      </c>
      <c r="M226" s="7">
        <f t="shared" si="76"/>
        <v>1161649.3546386468</v>
      </c>
      <c r="N226" s="7">
        <f t="shared" si="69"/>
        <v>1161628</v>
      </c>
      <c r="O226" s="326">
        <f t="shared" si="77"/>
        <v>25</v>
      </c>
      <c r="P226" s="224" t="str">
        <f t="shared" si="67"/>
        <v/>
      </c>
      <c r="Q226" s="224" t="str">
        <f t="shared" si="78"/>
        <v/>
      </c>
      <c r="R226" s="224"/>
      <c r="S226" s="271" t="str">
        <f t="shared" si="85"/>
        <v/>
      </c>
      <c r="T226" s="7" t="str">
        <f t="shared" si="79"/>
        <v/>
      </c>
      <c r="U226" s="7" t="str">
        <f t="shared" si="80"/>
        <v/>
      </c>
      <c r="V226" s="7" t="str">
        <f t="shared" si="81"/>
        <v/>
      </c>
      <c r="W226" s="7" t="str">
        <f>VLOOKUP(C226,'Tox Summary'!$N$3:$S$1048576,6,FALSE)</f>
        <v/>
      </c>
      <c r="X226" s="76" t="str">
        <f t="shared" si="82"/>
        <v/>
      </c>
      <c r="Y226" s="76" t="str">
        <f t="shared" si="83"/>
        <v/>
      </c>
      <c r="AA226" s="332"/>
    </row>
    <row r="227" spans="1:27">
      <c r="A227" s="265"/>
      <c r="B227" s="269" t="s">
        <v>631</v>
      </c>
      <c r="C227" s="269" t="s">
        <v>2307</v>
      </c>
      <c r="D227" s="280" t="str">
        <f>VLOOKUP(B227, 'Chem Props'!$1:$1048576,3,FALSE)</f>
        <v>No</v>
      </c>
      <c r="E227" s="598" t="str">
        <f t="shared" si="84"/>
        <v>Yes</v>
      </c>
      <c r="F227" s="7" t="str">
        <f t="shared" si="70"/>
        <v>No (not volatile)</v>
      </c>
      <c r="G227" s="270" t="str">
        <f t="shared" si="66"/>
        <v>No (not volatile)</v>
      </c>
      <c r="H227" s="76">
        <f t="shared" si="71"/>
        <v>0.55052790346907987</v>
      </c>
      <c r="I227" s="271" t="str">
        <f t="shared" si="72"/>
        <v>C</v>
      </c>
      <c r="J227" s="272">
        <f t="shared" si="73"/>
        <v>18.350930115635997</v>
      </c>
      <c r="K227" s="272">
        <f t="shared" si="74"/>
        <v>31833462.673128251</v>
      </c>
      <c r="L227" s="273" t="str">
        <f t="shared" si="75"/>
        <v>--</v>
      </c>
      <c r="M227" s="7">
        <f t="shared" si="76"/>
        <v>1723.7106393595475</v>
      </c>
      <c r="N227" s="7">
        <f t="shared" si="69"/>
        <v>1729.3999999999999</v>
      </c>
      <c r="O227" s="326">
        <f t="shared" si="77"/>
        <v>25</v>
      </c>
      <c r="P227" s="224" t="str">
        <f t="shared" si="67"/>
        <v/>
      </c>
      <c r="Q227" s="224" t="str">
        <f t="shared" si="78"/>
        <v/>
      </c>
      <c r="R227" s="224"/>
      <c r="S227" s="271">
        <f t="shared" si="85"/>
        <v>5.1000000000000003E-6</v>
      </c>
      <c r="T227" s="7" t="str">
        <f t="shared" si="79"/>
        <v>CA</v>
      </c>
      <c r="U227" s="7" t="str">
        <f t="shared" si="80"/>
        <v/>
      </c>
      <c r="V227" s="7" t="str">
        <f t="shared" si="81"/>
        <v/>
      </c>
      <c r="W227" s="7" t="str">
        <f>VLOOKUP(C227,'Tox Summary'!$N$3:$S$1048576,6,FALSE)</f>
        <v/>
      </c>
      <c r="X227" s="76">
        <f t="shared" si="82"/>
        <v>0.55052790346907987</v>
      </c>
      <c r="Y227" s="76" t="str">
        <f t="shared" si="83"/>
        <v/>
      </c>
      <c r="AA227" s="243"/>
    </row>
    <row r="228" spans="1:27">
      <c r="A228" s="265"/>
      <c r="B228" s="269" t="s">
        <v>808</v>
      </c>
      <c r="C228" s="269" t="s">
        <v>1639</v>
      </c>
      <c r="D228" s="280" t="str">
        <f>VLOOKUP(B228, 'Chem Props'!$1:$1048576,3,FALSE)</f>
        <v>No</v>
      </c>
      <c r="E228" s="598" t="str">
        <f t="shared" si="84"/>
        <v>No</v>
      </c>
      <c r="F228" s="7" t="str">
        <f t="shared" si="70"/>
        <v>No (not volatile)</v>
      </c>
      <c r="G228" s="270" t="str">
        <f t="shared" si="66"/>
        <v>No (not volatile)</v>
      </c>
      <c r="H228" s="76"/>
      <c r="I228" s="271"/>
      <c r="J228" s="272"/>
      <c r="K228" s="272"/>
      <c r="L228" s="273" t="str">
        <f t="shared" si="75"/>
        <v>--</v>
      </c>
      <c r="M228" s="7">
        <f t="shared" si="76"/>
        <v>23.249027491773784</v>
      </c>
      <c r="N228" s="7" t="str">
        <f t="shared" si="69"/>
        <v>No HLC</v>
      </c>
      <c r="O228" s="326">
        <f t="shared" si="77"/>
        <v>25</v>
      </c>
      <c r="P228" s="224" t="str">
        <f t="shared" si="67"/>
        <v/>
      </c>
      <c r="Q228" s="224" t="str">
        <f t="shared" si="78"/>
        <v/>
      </c>
      <c r="R228" s="224"/>
      <c r="S228" s="271"/>
      <c r="T228" s="7"/>
      <c r="U228" s="7" t="str">
        <f t="shared" si="80"/>
        <v/>
      </c>
      <c r="V228" s="7" t="str">
        <f t="shared" si="81"/>
        <v/>
      </c>
      <c r="W228" s="7"/>
      <c r="X228" s="76" t="str">
        <f t="shared" si="82"/>
        <v/>
      </c>
      <c r="Y228" s="76" t="str">
        <f t="shared" si="83"/>
        <v/>
      </c>
      <c r="AA228" s="243"/>
    </row>
    <row r="229" spans="1:27">
      <c r="A229" s="265"/>
      <c r="B229" s="269" t="s">
        <v>809</v>
      </c>
      <c r="C229" s="269" t="s">
        <v>1069</v>
      </c>
      <c r="D229" s="280" t="str">
        <f>VLOOKUP(B229, 'Chem Props'!$1:$1048576,3,FALSE)</f>
        <v>Yes</v>
      </c>
      <c r="E229" s="598" t="str">
        <f t="shared" si="84"/>
        <v>Yes</v>
      </c>
      <c r="F229" s="7" t="str">
        <f t="shared" si="70"/>
        <v>Yes</v>
      </c>
      <c r="G229" s="270" t="str">
        <f t="shared" si="66"/>
        <v>Yes</v>
      </c>
      <c r="H229" s="76">
        <f t="shared" ref="H229:H292" si="86">IF(ISNUMBER(M229),IF(AND(X229="",Y229=""),"--",IF(MIN(X229:Y229)&gt;=M229,"NVT",MIN(X229:Y229))),M229)</f>
        <v>2.8945281522601111E-2</v>
      </c>
      <c r="I229" s="271" t="str">
        <f t="shared" ref="I229:I292" si="87">IF(AND(S229="",U229=""),"--",IF(MIN(X229,Y229)=X229,"C","NC"))</f>
        <v>C</v>
      </c>
      <c r="J229" s="272">
        <f t="shared" ref="J229:J292" si="88">IF(ISNUMBER(H229),IF(OR(H229="--",H229="NVT"),H229,IF(H229/Afss&gt;=M229,"NVT",H229/Afss)),H229)</f>
        <v>0.96484271742003713</v>
      </c>
      <c r="K229" s="272">
        <f t="shared" ref="K229:K292" si="89">IF(ISNUMBER(H229),IF(H229="--","--", IF(LEFT(N229,2)="No",N229,IF(H229*0.001/(INDEX(HLC,MATCH(C229,ChemNameChem,0))*AFgw)&gt;=1000*INDEX(PWCS,MATCH(C229,ChemNameChem,0)), "NVT", H229*0.001/(INDEX(HLC,MATCH(C229,ChemNameChem,0))*AFgw)))),H229)</f>
        <v>17.019628107603403</v>
      </c>
      <c r="L229" s="273" t="str">
        <f t="shared" si="75"/>
        <v>--</v>
      </c>
      <c r="M229" s="7">
        <f t="shared" si="76"/>
        <v>102.67684859252986</v>
      </c>
      <c r="N229" s="7">
        <f t="shared" ref="N229:N260" si="90">IF(INDEX(HLC,MATCH(C229,ChemNameChem,0))="","No HLC",IF(INDEX(Sol,MATCH(C229,ChemNameChem,0))="No S","No S",INDEX(HLC,MATCH(C229,ChemNameChem,0))*INDEX(Sol,MATCH(C229,ChemNameChem,0))*1000000))</f>
        <v>68.028000000000006</v>
      </c>
      <c r="O229" s="326">
        <f t="shared" si="77"/>
        <v>25</v>
      </c>
      <c r="P229" s="224" t="str">
        <f t="shared" si="67"/>
        <v/>
      </c>
      <c r="Q229" s="224" t="str">
        <f t="shared" si="78"/>
        <v/>
      </c>
      <c r="R229" s="224"/>
      <c r="S229" s="271">
        <f t="shared" ref="S229:S292" si="91">IF(INDEX(IUR,MATCH(B229,CASNoTox,0))=" ","",IF(W229="TCE","see note",INDEX(IUR,MATCH(B229,CASNoTox,0))))</f>
        <v>9.7E-5</v>
      </c>
      <c r="T229" s="7" t="str">
        <f t="shared" ref="T229:T292" si="92">IF(INDEX(IURSource,MATCH(B229,CASNoTox,0))="","",SUBSTITUTE(INDEX(IURSource,MATCH(B229,CASNoTox,0)),"C","CA"))</f>
        <v>CA</v>
      </c>
      <c r="U229" s="7" t="str">
        <f t="shared" si="80"/>
        <v/>
      </c>
      <c r="V229" s="7" t="str">
        <f t="shared" si="81"/>
        <v/>
      </c>
      <c r="W229" s="7" t="str">
        <f>VLOOKUP(C229,'Tox Summary'!$N$3:$S$1048576,6,FALSE)</f>
        <v/>
      </c>
      <c r="X229" s="76">
        <f t="shared" si="82"/>
        <v>2.8945281522601111E-2</v>
      </c>
      <c r="Y229" s="76" t="str">
        <f t="shared" si="83"/>
        <v/>
      </c>
      <c r="AA229" s="243"/>
    </row>
    <row r="230" spans="1:27">
      <c r="A230" s="265"/>
      <c r="B230" s="344" t="s">
        <v>810</v>
      </c>
      <c r="C230" s="269" t="s">
        <v>436</v>
      </c>
      <c r="D230" s="280" t="str">
        <f>VLOOKUP(B230, 'Chem Props'!$1:$1048576,3,FALSE)</f>
        <v>No</v>
      </c>
      <c r="E230" s="598" t="str">
        <f t="shared" si="84"/>
        <v>Yes</v>
      </c>
      <c r="F230" s="7" t="str">
        <f t="shared" si="70"/>
        <v>No (not volatile)</v>
      </c>
      <c r="G230" s="270" t="str">
        <f t="shared" si="66"/>
        <v>No (not volatile)</v>
      </c>
      <c r="H230" s="76">
        <f t="shared" si="86"/>
        <v>2.8945281522601111E-2</v>
      </c>
      <c r="I230" s="271" t="str">
        <f t="shared" si="87"/>
        <v>C</v>
      </c>
      <c r="J230" s="272">
        <f t="shared" si="88"/>
        <v>0.96484271742003713</v>
      </c>
      <c r="K230" s="272" t="str">
        <f t="shared" si="89"/>
        <v>NVT</v>
      </c>
      <c r="L230" s="273" t="str">
        <f t="shared" si="75"/>
        <v>--</v>
      </c>
      <c r="M230" s="7">
        <f t="shared" si="76"/>
        <v>3.0519482277408554</v>
      </c>
      <c r="N230" s="7">
        <f t="shared" si="90"/>
        <v>1.8705499999999999</v>
      </c>
      <c r="O230" s="326">
        <f t="shared" si="77"/>
        <v>25</v>
      </c>
      <c r="P230" s="224" t="str">
        <f t="shared" si="67"/>
        <v/>
      </c>
      <c r="Q230" s="224" t="str">
        <f t="shared" si="78"/>
        <v/>
      </c>
      <c r="R230" s="224"/>
      <c r="S230" s="271">
        <f t="shared" si="91"/>
        <v>9.7E-5</v>
      </c>
      <c r="T230" s="7" t="str">
        <f t="shared" si="92"/>
        <v>I</v>
      </c>
      <c r="U230" s="7" t="str">
        <f t="shared" si="80"/>
        <v/>
      </c>
      <c r="V230" s="7" t="str">
        <f t="shared" si="81"/>
        <v/>
      </c>
      <c r="W230" s="7" t="str">
        <f>VLOOKUP(C230,'Tox Summary'!$N$3:$S$1048576,6,FALSE)</f>
        <v/>
      </c>
      <c r="X230" s="76">
        <f t="shared" si="82"/>
        <v>2.8945281522601111E-2</v>
      </c>
      <c r="Y230" s="76" t="str">
        <f t="shared" si="83"/>
        <v/>
      </c>
      <c r="AA230" s="332"/>
    </row>
    <row r="231" spans="1:27">
      <c r="A231" s="265"/>
      <c r="B231" s="344" t="s">
        <v>813</v>
      </c>
      <c r="C231" s="269" t="s">
        <v>527</v>
      </c>
      <c r="D231" s="280" t="str">
        <f>VLOOKUP(B231, 'Chem Props'!$1:$1048576,3,FALSE)</f>
        <v>No</v>
      </c>
      <c r="E231" s="598" t="str">
        <f t="shared" si="84"/>
        <v>No</v>
      </c>
      <c r="F231" s="7" t="str">
        <f t="shared" si="70"/>
        <v>No (not volatile)</v>
      </c>
      <c r="G231" s="270" t="str">
        <f t="shared" si="66"/>
        <v>No (not volatile)</v>
      </c>
      <c r="H231" s="76" t="str">
        <f t="shared" si="86"/>
        <v>--</v>
      </c>
      <c r="I231" s="271" t="str">
        <f t="shared" si="87"/>
        <v>--</v>
      </c>
      <c r="J231" s="272" t="str">
        <f t="shared" si="88"/>
        <v>--</v>
      </c>
      <c r="K231" s="272" t="str">
        <f t="shared" si="89"/>
        <v>--</v>
      </c>
      <c r="L231" s="273" t="str">
        <f t="shared" si="75"/>
        <v>--</v>
      </c>
      <c r="M231" s="7">
        <f t="shared" si="76"/>
        <v>2.4102697957069057E-4</v>
      </c>
      <c r="N231" s="7">
        <f t="shared" si="90"/>
        <v>4.8651000000000006E-5</v>
      </c>
      <c r="O231" s="326">
        <f t="shared" si="77"/>
        <v>25</v>
      </c>
      <c r="P231" s="224" t="str">
        <f t="shared" si="67"/>
        <v/>
      </c>
      <c r="Q231" s="224" t="str">
        <f t="shared" si="78"/>
        <v/>
      </c>
      <c r="R231" s="224"/>
      <c r="S231" s="271" t="str">
        <f t="shared" si="91"/>
        <v/>
      </c>
      <c r="T231" s="7" t="str">
        <f t="shared" si="92"/>
        <v/>
      </c>
      <c r="U231" s="7" t="str">
        <f t="shared" si="80"/>
        <v/>
      </c>
      <c r="V231" s="7" t="str">
        <f t="shared" si="81"/>
        <v/>
      </c>
      <c r="W231" s="7" t="str">
        <f>VLOOKUP(C231,'Tox Summary'!$N$3:$S$1048576,6,FALSE)</f>
        <v/>
      </c>
      <c r="X231" s="76" t="str">
        <f t="shared" si="82"/>
        <v/>
      </c>
      <c r="Y231" s="76" t="str">
        <f t="shared" si="83"/>
        <v/>
      </c>
      <c r="AA231" s="332"/>
    </row>
    <row r="232" spans="1:27">
      <c r="A232" s="265"/>
      <c r="B232" s="344" t="s">
        <v>814</v>
      </c>
      <c r="C232" s="269" t="s">
        <v>1070</v>
      </c>
      <c r="D232" s="280" t="str">
        <f>VLOOKUP(B232, 'Chem Props'!$1:$1048576,3,FALSE)</f>
        <v>No</v>
      </c>
      <c r="E232" s="598" t="str">
        <f t="shared" si="84"/>
        <v>No</v>
      </c>
      <c r="F232" s="7" t="str">
        <f t="shared" si="70"/>
        <v>No (not volatile)</v>
      </c>
      <c r="G232" s="270" t="str">
        <f t="shared" si="66"/>
        <v>No (not volatile)</v>
      </c>
      <c r="H232" s="76" t="str">
        <f t="shared" si="86"/>
        <v>--</v>
      </c>
      <c r="I232" s="271" t="str">
        <f t="shared" si="87"/>
        <v>--</v>
      </c>
      <c r="J232" s="272" t="str">
        <f t="shared" si="88"/>
        <v>--</v>
      </c>
      <c r="K232" s="272" t="str">
        <f t="shared" si="89"/>
        <v>--</v>
      </c>
      <c r="L232" s="273" t="str">
        <f t="shared" si="75"/>
        <v>--</v>
      </c>
      <c r="M232" s="7">
        <f t="shared" si="76"/>
        <v>9452.6539448416988</v>
      </c>
      <c r="N232" s="7">
        <f t="shared" si="90"/>
        <v>104029.2</v>
      </c>
      <c r="O232" s="326">
        <f t="shared" si="77"/>
        <v>25</v>
      </c>
      <c r="P232" s="224" t="str">
        <f t="shared" si="67"/>
        <v/>
      </c>
      <c r="Q232" s="224" t="str">
        <f t="shared" si="78"/>
        <v/>
      </c>
      <c r="R232" s="224"/>
      <c r="S232" s="271" t="str">
        <f t="shared" si="91"/>
        <v/>
      </c>
      <c r="T232" s="7" t="str">
        <f t="shared" si="92"/>
        <v/>
      </c>
      <c r="U232" s="7" t="str">
        <f t="shared" si="80"/>
        <v/>
      </c>
      <c r="V232" s="7" t="str">
        <f t="shared" si="81"/>
        <v/>
      </c>
      <c r="W232" s="7" t="str">
        <f>VLOOKUP(C232,'Tox Summary'!$N$3:$S$1048576,6,FALSE)</f>
        <v/>
      </c>
      <c r="X232" s="76" t="str">
        <f t="shared" si="82"/>
        <v/>
      </c>
      <c r="Y232" s="76" t="str">
        <f t="shared" si="83"/>
        <v/>
      </c>
      <c r="AA232" s="332"/>
    </row>
    <row r="233" spans="1:27">
      <c r="A233" s="265"/>
      <c r="B233" s="344" t="s">
        <v>815</v>
      </c>
      <c r="C233" s="269" t="s">
        <v>1071</v>
      </c>
      <c r="D233" s="280" t="str">
        <f>VLOOKUP(B233, 'Chem Props'!$1:$1048576,3,FALSE)</f>
        <v>No</v>
      </c>
      <c r="E233" s="598" t="str">
        <f t="shared" si="84"/>
        <v>No</v>
      </c>
      <c r="F233" s="7" t="str">
        <f t="shared" si="70"/>
        <v>No (not volatile)</v>
      </c>
      <c r="G233" s="270" t="str">
        <f t="shared" si="66"/>
        <v>No (not volatile)</v>
      </c>
      <c r="H233" s="76" t="str">
        <f t="shared" si="86"/>
        <v>--</v>
      </c>
      <c r="I233" s="271" t="str">
        <f t="shared" si="87"/>
        <v>--</v>
      </c>
      <c r="J233" s="272" t="str">
        <f t="shared" si="88"/>
        <v>--</v>
      </c>
      <c r="K233" s="272" t="str">
        <f t="shared" si="89"/>
        <v>--</v>
      </c>
      <c r="L233" s="273" t="str">
        <f t="shared" si="75"/>
        <v>No (400)</v>
      </c>
      <c r="M233" s="7">
        <f t="shared" si="76"/>
        <v>16.949390816750391</v>
      </c>
      <c r="N233" s="7">
        <f t="shared" si="90"/>
        <v>13.805999999999999</v>
      </c>
      <c r="O233" s="326">
        <f t="shared" si="77"/>
        <v>25</v>
      </c>
      <c r="P233" s="224" t="str">
        <f t="shared" si="67"/>
        <v/>
      </c>
      <c r="Q233" s="224" t="str">
        <f t="shared" si="78"/>
        <v/>
      </c>
      <c r="R233" s="224"/>
      <c r="S233" s="271" t="str">
        <f t="shared" si="91"/>
        <v/>
      </c>
      <c r="T233" s="7" t="str">
        <f t="shared" si="92"/>
        <v/>
      </c>
      <c r="U233" s="7" t="str">
        <f t="shared" si="80"/>
        <v/>
      </c>
      <c r="V233" s="7" t="str">
        <f t="shared" si="81"/>
        <v/>
      </c>
      <c r="W233" s="7" t="str">
        <f>VLOOKUP(C233,'Tox Summary'!$N$3:$S$1048576,6,FALSE)</f>
        <v/>
      </c>
      <c r="X233" s="76" t="str">
        <f t="shared" si="82"/>
        <v/>
      </c>
      <c r="Y233" s="76" t="str">
        <f t="shared" si="83"/>
        <v/>
      </c>
      <c r="AA233" s="332"/>
    </row>
    <row r="234" spans="1:27">
      <c r="A234" s="265"/>
      <c r="B234" s="269" t="s">
        <v>816</v>
      </c>
      <c r="C234" s="269" t="s">
        <v>1072</v>
      </c>
      <c r="D234" s="280" t="str">
        <f>VLOOKUP(B234, 'Chem Props'!$1:$1048576,3,FALSE)</f>
        <v>No</v>
      </c>
      <c r="E234" s="598" t="str">
        <f t="shared" si="84"/>
        <v>No</v>
      </c>
      <c r="F234" s="7" t="str">
        <f t="shared" si="70"/>
        <v>No (not volatile)</v>
      </c>
      <c r="G234" s="270" t="str">
        <f t="shared" si="66"/>
        <v>No (not volatile)</v>
      </c>
      <c r="H234" s="76" t="str">
        <f t="shared" si="86"/>
        <v>--</v>
      </c>
      <c r="I234" s="271" t="str">
        <f t="shared" si="87"/>
        <v>--</v>
      </c>
      <c r="J234" s="272" t="str">
        <f t="shared" si="88"/>
        <v>--</v>
      </c>
      <c r="K234" s="272" t="str">
        <f t="shared" si="89"/>
        <v>--</v>
      </c>
      <c r="L234" s="273" t="str">
        <f t="shared" si="75"/>
        <v>--</v>
      </c>
      <c r="M234" s="7">
        <f t="shared" si="76"/>
        <v>2181.0315085584234</v>
      </c>
      <c r="N234" s="7">
        <f t="shared" si="90"/>
        <v>2175.6000000000004</v>
      </c>
      <c r="O234" s="326">
        <f t="shared" si="77"/>
        <v>25</v>
      </c>
      <c r="P234" s="224" t="str">
        <f t="shared" si="67"/>
        <v/>
      </c>
      <c r="Q234" s="224" t="str">
        <f t="shared" si="78"/>
        <v/>
      </c>
      <c r="R234" s="224"/>
      <c r="S234" s="271" t="str">
        <f t="shared" si="91"/>
        <v/>
      </c>
      <c r="T234" s="7" t="str">
        <f t="shared" si="92"/>
        <v/>
      </c>
      <c r="U234" s="7" t="str">
        <f t="shared" si="80"/>
        <v/>
      </c>
      <c r="V234" s="7" t="str">
        <f t="shared" si="81"/>
        <v/>
      </c>
      <c r="W234" s="7" t="str">
        <f>VLOOKUP(C234,'Tox Summary'!$N$3:$S$1048576,6,FALSE)</f>
        <v/>
      </c>
      <c r="X234" s="76" t="str">
        <f t="shared" si="82"/>
        <v/>
      </c>
      <c r="Y234" s="76" t="str">
        <f t="shared" si="83"/>
        <v/>
      </c>
      <c r="AA234" s="243"/>
    </row>
    <row r="235" spans="1:27">
      <c r="A235" s="265" t="s">
        <v>1413</v>
      </c>
      <c r="B235" s="269" t="s">
        <v>1584</v>
      </c>
      <c r="C235" s="269" t="s">
        <v>2384</v>
      </c>
      <c r="D235" s="280" t="str">
        <f>VLOOKUP(B235, 'Chem Props'!$1:$1048576,3,FALSE)</f>
        <v>No</v>
      </c>
      <c r="E235" s="598" t="str">
        <f t="shared" si="84"/>
        <v>No</v>
      </c>
      <c r="F235" s="7" t="str">
        <f t="shared" si="70"/>
        <v>No (not volatile)</v>
      </c>
      <c r="G235" s="270" t="str">
        <f t="shared" ref="G235:G298" si="93">IF(LEFT(D235,2)="No","No (not volatile)",IF(D235="unknown","unknown",IF(H235="NVT","No",IF(AND(X235="",Y235=""),"No Inhal. Tox. Info",IF(MIN(X235:Y235)&gt;=N235,"No",IF(N235&gt;H235,"Yes","No"))))))</f>
        <v>No (not volatile)</v>
      </c>
      <c r="H235" s="76" t="str">
        <f t="shared" si="86"/>
        <v>No VP</v>
      </c>
      <c r="I235" s="271" t="str">
        <f t="shared" si="87"/>
        <v>--</v>
      </c>
      <c r="J235" s="272" t="str">
        <f t="shared" si="88"/>
        <v>No VP</v>
      </c>
      <c r="K235" s="272" t="str">
        <f t="shared" si="89"/>
        <v>No VP</v>
      </c>
      <c r="L235" s="273" t="str">
        <f t="shared" si="75"/>
        <v>--</v>
      </c>
      <c r="M235" s="7" t="str">
        <f t="shared" si="76"/>
        <v>No VP</v>
      </c>
      <c r="N235" s="7" t="str">
        <f t="shared" si="90"/>
        <v>No S</v>
      </c>
      <c r="O235" s="326">
        <f t="shared" si="77"/>
        <v>25</v>
      </c>
      <c r="P235" s="224" t="str">
        <f t="shared" ref="P235:P298" si="94">IF(VLOOKUP(B235,AllChemProps,32,FALSE)&gt;0,VLOOKUP(B235,AllChemProps,32,FALSE),"")</f>
        <v/>
      </c>
      <c r="Q235" s="224" t="str">
        <f t="shared" si="78"/>
        <v/>
      </c>
      <c r="R235" s="224"/>
      <c r="S235" s="271" t="str">
        <f t="shared" si="91"/>
        <v/>
      </c>
      <c r="T235" s="7" t="str">
        <f t="shared" si="92"/>
        <v/>
      </c>
      <c r="U235" s="7" t="str">
        <f t="shared" si="80"/>
        <v/>
      </c>
      <c r="V235" s="7" t="str">
        <f t="shared" si="81"/>
        <v/>
      </c>
      <c r="W235" s="7" t="str">
        <f>VLOOKUP(C235,'Tox Summary'!$N$3:$S$1048576,6,FALSE)</f>
        <v/>
      </c>
      <c r="X235" s="76" t="str">
        <f t="shared" si="82"/>
        <v/>
      </c>
      <c r="Y235" s="76" t="str">
        <f t="shared" si="83"/>
        <v/>
      </c>
      <c r="AA235" s="243"/>
    </row>
    <row r="236" spans="1:27">
      <c r="A236" s="265"/>
      <c r="B236" s="269" t="s">
        <v>817</v>
      </c>
      <c r="C236" s="269" t="s">
        <v>1073</v>
      </c>
      <c r="D236" s="280" t="str">
        <f>VLOOKUP(B236, 'Chem Props'!$1:$1048576,3,FALSE)</f>
        <v>No</v>
      </c>
      <c r="E236" s="598" t="str">
        <f t="shared" si="84"/>
        <v>No</v>
      </c>
      <c r="F236" s="7" t="str">
        <f t="shared" si="70"/>
        <v>No (not volatile)</v>
      </c>
      <c r="G236" s="270" t="str">
        <f t="shared" si="93"/>
        <v>No (not volatile)</v>
      </c>
      <c r="H236" s="76" t="str">
        <f t="shared" si="86"/>
        <v>--</v>
      </c>
      <c r="I236" s="271" t="str">
        <f t="shared" si="87"/>
        <v>--</v>
      </c>
      <c r="J236" s="272" t="str">
        <f t="shared" si="88"/>
        <v>--</v>
      </c>
      <c r="K236" s="272" t="str">
        <f t="shared" si="89"/>
        <v>--</v>
      </c>
      <c r="L236" s="273" t="str">
        <f t="shared" si="75"/>
        <v>--</v>
      </c>
      <c r="M236" s="7">
        <f t="shared" si="76"/>
        <v>1475.541022392644</v>
      </c>
      <c r="N236" s="7">
        <f t="shared" si="90"/>
        <v>184.792</v>
      </c>
      <c r="O236" s="326">
        <f t="shared" si="77"/>
        <v>25</v>
      </c>
      <c r="P236" s="224" t="str">
        <f t="shared" si="94"/>
        <v/>
      </c>
      <c r="Q236" s="224" t="str">
        <f t="shared" si="78"/>
        <v/>
      </c>
      <c r="R236" s="224"/>
      <c r="S236" s="271" t="str">
        <f t="shared" si="91"/>
        <v/>
      </c>
      <c r="T236" s="7" t="str">
        <f t="shared" si="92"/>
        <v/>
      </c>
      <c r="U236" s="7" t="str">
        <f t="shared" si="80"/>
        <v/>
      </c>
      <c r="V236" s="7" t="str">
        <f t="shared" si="81"/>
        <v/>
      </c>
      <c r="W236" s="7" t="str">
        <f>VLOOKUP(C236,'Tox Summary'!$N$3:$S$1048576,6,FALSE)</f>
        <v/>
      </c>
      <c r="X236" s="76" t="str">
        <f t="shared" si="82"/>
        <v/>
      </c>
      <c r="Y236" s="76" t="str">
        <f t="shared" si="83"/>
        <v/>
      </c>
      <c r="AA236" s="243"/>
    </row>
    <row r="237" spans="1:27">
      <c r="A237" s="265"/>
      <c r="B237" s="344" t="s">
        <v>209</v>
      </c>
      <c r="C237" s="269" t="s">
        <v>2353</v>
      </c>
      <c r="D237" s="280" t="str">
        <f>VLOOKUP(B237, 'Chem Props'!$1:$1048576,3,FALSE)</f>
        <v>No</v>
      </c>
      <c r="E237" s="598" t="str">
        <f t="shared" si="84"/>
        <v>Yes</v>
      </c>
      <c r="F237" s="7" t="str">
        <f t="shared" si="70"/>
        <v>No (not volatile)</v>
      </c>
      <c r="G237" s="270" t="str">
        <f t="shared" si="93"/>
        <v>No (not volatile)</v>
      </c>
      <c r="H237" s="76">
        <f t="shared" si="86"/>
        <v>1.6898148148148148E-3</v>
      </c>
      <c r="I237" s="271" t="str">
        <f t="shared" si="87"/>
        <v>C</v>
      </c>
      <c r="J237" s="272" t="str">
        <f t="shared" si="88"/>
        <v>NVT</v>
      </c>
      <c r="K237" s="272" t="str">
        <f t="shared" si="89"/>
        <v>NVT</v>
      </c>
      <c r="L237" s="273" t="str">
        <f t="shared" si="75"/>
        <v>--</v>
      </c>
      <c r="M237" s="7">
        <f t="shared" si="76"/>
        <v>1.4304193961459016E-2</v>
      </c>
      <c r="N237" s="7">
        <f t="shared" si="90"/>
        <v>1.4353604999999998E-2</v>
      </c>
      <c r="O237" s="326">
        <f t="shared" si="77"/>
        <v>25</v>
      </c>
      <c r="P237" s="224" t="str">
        <f t="shared" si="94"/>
        <v/>
      </c>
      <c r="Q237" s="224" t="str">
        <f t="shared" si="78"/>
        <v/>
      </c>
      <c r="R237" s="224"/>
      <c r="S237" s="271">
        <f t="shared" si="91"/>
        <v>5.9999999999999995E-4</v>
      </c>
      <c r="T237" s="7" t="str">
        <f t="shared" si="92"/>
        <v>E</v>
      </c>
      <c r="U237" s="7" t="str">
        <f t="shared" si="80"/>
        <v/>
      </c>
      <c r="V237" s="7" t="str">
        <f t="shared" si="81"/>
        <v/>
      </c>
      <c r="W237" s="7" t="str">
        <f>VLOOKUP(C237,'Tox Summary'!$N$3:$S$1048576,6,FALSE)</f>
        <v>Mut</v>
      </c>
      <c r="X237" s="76">
        <f t="shared" si="82"/>
        <v>1.6898148148148148E-3</v>
      </c>
      <c r="Y237" s="76" t="str">
        <f t="shared" si="83"/>
        <v/>
      </c>
      <c r="AA237" s="332"/>
    </row>
    <row r="238" spans="1:27">
      <c r="A238" s="265" t="s">
        <v>1413</v>
      </c>
      <c r="B238" s="269" t="s">
        <v>210</v>
      </c>
      <c r="C238" s="269" t="s">
        <v>2354</v>
      </c>
      <c r="D238" s="280" t="str">
        <f>VLOOKUP(B238, 'Chem Props'!$1:$1048576,3,FALSE)</f>
        <v>No</v>
      </c>
      <c r="E238" s="598" t="str">
        <f t="shared" si="84"/>
        <v>Yes</v>
      </c>
      <c r="F238" s="7" t="str">
        <f t="shared" si="70"/>
        <v>No (not volatile)</v>
      </c>
      <c r="G238" s="270" t="str">
        <f t="shared" si="93"/>
        <v>No (not volatile)</v>
      </c>
      <c r="H238" s="76" t="str">
        <f t="shared" si="86"/>
        <v>NVT</v>
      </c>
      <c r="I238" s="271" t="str">
        <f t="shared" si="87"/>
        <v>C</v>
      </c>
      <c r="J238" s="272" t="str">
        <f t="shared" si="88"/>
        <v>NVT</v>
      </c>
      <c r="K238" s="272" t="str">
        <f t="shared" si="89"/>
        <v>NVT</v>
      </c>
      <c r="L238" s="273" t="str">
        <f t="shared" si="75"/>
        <v>--</v>
      </c>
      <c r="M238" s="7">
        <f t="shared" si="76"/>
        <v>1.1438302524195126E-3</v>
      </c>
      <c r="N238" s="7">
        <f t="shared" si="90"/>
        <v>4.6231289999999998E-5</v>
      </c>
      <c r="O238" s="326">
        <f t="shared" si="77"/>
        <v>25</v>
      </c>
      <c r="P238" s="224" t="str">
        <f t="shared" si="94"/>
        <v/>
      </c>
      <c r="Q238" s="224" t="str">
        <f t="shared" si="78"/>
        <v/>
      </c>
      <c r="R238" s="224"/>
      <c r="S238" s="271">
        <f t="shared" si="91"/>
        <v>1.1000000000000001E-3</v>
      </c>
      <c r="T238" s="7" t="str">
        <f t="shared" si="92"/>
        <v>CA</v>
      </c>
      <c r="U238" s="7" t="str">
        <f t="shared" si="80"/>
        <v/>
      </c>
      <c r="V238" s="7" t="str">
        <f t="shared" si="81"/>
        <v/>
      </c>
      <c r="W238" s="7" t="str">
        <f>VLOOKUP(C238,'Tox Summary'!$N$3:$S$1048576,6,FALSE)</f>
        <v/>
      </c>
      <c r="X238" s="76">
        <f t="shared" si="82"/>
        <v>2.5524475524475523E-3</v>
      </c>
      <c r="Y238" s="76" t="str">
        <f t="shared" si="83"/>
        <v/>
      </c>
      <c r="AA238" s="243"/>
    </row>
    <row r="239" spans="1:27">
      <c r="A239" s="265" t="s">
        <v>1413</v>
      </c>
      <c r="B239" s="269" t="s">
        <v>945</v>
      </c>
      <c r="C239" s="269" t="s">
        <v>2330</v>
      </c>
      <c r="D239" s="280" t="str">
        <f>VLOOKUP(B239, 'Chem Props'!$1:$1048576,3,FALSE)</f>
        <v>Yes</v>
      </c>
      <c r="E239" s="598" t="str">
        <f t="shared" si="84"/>
        <v>No</v>
      </c>
      <c r="F239" s="7" t="str">
        <f t="shared" si="70"/>
        <v>No Inhal. Tox. Info</v>
      </c>
      <c r="G239" s="270" t="str">
        <f t="shared" si="93"/>
        <v>No Inhal. Tox. Info</v>
      </c>
      <c r="H239" s="76" t="str">
        <f t="shared" si="86"/>
        <v>--</v>
      </c>
      <c r="I239" s="271" t="str">
        <f t="shared" si="87"/>
        <v>--</v>
      </c>
      <c r="J239" s="272" t="str">
        <f t="shared" si="88"/>
        <v>--</v>
      </c>
      <c r="K239" s="272" t="str">
        <f t="shared" si="89"/>
        <v>--</v>
      </c>
      <c r="L239" s="273" t="str">
        <f t="shared" si="75"/>
        <v>--</v>
      </c>
      <c r="M239" s="7">
        <f t="shared" si="76"/>
        <v>22445.581608911911</v>
      </c>
      <c r="N239" s="7">
        <f t="shared" si="90"/>
        <v>26995.11</v>
      </c>
      <c r="O239" s="326">
        <f t="shared" si="77"/>
        <v>25</v>
      </c>
      <c r="P239" s="224" t="str">
        <f t="shared" si="94"/>
        <v/>
      </c>
      <c r="Q239" s="224" t="str">
        <f t="shared" si="78"/>
        <v/>
      </c>
      <c r="R239" s="224"/>
      <c r="S239" s="271" t="str">
        <f t="shared" si="91"/>
        <v/>
      </c>
      <c r="T239" s="7" t="str">
        <f t="shared" si="92"/>
        <v/>
      </c>
      <c r="U239" s="7" t="str">
        <f t="shared" si="80"/>
        <v/>
      </c>
      <c r="V239" s="7" t="str">
        <f t="shared" si="81"/>
        <v/>
      </c>
      <c r="W239" s="7" t="str">
        <f>VLOOKUP(C239,'Tox Summary'!$N$3:$S$1048576,6,FALSE)</f>
        <v/>
      </c>
      <c r="X239" s="76" t="str">
        <f t="shared" si="82"/>
        <v/>
      </c>
      <c r="Y239" s="76" t="str">
        <f t="shared" si="83"/>
        <v/>
      </c>
      <c r="AA239" s="243"/>
    </row>
    <row r="240" spans="1:27">
      <c r="A240" s="265" t="s">
        <v>1413</v>
      </c>
      <c r="B240" s="344" t="s">
        <v>2045</v>
      </c>
      <c r="C240" s="269" t="s">
        <v>2044</v>
      </c>
      <c r="D240" s="280" t="str">
        <f>VLOOKUP(B240, 'Chem Props'!$1:$1048576,3,FALSE)</f>
        <v>Yes</v>
      </c>
      <c r="E240" s="598" t="str">
        <f t="shared" si="84"/>
        <v>No</v>
      </c>
      <c r="F240" s="7" t="str">
        <f t="shared" si="70"/>
        <v>No Inhal. Tox. Info</v>
      </c>
      <c r="G240" s="270" t="str">
        <f t="shared" si="93"/>
        <v>No Inhal. Tox. Info</v>
      </c>
      <c r="H240" s="76" t="str">
        <f t="shared" si="86"/>
        <v>--</v>
      </c>
      <c r="I240" s="271" t="str">
        <f t="shared" si="87"/>
        <v>--</v>
      </c>
      <c r="J240" s="272" t="str">
        <f t="shared" si="88"/>
        <v>--</v>
      </c>
      <c r="K240" s="272" t="str">
        <f t="shared" si="89"/>
        <v>--</v>
      </c>
      <c r="L240" s="273" t="str">
        <f t="shared" si="75"/>
        <v>--</v>
      </c>
      <c r="M240" s="7">
        <f t="shared" si="76"/>
        <v>2032.5354028132606</v>
      </c>
      <c r="N240" s="7">
        <f t="shared" si="90"/>
        <v>2031.2460000000001</v>
      </c>
      <c r="O240" s="326">
        <f t="shared" si="77"/>
        <v>25</v>
      </c>
      <c r="P240" s="224" t="str">
        <f t="shared" si="94"/>
        <v/>
      </c>
      <c r="Q240" s="224" t="str">
        <f t="shared" si="78"/>
        <v/>
      </c>
      <c r="R240" s="224"/>
      <c r="S240" s="271" t="str">
        <f t="shared" si="91"/>
        <v/>
      </c>
      <c r="T240" s="7" t="str">
        <f t="shared" si="92"/>
        <v/>
      </c>
      <c r="U240" s="7" t="str">
        <f t="shared" si="80"/>
        <v/>
      </c>
      <c r="V240" s="7" t="str">
        <f t="shared" si="81"/>
        <v/>
      </c>
      <c r="W240" s="7" t="str">
        <f>VLOOKUP(C240,'Tox Summary'!$N$3:$S$1048576,6,FALSE)</f>
        <v/>
      </c>
      <c r="X240" s="76" t="str">
        <f t="shared" si="82"/>
        <v/>
      </c>
      <c r="Y240" s="76" t="str">
        <f t="shared" si="83"/>
        <v/>
      </c>
      <c r="AA240" s="332"/>
    </row>
    <row r="241" spans="1:27">
      <c r="A241" s="265"/>
      <c r="B241" s="344" t="s">
        <v>818</v>
      </c>
      <c r="C241" s="269" t="s">
        <v>1074</v>
      </c>
      <c r="D241" s="280" t="str">
        <f>VLOOKUP(B241, 'Chem Props'!$1:$1048576,3,FALSE)</f>
        <v>Yes</v>
      </c>
      <c r="E241" s="598" t="str">
        <f t="shared" si="84"/>
        <v>Yes</v>
      </c>
      <c r="F241" s="7" t="str">
        <f t="shared" si="70"/>
        <v>Yes</v>
      </c>
      <c r="G241" s="270" t="str">
        <f t="shared" si="93"/>
        <v>Yes</v>
      </c>
      <c r="H241" s="76">
        <f t="shared" si="86"/>
        <v>1.6898148148148146E-4</v>
      </c>
      <c r="I241" s="271" t="str">
        <f t="shared" si="87"/>
        <v>C</v>
      </c>
      <c r="J241" s="272">
        <f t="shared" si="88"/>
        <v>5.6327160493827152E-3</v>
      </c>
      <c r="K241" s="272">
        <f t="shared" si="89"/>
        <v>2.8117654744164774E-2</v>
      </c>
      <c r="L241" s="273" t="str">
        <f t="shared" si="75"/>
        <v>Yes (0.2)</v>
      </c>
      <c r="M241" s="7">
        <f t="shared" si="76"/>
        <v>7375645.5806926489</v>
      </c>
      <c r="N241" s="7">
        <f t="shared" si="90"/>
        <v>7392054</v>
      </c>
      <c r="O241" s="326">
        <f t="shared" si="77"/>
        <v>25</v>
      </c>
      <c r="P241" s="224" t="str">
        <f t="shared" si="94"/>
        <v/>
      </c>
      <c r="Q241" s="224" t="str">
        <f t="shared" si="78"/>
        <v/>
      </c>
      <c r="R241" s="224"/>
      <c r="S241" s="271">
        <f t="shared" si="91"/>
        <v>6.0000000000000001E-3</v>
      </c>
      <c r="T241" s="7" t="str">
        <f t="shared" si="92"/>
        <v>P</v>
      </c>
      <c r="U241" s="7">
        <f t="shared" si="80"/>
        <v>2.0000000000000001E-4</v>
      </c>
      <c r="V241" s="7" t="str">
        <f t="shared" si="81"/>
        <v>I</v>
      </c>
      <c r="W241" s="7" t="str">
        <f>VLOOKUP(C241,'Tox Summary'!$N$3:$S$1048576,6,FALSE)</f>
        <v>Mut</v>
      </c>
      <c r="X241" s="76">
        <f t="shared" si="82"/>
        <v>1.6898148148148146E-4</v>
      </c>
      <c r="Y241" s="76">
        <f t="shared" si="83"/>
        <v>0.20857142857142857</v>
      </c>
      <c r="AA241" s="332"/>
    </row>
    <row r="242" spans="1:27">
      <c r="A242" s="265"/>
      <c r="B242" s="269" t="s">
        <v>2115</v>
      </c>
      <c r="C242" s="269" t="s">
        <v>2114</v>
      </c>
      <c r="D242" s="280" t="str">
        <f>VLOOKUP(B242, 'Chem Props'!$1:$1048576,3,FALSE)</f>
        <v>Yes</v>
      </c>
      <c r="E242" s="598" t="str">
        <f t="shared" si="84"/>
        <v>No</v>
      </c>
      <c r="F242" s="7" t="str">
        <f t="shared" si="70"/>
        <v>No Inhal. Tox. Info</v>
      </c>
      <c r="G242" s="270" t="str">
        <f t="shared" si="93"/>
        <v>No Inhal. Tox. Info</v>
      </c>
      <c r="H242" s="76" t="str">
        <f t="shared" si="86"/>
        <v>--</v>
      </c>
      <c r="I242" s="271" t="str">
        <f t="shared" si="87"/>
        <v>--</v>
      </c>
      <c r="J242" s="272" t="str">
        <f t="shared" si="88"/>
        <v>--</v>
      </c>
      <c r="K242" s="272" t="str">
        <f t="shared" si="89"/>
        <v>--</v>
      </c>
      <c r="L242" s="273" t="str">
        <f t="shared" si="75"/>
        <v>--</v>
      </c>
      <c r="M242" s="7">
        <f t="shared" si="76"/>
        <v>3409616.6249531778</v>
      </c>
      <c r="N242" s="7">
        <f t="shared" si="90"/>
        <v>3422250</v>
      </c>
      <c r="O242" s="326">
        <f t="shared" si="77"/>
        <v>25</v>
      </c>
      <c r="P242" s="224" t="str">
        <f t="shared" si="94"/>
        <v/>
      </c>
      <c r="Q242" s="224" t="str">
        <f t="shared" si="78"/>
        <v/>
      </c>
      <c r="R242" s="224"/>
      <c r="S242" s="271" t="str">
        <f t="shared" si="91"/>
        <v/>
      </c>
      <c r="T242" s="7" t="str">
        <f t="shared" si="92"/>
        <v/>
      </c>
      <c r="U242" s="7" t="str">
        <f t="shared" si="80"/>
        <v/>
      </c>
      <c r="V242" s="7" t="str">
        <f t="shared" si="81"/>
        <v/>
      </c>
      <c r="W242" s="7" t="str">
        <f>VLOOKUP(C242,'Tox Summary'!$N$3:$S$1048576,6,FALSE)</f>
        <v/>
      </c>
      <c r="X242" s="76" t="str">
        <f t="shared" si="82"/>
        <v/>
      </c>
      <c r="Y242" s="76" t="str">
        <f t="shared" si="83"/>
        <v/>
      </c>
      <c r="AA242" s="243"/>
    </row>
    <row r="243" spans="1:27">
      <c r="A243" s="265"/>
      <c r="B243" s="269" t="s">
        <v>819</v>
      </c>
      <c r="C243" s="269" t="s">
        <v>1075</v>
      </c>
      <c r="D243" s="280" t="str">
        <f>VLOOKUP(B243, 'Chem Props'!$1:$1048576,3,FALSE)</f>
        <v>Yes</v>
      </c>
      <c r="E243" s="598" t="str">
        <f t="shared" si="84"/>
        <v>No</v>
      </c>
      <c r="F243" s="7" t="str">
        <f t="shared" si="70"/>
        <v>No Inhal. Tox. Info</v>
      </c>
      <c r="G243" s="270" t="str">
        <f t="shared" si="93"/>
        <v>No Inhal. Tox. Info</v>
      </c>
      <c r="H243" s="76" t="str">
        <f t="shared" si="86"/>
        <v>--</v>
      </c>
      <c r="I243" s="271" t="str">
        <f t="shared" si="87"/>
        <v>--</v>
      </c>
      <c r="J243" s="272" t="str">
        <f t="shared" si="88"/>
        <v>--</v>
      </c>
      <c r="K243" s="272" t="str">
        <f t="shared" si="89"/>
        <v>--</v>
      </c>
      <c r="L243" s="273" t="str">
        <f t="shared" si="75"/>
        <v>--</v>
      </c>
      <c r="M243" s="7">
        <f t="shared" si="76"/>
        <v>729906.7607401628</v>
      </c>
      <c r="N243" s="7">
        <f t="shared" si="90"/>
        <v>730172</v>
      </c>
      <c r="O243" s="326">
        <f t="shared" si="77"/>
        <v>25</v>
      </c>
      <c r="P243" s="224" t="str">
        <f t="shared" si="94"/>
        <v/>
      </c>
      <c r="Q243" s="224" t="str">
        <f t="shared" si="78"/>
        <v/>
      </c>
      <c r="R243" s="224"/>
      <c r="S243" s="271" t="str">
        <f t="shared" si="91"/>
        <v/>
      </c>
      <c r="T243" s="7" t="str">
        <f t="shared" si="92"/>
        <v/>
      </c>
      <c r="U243" s="7" t="str">
        <f t="shared" si="80"/>
        <v/>
      </c>
      <c r="V243" s="7" t="str">
        <f t="shared" si="81"/>
        <v/>
      </c>
      <c r="W243" s="7" t="str">
        <f>VLOOKUP(C243,'Tox Summary'!$N$3:$S$1048576,6,FALSE)</f>
        <v/>
      </c>
      <c r="X243" s="76" t="str">
        <f t="shared" si="82"/>
        <v/>
      </c>
      <c r="Y243" s="76" t="str">
        <f t="shared" si="83"/>
        <v/>
      </c>
      <c r="AA243" s="243"/>
    </row>
    <row r="244" spans="1:27">
      <c r="A244" s="265"/>
      <c r="B244" s="269" t="s">
        <v>820</v>
      </c>
      <c r="C244" s="269" t="s">
        <v>1076</v>
      </c>
      <c r="D244" s="280" t="str">
        <f>VLOOKUP(B244, 'Chem Props'!$1:$1048576,3,FALSE)</f>
        <v>Yes</v>
      </c>
      <c r="E244" s="598" t="str">
        <f t="shared" si="84"/>
        <v>No</v>
      </c>
      <c r="F244" s="7" t="str">
        <f t="shared" si="70"/>
        <v>No Inhal. Tox. Info</v>
      </c>
      <c r="G244" s="270" t="str">
        <f t="shared" si="93"/>
        <v>No Inhal. Tox. Info</v>
      </c>
      <c r="H244" s="76" t="str">
        <f t="shared" si="86"/>
        <v>--</v>
      </c>
      <c r="I244" s="271" t="str">
        <f t="shared" si="87"/>
        <v>--</v>
      </c>
      <c r="J244" s="272" t="str">
        <f t="shared" si="88"/>
        <v>--</v>
      </c>
      <c r="K244" s="272" t="str">
        <f t="shared" si="89"/>
        <v>--</v>
      </c>
      <c r="L244" s="273" t="str">
        <f t="shared" si="75"/>
        <v>Yes (8.0E+01(F))</v>
      </c>
      <c r="M244" s="7">
        <f t="shared" si="76"/>
        <v>62088408.063013315</v>
      </c>
      <c r="N244" s="7">
        <f t="shared" si="90"/>
        <v>86430780.000000015</v>
      </c>
      <c r="O244" s="326">
        <f t="shared" si="77"/>
        <v>25</v>
      </c>
      <c r="P244" s="224" t="str">
        <f t="shared" si="94"/>
        <v/>
      </c>
      <c r="Q244" s="224" t="str">
        <f t="shared" si="78"/>
        <v/>
      </c>
      <c r="R244" s="224"/>
      <c r="S244" s="271" t="str">
        <f t="shared" si="91"/>
        <v/>
      </c>
      <c r="T244" s="7" t="str">
        <f t="shared" si="92"/>
        <v/>
      </c>
      <c r="U244" s="7" t="str">
        <f t="shared" si="80"/>
        <v/>
      </c>
      <c r="V244" s="7" t="str">
        <f t="shared" si="81"/>
        <v/>
      </c>
      <c r="W244" s="7" t="str">
        <f>VLOOKUP(C244,'Tox Summary'!$N$3:$S$1048576,6,FALSE)</f>
        <v/>
      </c>
      <c r="X244" s="76" t="str">
        <f t="shared" si="82"/>
        <v/>
      </c>
      <c r="Y244" s="76" t="str">
        <f t="shared" si="83"/>
        <v/>
      </c>
      <c r="AA244" s="243"/>
    </row>
    <row r="245" spans="1:27">
      <c r="A245" s="265" t="s">
        <v>1413</v>
      </c>
      <c r="B245" s="269" t="s">
        <v>821</v>
      </c>
      <c r="C245" s="269" t="s">
        <v>1077</v>
      </c>
      <c r="D245" s="280" t="str">
        <f>VLOOKUP(B245, 'Chem Props'!$1:$1048576,3,FALSE)</f>
        <v>Yes</v>
      </c>
      <c r="E245" s="598" t="str">
        <f t="shared" si="84"/>
        <v>Yes</v>
      </c>
      <c r="F245" s="7" t="str">
        <f t="shared" si="70"/>
        <v>Yes</v>
      </c>
      <c r="G245" s="270" t="str">
        <f t="shared" si="93"/>
        <v>Yes</v>
      </c>
      <c r="H245" s="76">
        <f t="shared" si="86"/>
        <v>4.6794871794871799E-3</v>
      </c>
      <c r="I245" s="271" t="str">
        <f t="shared" si="87"/>
        <v>C</v>
      </c>
      <c r="J245" s="272">
        <f t="shared" si="88"/>
        <v>0.15598290598290601</v>
      </c>
      <c r="K245" s="272">
        <f t="shared" si="89"/>
        <v>0.17609269133315197</v>
      </c>
      <c r="L245" s="273" t="str">
        <f t="shared" si="75"/>
        <v>No (0.05)</v>
      </c>
      <c r="M245" s="7">
        <f t="shared" si="76"/>
        <v>113215406.87872098</v>
      </c>
      <c r="N245" s="7">
        <f t="shared" si="90"/>
        <v>103904340</v>
      </c>
      <c r="O245" s="326">
        <f t="shared" si="77"/>
        <v>25</v>
      </c>
      <c r="P245" s="224" t="str">
        <f t="shared" si="94"/>
        <v/>
      </c>
      <c r="Q245" s="224" t="str">
        <f t="shared" si="78"/>
        <v/>
      </c>
      <c r="R245" s="224"/>
      <c r="S245" s="271">
        <f t="shared" si="91"/>
        <v>5.9999999999999995E-4</v>
      </c>
      <c r="T245" s="7" t="str">
        <f t="shared" si="92"/>
        <v>I</v>
      </c>
      <c r="U245" s="7">
        <f t="shared" si="80"/>
        <v>8.9999999999999993E-3</v>
      </c>
      <c r="V245" s="7" t="str">
        <f t="shared" si="81"/>
        <v>I</v>
      </c>
      <c r="W245" s="7" t="str">
        <f>VLOOKUP(C245,'Tox Summary'!$N$3:$S$1048576,6,FALSE)</f>
        <v/>
      </c>
      <c r="X245" s="76">
        <f t="shared" si="82"/>
        <v>4.6794871794871799E-3</v>
      </c>
      <c r="Y245" s="76">
        <f t="shared" si="83"/>
        <v>9.3857142857142843</v>
      </c>
      <c r="AA245" s="243"/>
    </row>
    <row r="246" spans="1:27">
      <c r="A246" s="265" t="s">
        <v>1413</v>
      </c>
      <c r="B246" s="344" t="s">
        <v>822</v>
      </c>
      <c r="C246" s="269" t="s">
        <v>1078</v>
      </c>
      <c r="D246" s="280" t="str">
        <f>VLOOKUP(B246, 'Chem Props'!$1:$1048576,3,FALSE)</f>
        <v>Yes</v>
      </c>
      <c r="E246" s="598" t="str">
        <f t="shared" si="84"/>
        <v>Yes</v>
      </c>
      <c r="F246" s="7" t="str">
        <f t="shared" si="70"/>
        <v>Yes</v>
      </c>
      <c r="G246" s="270" t="str">
        <f t="shared" si="93"/>
        <v>Yes</v>
      </c>
      <c r="H246" s="76">
        <f t="shared" si="86"/>
        <v>4.1714285714285717</v>
      </c>
      <c r="I246" s="271" t="str">
        <f t="shared" si="87"/>
        <v>NC</v>
      </c>
      <c r="J246" s="272">
        <f t="shared" si="88"/>
        <v>139.04761904761907</v>
      </c>
      <c r="K246" s="272">
        <f t="shared" si="89"/>
        <v>124.12786360218209</v>
      </c>
      <c r="L246" s="273" t="str">
        <f t="shared" si="75"/>
        <v>--</v>
      </c>
      <c r="M246" s="7">
        <f t="shared" si="76"/>
        <v>415322896.76762533</v>
      </c>
      <c r="N246" s="7">
        <f t="shared" si="90"/>
        <v>399910210</v>
      </c>
      <c r="O246" s="326">
        <f t="shared" si="77"/>
        <v>25</v>
      </c>
      <c r="P246" s="224" t="str">
        <f t="shared" si="94"/>
        <v/>
      </c>
      <c r="Q246" s="224" t="str">
        <f t="shared" si="78"/>
        <v/>
      </c>
      <c r="R246" s="224"/>
      <c r="S246" s="271" t="str">
        <f t="shared" si="91"/>
        <v/>
      </c>
      <c r="T246" s="7" t="str">
        <f t="shared" si="92"/>
        <v/>
      </c>
      <c r="U246" s="7">
        <f t="shared" si="80"/>
        <v>4.0000000000000001E-3</v>
      </c>
      <c r="V246" s="7" t="str">
        <f t="shared" si="81"/>
        <v>X</v>
      </c>
      <c r="W246" s="7" t="str">
        <f>VLOOKUP(C246,'Tox Summary'!$N$3:$S$1048576,6,FALSE)</f>
        <v/>
      </c>
      <c r="X246" s="76" t="str">
        <f t="shared" si="82"/>
        <v/>
      </c>
      <c r="Y246" s="76">
        <f t="shared" si="83"/>
        <v>4.1714285714285717</v>
      </c>
      <c r="AA246" s="332"/>
    </row>
    <row r="247" spans="1:27">
      <c r="A247" s="265" t="s">
        <v>1413</v>
      </c>
      <c r="B247" s="344" t="s">
        <v>823</v>
      </c>
      <c r="C247" s="269" t="s">
        <v>2342</v>
      </c>
      <c r="D247" s="280" t="str">
        <f>VLOOKUP(B247, 'Chem Props'!$1:$1048576,3,FALSE)</f>
        <v>No</v>
      </c>
      <c r="E247" s="598" t="str">
        <f t="shared" si="84"/>
        <v>No</v>
      </c>
      <c r="F247" s="7" t="str">
        <f t="shared" si="70"/>
        <v>No (not volatile)</v>
      </c>
      <c r="G247" s="270" t="str">
        <f t="shared" si="93"/>
        <v>No (not volatile)</v>
      </c>
      <c r="H247" s="76" t="str">
        <f t="shared" si="86"/>
        <v>--</v>
      </c>
      <c r="I247" s="271" t="str">
        <f t="shared" si="87"/>
        <v>--</v>
      </c>
      <c r="J247" s="272" t="str">
        <f t="shared" si="88"/>
        <v>--</v>
      </c>
      <c r="K247" s="272" t="str">
        <f t="shared" si="89"/>
        <v>--</v>
      </c>
      <c r="L247" s="273" t="str">
        <f t="shared" si="75"/>
        <v>--</v>
      </c>
      <c r="M247" s="7">
        <f t="shared" si="76"/>
        <v>301.051277235474</v>
      </c>
      <c r="N247" s="7">
        <f t="shared" si="90"/>
        <v>828.79999999999984</v>
      </c>
      <c r="O247" s="326">
        <f t="shared" si="77"/>
        <v>25</v>
      </c>
      <c r="P247" s="224" t="str">
        <f t="shared" si="94"/>
        <v/>
      </c>
      <c r="Q247" s="224" t="str">
        <f t="shared" si="78"/>
        <v/>
      </c>
      <c r="R247" s="224"/>
      <c r="S247" s="271" t="str">
        <f t="shared" si="91"/>
        <v/>
      </c>
      <c r="T247" s="7" t="str">
        <f t="shared" si="92"/>
        <v/>
      </c>
      <c r="U247" s="7" t="str">
        <f t="shared" si="80"/>
        <v/>
      </c>
      <c r="V247" s="7" t="str">
        <f t="shared" si="81"/>
        <v/>
      </c>
      <c r="W247" s="7" t="str">
        <f>VLOOKUP(C247,'Tox Summary'!$N$3:$S$1048576,6,FALSE)</f>
        <v/>
      </c>
      <c r="X247" s="76" t="str">
        <f t="shared" si="82"/>
        <v/>
      </c>
      <c r="Y247" s="76" t="str">
        <f t="shared" si="83"/>
        <v/>
      </c>
      <c r="AA247" s="332"/>
    </row>
    <row r="248" spans="1:27">
      <c r="A248" s="265"/>
      <c r="B248" s="344" t="s">
        <v>2168</v>
      </c>
      <c r="C248" s="269" t="s">
        <v>1079</v>
      </c>
      <c r="D248" s="280" t="str">
        <f>VLOOKUP(B248, 'Chem Props'!$1:$1048576,3,FALSE)</f>
        <v>No</v>
      </c>
      <c r="E248" s="598" t="str">
        <f t="shared" si="84"/>
        <v>No</v>
      </c>
      <c r="F248" s="7" t="str">
        <f t="shared" si="70"/>
        <v>No (not volatile)</v>
      </c>
      <c r="G248" s="270" t="str">
        <f t="shared" si="93"/>
        <v>No (not volatile)</v>
      </c>
      <c r="H248" s="76" t="str">
        <f t="shared" si="86"/>
        <v>No VP</v>
      </c>
      <c r="I248" s="271" t="str">
        <f t="shared" si="87"/>
        <v>--</v>
      </c>
      <c r="J248" s="272" t="str">
        <f t="shared" si="88"/>
        <v>No VP</v>
      </c>
      <c r="K248" s="272" t="str">
        <f t="shared" si="89"/>
        <v>No VP</v>
      </c>
      <c r="L248" s="273" t="str">
        <f t="shared" si="75"/>
        <v>--</v>
      </c>
      <c r="M248" s="7" t="str">
        <f t="shared" si="76"/>
        <v>No VP</v>
      </c>
      <c r="N248" s="7" t="str">
        <f t="shared" si="90"/>
        <v>No S</v>
      </c>
      <c r="O248" s="326">
        <f t="shared" si="77"/>
        <v>25</v>
      </c>
      <c r="P248" s="224" t="str">
        <f t="shared" si="94"/>
        <v/>
      </c>
      <c r="Q248" s="224" t="str">
        <f t="shared" si="78"/>
        <v/>
      </c>
      <c r="R248" s="224"/>
      <c r="S248" s="271" t="str">
        <f t="shared" si="91"/>
        <v/>
      </c>
      <c r="T248" s="7" t="str">
        <f t="shared" si="92"/>
        <v/>
      </c>
      <c r="U248" s="7" t="str">
        <f t="shared" si="80"/>
        <v/>
      </c>
      <c r="V248" s="7" t="str">
        <f t="shared" si="81"/>
        <v/>
      </c>
      <c r="W248" s="7" t="str">
        <f>VLOOKUP(C248,'Tox Summary'!$N$3:$S$1048576,6,FALSE)</f>
        <v/>
      </c>
      <c r="X248" s="76" t="str">
        <f t="shared" si="82"/>
        <v/>
      </c>
      <c r="Y248" s="76" t="str">
        <f t="shared" si="83"/>
        <v/>
      </c>
      <c r="AA248" s="332"/>
    </row>
    <row r="249" spans="1:27">
      <c r="A249" s="265" t="s">
        <v>1413</v>
      </c>
      <c r="B249" s="269" t="s">
        <v>1585</v>
      </c>
      <c r="C249" s="269" t="s">
        <v>2385</v>
      </c>
      <c r="D249" s="280" t="str">
        <f>VLOOKUP(B249, 'Chem Props'!$1:$1048576,3,FALSE)</f>
        <v>No</v>
      </c>
      <c r="E249" s="598" t="str">
        <f t="shared" si="84"/>
        <v>No</v>
      </c>
      <c r="F249" s="7" t="str">
        <f t="shared" si="70"/>
        <v>No (not volatile)</v>
      </c>
      <c r="G249" s="270" t="str">
        <f t="shared" si="93"/>
        <v>No (not volatile)</v>
      </c>
      <c r="H249" s="76" t="str">
        <f t="shared" si="86"/>
        <v>No VP</v>
      </c>
      <c r="I249" s="271" t="str">
        <f t="shared" si="87"/>
        <v>--</v>
      </c>
      <c r="J249" s="272" t="str">
        <f t="shared" si="88"/>
        <v>No VP</v>
      </c>
      <c r="K249" s="272" t="str">
        <f t="shared" si="89"/>
        <v>No VP</v>
      </c>
      <c r="L249" s="273" t="str">
        <f t="shared" si="75"/>
        <v>--</v>
      </c>
      <c r="M249" s="7" t="str">
        <f t="shared" si="76"/>
        <v>No VP</v>
      </c>
      <c r="N249" s="7" t="str">
        <f t="shared" si="90"/>
        <v>No S</v>
      </c>
      <c r="O249" s="326">
        <f t="shared" si="77"/>
        <v>25</v>
      </c>
      <c r="P249" s="224" t="str">
        <f t="shared" si="94"/>
        <v/>
      </c>
      <c r="Q249" s="224" t="str">
        <f t="shared" si="78"/>
        <v/>
      </c>
      <c r="R249" s="224"/>
      <c r="S249" s="271" t="str">
        <f t="shared" si="91"/>
        <v/>
      </c>
      <c r="T249" s="7" t="str">
        <f t="shared" si="92"/>
        <v/>
      </c>
      <c r="U249" s="7" t="str">
        <f t="shared" si="80"/>
        <v/>
      </c>
      <c r="V249" s="7" t="str">
        <f t="shared" si="81"/>
        <v/>
      </c>
      <c r="W249" s="7" t="str">
        <f>VLOOKUP(C249,'Tox Summary'!$N$3:$S$1048576,6,FALSE)</f>
        <v/>
      </c>
      <c r="X249" s="76" t="str">
        <f t="shared" si="82"/>
        <v/>
      </c>
      <c r="Y249" s="76" t="str">
        <f t="shared" si="83"/>
        <v/>
      </c>
      <c r="AA249" s="243"/>
    </row>
    <row r="250" spans="1:27">
      <c r="A250" s="265" t="s">
        <v>1413</v>
      </c>
      <c r="B250" s="344" t="s">
        <v>824</v>
      </c>
      <c r="C250" s="269" t="s">
        <v>1080</v>
      </c>
      <c r="D250" s="280" t="str">
        <f>VLOOKUP(B250, 'Chem Props'!$1:$1048576,3,FALSE)</f>
        <v>No</v>
      </c>
      <c r="E250" s="598" t="str">
        <f t="shared" si="84"/>
        <v>No</v>
      </c>
      <c r="F250" s="7" t="str">
        <f t="shared" si="70"/>
        <v>No (not volatile)</v>
      </c>
      <c r="G250" s="270" t="str">
        <f t="shared" si="93"/>
        <v>No (not volatile)</v>
      </c>
      <c r="H250" s="76" t="str">
        <f t="shared" si="86"/>
        <v>--</v>
      </c>
      <c r="I250" s="271" t="str">
        <f t="shared" si="87"/>
        <v>--</v>
      </c>
      <c r="J250" s="272" t="str">
        <f t="shared" si="88"/>
        <v>--</v>
      </c>
      <c r="K250" s="272" t="str">
        <f t="shared" si="89"/>
        <v>--</v>
      </c>
      <c r="L250" s="273" t="str">
        <f t="shared" si="75"/>
        <v>--</v>
      </c>
      <c r="M250" s="7">
        <f t="shared" si="76"/>
        <v>148.67367473779203</v>
      </c>
      <c r="N250" s="7">
        <f t="shared" si="90"/>
        <v>740.62874999999997</v>
      </c>
      <c r="O250" s="326">
        <f t="shared" si="77"/>
        <v>25</v>
      </c>
      <c r="P250" s="224" t="str">
        <f t="shared" si="94"/>
        <v/>
      </c>
      <c r="Q250" s="224" t="str">
        <f t="shared" si="78"/>
        <v/>
      </c>
      <c r="R250" s="224"/>
      <c r="S250" s="271" t="str">
        <f t="shared" si="91"/>
        <v/>
      </c>
      <c r="T250" s="7" t="str">
        <f t="shared" si="92"/>
        <v/>
      </c>
      <c r="U250" s="7" t="str">
        <f t="shared" si="80"/>
        <v/>
      </c>
      <c r="V250" s="7" t="str">
        <f t="shared" si="81"/>
        <v/>
      </c>
      <c r="W250" s="7" t="str">
        <f>VLOOKUP(C250,'Tox Summary'!$N$3:$S$1048576,6,FALSE)</f>
        <v/>
      </c>
      <c r="X250" s="76" t="str">
        <f t="shared" si="82"/>
        <v/>
      </c>
      <c r="Y250" s="76" t="str">
        <f t="shared" si="83"/>
        <v/>
      </c>
      <c r="AA250" s="332"/>
    </row>
    <row r="251" spans="1:27">
      <c r="A251" s="265"/>
      <c r="B251" s="269" t="s">
        <v>825</v>
      </c>
      <c r="C251" s="269" t="s">
        <v>1081</v>
      </c>
      <c r="D251" s="280" t="str">
        <f>VLOOKUP(B251, 'Chem Props'!$1:$1048576,3,FALSE)</f>
        <v>Yes</v>
      </c>
      <c r="E251" s="598" t="str">
        <f t="shared" si="84"/>
        <v>Yes</v>
      </c>
      <c r="F251" s="7" t="str">
        <f t="shared" si="70"/>
        <v>Yes</v>
      </c>
      <c r="G251" s="270" t="str">
        <f t="shared" si="93"/>
        <v>Yes</v>
      </c>
      <c r="H251" s="76">
        <f t="shared" si="86"/>
        <v>6.6849816849816855E-4</v>
      </c>
      <c r="I251" s="271" t="str">
        <f t="shared" si="87"/>
        <v>C</v>
      </c>
      <c r="J251" s="272">
        <f t="shared" si="88"/>
        <v>2.2283272283272287E-2</v>
      </c>
      <c r="K251" s="272">
        <f t="shared" si="89"/>
        <v>1.9214410660597231E-3</v>
      </c>
      <c r="L251" s="273" t="str">
        <f t="shared" si="75"/>
        <v>--</v>
      </c>
      <c r="M251" s="7">
        <f t="shared" si="76"/>
        <v>20178294.616964173</v>
      </c>
      <c r="N251" s="7">
        <f t="shared" si="90"/>
        <v>201790700</v>
      </c>
      <c r="O251" s="326">
        <f t="shared" si="77"/>
        <v>25</v>
      </c>
      <c r="P251" s="224" t="str">
        <f t="shared" si="94"/>
        <v/>
      </c>
      <c r="Q251" s="224" t="str">
        <f t="shared" si="78"/>
        <v/>
      </c>
      <c r="R251" s="224"/>
      <c r="S251" s="271">
        <f t="shared" si="91"/>
        <v>4.1999999999999997E-3</v>
      </c>
      <c r="T251" s="7" t="str">
        <f t="shared" si="92"/>
        <v>P</v>
      </c>
      <c r="U251" s="7" t="str">
        <f t="shared" si="80"/>
        <v/>
      </c>
      <c r="V251" s="7" t="str">
        <f t="shared" si="81"/>
        <v/>
      </c>
      <c r="W251" s="7" t="str">
        <f>VLOOKUP(C251,'Tox Summary'!$N$3:$S$1048576,6,FALSE)</f>
        <v/>
      </c>
      <c r="X251" s="76">
        <f t="shared" si="82"/>
        <v>6.6849816849816855E-4</v>
      </c>
      <c r="Y251" s="76" t="str">
        <f t="shared" si="83"/>
        <v/>
      </c>
      <c r="AA251" s="243"/>
    </row>
    <row r="252" spans="1:27">
      <c r="A252" s="265"/>
      <c r="B252" s="344" t="s">
        <v>826</v>
      </c>
      <c r="C252" s="269" t="s">
        <v>576</v>
      </c>
      <c r="D252" s="280" t="str">
        <f>VLOOKUP(B252, 'Chem Props'!$1:$1048576,3,FALSE)</f>
        <v>Yes</v>
      </c>
      <c r="E252" s="598" t="str">
        <f t="shared" si="84"/>
        <v>Yes</v>
      </c>
      <c r="F252" s="7" t="str">
        <f t="shared" si="70"/>
        <v>Yes</v>
      </c>
      <c r="G252" s="270" t="str">
        <f t="shared" si="93"/>
        <v>Yes</v>
      </c>
      <c r="H252" s="76">
        <f t="shared" si="86"/>
        <v>6.6849816849816855E-4</v>
      </c>
      <c r="I252" s="271" t="str">
        <f t="shared" si="87"/>
        <v>C</v>
      </c>
      <c r="J252" s="272">
        <f t="shared" si="88"/>
        <v>2.2283272283272287E-2</v>
      </c>
      <c r="K252" s="272">
        <f t="shared" si="89"/>
        <v>2.4625665594633854E-2</v>
      </c>
      <c r="L252" s="273" t="str">
        <f t="shared" si="75"/>
        <v>--</v>
      </c>
      <c r="M252" s="7">
        <f t="shared" si="76"/>
        <v>27536646.053950444</v>
      </c>
      <c r="N252" s="7">
        <f t="shared" si="90"/>
        <v>15750341.280000003</v>
      </c>
      <c r="O252" s="326">
        <f t="shared" si="77"/>
        <v>25</v>
      </c>
      <c r="P252" s="224" t="str">
        <f t="shared" si="94"/>
        <v/>
      </c>
      <c r="Q252" s="224" t="str">
        <f t="shared" si="78"/>
        <v/>
      </c>
      <c r="R252" s="224"/>
      <c r="S252" s="271">
        <f t="shared" si="91"/>
        <v>4.1999999999999997E-3</v>
      </c>
      <c r="T252" s="7" t="str">
        <f t="shared" si="92"/>
        <v>P</v>
      </c>
      <c r="U252" s="7" t="str">
        <f t="shared" si="80"/>
        <v/>
      </c>
      <c r="V252" s="7" t="str">
        <f t="shared" si="81"/>
        <v/>
      </c>
      <c r="W252" s="7" t="str">
        <f>VLOOKUP(C252,'Tox Summary'!$N$3:$S$1048576,6,FALSE)</f>
        <v/>
      </c>
      <c r="X252" s="76">
        <f t="shared" si="82"/>
        <v>6.6849816849816855E-4</v>
      </c>
      <c r="Y252" s="76" t="str">
        <f t="shared" si="83"/>
        <v/>
      </c>
      <c r="AA252" s="332"/>
    </row>
    <row r="253" spans="1:27">
      <c r="A253" s="265" t="s">
        <v>1413</v>
      </c>
      <c r="B253" s="269" t="s">
        <v>827</v>
      </c>
      <c r="C253" s="269" t="s">
        <v>577</v>
      </c>
      <c r="D253" s="280" t="str">
        <f>VLOOKUP(B253, 'Chem Props'!$1:$1048576,3,FALSE)</f>
        <v>Yes</v>
      </c>
      <c r="E253" s="598" t="str">
        <f t="shared" si="84"/>
        <v>Yes</v>
      </c>
      <c r="F253" s="7" t="str">
        <f t="shared" si="70"/>
        <v>Yes</v>
      </c>
      <c r="G253" s="270" t="str">
        <f t="shared" si="93"/>
        <v>Yes</v>
      </c>
      <c r="H253" s="76">
        <f t="shared" si="86"/>
        <v>6.6849816849816855E-4</v>
      </c>
      <c r="I253" s="271" t="str">
        <f t="shared" si="87"/>
        <v>C</v>
      </c>
      <c r="J253" s="272">
        <f t="shared" si="88"/>
        <v>2.2283272283272287E-2</v>
      </c>
      <c r="K253" s="272">
        <f t="shared" si="89"/>
        <v>2.4625665594633854E-2</v>
      </c>
      <c r="L253" s="273" t="str">
        <f t="shared" si="75"/>
        <v>--</v>
      </c>
      <c r="M253" s="7">
        <f t="shared" si="76"/>
        <v>23070516.845395707</v>
      </c>
      <c r="N253" s="7">
        <f t="shared" si="90"/>
        <v>23074440</v>
      </c>
      <c r="O253" s="326">
        <f t="shared" si="77"/>
        <v>25</v>
      </c>
      <c r="P253" s="224" t="str">
        <f t="shared" si="94"/>
        <v/>
      </c>
      <c r="Q253" s="224" t="str">
        <f t="shared" si="78"/>
        <v/>
      </c>
      <c r="R253" s="224"/>
      <c r="S253" s="271">
        <f t="shared" si="91"/>
        <v>4.1999999999999997E-3</v>
      </c>
      <c r="T253" s="7" t="str">
        <f t="shared" si="92"/>
        <v>P</v>
      </c>
      <c r="U253" s="7" t="str">
        <f t="shared" si="80"/>
        <v/>
      </c>
      <c r="V253" s="7" t="str">
        <f t="shared" si="81"/>
        <v/>
      </c>
      <c r="W253" s="7" t="str">
        <f>VLOOKUP(C253,'Tox Summary'!$N$3:$S$1048576,6,FALSE)</f>
        <v/>
      </c>
      <c r="X253" s="76">
        <f t="shared" si="82"/>
        <v>6.6849816849816855E-4</v>
      </c>
      <c r="Y253" s="76" t="str">
        <f t="shared" si="83"/>
        <v/>
      </c>
      <c r="AA253" s="243"/>
    </row>
    <row r="254" spans="1:27">
      <c r="A254" s="265" t="s">
        <v>1413</v>
      </c>
      <c r="B254" s="269" t="s">
        <v>828</v>
      </c>
      <c r="C254" s="269" t="s">
        <v>1082</v>
      </c>
      <c r="D254" s="280" t="str">
        <f>VLOOKUP(B254, 'Chem Props'!$1:$1048576,3,FALSE)</f>
        <v>No</v>
      </c>
      <c r="E254" s="598" t="str">
        <f t="shared" si="84"/>
        <v>No</v>
      </c>
      <c r="F254" s="7" t="str">
        <f t="shared" si="70"/>
        <v>No (not volatile)</v>
      </c>
      <c r="G254" s="270" t="str">
        <f t="shared" si="93"/>
        <v>No (not volatile)</v>
      </c>
      <c r="H254" s="76" t="str">
        <f t="shared" si="86"/>
        <v>--</v>
      </c>
      <c r="I254" s="271" t="str">
        <f t="shared" si="87"/>
        <v>--</v>
      </c>
      <c r="J254" s="272" t="str">
        <f t="shared" si="88"/>
        <v>--</v>
      </c>
      <c r="K254" s="272" t="str">
        <f t="shared" si="89"/>
        <v>--</v>
      </c>
      <c r="L254" s="273" t="str">
        <f t="shared" si="75"/>
        <v>No (60)</v>
      </c>
      <c r="M254" s="7">
        <f t="shared" si="76"/>
        <v>1239839.3315300269</v>
      </c>
      <c r="N254" s="7">
        <f t="shared" si="90"/>
        <v>342600</v>
      </c>
      <c r="O254" s="326">
        <f t="shared" si="77"/>
        <v>25</v>
      </c>
      <c r="P254" s="224" t="str">
        <f t="shared" si="94"/>
        <v/>
      </c>
      <c r="Q254" s="224" t="str">
        <f t="shared" si="78"/>
        <v/>
      </c>
      <c r="R254" s="224"/>
      <c r="S254" s="271" t="str">
        <f t="shared" si="91"/>
        <v/>
      </c>
      <c r="T254" s="7" t="str">
        <f t="shared" si="92"/>
        <v/>
      </c>
      <c r="U254" s="7" t="str">
        <f t="shared" si="80"/>
        <v/>
      </c>
      <c r="V254" s="7" t="str">
        <f t="shared" si="81"/>
        <v/>
      </c>
      <c r="W254" s="7" t="str">
        <f>VLOOKUP(C254,'Tox Summary'!$N$3:$S$1048576,6,FALSE)</f>
        <v/>
      </c>
      <c r="X254" s="76" t="str">
        <f t="shared" si="82"/>
        <v/>
      </c>
      <c r="Y254" s="76" t="str">
        <f t="shared" si="83"/>
        <v/>
      </c>
      <c r="AA254" s="243"/>
    </row>
    <row r="255" spans="1:27">
      <c r="A255" s="265" t="s">
        <v>1413</v>
      </c>
      <c r="B255" s="344" t="s">
        <v>829</v>
      </c>
      <c r="C255" s="269" t="s">
        <v>1083</v>
      </c>
      <c r="D255" s="280" t="str">
        <f>VLOOKUP(B255, 'Chem Props'!$1:$1048576,3,FALSE)</f>
        <v>Yes</v>
      </c>
      <c r="E255" s="598" t="str">
        <f t="shared" si="84"/>
        <v>Yes</v>
      </c>
      <c r="F255" s="7" t="str">
        <f t="shared" si="70"/>
        <v>Yes</v>
      </c>
      <c r="G255" s="270" t="str">
        <f t="shared" si="93"/>
        <v>Yes</v>
      </c>
      <c r="H255" s="76">
        <f t="shared" si="86"/>
        <v>208.57142857142858</v>
      </c>
      <c r="I255" s="271" t="str">
        <f t="shared" si="87"/>
        <v>NC</v>
      </c>
      <c r="J255" s="272">
        <f t="shared" si="88"/>
        <v>6952.3809523809532</v>
      </c>
      <c r="K255" s="272">
        <f t="shared" si="89"/>
        <v>2657.1131921120141</v>
      </c>
      <c r="L255" s="273" t="str">
        <f t="shared" si="75"/>
        <v>No (600)</v>
      </c>
      <c r="M255" s="7">
        <f t="shared" si="76"/>
        <v>10757452.426195942</v>
      </c>
      <c r="N255" s="7">
        <f t="shared" si="90"/>
        <v>12245298</v>
      </c>
      <c r="O255" s="326">
        <f t="shared" si="77"/>
        <v>25</v>
      </c>
      <c r="P255" s="224">
        <f t="shared" si="94"/>
        <v>2.2000000000000002</v>
      </c>
      <c r="Q255" s="224" t="str">
        <f t="shared" si="78"/>
        <v>N</v>
      </c>
      <c r="R255" s="224"/>
      <c r="S255" s="271" t="str">
        <f t="shared" si="91"/>
        <v/>
      </c>
      <c r="T255" s="7" t="str">
        <f t="shared" si="92"/>
        <v/>
      </c>
      <c r="U255" s="7">
        <f t="shared" si="80"/>
        <v>0.2</v>
      </c>
      <c r="V255" s="7" t="str">
        <f t="shared" si="81"/>
        <v>H</v>
      </c>
      <c r="W255" s="7" t="str">
        <f>VLOOKUP(C255,'Tox Summary'!$N$3:$S$1048576,6,FALSE)</f>
        <v/>
      </c>
      <c r="X255" s="76" t="str">
        <f t="shared" si="82"/>
        <v/>
      </c>
      <c r="Y255" s="76">
        <f t="shared" si="83"/>
        <v>208.57142857142858</v>
      </c>
      <c r="AA255" s="332"/>
    </row>
    <row r="256" spans="1:27">
      <c r="A256" s="265" t="s">
        <v>1413</v>
      </c>
      <c r="B256" s="344" t="s">
        <v>830</v>
      </c>
      <c r="C256" s="269" t="s">
        <v>1084</v>
      </c>
      <c r="D256" s="280" t="str">
        <f>VLOOKUP(B256, 'Chem Props'!$1:$1048576,3,FALSE)</f>
        <v>Yes</v>
      </c>
      <c r="E256" s="598" t="str">
        <f t="shared" si="84"/>
        <v>Yes</v>
      </c>
      <c r="F256" s="7" t="str">
        <f t="shared" si="70"/>
        <v>Yes</v>
      </c>
      <c r="G256" s="270" t="str">
        <f t="shared" si="93"/>
        <v>Yes</v>
      </c>
      <c r="H256" s="76">
        <f t="shared" si="86"/>
        <v>0.25524475524475526</v>
      </c>
      <c r="I256" s="271" t="str">
        <f t="shared" si="87"/>
        <v>C</v>
      </c>
      <c r="J256" s="272">
        <f t="shared" si="88"/>
        <v>8.5081585081585089</v>
      </c>
      <c r="K256" s="272">
        <f t="shared" si="89"/>
        <v>2.5905756447875352</v>
      </c>
      <c r="L256" s="273" t="str">
        <f t="shared" si="75"/>
        <v>Yes (75)</v>
      </c>
      <c r="M256" s="7">
        <f t="shared" si="76"/>
        <v>13763211.192338923</v>
      </c>
      <c r="N256" s="7">
        <f t="shared" si="90"/>
        <v>8010342.6599999992</v>
      </c>
      <c r="O256" s="326">
        <f t="shared" si="77"/>
        <v>25</v>
      </c>
      <c r="P256" s="224">
        <f t="shared" si="94"/>
        <v>2.5</v>
      </c>
      <c r="Q256" s="224" t="str">
        <f t="shared" si="78"/>
        <v>N</v>
      </c>
      <c r="R256" s="224"/>
      <c r="S256" s="271">
        <f t="shared" si="91"/>
        <v>1.1E-5</v>
      </c>
      <c r="T256" s="7" t="str">
        <f t="shared" si="92"/>
        <v>CA</v>
      </c>
      <c r="U256" s="7">
        <f t="shared" si="80"/>
        <v>0.8</v>
      </c>
      <c r="V256" s="7" t="str">
        <f t="shared" si="81"/>
        <v>I</v>
      </c>
      <c r="W256" s="7" t="str">
        <f>VLOOKUP(C256,'Tox Summary'!$N$3:$S$1048576,6,FALSE)</f>
        <v/>
      </c>
      <c r="X256" s="76">
        <f t="shared" si="82"/>
        <v>0.25524475524475526</v>
      </c>
      <c r="Y256" s="76">
        <f t="shared" si="83"/>
        <v>834.28571428571433</v>
      </c>
      <c r="AA256" s="332"/>
    </row>
    <row r="257" spans="1:27">
      <c r="A257" s="265"/>
      <c r="B257" s="344" t="s">
        <v>831</v>
      </c>
      <c r="C257" s="269" t="s">
        <v>1085</v>
      </c>
      <c r="D257" s="280" t="str">
        <f>VLOOKUP(B257, 'Chem Props'!$1:$1048576,3,FALSE)</f>
        <v>No</v>
      </c>
      <c r="E257" s="598" t="str">
        <f t="shared" si="84"/>
        <v>Yes</v>
      </c>
      <c r="F257" s="7" t="str">
        <f t="shared" si="70"/>
        <v>No (not volatile)</v>
      </c>
      <c r="G257" s="270" t="str">
        <f t="shared" si="93"/>
        <v>No (not volatile)</v>
      </c>
      <c r="H257" s="76">
        <f t="shared" si="86"/>
        <v>8.2579185520361992E-3</v>
      </c>
      <c r="I257" s="271" t="str">
        <f t="shared" si="87"/>
        <v>C</v>
      </c>
      <c r="J257" s="272">
        <f t="shared" si="88"/>
        <v>0.27526395173453999</v>
      </c>
      <c r="K257" s="272" t="str">
        <f t="shared" si="89"/>
        <v>NVT</v>
      </c>
      <c r="L257" s="273" t="str">
        <f t="shared" si="75"/>
        <v>--</v>
      </c>
      <c r="M257" s="7">
        <f t="shared" si="76"/>
        <v>3.486878185057035</v>
      </c>
      <c r="N257" s="7">
        <f t="shared" si="90"/>
        <v>3.5994099999999999E-3</v>
      </c>
      <c r="O257" s="326">
        <f t="shared" si="77"/>
        <v>25</v>
      </c>
      <c r="P257" s="224" t="str">
        <f t="shared" si="94"/>
        <v/>
      </c>
      <c r="Q257" s="224" t="str">
        <f t="shared" si="78"/>
        <v/>
      </c>
      <c r="R257" s="224"/>
      <c r="S257" s="271">
        <f t="shared" si="91"/>
        <v>3.4000000000000002E-4</v>
      </c>
      <c r="T257" s="7" t="str">
        <f t="shared" si="92"/>
        <v>CA</v>
      </c>
      <c r="U257" s="7" t="str">
        <f t="shared" si="80"/>
        <v/>
      </c>
      <c r="V257" s="7" t="str">
        <f t="shared" si="81"/>
        <v/>
      </c>
      <c r="W257" s="7" t="str">
        <f>VLOOKUP(C257,'Tox Summary'!$N$3:$S$1048576,6,FALSE)</f>
        <v/>
      </c>
      <c r="X257" s="76">
        <f t="shared" si="82"/>
        <v>8.2579185520361992E-3</v>
      </c>
      <c r="Y257" s="76" t="str">
        <f t="shared" si="83"/>
        <v/>
      </c>
      <c r="AA257" s="332"/>
    </row>
    <row r="258" spans="1:27">
      <c r="A258" s="265"/>
      <c r="B258" s="344" t="s">
        <v>832</v>
      </c>
      <c r="C258" s="269" t="s">
        <v>578</v>
      </c>
      <c r="D258" s="280" t="str">
        <f>VLOOKUP(B258, 'Chem Props'!$1:$1048576,3,FALSE)</f>
        <v>No</v>
      </c>
      <c r="E258" s="598" t="str">
        <f t="shared" si="84"/>
        <v>No</v>
      </c>
      <c r="F258" s="7" t="str">
        <f t="shared" si="70"/>
        <v>No (not volatile)</v>
      </c>
      <c r="G258" s="270" t="str">
        <f t="shared" si="93"/>
        <v>No (not volatile)</v>
      </c>
      <c r="H258" s="76" t="str">
        <f t="shared" si="86"/>
        <v>--</v>
      </c>
      <c r="I258" s="271" t="str">
        <f t="shared" si="87"/>
        <v>--</v>
      </c>
      <c r="J258" s="272" t="str">
        <f t="shared" si="88"/>
        <v>--</v>
      </c>
      <c r="K258" s="272" t="str">
        <f t="shared" si="89"/>
        <v>--</v>
      </c>
      <c r="L258" s="273" t="str">
        <f t="shared" si="75"/>
        <v>--</v>
      </c>
      <c r="M258" s="7">
        <f t="shared" si="76"/>
        <v>86.341195403970488</v>
      </c>
      <c r="N258" s="7">
        <f t="shared" si="90"/>
        <v>36.240409999999997</v>
      </c>
      <c r="O258" s="326">
        <f t="shared" si="77"/>
        <v>25</v>
      </c>
      <c r="P258" s="224" t="str">
        <f t="shared" si="94"/>
        <v/>
      </c>
      <c r="Q258" s="224" t="str">
        <f t="shared" si="78"/>
        <v/>
      </c>
      <c r="R258" s="224"/>
      <c r="S258" s="271" t="str">
        <f t="shared" si="91"/>
        <v/>
      </c>
      <c r="T258" s="7" t="str">
        <f t="shared" si="92"/>
        <v/>
      </c>
      <c r="U258" s="7" t="str">
        <f t="shared" si="80"/>
        <v/>
      </c>
      <c r="V258" s="7" t="str">
        <f t="shared" si="81"/>
        <v/>
      </c>
      <c r="W258" s="7" t="str">
        <f>VLOOKUP(C258,'Tox Summary'!$N$3:$S$1048576,6,FALSE)</f>
        <v/>
      </c>
      <c r="X258" s="76" t="str">
        <f t="shared" si="82"/>
        <v/>
      </c>
      <c r="Y258" s="76" t="str">
        <f t="shared" si="83"/>
        <v/>
      </c>
      <c r="AA258" s="332"/>
    </row>
    <row r="259" spans="1:27">
      <c r="A259" s="265"/>
      <c r="B259" s="344" t="s">
        <v>833</v>
      </c>
      <c r="C259" s="269" t="s">
        <v>1438</v>
      </c>
      <c r="D259" s="280" t="str">
        <f>VLOOKUP(B259, 'Chem Props'!$1:$1048576,3,FALSE)</f>
        <v>Yes</v>
      </c>
      <c r="E259" s="598" t="str">
        <f t="shared" si="84"/>
        <v>Yes</v>
      </c>
      <c r="F259" s="7" t="str">
        <f t="shared" si="70"/>
        <v>Yes</v>
      </c>
      <c r="G259" s="270" t="str">
        <f t="shared" si="93"/>
        <v>Yes</v>
      </c>
      <c r="H259" s="76">
        <f t="shared" si="86"/>
        <v>104.28571428571429</v>
      </c>
      <c r="I259" s="271" t="str">
        <f t="shared" si="87"/>
        <v>NC</v>
      </c>
      <c r="J259" s="272">
        <f t="shared" si="88"/>
        <v>3476.1904761904766</v>
      </c>
      <c r="K259" s="272">
        <f t="shared" si="89"/>
        <v>7.4368177388274166</v>
      </c>
      <c r="L259" s="273" t="str">
        <f t="shared" si="75"/>
        <v>--</v>
      </c>
      <c r="M259" s="7">
        <f t="shared" si="76"/>
        <v>31541186280.428921</v>
      </c>
      <c r="N259" s="7">
        <f t="shared" si="90"/>
        <v>3926410600</v>
      </c>
      <c r="O259" s="326">
        <f t="shared" si="77"/>
        <v>25</v>
      </c>
      <c r="P259" s="224" t="str">
        <f t="shared" si="94"/>
        <v/>
      </c>
      <c r="Q259" s="224" t="str">
        <f t="shared" si="78"/>
        <v/>
      </c>
      <c r="R259" s="224"/>
      <c r="S259" s="271" t="str">
        <f t="shared" si="91"/>
        <v/>
      </c>
      <c r="T259" s="7" t="str">
        <f t="shared" si="92"/>
        <v/>
      </c>
      <c r="U259" s="7">
        <f t="shared" si="80"/>
        <v>0.1</v>
      </c>
      <c r="V259" s="7" t="str">
        <f t="shared" si="81"/>
        <v>X</v>
      </c>
      <c r="W259" s="7" t="str">
        <f>VLOOKUP(C259,'Tox Summary'!$N$3:$S$1048576,6,FALSE)</f>
        <v/>
      </c>
      <c r="X259" s="76" t="str">
        <f t="shared" si="82"/>
        <v/>
      </c>
      <c r="Y259" s="76">
        <f t="shared" si="83"/>
        <v>104.28571428571429</v>
      </c>
      <c r="AA259" s="332"/>
    </row>
    <row r="260" spans="1:27">
      <c r="A260" s="265" t="s">
        <v>1413</v>
      </c>
      <c r="B260" s="344" t="s">
        <v>834</v>
      </c>
      <c r="C260" s="269" t="s">
        <v>1086</v>
      </c>
      <c r="D260" s="280" t="str">
        <f>VLOOKUP(B260, 'Chem Props'!$1:$1048576,3,FALSE)</f>
        <v>Yes</v>
      </c>
      <c r="E260" s="598" t="str">
        <f t="shared" si="84"/>
        <v>Yes</v>
      </c>
      <c r="F260" s="7" t="str">
        <f t="shared" si="70"/>
        <v>Yes</v>
      </c>
      <c r="G260" s="270" t="str">
        <f t="shared" si="93"/>
        <v>Yes</v>
      </c>
      <c r="H260" s="76">
        <f t="shared" si="86"/>
        <v>1.7548076923076925</v>
      </c>
      <c r="I260" s="271" t="str">
        <f t="shared" si="87"/>
        <v>C</v>
      </c>
      <c r="J260" s="272">
        <f t="shared" si="88"/>
        <v>58.493589743589752</v>
      </c>
      <c r="K260" s="272">
        <f t="shared" si="89"/>
        <v>7.6374718995438009</v>
      </c>
      <c r="L260" s="273" t="str">
        <f t="shared" si="75"/>
        <v>--</v>
      </c>
      <c r="M260" s="7">
        <f t="shared" si="76"/>
        <v>1210353731.260006</v>
      </c>
      <c r="N260" s="7">
        <f t="shared" si="90"/>
        <v>1158005016</v>
      </c>
      <c r="O260" s="326">
        <f t="shared" si="77"/>
        <v>25</v>
      </c>
      <c r="P260" s="224">
        <f t="shared" si="94"/>
        <v>5.4</v>
      </c>
      <c r="Q260" s="224" t="str">
        <f t="shared" si="78"/>
        <v>N</v>
      </c>
      <c r="R260" s="224"/>
      <c r="S260" s="271">
        <f t="shared" si="91"/>
        <v>1.5999999999999999E-6</v>
      </c>
      <c r="T260" s="7" t="str">
        <f t="shared" si="92"/>
        <v>CA</v>
      </c>
      <c r="U260" s="7" t="str">
        <f t="shared" si="80"/>
        <v/>
      </c>
      <c r="V260" s="7" t="str">
        <f t="shared" si="81"/>
        <v/>
      </c>
      <c r="W260" s="7" t="str">
        <f>VLOOKUP(C260,'Tox Summary'!$N$3:$S$1048576,6,FALSE)</f>
        <v/>
      </c>
      <c r="X260" s="76">
        <f t="shared" si="82"/>
        <v>1.7548076923076925</v>
      </c>
      <c r="Y260" s="76" t="str">
        <f t="shared" si="83"/>
        <v/>
      </c>
      <c r="AA260" s="332"/>
    </row>
    <row r="261" spans="1:27">
      <c r="A261" s="265"/>
      <c r="B261" s="344" t="s">
        <v>835</v>
      </c>
      <c r="C261" s="269" t="s">
        <v>1087</v>
      </c>
      <c r="D261" s="280" t="str">
        <f>VLOOKUP(B261, 'Chem Props'!$1:$1048576,3,FALSE)</f>
        <v>Yes</v>
      </c>
      <c r="E261" s="598" t="str">
        <f t="shared" si="84"/>
        <v>Yes</v>
      </c>
      <c r="F261" s="7" t="str">
        <f t="shared" si="70"/>
        <v>Yes</v>
      </c>
      <c r="G261" s="270" t="str">
        <f t="shared" si="93"/>
        <v>Yes</v>
      </c>
      <c r="H261" s="76">
        <f t="shared" si="86"/>
        <v>0.10798816568047336</v>
      </c>
      <c r="I261" s="271" t="str">
        <f t="shared" si="87"/>
        <v>C</v>
      </c>
      <c r="J261" s="272">
        <f t="shared" si="88"/>
        <v>3.5996055226824453</v>
      </c>
      <c r="K261" s="272">
        <f t="shared" si="89"/>
        <v>2.2384678429682299</v>
      </c>
      <c r="L261" s="273" t="str">
        <f t="shared" si="75"/>
        <v>Yes (5)</v>
      </c>
      <c r="M261" s="7">
        <f t="shared" si="76"/>
        <v>420135985.02602059</v>
      </c>
      <c r="N261" s="7">
        <f t="shared" ref="N261:N281" si="95">IF(INDEX(HLC,MATCH(C261,ChemNameChem,0))="","No HLC",IF(INDEX(Sol,MATCH(C261,ChemNameChem,0))="No S","No S",INDEX(HLC,MATCH(C261,ChemNameChem,0))*INDEX(Sol,MATCH(C261,ChemNameChem,0))*1000000))</f>
        <v>414881200</v>
      </c>
      <c r="O261" s="326">
        <f t="shared" si="77"/>
        <v>25</v>
      </c>
      <c r="P261" s="224">
        <f t="shared" si="94"/>
        <v>6.2</v>
      </c>
      <c r="Q261" s="224" t="str">
        <f t="shared" si="78"/>
        <v>N</v>
      </c>
      <c r="R261" s="224"/>
      <c r="S261" s="271">
        <f t="shared" si="91"/>
        <v>2.5999999999999998E-5</v>
      </c>
      <c r="T261" s="7" t="str">
        <f t="shared" si="92"/>
        <v>I</v>
      </c>
      <c r="U261" s="7">
        <f t="shared" si="80"/>
        <v>7.0000000000000001E-3</v>
      </c>
      <c r="V261" s="7" t="str">
        <f t="shared" si="81"/>
        <v>P</v>
      </c>
      <c r="W261" s="7" t="str">
        <f>VLOOKUP(C261,'Tox Summary'!$N$3:$S$1048576,6,FALSE)</f>
        <v/>
      </c>
      <c r="X261" s="76">
        <f t="shared" si="82"/>
        <v>0.10798816568047336</v>
      </c>
      <c r="Y261" s="76">
        <f t="shared" si="83"/>
        <v>7.3</v>
      </c>
      <c r="AA261" s="332"/>
    </row>
    <row r="262" spans="1:27">
      <c r="A262" s="265" t="s">
        <v>1413</v>
      </c>
      <c r="B262" s="344" t="s">
        <v>836</v>
      </c>
      <c r="C262" s="269" t="s">
        <v>444</v>
      </c>
      <c r="D262" s="280" t="str">
        <f>VLOOKUP(B262, 'Chem Props'!$1:$1048576,3,FALSE)</f>
        <v>Yes</v>
      </c>
      <c r="E262" s="598" t="str">
        <f t="shared" si="84"/>
        <v>Yes</v>
      </c>
      <c r="F262" s="7" t="str">
        <f t="shared" si="70"/>
        <v>Yes</v>
      </c>
      <c r="G262" s="270" t="str">
        <f t="shared" si="93"/>
        <v>Yes</v>
      </c>
      <c r="H262" s="76">
        <f t="shared" si="86"/>
        <v>208.57142857142858</v>
      </c>
      <c r="I262" s="271" t="str">
        <f t="shared" si="87"/>
        <v>NC</v>
      </c>
      <c r="J262" s="272">
        <f t="shared" si="88"/>
        <v>6952.3809523809532</v>
      </c>
      <c r="K262" s="272">
        <f t="shared" si="89"/>
        <v>195.46579861287296</v>
      </c>
      <c r="L262" s="273" t="str">
        <f t="shared" si="75"/>
        <v>No (7)</v>
      </c>
      <c r="M262" s="7">
        <f t="shared" si="76"/>
        <v>3129863349.3551598</v>
      </c>
      <c r="N262" s="7">
        <f t="shared" si="95"/>
        <v>2582256643.9999995</v>
      </c>
      <c r="O262" s="326">
        <f t="shared" si="77"/>
        <v>25</v>
      </c>
      <c r="P262" s="224">
        <f t="shared" si="94"/>
        <v>6.5</v>
      </c>
      <c r="Q262" s="224" t="str">
        <f t="shared" si="78"/>
        <v>N</v>
      </c>
      <c r="R262" s="224"/>
      <c r="S262" s="271" t="str">
        <f t="shared" si="91"/>
        <v/>
      </c>
      <c r="T262" s="7" t="str">
        <f t="shared" si="92"/>
        <v/>
      </c>
      <c r="U262" s="7">
        <f t="shared" si="80"/>
        <v>0.2</v>
      </c>
      <c r="V262" s="7" t="str">
        <f t="shared" si="81"/>
        <v>I</v>
      </c>
      <c r="W262" s="7" t="str">
        <f>VLOOKUP(C262,'Tox Summary'!$N$3:$S$1048576,6,FALSE)</f>
        <v/>
      </c>
      <c r="X262" s="76" t="str">
        <f t="shared" si="82"/>
        <v/>
      </c>
      <c r="Y262" s="76">
        <f t="shared" si="83"/>
        <v>208.57142857142858</v>
      </c>
      <c r="AA262" s="332"/>
    </row>
    <row r="263" spans="1:27">
      <c r="A263" s="265"/>
      <c r="B263" s="344" t="s">
        <v>837</v>
      </c>
      <c r="C263" s="269" t="s">
        <v>1088</v>
      </c>
      <c r="D263" s="280" t="str">
        <f>VLOOKUP(B263, 'Chem Props'!$1:$1048576,3,FALSE)</f>
        <v>Yes</v>
      </c>
      <c r="E263" s="598" t="str">
        <f t="shared" si="84"/>
        <v>No</v>
      </c>
      <c r="F263" s="7" t="str">
        <f t="shared" si="70"/>
        <v>No Inhal. Tox. Info</v>
      </c>
      <c r="G263" s="270" t="str">
        <f t="shared" si="93"/>
        <v>No Inhal. Tox. Info</v>
      </c>
      <c r="H263" s="76" t="str">
        <f t="shared" si="86"/>
        <v>--</v>
      </c>
      <c r="I263" s="271" t="str">
        <f t="shared" si="87"/>
        <v>--</v>
      </c>
      <c r="J263" s="272" t="str">
        <f t="shared" si="88"/>
        <v>--</v>
      </c>
      <c r="K263" s="272" t="str">
        <f t="shared" si="89"/>
        <v>--</v>
      </c>
      <c r="L263" s="273" t="str">
        <f t="shared" si="75"/>
        <v>No (70)</v>
      </c>
      <c r="M263" s="7">
        <f t="shared" si="76"/>
        <v>1043287783.1183865</v>
      </c>
      <c r="N263" s="7">
        <f t="shared" si="95"/>
        <v>1069206589.0000001</v>
      </c>
      <c r="O263" s="326">
        <f t="shared" si="77"/>
        <v>25</v>
      </c>
      <c r="P263" s="224">
        <f t="shared" si="94"/>
        <v>9.6999999999999993</v>
      </c>
      <c r="Q263" s="224" t="str">
        <f t="shared" si="78"/>
        <v>M</v>
      </c>
      <c r="R263" s="224"/>
      <c r="S263" s="271" t="str">
        <f t="shared" si="91"/>
        <v/>
      </c>
      <c r="T263" s="7" t="str">
        <f t="shared" si="92"/>
        <v/>
      </c>
      <c r="U263" s="7" t="str">
        <f t="shared" si="80"/>
        <v/>
      </c>
      <c r="V263" s="7" t="str">
        <f t="shared" si="81"/>
        <v/>
      </c>
      <c r="W263" s="7" t="str">
        <f>VLOOKUP(C263,'Tox Summary'!$N$3:$S$1048576,6,FALSE)</f>
        <v/>
      </c>
      <c r="X263" s="76" t="str">
        <f t="shared" si="82"/>
        <v/>
      </c>
      <c r="Y263" s="76" t="str">
        <f t="shared" si="83"/>
        <v/>
      </c>
      <c r="AA263" s="332"/>
    </row>
    <row r="264" spans="1:27">
      <c r="A264" s="265" t="s">
        <v>1413</v>
      </c>
      <c r="B264" s="269" t="s">
        <v>838</v>
      </c>
      <c r="C264" s="269" t="s">
        <v>1089</v>
      </c>
      <c r="D264" s="280" t="str">
        <f>VLOOKUP(B264, 'Chem Props'!$1:$1048576,3,FALSE)</f>
        <v>Yes</v>
      </c>
      <c r="E264" s="598" t="str">
        <f t="shared" si="84"/>
        <v>No</v>
      </c>
      <c r="F264" s="7" t="str">
        <f t="shared" si="70"/>
        <v>No Inhal. Tox. Info</v>
      </c>
      <c r="G264" s="270" t="str">
        <f t="shared" si="93"/>
        <v>No Inhal. Tox. Info</v>
      </c>
      <c r="H264" s="76" t="str">
        <f t="shared" si="86"/>
        <v>--</v>
      </c>
      <c r="I264" s="271" t="str">
        <f t="shared" si="87"/>
        <v>--</v>
      </c>
      <c r="J264" s="272" t="str">
        <f t="shared" si="88"/>
        <v>--</v>
      </c>
      <c r="K264" s="272" t="str">
        <f t="shared" si="89"/>
        <v>--</v>
      </c>
      <c r="L264" s="273" t="str">
        <f t="shared" si="75"/>
        <v>No (100)</v>
      </c>
      <c r="M264" s="7">
        <f t="shared" si="76"/>
        <v>1726641281.0609298</v>
      </c>
      <c r="N264" s="7">
        <f t="shared" si="95"/>
        <v>1733344064</v>
      </c>
      <c r="O264" s="326">
        <f t="shared" si="77"/>
        <v>25</v>
      </c>
      <c r="P264" s="224">
        <f t="shared" si="94"/>
        <v>9.6999999999999993</v>
      </c>
      <c r="Q264" s="224" t="str">
        <f t="shared" si="78"/>
        <v>M</v>
      </c>
      <c r="R264" s="224"/>
      <c r="S264" s="271" t="str">
        <f t="shared" si="91"/>
        <v/>
      </c>
      <c r="T264" s="7" t="str">
        <f t="shared" si="92"/>
        <v/>
      </c>
      <c r="U264" s="7" t="str">
        <f t="shared" si="80"/>
        <v/>
      </c>
      <c r="V264" s="7" t="str">
        <f t="shared" si="81"/>
        <v/>
      </c>
      <c r="W264" s="7" t="str">
        <f>VLOOKUP(C264,'Tox Summary'!$N$3:$S$1048576,6,FALSE)</f>
        <v/>
      </c>
      <c r="X264" s="76" t="str">
        <f t="shared" si="82"/>
        <v/>
      </c>
      <c r="Y264" s="76" t="str">
        <f t="shared" si="83"/>
        <v/>
      </c>
      <c r="AA264" s="243"/>
    </row>
    <row r="265" spans="1:27">
      <c r="A265" s="265" t="s">
        <v>1413</v>
      </c>
      <c r="B265" s="269" t="s">
        <v>839</v>
      </c>
      <c r="C265" s="269" t="s">
        <v>1090</v>
      </c>
      <c r="D265" s="280" t="str">
        <f>VLOOKUP(B265, 'Chem Props'!$1:$1048576,3,FALSE)</f>
        <v>No</v>
      </c>
      <c r="E265" s="598" t="str">
        <f t="shared" si="84"/>
        <v>No</v>
      </c>
      <c r="F265" s="7" t="str">
        <f t="shared" si="70"/>
        <v>No (not volatile)</v>
      </c>
      <c r="G265" s="270" t="str">
        <f t="shared" si="93"/>
        <v>No (not volatile)</v>
      </c>
      <c r="H265" s="76" t="str">
        <f t="shared" si="86"/>
        <v>--</v>
      </c>
      <c r="I265" s="271" t="str">
        <f t="shared" si="87"/>
        <v>--</v>
      </c>
      <c r="J265" s="272" t="str">
        <f t="shared" si="88"/>
        <v>--</v>
      </c>
      <c r="K265" s="272" t="str">
        <f t="shared" si="89"/>
        <v>--</v>
      </c>
      <c r="L265" s="273" t="str">
        <f t="shared" si="75"/>
        <v>--</v>
      </c>
      <c r="M265" s="7">
        <f t="shared" si="76"/>
        <v>789374.88541563845</v>
      </c>
      <c r="N265" s="7">
        <f t="shared" si="95"/>
        <v>973470</v>
      </c>
      <c r="O265" s="326">
        <f t="shared" si="77"/>
        <v>25</v>
      </c>
      <c r="P265" s="224" t="str">
        <f t="shared" si="94"/>
        <v/>
      </c>
      <c r="Q265" s="224" t="str">
        <f t="shared" si="78"/>
        <v/>
      </c>
      <c r="R265" s="224"/>
      <c r="S265" s="271" t="str">
        <f t="shared" si="91"/>
        <v/>
      </c>
      <c r="T265" s="7" t="str">
        <f t="shared" si="92"/>
        <v/>
      </c>
      <c r="U265" s="7" t="str">
        <f t="shared" si="80"/>
        <v/>
      </c>
      <c r="V265" s="7" t="str">
        <f t="shared" si="81"/>
        <v/>
      </c>
      <c r="W265" s="7" t="str">
        <f>VLOOKUP(C265,'Tox Summary'!$N$3:$S$1048576,6,FALSE)</f>
        <v/>
      </c>
      <c r="X265" s="76" t="str">
        <f t="shared" si="82"/>
        <v/>
      </c>
      <c r="Y265" s="76" t="str">
        <f t="shared" si="83"/>
        <v/>
      </c>
      <c r="AA265" s="243"/>
    </row>
    <row r="266" spans="1:27">
      <c r="A266" s="265"/>
      <c r="B266" s="269" t="s">
        <v>840</v>
      </c>
      <c r="C266" s="269" t="s">
        <v>1091</v>
      </c>
      <c r="D266" s="280" t="str">
        <f>VLOOKUP(B266, 'Chem Props'!$1:$1048576,3,FALSE)</f>
        <v>No</v>
      </c>
      <c r="E266" s="598" t="str">
        <f t="shared" si="84"/>
        <v>No</v>
      </c>
      <c r="F266" s="7" t="str">
        <f t="shared" si="70"/>
        <v>No (not volatile)</v>
      </c>
      <c r="G266" s="270" t="str">
        <f t="shared" si="93"/>
        <v>No (not volatile)</v>
      </c>
      <c r="H266" s="76" t="str">
        <f t="shared" si="86"/>
        <v>--</v>
      </c>
      <c r="I266" s="271" t="str">
        <f t="shared" si="87"/>
        <v>--</v>
      </c>
      <c r="J266" s="272" t="str">
        <f t="shared" si="88"/>
        <v>--</v>
      </c>
      <c r="K266" s="272" t="str">
        <f t="shared" si="89"/>
        <v>--</v>
      </c>
      <c r="L266" s="273" t="str">
        <f t="shared" si="75"/>
        <v>No (70)</v>
      </c>
      <c r="M266" s="7">
        <f t="shared" si="76"/>
        <v>981.24625326942737</v>
      </c>
      <c r="N266" s="7">
        <f t="shared" si="95"/>
        <v>979.82209999999998</v>
      </c>
      <c r="O266" s="326">
        <f t="shared" si="77"/>
        <v>25</v>
      </c>
      <c r="P266" s="224" t="str">
        <f t="shared" si="94"/>
        <v/>
      </c>
      <c r="Q266" s="224" t="str">
        <f t="shared" si="78"/>
        <v/>
      </c>
      <c r="R266" s="224"/>
      <c r="S266" s="271" t="str">
        <f t="shared" si="91"/>
        <v/>
      </c>
      <c r="T266" s="7" t="str">
        <f t="shared" si="92"/>
        <v/>
      </c>
      <c r="U266" s="7" t="str">
        <f t="shared" si="80"/>
        <v/>
      </c>
      <c r="V266" s="7" t="str">
        <f t="shared" si="81"/>
        <v/>
      </c>
      <c r="W266" s="7" t="str">
        <f>VLOOKUP(C266,'Tox Summary'!$N$3:$S$1048576,6,FALSE)</f>
        <v/>
      </c>
      <c r="X266" s="76" t="str">
        <f t="shared" si="82"/>
        <v/>
      </c>
      <c r="Y266" s="76" t="str">
        <f t="shared" si="83"/>
        <v/>
      </c>
      <c r="AA266" s="243"/>
    </row>
    <row r="267" spans="1:27">
      <c r="A267" s="265"/>
      <c r="B267" s="344" t="s">
        <v>842</v>
      </c>
      <c r="C267" s="269" t="s">
        <v>445</v>
      </c>
      <c r="D267" s="280" t="str">
        <f>VLOOKUP(B267, 'Chem Props'!$1:$1048576,3,FALSE)</f>
        <v>Yes</v>
      </c>
      <c r="E267" s="598" t="str">
        <f t="shared" si="84"/>
        <v>Yes</v>
      </c>
      <c r="F267" s="7" t="str">
        <f t="shared" si="70"/>
        <v>Yes</v>
      </c>
      <c r="G267" s="270" t="str">
        <f t="shared" si="93"/>
        <v>Yes</v>
      </c>
      <c r="H267" s="76">
        <f t="shared" si="86"/>
        <v>0.75883575883575871</v>
      </c>
      <c r="I267" s="271" t="str">
        <f t="shared" si="87"/>
        <v>C</v>
      </c>
      <c r="J267" s="272">
        <f t="shared" si="88"/>
        <v>25.29452529452529</v>
      </c>
      <c r="K267" s="272">
        <f t="shared" si="89"/>
        <v>6.5819566679569634</v>
      </c>
      <c r="L267" s="273" t="str">
        <f t="shared" si="75"/>
        <v>No (5)</v>
      </c>
      <c r="M267" s="7">
        <f t="shared" si="76"/>
        <v>324056254.97995377</v>
      </c>
      <c r="N267" s="7">
        <f t="shared" si="95"/>
        <v>322812840</v>
      </c>
      <c r="O267" s="326">
        <f t="shared" si="77"/>
        <v>25</v>
      </c>
      <c r="P267" s="224">
        <f t="shared" si="94"/>
        <v>3.4</v>
      </c>
      <c r="Q267" s="224" t="str">
        <f t="shared" si="78"/>
        <v>N</v>
      </c>
      <c r="R267" s="224"/>
      <c r="S267" s="271">
        <f t="shared" si="91"/>
        <v>3.7000000000000002E-6</v>
      </c>
      <c r="T267" s="7" t="str">
        <f t="shared" si="92"/>
        <v>P</v>
      </c>
      <c r="U267" s="7">
        <f t="shared" si="80"/>
        <v>4.0000000000000001E-3</v>
      </c>
      <c r="V267" s="7" t="str">
        <f t="shared" si="81"/>
        <v>I</v>
      </c>
      <c r="W267" s="7" t="str">
        <f>VLOOKUP(C267,'Tox Summary'!$N$3:$S$1048576,6,FALSE)</f>
        <v/>
      </c>
      <c r="X267" s="76">
        <f t="shared" si="82"/>
        <v>0.75883575883575871</v>
      </c>
      <c r="Y267" s="76">
        <f t="shared" si="83"/>
        <v>4.1714285714285717</v>
      </c>
      <c r="AA267" s="332"/>
    </row>
    <row r="268" spans="1:27">
      <c r="A268" s="265"/>
      <c r="B268" s="344" t="s">
        <v>843</v>
      </c>
      <c r="C268" s="269" t="s">
        <v>1092</v>
      </c>
      <c r="D268" s="280" t="str">
        <f>VLOOKUP(B268, 'Chem Props'!$1:$1048576,3,FALSE)</f>
        <v>Yes</v>
      </c>
      <c r="E268" s="598" t="str">
        <f t="shared" si="84"/>
        <v>No</v>
      </c>
      <c r="F268" s="7" t="str">
        <f t="shared" si="70"/>
        <v>No Inhal. Tox. Info</v>
      </c>
      <c r="G268" s="270" t="str">
        <f t="shared" si="93"/>
        <v>No Inhal. Tox. Info</v>
      </c>
      <c r="H268" s="76" t="str">
        <f t="shared" si="86"/>
        <v>--</v>
      </c>
      <c r="I268" s="271" t="str">
        <f t="shared" si="87"/>
        <v>--</v>
      </c>
      <c r="J268" s="272" t="str">
        <f t="shared" si="88"/>
        <v>--</v>
      </c>
      <c r="K268" s="272" t="str">
        <f t="shared" si="89"/>
        <v>--</v>
      </c>
      <c r="L268" s="273" t="str">
        <f t="shared" si="75"/>
        <v>--</v>
      </c>
      <c r="M268" s="7">
        <f t="shared" si="76"/>
        <v>110410161.1714064</v>
      </c>
      <c r="N268" s="7">
        <f t="shared" si="95"/>
        <v>109730224.99999999</v>
      </c>
      <c r="O268" s="326">
        <f t="shared" si="77"/>
        <v>25</v>
      </c>
      <c r="P268" s="224" t="str">
        <f t="shared" si="94"/>
        <v/>
      </c>
      <c r="Q268" s="224" t="str">
        <f t="shared" si="78"/>
        <v/>
      </c>
      <c r="R268" s="224"/>
      <c r="S268" s="271" t="str">
        <f t="shared" si="91"/>
        <v/>
      </c>
      <c r="T268" s="7" t="str">
        <f t="shared" si="92"/>
        <v/>
      </c>
      <c r="U268" s="7" t="str">
        <f t="shared" si="80"/>
        <v/>
      </c>
      <c r="V268" s="7" t="str">
        <f t="shared" si="81"/>
        <v/>
      </c>
      <c r="W268" s="7" t="str">
        <f>VLOOKUP(C268,'Tox Summary'!$N$3:$S$1048576,6,FALSE)</f>
        <v/>
      </c>
      <c r="X268" s="76" t="str">
        <f t="shared" si="82"/>
        <v/>
      </c>
      <c r="Y268" s="76" t="str">
        <f t="shared" si="83"/>
        <v/>
      </c>
      <c r="AA268" s="332"/>
    </row>
    <row r="269" spans="1:27">
      <c r="A269" s="265"/>
      <c r="B269" s="344" t="s">
        <v>844</v>
      </c>
      <c r="C269" s="269" t="s">
        <v>1093</v>
      </c>
      <c r="D269" s="280" t="str">
        <f>VLOOKUP(B269, 'Chem Props'!$1:$1048576,3,FALSE)</f>
        <v>No</v>
      </c>
      <c r="E269" s="598" t="str">
        <f t="shared" si="84"/>
        <v>No</v>
      </c>
      <c r="F269" s="7" t="str">
        <f t="shared" si="70"/>
        <v>No (not volatile)</v>
      </c>
      <c r="G269" s="270" t="str">
        <f t="shared" si="93"/>
        <v>No (not volatile)</v>
      </c>
      <c r="H269" s="76" t="str">
        <f t="shared" si="86"/>
        <v>--</v>
      </c>
      <c r="I269" s="271" t="str">
        <f t="shared" si="87"/>
        <v>--</v>
      </c>
      <c r="J269" s="272" t="str">
        <f t="shared" si="88"/>
        <v>--</v>
      </c>
      <c r="K269" s="272" t="str">
        <f t="shared" si="89"/>
        <v>--</v>
      </c>
      <c r="L269" s="273" t="str">
        <f t="shared" si="75"/>
        <v>--</v>
      </c>
      <c r="M269" s="7">
        <f t="shared" si="76"/>
        <v>1277106.3279097772</v>
      </c>
      <c r="N269" s="7">
        <f t="shared" si="95"/>
        <v>9451.8995999999988</v>
      </c>
      <c r="O269" s="326">
        <f t="shared" si="77"/>
        <v>25</v>
      </c>
      <c r="P269" s="224" t="str">
        <f t="shared" si="94"/>
        <v/>
      </c>
      <c r="Q269" s="224" t="str">
        <f t="shared" si="78"/>
        <v/>
      </c>
      <c r="R269" s="224"/>
      <c r="S269" s="271" t="str">
        <f t="shared" si="91"/>
        <v/>
      </c>
      <c r="T269" s="7" t="str">
        <f t="shared" si="92"/>
        <v/>
      </c>
      <c r="U269" s="7" t="str">
        <f t="shared" si="80"/>
        <v/>
      </c>
      <c r="V269" s="7" t="str">
        <f t="shared" si="81"/>
        <v/>
      </c>
      <c r="W269" s="7" t="str">
        <f>VLOOKUP(C269,'Tox Summary'!$N$3:$S$1048576,6,FALSE)</f>
        <v/>
      </c>
      <c r="X269" s="76" t="str">
        <f t="shared" si="82"/>
        <v/>
      </c>
      <c r="Y269" s="76" t="str">
        <f t="shared" si="83"/>
        <v/>
      </c>
      <c r="AA269" s="332"/>
    </row>
    <row r="270" spans="1:27">
      <c r="A270" s="265"/>
      <c r="B270" s="344" t="s">
        <v>845</v>
      </c>
      <c r="C270" s="269" t="s">
        <v>1094</v>
      </c>
      <c r="D270" s="280" t="str">
        <f>VLOOKUP(B270, 'Chem Props'!$1:$1048576,3,FALSE)</f>
        <v>Yes</v>
      </c>
      <c r="E270" s="598" t="str">
        <f t="shared" si="84"/>
        <v>Yes</v>
      </c>
      <c r="F270" s="7" t="str">
        <f t="shared" si="70"/>
        <v>Yes</v>
      </c>
      <c r="G270" s="270" t="str">
        <f t="shared" si="93"/>
        <v>Yes</v>
      </c>
      <c r="H270" s="76">
        <f t="shared" si="86"/>
        <v>0.70192307692307687</v>
      </c>
      <c r="I270" s="271" t="str">
        <f t="shared" si="87"/>
        <v>C</v>
      </c>
      <c r="J270" s="272">
        <f t="shared" si="88"/>
        <v>23.397435897435898</v>
      </c>
      <c r="K270" s="272">
        <f t="shared" si="89"/>
        <v>4.8363493337789656</v>
      </c>
      <c r="L270" s="273" t="str">
        <f t="shared" si="75"/>
        <v>--</v>
      </c>
      <c r="M270" s="7">
        <f t="shared" si="76"/>
        <v>203019472.06376931</v>
      </c>
      <c r="N270" s="7">
        <f t="shared" si="95"/>
        <v>406377720</v>
      </c>
      <c r="O270" s="326">
        <f t="shared" si="77"/>
        <v>25</v>
      </c>
      <c r="P270" s="224">
        <f t="shared" si="94"/>
        <v>5.3</v>
      </c>
      <c r="Q270" s="224" t="str">
        <f t="shared" si="78"/>
        <v>N</v>
      </c>
      <c r="R270" s="224"/>
      <c r="S270" s="271">
        <f t="shared" si="91"/>
        <v>3.9999999999999998E-6</v>
      </c>
      <c r="T270" s="7" t="str">
        <f t="shared" si="92"/>
        <v>I</v>
      </c>
      <c r="U270" s="7">
        <f t="shared" si="80"/>
        <v>0.02</v>
      </c>
      <c r="V270" s="7" t="str">
        <f t="shared" si="81"/>
        <v>I</v>
      </c>
      <c r="W270" s="7" t="str">
        <f>VLOOKUP(C270,'Tox Summary'!$N$3:$S$1048576,6,FALSE)</f>
        <v/>
      </c>
      <c r="X270" s="76">
        <f t="shared" si="82"/>
        <v>0.70192307692307687</v>
      </c>
      <c r="Y270" s="76">
        <f t="shared" si="83"/>
        <v>20.857142857142858</v>
      </c>
      <c r="AA270" s="332"/>
    </row>
    <row r="271" spans="1:27">
      <c r="A271" s="265"/>
      <c r="B271" s="344" t="s">
        <v>846</v>
      </c>
      <c r="C271" s="269" t="s">
        <v>1403</v>
      </c>
      <c r="D271" s="280" t="str">
        <f>VLOOKUP(B271, 'Chem Props'!$1:$1048576,3,FALSE)</f>
        <v>No</v>
      </c>
      <c r="E271" s="598" t="str">
        <f t="shared" si="84"/>
        <v>Yes</v>
      </c>
      <c r="F271" s="7" t="str">
        <f t="shared" si="70"/>
        <v>No (not volatile)</v>
      </c>
      <c r="G271" s="270" t="str">
        <f t="shared" si="93"/>
        <v>No (not volatile)</v>
      </c>
      <c r="H271" s="76">
        <f t="shared" si="86"/>
        <v>3.3827618164967564E-2</v>
      </c>
      <c r="I271" s="271" t="str">
        <f t="shared" si="87"/>
        <v>C</v>
      </c>
      <c r="J271" s="272">
        <f t="shared" si="88"/>
        <v>1.1275872721655855</v>
      </c>
      <c r="K271" s="272">
        <f t="shared" si="89"/>
        <v>1439.4731134028752</v>
      </c>
      <c r="L271" s="273" t="str">
        <f t="shared" si="75"/>
        <v>--</v>
      </c>
      <c r="M271" s="7">
        <f t="shared" si="76"/>
        <v>187277.98086718321</v>
      </c>
      <c r="N271" s="7">
        <f t="shared" si="95"/>
        <v>188000</v>
      </c>
      <c r="O271" s="326">
        <f t="shared" si="77"/>
        <v>25</v>
      </c>
      <c r="P271" s="224" t="str">
        <f t="shared" si="94"/>
        <v/>
      </c>
      <c r="Q271" s="224" t="str">
        <f t="shared" si="78"/>
        <v/>
      </c>
      <c r="R271" s="224"/>
      <c r="S271" s="271">
        <f t="shared" si="91"/>
        <v>8.2999999999999998E-5</v>
      </c>
      <c r="T271" s="7" t="str">
        <f t="shared" si="92"/>
        <v>CA</v>
      </c>
      <c r="U271" s="7">
        <f t="shared" si="80"/>
        <v>5.0000000000000001E-4</v>
      </c>
      <c r="V271" s="7" t="str">
        <f t="shared" si="81"/>
        <v>I</v>
      </c>
      <c r="W271" s="7" t="str">
        <f>VLOOKUP(C271,'Tox Summary'!$N$3:$S$1048576,6,FALSE)</f>
        <v/>
      </c>
      <c r="X271" s="76">
        <f t="shared" si="82"/>
        <v>3.3827618164967564E-2</v>
      </c>
      <c r="Y271" s="76">
        <f t="shared" si="83"/>
        <v>0.52142857142857146</v>
      </c>
      <c r="AA271" s="332"/>
    </row>
    <row r="272" spans="1:27">
      <c r="A272" s="265"/>
      <c r="B272" s="344" t="s">
        <v>694</v>
      </c>
      <c r="C272" s="269" t="s">
        <v>2308</v>
      </c>
      <c r="D272" s="280" t="str">
        <f>VLOOKUP(B272, 'Chem Props'!$1:$1048576,3,FALSE)</f>
        <v>No</v>
      </c>
      <c r="E272" s="598" t="str">
        <f t="shared" si="84"/>
        <v>No</v>
      </c>
      <c r="F272" s="7" t="str">
        <f t="shared" si="70"/>
        <v>No (not volatile)</v>
      </c>
      <c r="G272" s="270" t="str">
        <f t="shared" si="93"/>
        <v>No (not volatile)</v>
      </c>
      <c r="H272" s="76" t="str">
        <f t="shared" si="86"/>
        <v>--</v>
      </c>
      <c r="I272" s="271" t="str">
        <f t="shared" si="87"/>
        <v>--</v>
      </c>
      <c r="J272" s="272" t="str">
        <f t="shared" si="88"/>
        <v>--</v>
      </c>
      <c r="K272" s="272" t="str">
        <f t="shared" si="89"/>
        <v>--</v>
      </c>
      <c r="L272" s="273" t="str">
        <f t="shared" si="75"/>
        <v>--</v>
      </c>
      <c r="M272" s="7">
        <f t="shared" si="76"/>
        <v>2042.0649387510325</v>
      </c>
      <c r="N272" s="7">
        <f t="shared" si="95"/>
        <v>2056.4</v>
      </c>
      <c r="O272" s="326">
        <f t="shared" si="77"/>
        <v>25</v>
      </c>
      <c r="P272" s="224" t="str">
        <f t="shared" si="94"/>
        <v/>
      </c>
      <c r="Q272" s="224" t="str">
        <f t="shared" si="78"/>
        <v/>
      </c>
      <c r="R272" s="224"/>
      <c r="S272" s="271" t="str">
        <f t="shared" si="91"/>
        <v/>
      </c>
      <c r="T272" s="7" t="str">
        <f t="shared" si="92"/>
        <v/>
      </c>
      <c r="U272" s="7" t="str">
        <f t="shared" si="80"/>
        <v/>
      </c>
      <c r="V272" s="7" t="str">
        <f t="shared" si="81"/>
        <v/>
      </c>
      <c r="W272" s="7" t="str">
        <f>VLOOKUP(C272,'Tox Summary'!$N$3:$S$1048576,6,FALSE)</f>
        <v/>
      </c>
      <c r="X272" s="76" t="str">
        <f t="shared" si="82"/>
        <v/>
      </c>
      <c r="Y272" s="76" t="str">
        <f t="shared" si="83"/>
        <v/>
      </c>
      <c r="AA272" s="332"/>
    </row>
    <row r="273" spans="1:27">
      <c r="A273" s="265"/>
      <c r="B273" s="344" t="s">
        <v>847</v>
      </c>
      <c r="C273" s="269" t="s">
        <v>1095</v>
      </c>
      <c r="D273" s="280" t="str">
        <f>VLOOKUP(B273, 'Chem Props'!$1:$1048576,3,FALSE)</f>
        <v>Yes</v>
      </c>
      <c r="E273" s="598" t="str">
        <f t="shared" si="84"/>
        <v>Yes</v>
      </c>
      <c r="F273" s="7" t="str">
        <f t="shared" si="70"/>
        <v>Yes</v>
      </c>
      <c r="G273" s="270" t="str">
        <f t="shared" si="93"/>
        <v>Yes</v>
      </c>
      <c r="H273" s="76">
        <f t="shared" si="86"/>
        <v>0.31285714285714278</v>
      </c>
      <c r="I273" s="271" t="str">
        <f t="shared" si="87"/>
        <v>NC</v>
      </c>
      <c r="J273" s="272">
        <f t="shared" si="88"/>
        <v>10.428571428571427</v>
      </c>
      <c r="K273" s="272">
        <f t="shared" si="89"/>
        <v>0.1224397690542194</v>
      </c>
      <c r="L273" s="273" t="str">
        <f t="shared" si="75"/>
        <v>--</v>
      </c>
      <c r="M273" s="7">
        <f t="shared" si="76"/>
        <v>16291196.369859278</v>
      </c>
      <c r="N273" s="7">
        <f t="shared" si="95"/>
        <v>67635937.533999994</v>
      </c>
      <c r="O273" s="326">
        <f t="shared" si="77"/>
        <v>25</v>
      </c>
      <c r="P273" s="224" t="str">
        <f t="shared" si="94"/>
        <v/>
      </c>
      <c r="Q273" s="224" t="str">
        <f t="shared" si="78"/>
        <v/>
      </c>
      <c r="R273" s="224"/>
      <c r="S273" s="271" t="str">
        <f t="shared" si="91"/>
        <v/>
      </c>
      <c r="T273" s="7" t="str">
        <f t="shared" si="92"/>
        <v/>
      </c>
      <c r="U273" s="7">
        <f t="shared" si="80"/>
        <v>2.9999999999999997E-4</v>
      </c>
      <c r="V273" s="7" t="str">
        <f t="shared" si="81"/>
        <v>X</v>
      </c>
      <c r="W273" s="7" t="str">
        <f>VLOOKUP(C273,'Tox Summary'!$N$3:$S$1048576,6,FALSE)</f>
        <v/>
      </c>
      <c r="X273" s="76" t="str">
        <f t="shared" si="82"/>
        <v/>
      </c>
      <c r="Y273" s="76">
        <f t="shared" si="83"/>
        <v>0.31285714285714278</v>
      </c>
      <c r="AA273" s="332"/>
    </row>
    <row r="274" spans="1:27">
      <c r="A274" s="265" t="s">
        <v>1413</v>
      </c>
      <c r="B274" s="344" t="s">
        <v>848</v>
      </c>
      <c r="C274" s="269" t="s">
        <v>437</v>
      </c>
      <c r="D274" s="280" t="str">
        <f>VLOOKUP(B274, 'Chem Props'!$1:$1048576,3,FALSE)</f>
        <v>No</v>
      </c>
      <c r="E274" s="598" t="str">
        <f t="shared" si="84"/>
        <v>Yes</v>
      </c>
      <c r="F274" s="7" t="str">
        <f t="shared" ref="F274:F337" si="96">IF(LEFT(D274,2)="No","No (not volatile)",IF(D274="unknown","unknown",IF(H274="NVT","No",IF(AND(X274="",Y274=""),"No Inhal. Tox. Info",IF(MIN(X274:Y274)&gt;=M274,"No",IF(M274&gt;H274,"Yes","No"))))))</f>
        <v>No (not volatile)</v>
      </c>
      <c r="G274" s="270" t="str">
        <f t="shared" si="93"/>
        <v>No (not volatile)</v>
      </c>
      <c r="H274" s="76">
        <f t="shared" si="86"/>
        <v>6.1036789297658862E-4</v>
      </c>
      <c r="I274" s="271" t="str">
        <f t="shared" si="87"/>
        <v>C</v>
      </c>
      <c r="J274" s="272">
        <f t="shared" si="88"/>
        <v>2.0345596432552956E-2</v>
      </c>
      <c r="K274" s="272">
        <f t="shared" si="89"/>
        <v>1.4930721452460582</v>
      </c>
      <c r="L274" s="273" t="str">
        <f t="shared" ref="L274:L337" si="97">IF(INDEX(MCL,MATCH(C274,ChemNameChem,0))="","--",IF(K274&lt;INDEX(MCL,MATCH(C274,ChemNameChem,0)),"Yes ("&amp;(INDEX(MCL,MATCH(C274,ChemNameChem,0)))&amp;")","No ("&amp;(INDEX(MCL,MATCH(C274,ChemNameChem,0)))&amp;")"))</f>
        <v>--</v>
      </c>
      <c r="M274" s="7">
        <f t="shared" ref="M274:M337" si="98">IF(INDEX(_VP25,MATCH(B274,CASNoChem,0))="No VP","No VP",IF(INDEX(MW,MATCH(B274,CASNoChem,0))="No MW","No MW",INDEX(MW,MATCH(B274,CASNoChem,0))*INDEX(_VP25,MATCH(B274,CASNoChem,0))*53808.7856452378))</f>
        <v>120.72323374135117</v>
      </c>
      <c r="N274" s="7">
        <f t="shared" si="95"/>
        <v>79.716000000000008</v>
      </c>
      <c r="O274" s="326">
        <f t="shared" ref="O274:O337" si="99">IF(INDEX(HTgw,MATCH(B274,CASNoChem,0),1)="",25,Tgw)</f>
        <v>25</v>
      </c>
      <c r="P274" s="224" t="str">
        <f t="shared" si="94"/>
        <v/>
      </c>
      <c r="Q274" s="224" t="str">
        <f t="shared" ref="Q274:Q337" si="100">IF(INDEX(LELsource,MATCH(B274,CASNoChem,0),1)="","",INDEX(LELsource,MATCH(B274,CASNoChem,0),1))</f>
        <v/>
      </c>
      <c r="R274" s="224"/>
      <c r="S274" s="271">
        <f t="shared" si="91"/>
        <v>4.5999999999999999E-3</v>
      </c>
      <c r="T274" s="7" t="str">
        <f t="shared" si="92"/>
        <v>I</v>
      </c>
      <c r="U274" s="7" t="str">
        <f t="shared" ref="U274:U337" si="101">IF(INDEX(RFC,MATCH(B274,CASNoTox,0))=" ","",INDEX(RFC,MATCH(B274,CASNoTox,0)))</f>
        <v/>
      </c>
      <c r="V274" s="7" t="str">
        <f t="shared" ref="V274:V337" si="102">IF(INDEX(RFCSource,MATCH(B274,CASNoTox,0))="","",SUBSTITUTE(INDEX(RFCSource,MATCH(B274,CASNoTox,0)),"C","CA"))</f>
        <v/>
      </c>
      <c r="W274" s="7" t="str">
        <f>VLOOKUP(C274,'Tox Summary'!$N$3:$S$1048576,6,FALSE)</f>
        <v/>
      </c>
      <c r="X274" s="76">
        <f t="shared" ref="X274:X337" si="103">IF(S274="","",IF(W274&lt;&gt;"TCE",TCR/(IF(AND(W274="VC",Scenario="Residential"),S274,0)+(EF*IF(W274="Mut",MMOAAF,ED)*ET*S274/(Atc*365*24))), 1/((EF*MMOAAF*ET*mIURTCE/(TCR*Atc*365*24))+EF*ED*ET*IURTCE/(TCR*Atc*365*24))))</f>
        <v>6.1036789297658862E-4</v>
      </c>
      <c r="Y274" s="76" t="str">
        <f t="shared" ref="Y274:Y337" si="104">IF(U274="","",THQ*Atnc*365*24*U274*1000/(EF*ED*ET))</f>
        <v/>
      </c>
      <c r="AA274" s="332"/>
    </row>
    <row r="275" spans="1:27">
      <c r="A275" s="265"/>
      <c r="B275" s="344" t="s">
        <v>2169</v>
      </c>
      <c r="C275" s="269" t="s">
        <v>1096</v>
      </c>
      <c r="D275" s="280" t="str">
        <f>VLOOKUP(B275, 'Chem Props'!$1:$1048576,3,FALSE)</f>
        <v>No</v>
      </c>
      <c r="E275" s="598" t="str">
        <f t="shared" ref="E275:E338" si="105">IF(OR(ISNUMBER(S275),ISNUMBER(U275)),"Yes","No")</f>
        <v>Yes</v>
      </c>
      <c r="F275" s="7" t="str">
        <f t="shared" si="96"/>
        <v>No (not volatile)</v>
      </c>
      <c r="G275" s="270" t="str">
        <f t="shared" si="93"/>
        <v>No (not volatile)</v>
      </c>
      <c r="H275" s="76" t="str">
        <f t="shared" si="86"/>
        <v>No VP</v>
      </c>
      <c r="I275" s="271" t="str">
        <f t="shared" si="87"/>
        <v>C</v>
      </c>
      <c r="J275" s="272" t="str">
        <f t="shared" si="88"/>
        <v>No VP</v>
      </c>
      <c r="K275" s="272" t="str">
        <f t="shared" si="89"/>
        <v>No VP</v>
      </c>
      <c r="L275" s="273" t="str">
        <f t="shared" si="97"/>
        <v>--</v>
      </c>
      <c r="M275" s="7" t="str">
        <f t="shared" si="98"/>
        <v>No VP</v>
      </c>
      <c r="N275" s="7" t="str">
        <f t="shared" si="95"/>
        <v>No S</v>
      </c>
      <c r="O275" s="326">
        <f t="shared" si="99"/>
        <v>25</v>
      </c>
      <c r="P275" s="224" t="str">
        <f t="shared" si="94"/>
        <v/>
      </c>
      <c r="Q275" s="224" t="str">
        <f t="shared" si="100"/>
        <v/>
      </c>
      <c r="R275" s="224"/>
      <c r="S275" s="271">
        <f t="shared" si="91"/>
        <v>2.9999999999999997E-4</v>
      </c>
      <c r="T275" s="7" t="str">
        <f t="shared" si="92"/>
        <v>CA</v>
      </c>
      <c r="U275" s="7">
        <f t="shared" si="101"/>
        <v>5.0000000000000001E-3</v>
      </c>
      <c r="V275" s="7" t="str">
        <f t="shared" si="102"/>
        <v>I</v>
      </c>
      <c r="W275" s="7" t="str">
        <f>VLOOKUP(C275,'Tox Summary'!$N$3:$S$1048576,6,FALSE)</f>
        <v/>
      </c>
      <c r="X275" s="76">
        <f t="shared" si="103"/>
        <v>9.3589743589743597E-3</v>
      </c>
      <c r="Y275" s="76">
        <f t="shared" si="104"/>
        <v>5.2142857142857144</v>
      </c>
      <c r="AA275" s="332"/>
    </row>
    <row r="276" spans="1:27">
      <c r="A276" s="265" t="s">
        <v>1413</v>
      </c>
      <c r="B276" s="269" t="s">
        <v>849</v>
      </c>
      <c r="C276" s="269" t="s">
        <v>579</v>
      </c>
      <c r="D276" s="280" t="str">
        <f>VLOOKUP(B276, 'Chem Props'!$1:$1048576,3,FALSE)</f>
        <v>No</v>
      </c>
      <c r="E276" s="598" t="str">
        <f t="shared" si="105"/>
        <v>Yes</v>
      </c>
      <c r="F276" s="7" t="str">
        <f t="shared" si="96"/>
        <v>No (not volatile)</v>
      </c>
      <c r="G276" s="270" t="str">
        <f t="shared" si="93"/>
        <v>No (not volatile)</v>
      </c>
      <c r="H276" s="76">
        <f t="shared" si="86"/>
        <v>0.20857142857142857</v>
      </c>
      <c r="I276" s="271" t="str">
        <f t="shared" si="87"/>
        <v>NC</v>
      </c>
      <c r="J276" s="272">
        <f t="shared" si="88"/>
        <v>6.9523809523809526</v>
      </c>
      <c r="K276" s="272">
        <f t="shared" si="89"/>
        <v>131823681.31173591</v>
      </c>
      <c r="L276" s="273" t="str">
        <f t="shared" si="97"/>
        <v>--</v>
      </c>
      <c r="M276" s="7">
        <f t="shared" si="98"/>
        <v>1584.0876023672845</v>
      </c>
      <c r="N276" s="7">
        <f t="shared" si="95"/>
        <v>1582.2</v>
      </c>
      <c r="O276" s="326">
        <f t="shared" si="99"/>
        <v>25</v>
      </c>
      <c r="P276" s="224" t="str">
        <f t="shared" si="94"/>
        <v/>
      </c>
      <c r="Q276" s="224" t="str">
        <f t="shared" si="100"/>
        <v/>
      </c>
      <c r="R276" s="224"/>
      <c r="S276" s="271" t="str">
        <f t="shared" si="91"/>
        <v/>
      </c>
      <c r="T276" s="7" t="str">
        <f t="shared" si="92"/>
        <v/>
      </c>
      <c r="U276" s="7">
        <f t="shared" si="101"/>
        <v>2.0000000000000001E-4</v>
      </c>
      <c r="V276" s="7" t="str">
        <f t="shared" si="102"/>
        <v>P</v>
      </c>
      <c r="W276" s="7" t="str">
        <f>VLOOKUP(C276,'Tox Summary'!$N$3:$S$1048576,6,FALSE)</f>
        <v/>
      </c>
      <c r="X276" s="76" t="str">
        <f t="shared" si="103"/>
        <v/>
      </c>
      <c r="Y276" s="76">
        <f t="shared" si="104"/>
        <v>0.20857142857142857</v>
      </c>
      <c r="AA276" s="243"/>
    </row>
    <row r="277" spans="1:27">
      <c r="A277" s="265"/>
      <c r="B277" s="269" t="s">
        <v>850</v>
      </c>
      <c r="C277" s="269" t="s">
        <v>2343</v>
      </c>
      <c r="D277" s="280" t="str">
        <f>VLOOKUP(B277, 'Chem Props'!$1:$1048576,3,FALSE)</f>
        <v>No</v>
      </c>
      <c r="E277" s="598" t="str">
        <f t="shared" si="105"/>
        <v>No</v>
      </c>
      <c r="F277" s="7" t="str">
        <f t="shared" si="96"/>
        <v>No (not volatile)</v>
      </c>
      <c r="G277" s="270" t="str">
        <f t="shared" si="93"/>
        <v>No (not volatile)</v>
      </c>
      <c r="H277" s="76" t="str">
        <f t="shared" si="86"/>
        <v>--</v>
      </c>
      <c r="I277" s="271" t="str">
        <f t="shared" si="87"/>
        <v>--</v>
      </c>
      <c r="J277" s="272" t="str">
        <f t="shared" si="88"/>
        <v>--</v>
      </c>
      <c r="K277" s="272" t="str">
        <f t="shared" si="89"/>
        <v>--</v>
      </c>
      <c r="L277" s="273" t="str">
        <f t="shared" si="97"/>
        <v>--</v>
      </c>
      <c r="M277" s="7">
        <f t="shared" si="98"/>
        <v>25112.775495775062</v>
      </c>
      <c r="N277" s="7">
        <f t="shared" si="95"/>
        <v>26892</v>
      </c>
      <c r="O277" s="326">
        <f t="shared" si="99"/>
        <v>25</v>
      </c>
      <c r="P277" s="224" t="str">
        <f t="shared" si="94"/>
        <v/>
      </c>
      <c r="Q277" s="224" t="str">
        <f t="shared" si="100"/>
        <v/>
      </c>
      <c r="R277" s="224"/>
      <c r="S277" s="271" t="str">
        <f t="shared" si="91"/>
        <v/>
      </c>
      <c r="T277" s="7" t="str">
        <f t="shared" si="92"/>
        <v/>
      </c>
      <c r="U277" s="7" t="str">
        <f t="shared" si="101"/>
        <v/>
      </c>
      <c r="V277" s="7" t="str">
        <f t="shared" si="102"/>
        <v/>
      </c>
      <c r="W277" s="7" t="str">
        <f>VLOOKUP(C277,'Tox Summary'!$N$3:$S$1048576,6,FALSE)</f>
        <v/>
      </c>
      <c r="X277" s="76" t="str">
        <f t="shared" si="103"/>
        <v/>
      </c>
      <c r="Y277" s="76" t="str">
        <f t="shared" si="104"/>
        <v/>
      </c>
      <c r="AA277" s="243"/>
    </row>
    <row r="278" spans="1:27">
      <c r="A278" s="265"/>
      <c r="B278" s="269" t="s">
        <v>851</v>
      </c>
      <c r="C278" s="269" t="s">
        <v>528</v>
      </c>
      <c r="D278" s="280" t="str">
        <f>VLOOKUP(B278, 'Chem Props'!$1:$1048576,3,FALSE)</f>
        <v>No</v>
      </c>
      <c r="E278" s="598" t="str">
        <f t="shared" si="105"/>
        <v>Yes</v>
      </c>
      <c r="F278" s="7" t="str">
        <f t="shared" si="96"/>
        <v>No (not volatile)</v>
      </c>
      <c r="G278" s="270" t="str">
        <f t="shared" si="93"/>
        <v>No (not volatile)</v>
      </c>
      <c r="H278" s="76">
        <f t="shared" si="86"/>
        <v>0.10428571428571429</v>
      </c>
      <c r="I278" s="271" t="str">
        <f t="shared" si="87"/>
        <v>NC</v>
      </c>
      <c r="J278" s="272">
        <f t="shared" si="88"/>
        <v>3.4761904761904763</v>
      </c>
      <c r="K278" s="272">
        <f t="shared" si="89"/>
        <v>354279.50226156501</v>
      </c>
      <c r="L278" s="273" t="str">
        <f t="shared" si="97"/>
        <v>--</v>
      </c>
      <c r="M278" s="7">
        <f t="shared" si="98"/>
        <v>191173.84456546971</v>
      </c>
      <c r="N278" s="7">
        <f t="shared" si="95"/>
        <v>294360</v>
      </c>
      <c r="O278" s="326">
        <f t="shared" si="99"/>
        <v>25</v>
      </c>
      <c r="P278" s="224" t="str">
        <f t="shared" si="94"/>
        <v/>
      </c>
      <c r="Q278" s="224" t="str">
        <f t="shared" si="100"/>
        <v/>
      </c>
      <c r="R278" s="224"/>
      <c r="S278" s="271" t="str">
        <f t="shared" si="91"/>
        <v/>
      </c>
      <c r="T278" s="7" t="str">
        <f t="shared" si="92"/>
        <v/>
      </c>
      <c r="U278" s="7">
        <f t="shared" si="101"/>
        <v>1E-4</v>
      </c>
      <c r="V278" s="7" t="str">
        <f t="shared" si="102"/>
        <v>P</v>
      </c>
      <c r="W278" s="7" t="str">
        <f>VLOOKUP(C278,'Tox Summary'!$N$3:$S$1048576,6,FALSE)</f>
        <v/>
      </c>
      <c r="X278" s="76" t="str">
        <f t="shared" si="103"/>
        <v/>
      </c>
      <c r="Y278" s="76">
        <f t="shared" si="104"/>
        <v>0.10428571428571429</v>
      </c>
      <c r="AA278" s="243"/>
    </row>
    <row r="279" spans="1:27">
      <c r="A279" s="265"/>
      <c r="B279" s="344" t="s">
        <v>852</v>
      </c>
      <c r="C279" s="269" t="s">
        <v>529</v>
      </c>
      <c r="D279" s="280" t="str">
        <f>VLOOKUP(B279, 'Chem Props'!$1:$1048576,3,FALSE)</f>
        <v>No</v>
      </c>
      <c r="E279" s="598" t="str">
        <f t="shared" si="105"/>
        <v>Yes</v>
      </c>
      <c r="F279" s="7" t="str">
        <f t="shared" si="96"/>
        <v>No (not volatile)</v>
      </c>
      <c r="G279" s="270" t="str">
        <f t="shared" si="93"/>
        <v>No (not volatile)</v>
      </c>
      <c r="H279" s="76">
        <f t="shared" si="86"/>
        <v>0.31285714285714278</v>
      </c>
      <c r="I279" s="271" t="str">
        <f t="shared" si="87"/>
        <v>NC</v>
      </c>
      <c r="J279" s="272">
        <f t="shared" si="88"/>
        <v>10.428571428571427</v>
      </c>
      <c r="K279" s="272">
        <f t="shared" si="89"/>
        <v>343161.7576776566</v>
      </c>
      <c r="L279" s="273" t="str">
        <f t="shared" si="97"/>
        <v>--</v>
      </c>
      <c r="M279" s="7">
        <f t="shared" si="98"/>
        <v>909727.92009262904</v>
      </c>
      <c r="N279" s="7">
        <f t="shared" si="95"/>
        <v>911690</v>
      </c>
      <c r="O279" s="326">
        <f t="shared" si="99"/>
        <v>25</v>
      </c>
      <c r="P279" s="224" t="str">
        <f t="shared" si="94"/>
        <v/>
      </c>
      <c r="Q279" s="224" t="str">
        <f t="shared" si="100"/>
        <v/>
      </c>
      <c r="R279" s="224"/>
      <c r="S279" s="271" t="str">
        <f t="shared" si="91"/>
        <v/>
      </c>
      <c r="T279" s="7" t="str">
        <f t="shared" si="92"/>
        <v/>
      </c>
      <c r="U279" s="7">
        <f t="shared" si="101"/>
        <v>2.9999999999999997E-4</v>
      </c>
      <c r="V279" s="7" t="str">
        <f t="shared" si="102"/>
        <v>P</v>
      </c>
      <c r="W279" s="7" t="str">
        <f>VLOOKUP(C279,'Tox Summary'!$N$3:$S$1048576,6,FALSE)</f>
        <v/>
      </c>
      <c r="X279" s="76" t="str">
        <f t="shared" si="103"/>
        <v/>
      </c>
      <c r="Y279" s="76">
        <f t="shared" si="104"/>
        <v>0.31285714285714278</v>
      </c>
      <c r="AA279" s="332"/>
    </row>
    <row r="280" spans="1:27">
      <c r="A280" s="265"/>
      <c r="B280" s="344" t="s">
        <v>853</v>
      </c>
      <c r="C280" s="269" t="s">
        <v>1097</v>
      </c>
      <c r="D280" s="280" t="str">
        <f>VLOOKUP(B280, 'Chem Props'!$1:$1048576,3,FALSE)</f>
        <v>Yes</v>
      </c>
      <c r="E280" s="598" t="str">
        <f t="shared" si="105"/>
        <v>No</v>
      </c>
      <c r="F280" s="7" t="str">
        <f t="shared" si="96"/>
        <v>No Inhal. Tox. Info</v>
      </c>
      <c r="G280" s="270" t="str">
        <f t="shared" si="93"/>
        <v>No Inhal. Tox. Info</v>
      </c>
      <c r="H280" s="76" t="str">
        <f t="shared" si="86"/>
        <v>--</v>
      </c>
      <c r="I280" s="271" t="str">
        <f t="shared" si="87"/>
        <v>--</v>
      </c>
      <c r="J280" s="272" t="str">
        <f t="shared" si="88"/>
        <v>--</v>
      </c>
      <c r="K280" s="272" t="str">
        <f t="shared" si="89"/>
        <v>--</v>
      </c>
      <c r="L280" s="273" t="str">
        <f t="shared" si="97"/>
        <v>--</v>
      </c>
      <c r="M280" s="7">
        <f t="shared" si="98"/>
        <v>6585737.9882991221</v>
      </c>
      <c r="N280" s="7">
        <f t="shared" si="95"/>
        <v>5314800</v>
      </c>
      <c r="O280" s="326">
        <f t="shared" si="99"/>
        <v>25</v>
      </c>
      <c r="P280" s="224" t="str">
        <f t="shared" si="94"/>
        <v/>
      </c>
      <c r="Q280" s="224" t="str">
        <f t="shared" si="100"/>
        <v/>
      </c>
      <c r="R280" s="224"/>
      <c r="S280" s="271" t="str">
        <f t="shared" si="91"/>
        <v/>
      </c>
      <c r="T280" s="7" t="str">
        <f t="shared" si="92"/>
        <v/>
      </c>
      <c r="U280" s="7" t="str">
        <f t="shared" si="101"/>
        <v/>
      </c>
      <c r="V280" s="7" t="str">
        <f t="shared" si="102"/>
        <v/>
      </c>
      <c r="W280" s="7" t="str">
        <f>VLOOKUP(C280,'Tox Summary'!$N$3:$S$1048576,6,FALSE)</f>
        <v/>
      </c>
      <c r="X280" s="76" t="str">
        <f t="shared" si="103"/>
        <v/>
      </c>
      <c r="Y280" s="76" t="str">
        <f t="shared" si="104"/>
        <v/>
      </c>
      <c r="AA280" s="332"/>
    </row>
    <row r="281" spans="1:27">
      <c r="A281" s="265"/>
      <c r="B281" s="344" t="s">
        <v>854</v>
      </c>
      <c r="C281" s="269" t="s">
        <v>1404</v>
      </c>
      <c r="D281" s="280" t="str">
        <f>VLOOKUP(B281, 'Chem Props'!$1:$1048576,3,FALSE)</f>
        <v>No</v>
      </c>
      <c r="E281" s="598" t="str">
        <f t="shared" si="105"/>
        <v>Yes</v>
      </c>
      <c r="F281" s="7" t="str">
        <f t="shared" si="96"/>
        <v>No (not volatile)</v>
      </c>
      <c r="G281" s="270" t="str">
        <f t="shared" si="93"/>
        <v>No (not volatile)</v>
      </c>
      <c r="H281" s="76">
        <f t="shared" si="86"/>
        <v>2.8076923076923075E-5</v>
      </c>
      <c r="I281" s="271" t="str">
        <f t="shared" si="87"/>
        <v>C</v>
      </c>
      <c r="J281" s="272">
        <f t="shared" si="88"/>
        <v>9.3589743589743586E-4</v>
      </c>
      <c r="K281" s="272" t="str">
        <f t="shared" si="89"/>
        <v>NVT</v>
      </c>
      <c r="L281" s="273" t="str">
        <f t="shared" si="97"/>
        <v>--</v>
      </c>
      <c r="M281" s="7">
        <f t="shared" si="98"/>
        <v>0.20360577259215984</v>
      </c>
      <c r="N281" s="7">
        <f t="shared" si="95"/>
        <v>2.8452E-3</v>
      </c>
      <c r="O281" s="326">
        <f t="shared" si="99"/>
        <v>25</v>
      </c>
      <c r="P281" s="224" t="str">
        <f t="shared" si="94"/>
        <v/>
      </c>
      <c r="Q281" s="224" t="str">
        <f t="shared" si="100"/>
        <v/>
      </c>
      <c r="R281" s="224"/>
      <c r="S281" s="271">
        <f t="shared" si="91"/>
        <v>0.1</v>
      </c>
      <c r="T281" s="7" t="str">
        <f t="shared" si="92"/>
        <v>CA</v>
      </c>
      <c r="U281" s="7" t="str">
        <f t="shared" si="101"/>
        <v/>
      </c>
      <c r="V281" s="7" t="str">
        <f t="shared" si="102"/>
        <v/>
      </c>
      <c r="W281" s="7" t="str">
        <f>VLOOKUP(C281,'Tox Summary'!$N$3:$S$1048576,6,FALSE)</f>
        <v/>
      </c>
      <c r="X281" s="76">
        <f t="shared" si="103"/>
        <v>2.8076923076923075E-5</v>
      </c>
      <c r="Y281" s="76" t="str">
        <f t="shared" si="104"/>
        <v/>
      </c>
      <c r="AA281" s="332"/>
    </row>
    <row r="282" spans="1:27">
      <c r="A282" s="265"/>
      <c r="B282" s="269" t="s">
        <v>855</v>
      </c>
      <c r="C282" s="269" t="s">
        <v>1098</v>
      </c>
      <c r="D282" s="280" t="str">
        <f>VLOOKUP(B282, 'Chem Props'!$1:$1048576,3,FALSE)</f>
        <v>No</v>
      </c>
      <c r="E282" s="598" t="str">
        <f t="shared" si="105"/>
        <v>No</v>
      </c>
      <c r="F282" s="7" t="str">
        <f t="shared" si="96"/>
        <v>No (not volatile)</v>
      </c>
      <c r="G282" s="270" t="str">
        <f t="shared" si="93"/>
        <v>No (not volatile)</v>
      </c>
      <c r="H282" s="76" t="str">
        <f t="shared" si="86"/>
        <v>--</v>
      </c>
      <c r="I282" s="271" t="str">
        <f t="shared" si="87"/>
        <v>--</v>
      </c>
      <c r="J282" s="272" t="str">
        <f t="shared" si="88"/>
        <v>--</v>
      </c>
      <c r="K282" s="272" t="str">
        <f t="shared" si="89"/>
        <v>--</v>
      </c>
      <c r="L282" s="273" t="str">
        <f t="shared" si="97"/>
        <v>--</v>
      </c>
      <c r="M282" s="7">
        <f t="shared" si="98"/>
        <v>7.9324890274695288E-5</v>
      </c>
      <c r="N282" s="7"/>
      <c r="O282" s="326">
        <f t="shared" si="99"/>
        <v>25</v>
      </c>
      <c r="P282" s="224" t="str">
        <f t="shared" si="94"/>
        <v/>
      </c>
      <c r="Q282" s="224" t="str">
        <f t="shared" si="100"/>
        <v/>
      </c>
      <c r="R282" s="224"/>
      <c r="S282" s="271" t="str">
        <f t="shared" si="91"/>
        <v/>
      </c>
      <c r="T282" s="7" t="str">
        <f t="shared" si="92"/>
        <v/>
      </c>
      <c r="U282" s="7" t="str">
        <f t="shared" si="101"/>
        <v/>
      </c>
      <c r="V282" s="7" t="str">
        <f t="shared" si="102"/>
        <v/>
      </c>
      <c r="W282" s="7" t="str">
        <f>VLOOKUP(C282,'Tox Summary'!$N$3:$S$1048576,6,FALSE)</f>
        <v/>
      </c>
      <c r="X282" s="76" t="str">
        <f t="shared" si="103"/>
        <v/>
      </c>
      <c r="Y282" s="76" t="str">
        <f t="shared" si="104"/>
        <v/>
      </c>
      <c r="AA282" s="243"/>
    </row>
    <row r="283" spans="1:27">
      <c r="A283" s="265"/>
      <c r="B283" s="344" t="s">
        <v>856</v>
      </c>
      <c r="C283" s="269" t="s">
        <v>1099</v>
      </c>
      <c r="D283" s="280" t="str">
        <f>VLOOKUP(B283, 'Chem Props'!$1:$1048576,3,FALSE)</f>
        <v>No</v>
      </c>
      <c r="E283" s="598" t="str">
        <f t="shared" si="105"/>
        <v>No</v>
      </c>
      <c r="F283" s="7" t="str">
        <f t="shared" si="96"/>
        <v>No (not volatile)</v>
      </c>
      <c r="G283" s="270" t="str">
        <f t="shared" si="93"/>
        <v>No (not volatile)</v>
      </c>
      <c r="H283" s="76" t="str">
        <f t="shared" si="86"/>
        <v>--</v>
      </c>
      <c r="I283" s="271" t="str">
        <f t="shared" si="87"/>
        <v>--</v>
      </c>
      <c r="J283" s="272" t="str">
        <f t="shared" si="88"/>
        <v>--</v>
      </c>
      <c r="K283" s="272" t="str">
        <f t="shared" si="89"/>
        <v>--</v>
      </c>
      <c r="L283" s="273" t="str">
        <f t="shared" si="97"/>
        <v>--</v>
      </c>
      <c r="M283" s="7">
        <f t="shared" si="98"/>
        <v>1.5046066450907038E-2</v>
      </c>
      <c r="N283" s="7">
        <f t="shared" ref="N283:N330" si="106">IF(INDEX(HLC,MATCH(C283,ChemNameChem,0))="","No HLC",IF(INDEX(Sol,MATCH(C283,ChemNameChem,0))="No S","No S",INDEX(HLC,MATCH(C283,ChemNameChem,0))*INDEX(Sol,MATCH(C283,ChemNameChem,0))*1000000))</f>
        <v>1.5044799999999999E-2</v>
      </c>
      <c r="O283" s="326">
        <f t="shared" si="99"/>
        <v>25</v>
      </c>
      <c r="P283" s="224" t="str">
        <f t="shared" si="94"/>
        <v/>
      </c>
      <c r="Q283" s="224" t="str">
        <f t="shared" si="100"/>
        <v/>
      </c>
      <c r="R283" s="224"/>
      <c r="S283" s="271" t="str">
        <f t="shared" si="91"/>
        <v/>
      </c>
      <c r="T283" s="7" t="str">
        <f t="shared" si="92"/>
        <v/>
      </c>
      <c r="U283" s="7" t="str">
        <f t="shared" si="101"/>
        <v/>
      </c>
      <c r="V283" s="7" t="str">
        <f t="shared" si="102"/>
        <v/>
      </c>
      <c r="W283" s="7" t="str">
        <f>VLOOKUP(C283,'Tox Summary'!$N$3:$S$1048576,6,FALSE)</f>
        <v/>
      </c>
      <c r="X283" s="76" t="str">
        <f t="shared" si="103"/>
        <v/>
      </c>
      <c r="Y283" s="76" t="str">
        <f t="shared" si="104"/>
        <v/>
      </c>
      <c r="AA283" s="332"/>
    </row>
    <row r="284" spans="1:27">
      <c r="A284" s="265"/>
      <c r="B284" s="344" t="s">
        <v>857</v>
      </c>
      <c r="C284" s="269" t="s">
        <v>1100</v>
      </c>
      <c r="D284" s="280" t="str">
        <f>VLOOKUP(B284, 'Chem Props'!$1:$1048576,3,FALSE)</f>
        <v>Yes</v>
      </c>
      <c r="E284" s="598" t="str">
        <f t="shared" si="105"/>
        <v>Yes</v>
      </c>
      <c r="F284" s="7" t="str">
        <f t="shared" si="96"/>
        <v>Yes</v>
      </c>
      <c r="G284" s="270" t="str">
        <f t="shared" si="93"/>
        <v>Yes</v>
      </c>
      <c r="H284" s="76">
        <f t="shared" si="86"/>
        <v>41714.285714285717</v>
      </c>
      <c r="I284" s="271" t="str">
        <f t="shared" si="87"/>
        <v>NC</v>
      </c>
      <c r="J284" s="272">
        <f t="shared" si="88"/>
        <v>1390476.1904761905</v>
      </c>
      <c r="K284" s="272">
        <f t="shared" si="89"/>
        <v>50262.632583185346</v>
      </c>
      <c r="L284" s="273" t="str">
        <f t="shared" si="97"/>
        <v>--</v>
      </c>
      <c r="M284" s="7">
        <f t="shared" si="98"/>
        <v>16171264657.973886</v>
      </c>
      <c r="N284" s="7">
        <f t="shared" si="106"/>
        <v>2655764480</v>
      </c>
      <c r="O284" s="326">
        <f t="shared" si="99"/>
        <v>25</v>
      </c>
      <c r="P284" s="224" t="str">
        <f t="shared" si="94"/>
        <v/>
      </c>
      <c r="Q284" s="224" t="str">
        <f t="shared" si="100"/>
        <v/>
      </c>
      <c r="R284" s="224"/>
      <c r="S284" s="271" t="str">
        <f t="shared" si="91"/>
        <v/>
      </c>
      <c r="T284" s="7" t="str">
        <f t="shared" si="92"/>
        <v/>
      </c>
      <c r="U284" s="7">
        <f t="shared" si="101"/>
        <v>40</v>
      </c>
      <c r="V284" s="7" t="str">
        <f t="shared" si="102"/>
        <v>I</v>
      </c>
      <c r="W284" s="7" t="str">
        <f>VLOOKUP(C284,'Tox Summary'!$N$3:$S$1048576,6,FALSE)</f>
        <v/>
      </c>
      <c r="X284" s="76" t="str">
        <f t="shared" si="103"/>
        <v/>
      </c>
      <c r="Y284" s="76">
        <f t="shared" si="104"/>
        <v>41714.285714285717</v>
      </c>
      <c r="AA284" s="332"/>
    </row>
    <row r="285" spans="1:27">
      <c r="A285" s="265"/>
      <c r="B285" s="96" t="s">
        <v>2499</v>
      </c>
      <c r="C285" s="96" t="s">
        <v>2498</v>
      </c>
      <c r="D285" s="280" t="str">
        <f>VLOOKUP(B285, 'Chem Props'!$1:$1048576,3,FALSE)</f>
        <v>Yes</v>
      </c>
      <c r="E285" s="598" t="str">
        <f t="shared" si="105"/>
        <v>Yes</v>
      </c>
      <c r="F285" s="7" t="str">
        <f t="shared" si="96"/>
        <v>Yes</v>
      </c>
      <c r="G285" s="270" t="str">
        <f t="shared" si="93"/>
        <v>Yes</v>
      </c>
      <c r="H285" s="76">
        <f t="shared" si="86"/>
        <v>31285.714285714286</v>
      </c>
      <c r="I285" s="271" t="str">
        <f t="shared" si="87"/>
        <v>NC</v>
      </c>
      <c r="J285" s="272">
        <f t="shared" si="88"/>
        <v>1042857.142857143</v>
      </c>
      <c r="K285" s="272">
        <f t="shared" si="89"/>
        <v>1488.8104676292496</v>
      </c>
      <c r="L285" s="273" t="str">
        <f t="shared" si="97"/>
        <v>--</v>
      </c>
      <c r="M285" s="7">
        <f t="shared" si="98"/>
        <v>7756019886.4188337</v>
      </c>
      <c r="N285" s="7">
        <f t="shared" si="106"/>
        <v>3345412880</v>
      </c>
      <c r="O285" s="326">
        <f t="shared" si="99"/>
        <v>25</v>
      </c>
      <c r="P285" s="224" t="str">
        <f t="shared" si="94"/>
        <v/>
      </c>
      <c r="Q285" s="224" t="str">
        <f t="shared" si="100"/>
        <v/>
      </c>
      <c r="R285" s="224"/>
      <c r="S285" s="271" t="str">
        <f t="shared" si="91"/>
        <v/>
      </c>
      <c r="T285" s="7" t="str">
        <f t="shared" si="92"/>
        <v/>
      </c>
      <c r="U285" s="7">
        <f t="shared" si="101"/>
        <v>30</v>
      </c>
      <c r="V285" s="7" t="str">
        <f t="shared" si="102"/>
        <v>X</v>
      </c>
      <c r="W285" s="7" t="str">
        <f>VLOOKUP(C285,'Tox Summary'!$N$3:$S$1048576,6,FALSE)</f>
        <v/>
      </c>
      <c r="X285" s="76" t="str">
        <f t="shared" si="103"/>
        <v/>
      </c>
      <c r="Y285" s="76">
        <f t="shared" si="104"/>
        <v>31285.714285714286</v>
      </c>
      <c r="AA285" s="332"/>
    </row>
    <row r="286" spans="1:27">
      <c r="A286" s="265"/>
      <c r="B286" s="344" t="s">
        <v>858</v>
      </c>
      <c r="C286" s="269" t="s">
        <v>580</v>
      </c>
      <c r="D286" s="280" t="str">
        <f>VLOOKUP(B286, 'Chem Props'!$1:$1048576,3,FALSE)</f>
        <v>Yes</v>
      </c>
      <c r="E286" s="598" t="str">
        <f t="shared" si="105"/>
        <v>Yes</v>
      </c>
      <c r="F286" s="7" t="str">
        <f t="shared" si="96"/>
        <v>Yes</v>
      </c>
      <c r="G286" s="270" t="str">
        <f t="shared" si="93"/>
        <v>Yes</v>
      </c>
      <c r="H286" s="76">
        <f t="shared" si="86"/>
        <v>0.21597633136094671</v>
      </c>
      <c r="I286" s="271" t="str">
        <f t="shared" si="87"/>
        <v>C</v>
      </c>
      <c r="J286" s="272">
        <f t="shared" si="88"/>
        <v>7.1992110453648905</v>
      </c>
      <c r="K286" s="272">
        <f t="shared" si="89"/>
        <v>432.99184314544249</v>
      </c>
      <c r="L286" s="273" t="str">
        <f t="shared" si="97"/>
        <v>--</v>
      </c>
      <c r="M286" s="7">
        <f t="shared" si="98"/>
        <v>494812.67868505191</v>
      </c>
      <c r="N286" s="7">
        <f t="shared" si="106"/>
        <v>28366.755999999998</v>
      </c>
      <c r="O286" s="326">
        <f t="shared" si="99"/>
        <v>25</v>
      </c>
      <c r="P286" s="224" t="str">
        <f t="shared" si="94"/>
        <v/>
      </c>
      <c r="Q286" s="224" t="str">
        <f t="shared" si="100"/>
        <v/>
      </c>
      <c r="R286" s="224"/>
      <c r="S286" s="271">
        <f t="shared" si="91"/>
        <v>1.2999999999999999E-5</v>
      </c>
      <c r="T286" s="7" t="str">
        <f t="shared" si="92"/>
        <v>CA</v>
      </c>
      <c r="U286" s="7" t="str">
        <f t="shared" si="101"/>
        <v/>
      </c>
      <c r="V286" s="7" t="str">
        <f t="shared" si="102"/>
        <v/>
      </c>
      <c r="W286" s="7" t="str">
        <f>VLOOKUP(C286,'Tox Summary'!$N$3:$S$1048576,6,FALSE)</f>
        <v/>
      </c>
      <c r="X286" s="76">
        <f t="shared" si="103"/>
        <v>0.21597633136094671</v>
      </c>
      <c r="Y286" s="76" t="str">
        <f t="shared" si="104"/>
        <v/>
      </c>
      <c r="AA286" s="332"/>
    </row>
    <row r="287" spans="1:27">
      <c r="A287" s="265"/>
      <c r="B287" s="344" t="s">
        <v>859</v>
      </c>
      <c r="C287" s="269" t="s">
        <v>530</v>
      </c>
      <c r="D287" s="280" t="str">
        <f>VLOOKUP(B287, 'Chem Props'!$1:$1048576,3,FALSE)</f>
        <v>Yes</v>
      </c>
      <c r="E287" s="598" t="str">
        <f t="shared" si="105"/>
        <v>Yes</v>
      </c>
      <c r="F287" s="7" t="str">
        <f t="shared" si="96"/>
        <v>Yes</v>
      </c>
      <c r="G287" s="270" t="str">
        <f t="shared" si="93"/>
        <v>Yes</v>
      </c>
      <c r="H287" s="76">
        <f t="shared" si="86"/>
        <v>730</v>
      </c>
      <c r="I287" s="271" t="str">
        <f t="shared" si="87"/>
        <v>NC</v>
      </c>
      <c r="J287" s="272">
        <f t="shared" si="88"/>
        <v>24333.333333333336</v>
      </c>
      <c r="K287" s="272">
        <f t="shared" si="89"/>
        <v>6974.9199078546199</v>
      </c>
      <c r="L287" s="273" t="str">
        <f t="shared" si="97"/>
        <v>--</v>
      </c>
      <c r="M287" s="7">
        <f t="shared" si="98"/>
        <v>819229075.86732936</v>
      </c>
      <c r="N287" s="7">
        <f t="shared" si="106"/>
        <v>921014160</v>
      </c>
      <c r="O287" s="326">
        <f t="shared" si="99"/>
        <v>25</v>
      </c>
      <c r="P287" s="224" t="str">
        <f t="shared" si="94"/>
        <v/>
      </c>
      <c r="Q287" s="224" t="str">
        <f t="shared" si="100"/>
        <v/>
      </c>
      <c r="R287" s="224"/>
      <c r="S287" s="271" t="str">
        <f t="shared" si="91"/>
        <v/>
      </c>
      <c r="T287" s="7" t="str">
        <f t="shared" si="92"/>
        <v/>
      </c>
      <c r="U287" s="7">
        <f t="shared" si="101"/>
        <v>0.7</v>
      </c>
      <c r="V287" s="7" t="str">
        <f t="shared" si="102"/>
        <v>P</v>
      </c>
      <c r="W287" s="7" t="str">
        <f>VLOOKUP(C287,'Tox Summary'!$N$3:$S$1048576,6,FALSE)</f>
        <v/>
      </c>
      <c r="X287" s="76" t="str">
        <f t="shared" si="103"/>
        <v/>
      </c>
      <c r="Y287" s="76">
        <f t="shared" si="104"/>
        <v>730</v>
      </c>
      <c r="AA287" s="332"/>
    </row>
    <row r="288" spans="1:27">
      <c r="A288" s="265" t="s">
        <v>1413</v>
      </c>
      <c r="B288" s="344" t="s">
        <v>860</v>
      </c>
      <c r="C288" s="269" t="s">
        <v>1101</v>
      </c>
      <c r="D288" s="280" t="str">
        <f>VLOOKUP(B288, 'Chem Props'!$1:$1048576,3,FALSE)</f>
        <v>Yes</v>
      </c>
      <c r="E288" s="598" t="str">
        <f t="shared" si="105"/>
        <v>No</v>
      </c>
      <c r="F288" s="7" t="str">
        <f t="shared" si="96"/>
        <v>No Inhal. Tox. Info</v>
      </c>
      <c r="G288" s="270" t="str">
        <f t="shared" si="93"/>
        <v>No Inhal. Tox. Info</v>
      </c>
      <c r="H288" s="76" t="str">
        <f t="shared" si="86"/>
        <v>--</v>
      </c>
      <c r="I288" s="271" t="str">
        <f t="shared" si="87"/>
        <v>--</v>
      </c>
      <c r="J288" s="272" t="str">
        <f t="shared" si="88"/>
        <v>--</v>
      </c>
      <c r="K288" s="272" t="str">
        <f t="shared" si="89"/>
        <v>--</v>
      </c>
      <c r="L288" s="273" t="str">
        <f t="shared" si="97"/>
        <v>--</v>
      </c>
      <c r="M288" s="7">
        <f t="shared" si="98"/>
        <v>2210643.5594747108</v>
      </c>
      <c r="N288" s="7">
        <f t="shared" si="106"/>
        <v>2686050.0000000005</v>
      </c>
      <c r="O288" s="326">
        <f t="shared" si="99"/>
        <v>25</v>
      </c>
      <c r="P288" s="224" t="str">
        <f t="shared" si="94"/>
        <v/>
      </c>
      <c r="Q288" s="224" t="str">
        <f t="shared" si="100"/>
        <v/>
      </c>
      <c r="R288" s="224"/>
      <c r="S288" s="271" t="str">
        <f t="shared" si="91"/>
        <v/>
      </c>
      <c r="T288" s="7" t="str">
        <f t="shared" si="92"/>
        <v/>
      </c>
      <c r="U288" s="7" t="str">
        <f t="shared" si="101"/>
        <v/>
      </c>
      <c r="V288" s="7" t="str">
        <f t="shared" si="102"/>
        <v/>
      </c>
      <c r="W288" s="7" t="str">
        <f>VLOOKUP(C288,'Tox Summary'!$N$3:$S$1048576,6,FALSE)</f>
        <v/>
      </c>
      <c r="X288" s="76" t="str">
        <f t="shared" si="103"/>
        <v/>
      </c>
      <c r="Y288" s="76" t="str">
        <f t="shared" si="104"/>
        <v/>
      </c>
      <c r="AA288" s="332"/>
    </row>
    <row r="289" spans="1:27">
      <c r="A289" s="265" t="s">
        <v>1413</v>
      </c>
      <c r="B289" s="344" t="s">
        <v>1586</v>
      </c>
      <c r="C289" s="269" t="s">
        <v>2386</v>
      </c>
      <c r="D289" s="280" t="str">
        <f>VLOOKUP(B289, 'Chem Props'!$1:$1048576,3,FALSE)</f>
        <v>No</v>
      </c>
      <c r="E289" s="598" t="str">
        <f t="shared" si="105"/>
        <v>No</v>
      </c>
      <c r="F289" s="7" t="str">
        <f t="shared" si="96"/>
        <v>No (not volatile)</v>
      </c>
      <c r="G289" s="270" t="str">
        <f t="shared" si="93"/>
        <v>No (not volatile)</v>
      </c>
      <c r="H289" s="76" t="str">
        <f t="shared" si="86"/>
        <v>No VP</v>
      </c>
      <c r="I289" s="271" t="str">
        <f t="shared" si="87"/>
        <v>--</v>
      </c>
      <c r="J289" s="272" t="str">
        <f t="shared" si="88"/>
        <v>No VP</v>
      </c>
      <c r="K289" s="272" t="str">
        <f t="shared" si="89"/>
        <v>No VP</v>
      </c>
      <c r="L289" s="273" t="str">
        <f t="shared" si="97"/>
        <v>--</v>
      </c>
      <c r="M289" s="7" t="str">
        <f t="shared" si="98"/>
        <v>No VP</v>
      </c>
      <c r="N289" s="7" t="str">
        <f t="shared" si="106"/>
        <v>No S</v>
      </c>
      <c r="O289" s="326">
        <f t="shared" si="99"/>
        <v>25</v>
      </c>
      <c r="P289" s="224" t="str">
        <f t="shared" si="94"/>
        <v/>
      </c>
      <c r="Q289" s="224" t="str">
        <f t="shared" si="100"/>
        <v/>
      </c>
      <c r="R289" s="224"/>
      <c r="S289" s="271" t="str">
        <f t="shared" si="91"/>
        <v/>
      </c>
      <c r="T289" s="7" t="str">
        <f t="shared" si="92"/>
        <v/>
      </c>
      <c r="U289" s="7" t="str">
        <f t="shared" si="101"/>
        <v/>
      </c>
      <c r="V289" s="7" t="str">
        <f t="shared" si="102"/>
        <v/>
      </c>
      <c r="W289" s="7" t="str">
        <f>VLOOKUP(C289,'Tox Summary'!$N$3:$S$1048576,6,FALSE)</f>
        <v/>
      </c>
      <c r="X289" s="76" t="str">
        <f t="shared" si="103"/>
        <v/>
      </c>
      <c r="Y289" s="76" t="str">
        <f t="shared" si="104"/>
        <v/>
      </c>
      <c r="AA289" s="332"/>
    </row>
    <row r="290" spans="1:27">
      <c r="A290" s="265" t="s">
        <v>1413</v>
      </c>
      <c r="B290" s="344" t="s">
        <v>861</v>
      </c>
      <c r="C290" s="269" t="s">
        <v>1102</v>
      </c>
      <c r="D290" s="280" t="str">
        <f>VLOOKUP(B290, 'Chem Props'!$1:$1048576,3,FALSE)</f>
        <v>No</v>
      </c>
      <c r="E290" s="598" t="str">
        <f t="shared" si="105"/>
        <v>No</v>
      </c>
      <c r="F290" s="7" t="str">
        <f t="shared" si="96"/>
        <v>No (not volatile)</v>
      </c>
      <c r="G290" s="270" t="str">
        <f t="shared" si="93"/>
        <v>No (not volatile)</v>
      </c>
      <c r="H290" s="76" t="str">
        <f t="shared" si="86"/>
        <v>--</v>
      </c>
      <c r="I290" s="271" t="str">
        <f t="shared" si="87"/>
        <v>--</v>
      </c>
      <c r="J290" s="272" t="str">
        <f t="shared" si="88"/>
        <v>--</v>
      </c>
      <c r="K290" s="272" t="str">
        <f t="shared" si="89"/>
        <v>--</v>
      </c>
      <c r="L290" s="273" t="str">
        <f t="shared" si="97"/>
        <v>--</v>
      </c>
      <c r="M290" s="7">
        <f t="shared" si="98"/>
        <v>4.3334049959700502</v>
      </c>
      <c r="N290" s="7">
        <f t="shared" si="106"/>
        <v>4.32538</v>
      </c>
      <c r="O290" s="326">
        <f t="shared" si="99"/>
        <v>25</v>
      </c>
      <c r="P290" s="224" t="str">
        <f t="shared" si="94"/>
        <v/>
      </c>
      <c r="Q290" s="224" t="str">
        <f t="shared" si="100"/>
        <v/>
      </c>
      <c r="R290" s="224"/>
      <c r="S290" s="271" t="str">
        <f t="shared" si="91"/>
        <v/>
      </c>
      <c r="T290" s="7" t="str">
        <f t="shared" si="92"/>
        <v/>
      </c>
      <c r="U290" s="7" t="str">
        <f t="shared" si="101"/>
        <v/>
      </c>
      <c r="V290" s="7" t="str">
        <f t="shared" si="102"/>
        <v/>
      </c>
      <c r="W290" s="7" t="str">
        <f>VLOOKUP(C290,'Tox Summary'!$N$3:$S$1048576,6,FALSE)</f>
        <v/>
      </c>
      <c r="X290" s="76" t="str">
        <f t="shared" si="103"/>
        <v/>
      </c>
      <c r="Y290" s="76" t="str">
        <f t="shared" si="104"/>
        <v/>
      </c>
      <c r="AA290" s="332"/>
    </row>
    <row r="291" spans="1:27">
      <c r="A291" s="265"/>
      <c r="B291" s="344" t="s">
        <v>862</v>
      </c>
      <c r="C291" s="269" t="s">
        <v>1103</v>
      </c>
      <c r="D291" s="280" t="str">
        <f>VLOOKUP(B291, 'Chem Props'!$1:$1048576,3,FALSE)</f>
        <v>No</v>
      </c>
      <c r="E291" s="598" t="str">
        <f t="shared" si="105"/>
        <v>No</v>
      </c>
      <c r="F291" s="7" t="str">
        <f t="shared" si="96"/>
        <v>No (not volatile)</v>
      </c>
      <c r="G291" s="270" t="str">
        <f t="shared" si="93"/>
        <v>No (not volatile)</v>
      </c>
      <c r="H291" s="76" t="str">
        <f t="shared" si="86"/>
        <v>--</v>
      </c>
      <c r="I291" s="271" t="str">
        <f t="shared" si="87"/>
        <v>--</v>
      </c>
      <c r="J291" s="272" t="str">
        <f t="shared" si="88"/>
        <v>--</v>
      </c>
      <c r="K291" s="272" t="str">
        <f t="shared" si="89"/>
        <v>--</v>
      </c>
      <c r="L291" s="273" t="str">
        <f t="shared" si="97"/>
        <v>--</v>
      </c>
      <c r="M291" s="7">
        <f t="shared" si="98"/>
        <v>231.9206013041117</v>
      </c>
      <c r="N291" s="7">
        <f t="shared" si="106"/>
        <v>231.47617999999997</v>
      </c>
      <c r="O291" s="326">
        <f t="shared" si="99"/>
        <v>25</v>
      </c>
      <c r="P291" s="224" t="str">
        <f t="shared" si="94"/>
        <v/>
      </c>
      <c r="Q291" s="224" t="str">
        <f t="shared" si="100"/>
        <v/>
      </c>
      <c r="R291" s="224"/>
      <c r="S291" s="271" t="str">
        <f t="shared" si="91"/>
        <v/>
      </c>
      <c r="T291" s="7" t="str">
        <f t="shared" si="92"/>
        <v/>
      </c>
      <c r="U291" s="7" t="str">
        <f t="shared" si="101"/>
        <v/>
      </c>
      <c r="V291" s="7" t="str">
        <f t="shared" si="102"/>
        <v/>
      </c>
      <c r="W291" s="7" t="str">
        <f>VLOOKUP(C291,'Tox Summary'!$N$3:$S$1048576,6,FALSE)</f>
        <v/>
      </c>
      <c r="X291" s="76" t="str">
        <f t="shared" si="103"/>
        <v/>
      </c>
      <c r="Y291" s="76" t="str">
        <f t="shared" si="104"/>
        <v/>
      </c>
      <c r="AA291" s="332"/>
    </row>
    <row r="292" spans="1:27">
      <c r="A292" s="265"/>
      <c r="B292" s="344" t="s">
        <v>863</v>
      </c>
      <c r="C292" s="269" t="s">
        <v>1104</v>
      </c>
      <c r="D292" s="280" t="str">
        <f>VLOOKUP(B292, 'Chem Props'!$1:$1048576,3,FALSE)</f>
        <v>No</v>
      </c>
      <c r="E292" s="598" t="str">
        <f t="shared" si="105"/>
        <v>No</v>
      </c>
      <c r="F292" s="7" t="str">
        <f t="shared" si="96"/>
        <v>No (not volatile)</v>
      </c>
      <c r="G292" s="270" t="str">
        <f t="shared" si="93"/>
        <v>No (not volatile)</v>
      </c>
      <c r="H292" s="76" t="str">
        <f t="shared" si="86"/>
        <v>--</v>
      </c>
      <c r="I292" s="271" t="str">
        <f t="shared" si="87"/>
        <v>--</v>
      </c>
      <c r="J292" s="272" t="str">
        <f t="shared" si="88"/>
        <v>--</v>
      </c>
      <c r="K292" s="272" t="str">
        <f t="shared" si="89"/>
        <v>--</v>
      </c>
      <c r="L292" s="273" t="str">
        <f t="shared" si="97"/>
        <v>--</v>
      </c>
      <c r="M292" s="7">
        <f t="shared" si="98"/>
        <v>1.643185791641449</v>
      </c>
      <c r="N292" s="7">
        <f t="shared" si="106"/>
        <v>0.11528999999999999</v>
      </c>
      <c r="O292" s="326">
        <f t="shared" si="99"/>
        <v>25</v>
      </c>
      <c r="P292" s="224" t="str">
        <f t="shared" si="94"/>
        <v/>
      </c>
      <c r="Q292" s="224" t="str">
        <f t="shared" si="100"/>
        <v/>
      </c>
      <c r="R292" s="224"/>
      <c r="S292" s="271" t="str">
        <f t="shared" si="91"/>
        <v/>
      </c>
      <c r="T292" s="7" t="str">
        <f t="shared" si="92"/>
        <v/>
      </c>
      <c r="U292" s="7" t="str">
        <f t="shared" si="101"/>
        <v/>
      </c>
      <c r="V292" s="7" t="str">
        <f t="shared" si="102"/>
        <v/>
      </c>
      <c r="W292" s="7" t="str">
        <f>VLOOKUP(C292,'Tox Summary'!$N$3:$S$1048576,6,FALSE)</f>
        <v/>
      </c>
      <c r="X292" s="76" t="str">
        <f t="shared" si="103"/>
        <v/>
      </c>
      <c r="Y292" s="76" t="str">
        <f t="shared" si="104"/>
        <v/>
      </c>
      <c r="AA292" s="332"/>
    </row>
    <row r="293" spans="1:27">
      <c r="A293" s="265"/>
      <c r="B293" s="344" t="s">
        <v>864</v>
      </c>
      <c r="C293" s="269" t="s">
        <v>1105</v>
      </c>
      <c r="D293" s="280" t="str">
        <f>VLOOKUP(B293, 'Chem Props'!$1:$1048576,3,FALSE)</f>
        <v>No</v>
      </c>
      <c r="E293" s="598" t="str">
        <f t="shared" si="105"/>
        <v>No</v>
      </c>
      <c r="F293" s="7" t="str">
        <f t="shared" si="96"/>
        <v>No (not volatile)</v>
      </c>
      <c r="G293" s="270" t="str">
        <f t="shared" si="93"/>
        <v>No (not volatile)</v>
      </c>
      <c r="H293" s="76" t="str">
        <f t="shared" ref="H293:H356" si="107">IF(ISNUMBER(M293),IF(AND(X293="",Y293=""),"--",IF(MIN(X293:Y293)&gt;=M293,"NVT",MIN(X293:Y293))),M293)</f>
        <v>--</v>
      </c>
      <c r="I293" s="271" t="str">
        <f t="shared" ref="I293:I356" si="108">IF(AND(S293="",U293=""),"--",IF(MIN(X293,Y293)=X293,"C","NC"))</f>
        <v>--</v>
      </c>
      <c r="J293" s="272" t="str">
        <f t="shared" ref="J293:J356" si="109">IF(ISNUMBER(H293),IF(OR(H293="--",H293="NVT"),H293,IF(H293/Afss&gt;=M293,"NVT",H293/Afss)),H293)</f>
        <v>--</v>
      </c>
      <c r="K293" s="272" t="str">
        <f t="shared" ref="K293:K356" si="110">IF(ISNUMBER(H293),IF(H293="--","--", IF(LEFT(N293,2)="No",N293,IF(H293*0.001/(INDEX(HLC,MATCH(C293,ChemNameChem,0))*AFgw)&gt;=1000*INDEX(PWCS,MATCH(C293,ChemNameChem,0)), "NVT", H293*0.001/(INDEX(HLC,MATCH(C293,ChemNameChem,0))*AFgw)))),H293)</f>
        <v>--</v>
      </c>
      <c r="L293" s="273" t="str">
        <f t="shared" si="97"/>
        <v>--</v>
      </c>
      <c r="M293" s="7">
        <f t="shared" si="98"/>
        <v>5561602.9043433005</v>
      </c>
      <c r="N293" s="7">
        <f t="shared" si="106"/>
        <v>5560100</v>
      </c>
      <c r="O293" s="326">
        <f t="shared" si="99"/>
        <v>25</v>
      </c>
      <c r="P293" s="224" t="str">
        <f t="shared" si="94"/>
        <v/>
      </c>
      <c r="Q293" s="224" t="str">
        <f t="shared" si="100"/>
        <v/>
      </c>
      <c r="R293" s="224"/>
      <c r="S293" s="271" t="str">
        <f t="shared" ref="S293:S356" si="111">IF(INDEX(IUR,MATCH(B293,CASNoTox,0))=" ","",IF(W293="TCE","see note",INDEX(IUR,MATCH(B293,CASNoTox,0))))</f>
        <v/>
      </c>
      <c r="T293" s="7" t="str">
        <f t="shared" ref="T293:T356" si="112">IF(INDEX(IURSource,MATCH(B293,CASNoTox,0))="","",SUBSTITUTE(INDEX(IURSource,MATCH(B293,CASNoTox,0)),"C","CA"))</f>
        <v/>
      </c>
      <c r="U293" s="7" t="str">
        <f t="shared" si="101"/>
        <v/>
      </c>
      <c r="V293" s="7" t="str">
        <f t="shared" si="102"/>
        <v/>
      </c>
      <c r="W293" s="7" t="str">
        <f>VLOOKUP(C293,'Tox Summary'!$N$3:$S$1048576,6,FALSE)</f>
        <v/>
      </c>
      <c r="X293" s="76" t="str">
        <f t="shared" si="103"/>
        <v/>
      </c>
      <c r="Y293" s="76" t="str">
        <f t="shared" si="104"/>
        <v/>
      </c>
      <c r="AA293" s="332"/>
    </row>
    <row r="294" spans="1:27">
      <c r="A294" s="265" t="s">
        <v>1413</v>
      </c>
      <c r="B294" s="344" t="s">
        <v>865</v>
      </c>
      <c r="C294" s="269" t="s">
        <v>581</v>
      </c>
      <c r="D294" s="280" t="str">
        <f>VLOOKUP(B294, 'Chem Props'!$1:$1048576,3,FALSE)</f>
        <v>No</v>
      </c>
      <c r="E294" s="598" t="str">
        <f t="shared" si="105"/>
        <v>Yes</v>
      </c>
      <c r="F294" s="7" t="str">
        <f t="shared" si="96"/>
        <v>No (not volatile)</v>
      </c>
      <c r="G294" s="270" t="str">
        <f t="shared" si="93"/>
        <v>No (not volatile)</v>
      </c>
      <c r="H294" s="76">
        <f t="shared" si="107"/>
        <v>2.1597633136094677E-3</v>
      </c>
      <c r="I294" s="271" t="str">
        <f t="shared" si="108"/>
        <v>C</v>
      </c>
      <c r="J294" s="272">
        <f t="shared" si="109"/>
        <v>7.1992110453648922E-2</v>
      </c>
      <c r="K294" s="272" t="str">
        <f t="shared" si="110"/>
        <v>NVT</v>
      </c>
      <c r="L294" s="273" t="str">
        <f t="shared" si="97"/>
        <v>--</v>
      </c>
      <c r="M294" s="7">
        <f t="shared" si="98"/>
        <v>0.84861835841104538</v>
      </c>
      <c r="N294" s="7">
        <f t="shared" si="106"/>
        <v>3.7611900000000006E-3</v>
      </c>
      <c r="O294" s="326">
        <f t="shared" si="99"/>
        <v>25</v>
      </c>
      <c r="P294" s="224" t="str">
        <f t="shared" si="94"/>
        <v/>
      </c>
      <c r="Q294" s="224" t="str">
        <f t="shared" si="100"/>
        <v/>
      </c>
      <c r="R294" s="224"/>
      <c r="S294" s="271">
        <f t="shared" si="111"/>
        <v>1.2999999999999999E-3</v>
      </c>
      <c r="T294" s="7" t="str">
        <f t="shared" si="112"/>
        <v>CA</v>
      </c>
      <c r="U294" s="7" t="str">
        <f t="shared" si="101"/>
        <v/>
      </c>
      <c r="V294" s="7" t="str">
        <f t="shared" si="102"/>
        <v/>
      </c>
      <c r="W294" s="7" t="str">
        <f>VLOOKUP(C294,'Tox Summary'!$N$3:$S$1048576,6,FALSE)</f>
        <v/>
      </c>
      <c r="X294" s="76">
        <f t="shared" si="103"/>
        <v>2.1597633136094677E-3</v>
      </c>
      <c r="Y294" s="76" t="str">
        <f t="shared" si="104"/>
        <v/>
      </c>
      <c r="AA294" s="332"/>
    </row>
    <row r="295" spans="1:27">
      <c r="A295" s="265"/>
      <c r="B295" s="344" t="s">
        <v>866</v>
      </c>
      <c r="C295" s="269" t="s">
        <v>1106</v>
      </c>
      <c r="D295" s="280" t="str">
        <f>VLOOKUP(B295, 'Chem Props'!$1:$1048576,3,FALSE)</f>
        <v>No</v>
      </c>
      <c r="E295" s="598" t="str">
        <f t="shared" si="105"/>
        <v>No</v>
      </c>
      <c r="F295" s="7" t="str">
        <f t="shared" si="96"/>
        <v>No (not volatile)</v>
      </c>
      <c r="G295" s="270" t="str">
        <f t="shared" si="93"/>
        <v>No (not volatile)</v>
      </c>
      <c r="H295" s="76" t="str">
        <f t="shared" si="107"/>
        <v>--</v>
      </c>
      <c r="I295" s="271" t="str">
        <f t="shared" si="108"/>
        <v>--</v>
      </c>
      <c r="J295" s="272" t="str">
        <f t="shared" si="109"/>
        <v>--</v>
      </c>
      <c r="K295" s="272" t="str">
        <f t="shared" si="110"/>
        <v>--</v>
      </c>
      <c r="L295" s="273" t="str">
        <f t="shared" si="97"/>
        <v>--</v>
      </c>
      <c r="M295" s="7">
        <f t="shared" si="98"/>
        <v>1160657.6587192051</v>
      </c>
      <c r="N295" s="7">
        <f t="shared" si="106"/>
        <v>346020</v>
      </c>
      <c r="O295" s="326">
        <f t="shared" si="99"/>
        <v>25</v>
      </c>
      <c r="P295" s="224" t="str">
        <f t="shared" si="94"/>
        <v/>
      </c>
      <c r="Q295" s="224" t="str">
        <f t="shared" si="100"/>
        <v/>
      </c>
      <c r="R295" s="224"/>
      <c r="S295" s="271" t="str">
        <f t="shared" si="111"/>
        <v/>
      </c>
      <c r="T295" s="7" t="str">
        <f t="shared" si="112"/>
        <v/>
      </c>
      <c r="U295" s="7" t="str">
        <f t="shared" si="101"/>
        <v/>
      </c>
      <c r="V295" s="7" t="str">
        <f t="shared" si="102"/>
        <v/>
      </c>
      <c r="W295" s="7" t="str">
        <f>VLOOKUP(C295,'Tox Summary'!$N$3:$S$1048576,6,FALSE)</f>
        <v/>
      </c>
      <c r="X295" s="76" t="str">
        <f t="shared" si="103"/>
        <v/>
      </c>
      <c r="Y295" s="76" t="str">
        <f t="shared" si="104"/>
        <v/>
      </c>
      <c r="AA295" s="332"/>
    </row>
    <row r="296" spans="1:27">
      <c r="A296" s="265"/>
      <c r="B296" s="344" t="s">
        <v>867</v>
      </c>
      <c r="C296" s="269" t="s">
        <v>1107</v>
      </c>
      <c r="D296" s="280" t="str">
        <f>VLOOKUP(B296, 'Chem Props'!$1:$1048576,3,FALSE)</f>
        <v>No</v>
      </c>
      <c r="E296" s="598" t="str">
        <f t="shared" si="105"/>
        <v>No</v>
      </c>
      <c r="F296" s="7" t="str">
        <f t="shared" si="96"/>
        <v>No (not volatile)</v>
      </c>
      <c r="G296" s="270" t="str">
        <f t="shared" si="93"/>
        <v>No (not volatile)</v>
      </c>
      <c r="H296" s="76" t="str">
        <f t="shared" si="107"/>
        <v>--</v>
      </c>
      <c r="I296" s="271" t="str">
        <f t="shared" si="108"/>
        <v>--</v>
      </c>
      <c r="J296" s="272" t="str">
        <f t="shared" si="109"/>
        <v>--</v>
      </c>
      <c r="K296" s="272" t="str">
        <f t="shared" si="110"/>
        <v>--</v>
      </c>
      <c r="L296" s="273" t="str">
        <f t="shared" si="97"/>
        <v>--</v>
      </c>
      <c r="M296" s="7">
        <f t="shared" si="98"/>
        <v>867885.0245816079</v>
      </c>
      <c r="N296" s="7">
        <f t="shared" si="106"/>
        <v>620251.80000000005</v>
      </c>
      <c r="O296" s="326">
        <f t="shared" si="99"/>
        <v>25</v>
      </c>
      <c r="P296" s="224" t="str">
        <f t="shared" si="94"/>
        <v/>
      </c>
      <c r="Q296" s="224" t="str">
        <f t="shared" si="100"/>
        <v/>
      </c>
      <c r="R296" s="224"/>
      <c r="S296" s="271" t="str">
        <f t="shared" si="111"/>
        <v/>
      </c>
      <c r="T296" s="7" t="str">
        <f t="shared" si="112"/>
        <v/>
      </c>
      <c r="U296" s="7" t="str">
        <f t="shared" si="101"/>
        <v/>
      </c>
      <c r="V296" s="7" t="str">
        <f t="shared" si="102"/>
        <v/>
      </c>
      <c r="W296" s="7" t="str">
        <f>VLOOKUP(C296,'Tox Summary'!$N$3:$S$1048576,6,FALSE)</f>
        <v/>
      </c>
      <c r="X296" s="76" t="str">
        <f t="shared" si="103"/>
        <v/>
      </c>
      <c r="Y296" s="76" t="str">
        <f t="shared" si="104"/>
        <v/>
      </c>
      <c r="AA296" s="332"/>
    </row>
    <row r="297" spans="1:27">
      <c r="A297" s="265"/>
      <c r="B297" s="269" t="s">
        <v>868</v>
      </c>
      <c r="C297" s="269" t="s">
        <v>1108</v>
      </c>
      <c r="D297" s="280" t="str">
        <f>VLOOKUP(B297, 'Chem Props'!$1:$1048576,3,FALSE)</f>
        <v>Yes</v>
      </c>
      <c r="E297" s="598" t="str">
        <f t="shared" si="105"/>
        <v>No</v>
      </c>
      <c r="F297" s="7" t="str">
        <f t="shared" si="96"/>
        <v>No Inhal. Tox. Info</v>
      </c>
      <c r="G297" s="270" t="str">
        <f t="shared" si="93"/>
        <v>No Inhal. Tox. Info</v>
      </c>
      <c r="H297" s="76" t="str">
        <f t="shared" si="107"/>
        <v>--</v>
      </c>
      <c r="I297" s="271" t="str">
        <f t="shared" si="108"/>
        <v>--</v>
      </c>
      <c r="J297" s="272" t="str">
        <f t="shared" si="109"/>
        <v>--</v>
      </c>
      <c r="K297" s="272" t="str">
        <f t="shared" si="110"/>
        <v>--</v>
      </c>
      <c r="L297" s="273" t="str">
        <f t="shared" si="97"/>
        <v>--</v>
      </c>
      <c r="M297" s="7">
        <f t="shared" si="98"/>
        <v>4564384.0511429412</v>
      </c>
      <c r="N297" s="7">
        <f t="shared" si="106"/>
        <v>3367190</v>
      </c>
      <c r="O297" s="326">
        <f t="shared" si="99"/>
        <v>25</v>
      </c>
      <c r="P297" s="224" t="str">
        <f t="shared" si="94"/>
        <v/>
      </c>
      <c r="Q297" s="224" t="str">
        <f t="shared" si="100"/>
        <v/>
      </c>
      <c r="R297" s="224"/>
      <c r="S297" s="271" t="str">
        <f t="shared" si="111"/>
        <v/>
      </c>
      <c r="T297" s="7" t="str">
        <f t="shared" si="112"/>
        <v/>
      </c>
      <c r="U297" s="7" t="str">
        <f t="shared" si="101"/>
        <v/>
      </c>
      <c r="V297" s="7" t="str">
        <f t="shared" si="102"/>
        <v/>
      </c>
      <c r="W297" s="7" t="str">
        <f>VLOOKUP(C297,'Tox Summary'!$N$3:$S$1048576,6,FALSE)</f>
        <v/>
      </c>
      <c r="X297" s="76" t="str">
        <f t="shared" si="103"/>
        <v/>
      </c>
      <c r="Y297" s="76" t="str">
        <f t="shared" si="104"/>
        <v/>
      </c>
      <c r="AA297" s="243"/>
    </row>
    <row r="298" spans="1:27">
      <c r="A298" s="265"/>
      <c r="B298" s="344" t="s">
        <v>211</v>
      </c>
      <c r="C298" s="269" t="s">
        <v>2355</v>
      </c>
      <c r="D298" s="280" t="str">
        <f>VLOOKUP(B298, 'Chem Props'!$1:$1048576,3,FALSE)</f>
        <v>No</v>
      </c>
      <c r="E298" s="598" t="str">
        <f t="shared" si="105"/>
        <v>Yes</v>
      </c>
      <c r="F298" s="7" t="str">
        <f t="shared" si="96"/>
        <v>No (not volatile)</v>
      </c>
      <c r="G298" s="270" t="str">
        <f t="shared" si="93"/>
        <v>No (not volatile)</v>
      </c>
      <c r="H298" s="76">
        <f t="shared" si="107"/>
        <v>1.4280125195618155E-5</v>
      </c>
      <c r="I298" s="271" t="str">
        <f t="shared" si="108"/>
        <v>C</v>
      </c>
      <c r="J298" s="272">
        <f t="shared" si="109"/>
        <v>4.7600417318727185E-4</v>
      </c>
      <c r="K298" s="272">
        <f t="shared" si="110"/>
        <v>9.2909077395043296E-2</v>
      </c>
      <c r="L298" s="273" t="str">
        <f t="shared" si="97"/>
        <v>--</v>
      </c>
      <c r="M298" s="7">
        <f t="shared" si="98"/>
        <v>9.3798398961065619</v>
      </c>
      <c r="N298" s="7">
        <f t="shared" si="106"/>
        <v>9.3756999999999984</v>
      </c>
      <c r="O298" s="326">
        <f t="shared" si="99"/>
        <v>25</v>
      </c>
      <c r="P298" s="224" t="str">
        <f t="shared" si="94"/>
        <v/>
      </c>
      <c r="Q298" s="224" t="str">
        <f t="shared" si="100"/>
        <v/>
      </c>
      <c r="R298" s="224"/>
      <c r="S298" s="271">
        <f t="shared" si="111"/>
        <v>7.0999999999999994E-2</v>
      </c>
      <c r="T298" s="7" t="str">
        <f t="shared" si="112"/>
        <v>CA</v>
      </c>
      <c r="U298" s="7" t="str">
        <f t="shared" si="101"/>
        <v/>
      </c>
      <c r="V298" s="7" t="str">
        <f t="shared" si="102"/>
        <v/>
      </c>
      <c r="W298" s="7" t="str">
        <f>VLOOKUP(C298,'Tox Summary'!$N$3:$S$1048576,6,FALSE)</f>
        <v>Mut</v>
      </c>
      <c r="X298" s="76">
        <f t="shared" si="103"/>
        <v>1.4280125195618155E-5</v>
      </c>
      <c r="Y298" s="76" t="str">
        <f t="shared" si="104"/>
        <v/>
      </c>
      <c r="AA298" s="332"/>
    </row>
    <row r="299" spans="1:27">
      <c r="A299" s="265"/>
      <c r="B299" s="344" t="s">
        <v>869</v>
      </c>
      <c r="C299" s="269" t="s">
        <v>531</v>
      </c>
      <c r="D299" s="280" t="str">
        <f>VLOOKUP(B299, 'Chem Props'!$1:$1048576,3,FALSE)</f>
        <v>No</v>
      </c>
      <c r="E299" s="598" t="str">
        <f t="shared" si="105"/>
        <v>No</v>
      </c>
      <c r="F299" s="7" t="str">
        <f t="shared" si="96"/>
        <v>No (not volatile)</v>
      </c>
      <c r="G299" s="270" t="str">
        <f t="shared" ref="G299:G362" si="113">IF(LEFT(D299,2)="No","No (not volatile)",IF(D299="unknown","unknown",IF(H299="NVT","No",IF(AND(X299="",Y299=""),"No Inhal. Tox. Info",IF(MIN(X299:Y299)&gt;=N299,"No",IF(N299&gt;H299,"Yes","No"))))))</f>
        <v>No (not volatile)</v>
      </c>
      <c r="H299" s="76" t="str">
        <f t="shared" si="107"/>
        <v>--</v>
      </c>
      <c r="I299" s="271" t="str">
        <f t="shared" si="108"/>
        <v>--</v>
      </c>
      <c r="J299" s="272" t="str">
        <f t="shared" si="109"/>
        <v>--</v>
      </c>
      <c r="K299" s="272" t="str">
        <f t="shared" si="110"/>
        <v>--</v>
      </c>
      <c r="L299" s="273" t="str">
        <f t="shared" si="97"/>
        <v>--</v>
      </c>
      <c r="M299" s="7">
        <f t="shared" si="98"/>
        <v>7.9051347931989184</v>
      </c>
      <c r="N299" s="7">
        <f t="shared" si="106"/>
        <v>3.3429500000000001</v>
      </c>
      <c r="O299" s="326">
        <f t="shared" si="99"/>
        <v>25</v>
      </c>
      <c r="P299" s="224" t="str">
        <f t="shared" ref="P299:P362" si="114">IF(VLOOKUP(B299,AllChemProps,32,FALSE)&gt;0,VLOOKUP(B299,AllChemProps,32,FALSE),"")</f>
        <v/>
      </c>
      <c r="Q299" s="224" t="str">
        <f t="shared" si="100"/>
        <v/>
      </c>
      <c r="R299" s="224"/>
      <c r="S299" s="271" t="str">
        <f t="shared" si="111"/>
        <v/>
      </c>
      <c r="T299" s="7" t="str">
        <f t="shared" si="112"/>
        <v/>
      </c>
      <c r="U299" s="7" t="str">
        <f t="shared" si="101"/>
        <v/>
      </c>
      <c r="V299" s="7" t="str">
        <f t="shared" si="102"/>
        <v/>
      </c>
      <c r="W299" s="7" t="str">
        <f>VLOOKUP(C299,'Tox Summary'!$N$3:$S$1048576,6,FALSE)</f>
        <v/>
      </c>
      <c r="X299" s="76" t="str">
        <f t="shared" si="103"/>
        <v/>
      </c>
      <c r="Y299" s="76" t="str">
        <f t="shared" si="104"/>
        <v/>
      </c>
      <c r="AA299" s="332"/>
    </row>
    <row r="300" spans="1:27">
      <c r="A300" s="265"/>
      <c r="B300" s="344" t="s">
        <v>870</v>
      </c>
      <c r="C300" s="269" t="s">
        <v>1109</v>
      </c>
      <c r="D300" s="280" t="str">
        <f>VLOOKUP(B300, 'Chem Props'!$1:$1048576,3,FALSE)</f>
        <v>Yes</v>
      </c>
      <c r="E300" s="598" t="str">
        <f t="shared" si="105"/>
        <v>Yes</v>
      </c>
      <c r="F300" s="7" t="str">
        <f t="shared" si="96"/>
        <v>Yes</v>
      </c>
      <c r="G300" s="270" t="str">
        <f t="shared" si="113"/>
        <v>Yes</v>
      </c>
      <c r="H300" s="76">
        <f t="shared" si="107"/>
        <v>31.285714285714285</v>
      </c>
      <c r="I300" s="271" t="str">
        <f t="shared" si="108"/>
        <v>NC</v>
      </c>
      <c r="J300" s="272">
        <f t="shared" si="109"/>
        <v>1042.8571428571429</v>
      </c>
      <c r="K300" s="272">
        <f t="shared" si="110"/>
        <v>10355050.569527781</v>
      </c>
      <c r="L300" s="273" t="str">
        <f t="shared" si="97"/>
        <v>--</v>
      </c>
      <c r="M300" s="7">
        <f t="shared" si="98"/>
        <v>15221302.832678603</v>
      </c>
      <c r="N300" s="7">
        <f t="shared" si="106"/>
        <v>3021300</v>
      </c>
      <c r="O300" s="326">
        <f t="shared" si="99"/>
        <v>25</v>
      </c>
      <c r="P300" s="224">
        <f t="shared" si="114"/>
        <v>2.2000000000000002</v>
      </c>
      <c r="Q300" s="224" t="str">
        <f t="shared" si="100"/>
        <v>N</v>
      </c>
      <c r="R300" s="224"/>
      <c r="S300" s="271" t="str">
        <f t="shared" si="111"/>
        <v/>
      </c>
      <c r="T300" s="7" t="str">
        <f t="shared" si="112"/>
        <v/>
      </c>
      <c r="U300" s="7">
        <f t="shared" si="101"/>
        <v>0.03</v>
      </c>
      <c r="V300" s="7" t="str">
        <f t="shared" si="102"/>
        <v>I</v>
      </c>
      <c r="W300" s="7" t="str">
        <f>VLOOKUP(C300,'Tox Summary'!$N$3:$S$1048576,6,FALSE)</f>
        <v/>
      </c>
      <c r="X300" s="76" t="str">
        <f t="shared" si="103"/>
        <v/>
      </c>
      <c r="Y300" s="76">
        <f t="shared" si="104"/>
        <v>31.285714285714285</v>
      </c>
      <c r="AA300" s="332"/>
    </row>
    <row r="301" spans="1:27">
      <c r="A301" s="265"/>
      <c r="B301" s="344" t="s">
        <v>871</v>
      </c>
      <c r="C301" s="269" t="s">
        <v>582</v>
      </c>
      <c r="D301" s="280" t="str">
        <f>VLOOKUP(B301, 'Chem Props'!$1:$1048576,3,FALSE)</f>
        <v>Yes</v>
      </c>
      <c r="E301" s="598" t="str">
        <f t="shared" si="105"/>
        <v>Yes</v>
      </c>
      <c r="F301" s="7" t="str">
        <f t="shared" si="96"/>
        <v>Yes</v>
      </c>
      <c r="G301" s="270" t="str">
        <f t="shared" si="113"/>
        <v>Yes</v>
      </c>
      <c r="H301" s="76">
        <f t="shared" si="107"/>
        <v>2.0857142857142858E-3</v>
      </c>
      <c r="I301" s="271" t="str">
        <f t="shared" si="108"/>
        <v>NC</v>
      </c>
      <c r="J301" s="272">
        <f t="shared" si="109"/>
        <v>6.9523809523809529E-2</v>
      </c>
      <c r="K301" s="272">
        <f t="shared" si="110"/>
        <v>3.9547104393520773</v>
      </c>
      <c r="L301" s="273" t="str">
        <f t="shared" si="97"/>
        <v>--</v>
      </c>
      <c r="M301" s="7">
        <f t="shared" si="98"/>
        <v>527118235.98438281</v>
      </c>
      <c r="N301" s="7">
        <f t="shared" si="106"/>
        <v>527400000</v>
      </c>
      <c r="O301" s="326">
        <f t="shared" si="99"/>
        <v>25</v>
      </c>
      <c r="P301" s="224">
        <f t="shared" si="114"/>
        <v>2</v>
      </c>
      <c r="Q301" s="224" t="str">
        <f t="shared" si="100"/>
        <v>N</v>
      </c>
      <c r="R301" s="224"/>
      <c r="S301" s="271" t="str">
        <f t="shared" si="111"/>
        <v/>
      </c>
      <c r="T301" s="7" t="str">
        <f t="shared" si="112"/>
        <v/>
      </c>
      <c r="U301" s="7">
        <f t="shared" si="101"/>
        <v>1.9999999999999999E-6</v>
      </c>
      <c r="V301" s="7" t="str">
        <f t="shared" si="102"/>
        <v>X</v>
      </c>
      <c r="W301" s="7" t="str">
        <f>VLOOKUP(C301,'Tox Summary'!$N$3:$S$1048576,6,FALSE)</f>
        <v/>
      </c>
      <c r="X301" s="76" t="str">
        <f t="shared" si="103"/>
        <v/>
      </c>
      <c r="Y301" s="76">
        <f t="shared" si="104"/>
        <v>2.0857142857142858E-3</v>
      </c>
      <c r="AA301" s="332"/>
    </row>
    <row r="302" spans="1:27">
      <c r="A302" s="265"/>
      <c r="B302" s="344" t="s">
        <v>872</v>
      </c>
      <c r="C302" s="269" t="s">
        <v>583</v>
      </c>
      <c r="D302" s="280" t="str">
        <f>VLOOKUP(B302, 'Chem Props'!$1:$1048576,3,FALSE)</f>
        <v>Yes</v>
      </c>
      <c r="E302" s="598" t="str">
        <f t="shared" si="105"/>
        <v>Yes</v>
      </c>
      <c r="F302" s="7" t="str">
        <f t="shared" si="96"/>
        <v>Yes</v>
      </c>
      <c r="G302" s="270" t="str">
        <f t="shared" si="113"/>
        <v>Yes</v>
      </c>
      <c r="H302" s="76">
        <f t="shared" si="107"/>
        <v>1.7548076923076922E-5</v>
      </c>
      <c r="I302" s="271" t="str">
        <f t="shared" si="108"/>
        <v>C</v>
      </c>
      <c r="J302" s="272">
        <f t="shared" si="109"/>
        <v>5.8493589743589748E-4</v>
      </c>
      <c r="K302" s="272">
        <f t="shared" si="110"/>
        <v>6.1758558890254527</v>
      </c>
      <c r="L302" s="273" t="str">
        <f t="shared" si="97"/>
        <v>--</v>
      </c>
      <c r="M302" s="7">
        <f t="shared" si="98"/>
        <v>226046409.17367095</v>
      </c>
      <c r="N302" s="7">
        <f t="shared" si="106"/>
        <v>2841400</v>
      </c>
      <c r="O302" s="326">
        <f t="shared" si="99"/>
        <v>25</v>
      </c>
      <c r="P302" s="224" t="str">
        <f t="shared" si="114"/>
        <v/>
      </c>
      <c r="Q302" s="224" t="str">
        <f t="shared" si="100"/>
        <v/>
      </c>
      <c r="R302" s="224"/>
      <c r="S302" s="271">
        <f t="shared" si="111"/>
        <v>0.16</v>
      </c>
      <c r="T302" s="7" t="str">
        <f t="shared" si="112"/>
        <v>CA</v>
      </c>
      <c r="U302" s="7" t="str">
        <f t="shared" si="101"/>
        <v/>
      </c>
      <c r="V302" s="7" t="str">
        <f t="shared" si="102"/>
        <v/>
      </c>
      <c r="W302" s="7" t="str">
        <f>VLOOKUP(C302,'Tox Summary'!$N$3:$S$1048576,6,FALSE)</f>
        <v/>
      </c>
      <c r="X302" s="76">
        <f t="shared" si="103"/>
        <v>1.7548076923076922E-5</v>
      </c>
      <c r="Y302" s="76" t="str">
        <f t="shared" si="104"/>
        <v/>
      </c>
      <c r="AA302" s="332"/>
    </row>
    <row r="303" spans="1:27">
      <c r="A303" s="265"/>
      <c r="B303" s="344" t="s">
        <v>873</v>
      </c>
      <c r="C303" s="269" t="s">
        <v>1110</v>
      </c>
      <c r="D303" s="280" t="str">
        <f>VLOOKUP(B303, 'Chem Props'!$1:$1048576,3,FALSE)</f>
        <v>No</v>
      </c>
      <c r="E303" s="598" t="str">
        <f t="shared" si="105"/>
        <v>No</v>
      </c>
      <c r="F303" s="7" t="str">
        <f t="shared" si="96"/>
        <v>No (not volatile)</v>
      </c>
      <c r="G303" s="270" t="str">
        <f t="shared" si="113"/>
        <v>No (not volatile)</v>
      </c>
      <c r="H303" s="76" t="str">
        <f t="shared" si="107"/>
        <v>--</v>
      </c>
      <c r="I303" s="271" t="str">
        <f t="shared" si="108"/>
        <v>--</v>
      </c>
      <c r="J303" s="272" t="str">
        <f t="shared" si="109"/>
        <v>--</v>
      </c>
      <c r="K303" s="272" t="str">
        <f t="shared" si="110"/>
        <v>--</v>
      </c>
      <c r="L303" s="273" t="str">
        <f t="shared" si="97"/>
        <v>--</v>
      </c>
      <c r="M303" s="7">
        <f t="shared" si="98"/>
        <v>670529.5729124276</v>
      </c>
      <c r="N303" s="7">
        <f t="shared" si="106"/>
        <v>306143</v>
      </c>
      <c r="O303" s="326">
        <f t="shared" si="99"/>
        <v>25</v>
      </c>
      <c r="P303" s="224" t="str">
        <f t="shared" si="114"/>
        <v/>
      </c>
      <c r="Q303" s="224" t="str">
        <f t="shared" si="100"/>
        <v/>
      </c>
      <c r="R303" s="224"/>
      <c r="S303" s="271" t="str">
        <f t="shared" si="111"/>
        <v/>
      </c>
      <c r="T303" s="7" t="str">
        <f t="shared" si="112"/>
        <v/>
      </c>
      <c r="U303" s="7" t="str">
        <f t="shared" si="101"/>
        <v/>
      </c>
      <c r="V303" s="7" t="str">
        <f t="shared" si="102"/>
        <v/>
      </c>
      <c r="W303" s="7" t="str">
        <f>VLOOKUP(C303,'Tox Summary'!$N$3:$S$1048576,6,FALSE)</f>
        <v/>
      </c>
      <c r="X303" s="76" t="str">
        <f t="shared" si="103"/>
        <v/>
      </c>
      <c r="Y303" s="76" t="str">
        <f t="shared" si="104"/>
        <v/>
      </c>
      <c r="AA303" s="332"/>
    </row>
    <row r="304" spans="1:27">
      <c r="A304" s="265"/>
      <c r="B304" s="344" t="s">
        <v>874</v>
      </c>
      <c r="C304" s="269" t="s">
        <v>1111</v>
      </c>
      <c r="D304" s="280" t="str">
        <f>VLOOKUP(B304, 'Chem Props'!$1:$1048576,3,FALSE)</f>
        <v>No</v>
      </c>
      <c r="E304" s="598" t="str">
        <f t="shared" si="105"/>
        <v>No</v>
      </c>
      <c r="F304" s="7" t="str">
        <f t="shared" si="96"/>
        <v>No (not volatile)</v>
      </c>
      <c r="G304" s="270" t="str">
        <f t="shared" si="113"/>
        <v>No (not volatile)</v>
      </c>
      <c r="H304" s="76" t="str">
        <f t="shared" si="107"/>
        <v>--</v>
      </c>
      <c r="I304" s="271" t="str">
        <f t="shared" si="108"/>
        <v>--</v>
      </c>
      <c r="J304" s="272" t="str">
        <f t="shared" si="109"/>
        <v>--</v>
      </c>
      <c r="K304" s="272" t="str">
        <f t="shared" si="110"/>
        <v>--</v>
      </c>
      <c r="L304" s="273" t="str">
        <f t="shared" si="97"/>
        <v>--</v>
      </c>
      <c r="M304" s="7">
        <f t="shared" si="98"/>
        <v>1124123.1075296581</v>
      </c>
      <c r="N304" s="7">
        <f t="shared" si="106"/>
        <v>1644995</v>
      </c>
      <c r="O304" s="326">
        <f t="shared" si="99"/>
        <v>25</v>
      </c>
      <c r="P304" s="224" t="str">
        <f t="shared" si="114"/>
        <v/>
      </c>
      <c r="Q304" s="224" t="str">
        <f t="shared" si="100"/>
        <v/>
      </c>
      <c r="R304" s="224"/>
      <c r="S304" s="271" t="str">
        <f t="shared" si="111"/>
        <v/>
      </c>
      <c r="T304" s="7" t="str">
        <f t="shared" si="112"/>
        <v/>
      </c>
      <c r="U304" s="7" t="str">
        <f t="shared" si="101"/>
        <v/>
      </c>
      <c r="V304" s="7" t="str">
        <f t="shared" si="102"/>
        <v/>
      </c>
      <c r="W304" s="7" t="str">
        <f>VLOOKUP(C304,'Tox Summary'!$N$3:$S$1048576,6,FALSE)</f>
        <v/>
      </c>
      <c r="X304" s="76" t="str">
        <f t="shared" si="103"/>
        <v/>
      </c>
      <c r="Y304" s="76" t="str">
        <f t="shared" si="104"/>
        <v/>
      </c>
      <c r="AA304" s="332"/>
    </row>
    <row r="305" spans="1:27">
      <c r="A305" s="265"/>
      <c r="B305" s="344" t="s">
        <v>875</v>
      </c>
      <c r="C305" s="269" t="s">
        <v>1112</v>
      </c>
      <c r="D305" s="280" t="str">
        <f>VLOOKUP(B305, 'Chem Props'!$1:$1048576,3,FALSE)</f>
        <v>No</v>
      </c>
      <c r="E305" s="598" t="str">
        <f t="shared" si="105"/>
        <v>No</v>
      </c>
      <c r="F305" s="7" t="str">
        <f t="shared" si="96"/>
        <v>No (not volatile)</v>
      </c>
      <c r="G305" s="270" t="str">
        <f t="shared" si="113"/>
        <v>No (not volatile)</v>
      </c>
      <c r="H305" s="76" t="str">
        <f t="shared" si="107"/>
        <v>--</v>
      </c>
      <c r="I305" s="271" t="str">
        <f t="shared" si="108"/>
        <v>--</v>
      </c>
      <c r="J305" s="272" t="str">
        <f t="shared" si="109"/>
        <v>--</v>
      </c>
      <c r="K305" s="272" t="str">
        <f t="shared" si="110"/>
        <v>--</v>
      </c>
      <c r="L305" s="273" t="str">
        <f t="shared" si="97"/>
        <v>--</v>
      </c>
      <c r="M305" s="7">
        <f t="shared" si="98"/>
        <v>234027.96858512177</v>
      </c>
      <c r="N305" s="7">
        <f t="shared" si="106"/>
        <v>80920</v>
      </c>
      <c r="O305" s="326">
        <f t="shared" si="99"/>
        <v>25</v>
      </c>
      <c r="P305" s="224" t="str">
        <f t="shared" si="114"/>
        <v/>
      </c>
      <c r="Q305" s="224" t="str">
        <f t="shared" si="100"/>
        <v/>
      </c>
      <c r="R305" s="224"/>
      <c r="S305" s="271" t="str">
        <f t="shared" si="111"/>
        <v/>
      </c>
      <c r="T305" s="7" t="str">
        <f t="shared" si="112"/>
        <v/>
      </c>
      <c r="U305" s="7" t="str">
        <f t="shared" si="101"/>
        <v/>
      </c>
      <c r="V305" s="7" t="str">
        <f t="shared" si="102"/>
        <v/>
      </c>
      <c r="W305" s="7" t="str">
        <f>VLOOKUP(C305,'Tox Summary'!$N$3:$S$1048576,6,FALSE)</f>
        <v/>
      </c>
      <c r="X305" s="76" t="str">
        <f t="shared" si="103"/>
        <v/>
      </c>
      <c r="Y305" s="76" t="str">
        <f t="shared" si="104"/>
        <v/>
      </c>
      <c r="AA305" s="332"/>
    </row>
    <row r="306" spans="1:27">
      <c r="A306" s="265"/>
      <c r="B306" s="344" t="s">
        <v>876</v>
      </c>
      <c r="C306" s="269" t="s">
        <v>2331</v>
      </c>
      <c r="D306" s="280" t="str">
        <f>VLOOKUP(B306, 'Chem Props'!$1:$1048576,3,FALSE)</f>
        <v>Yes</v>
      </c>
      <c r="E306" s="598" t="str">
        <f t="shared" si="105"/>
        <v>No</v>
      </c>
      <c r="F306" s="7" t="str">
        <f t="shared" si="96"/>
        <v>No Inhal. Tox. Info</v>
      </c>
      <c r="G306" s="270" t="str">
        <f t="shared" si="113"/>
        <v>No Inhal. Tox. Info</v>
      </c>
      <c r="H306" s="76" t="str">
        <f t="shared" si="107"/>
        <v>--</v>
      </c>
      <c r="I306" s="271" t="str">
        <f t="shared" si="108"/>
        <v>--</v>
      </c>
      <c r="J306" s="272" t="str">
        <f t="shared" si="109"/>
        <v>--</v>
      </c>
      <c r="K306" s="272" t="str">
        <f t="shared" si="110"/>
        <v>--</v>
      </c>
      <c r="L306" s="273" t="str">
        <f t="shared" si="97"/>
        <v>--</v>
      </c>
      <c r="M306" s="7">
        <f t="shared" si="98"/>
        <v>104491.28084448728</v>
      </c>
      <c r="N306" s="7">
        <f t="shared" si="106"/>
        <v>104087.70000000001</v>
      </c>
      <c r="O306" s="326">
        <f t="shared" si="99"/>
        <v>25</v>
      </c>
      <c r="P306" s="224" t="str">
        <f t="shared" si="114"/>
        <v/>
      </c>
      <c r="Q306" s="224" t="str">
        <f t="shared" si="100"/>
        <v/>
      </c>
      <c r="R306" s="224"/>
      <c r="S306" s="271" t="str">
        <f t="shared" si="111"/>
        <v/>
      </c>
      <c r="T306" s="7" t="str">
        <f t="shared" si="112"/>
        <v/>
      </c>
      <c r="U306" s="7" t="str">
        <f t="shared" si="101"/>
        <v/>
      </c>
      <c r="V306" s="7" t="str">
        <f t="shared" si="102"/>
        <v/>
      </c>
      <c r="W306" s="7" t="str">
        <f>VLOOKUP(C306,'Tox Summary'!$N$3:$S$1048576,6,FALSE)</f>
        <v/>
      </c>
      <c r="X306" s="76" t="str">
        <f t="shared" si="103"/>
        <v/>
      </c>
      <c r="Y306" s="76" t="str">
        <f t="shared" si="104"/>
        <v/>
      </c>
      <c r="AA306" s="332"/>
    </row>
    <row r="307" spans="1:27">
      <c r="A307" s="265"/>
      <c r="B307" s="344" t="s">
        <v>877</v>
      </c>
      <c r="C307" s="269" t="s">
        <v>584</v>
      </c>
      <c r="D307" s="280" t="str">
        <f>VLOOKUP(B307, 'Chem Props'!$1:$1048576,3,FALSE)</f>
        <v>Yes</v>
      </c>
      <c r="E307" s="598" t="str">
        <f t="shared" si="105"/>
        <v>Yes</v>
      </c>
      <c r="F307" s="7" t="str">
        <f t="shared" si="96"/>
        <v>Yes</v>
      </c>
      <c r="G307" s="270" t="str">
        <f t="shared" si="113"/>
        <v>Yes</v>
      </c>
      <c r="H307" s="76">
        <f t="shared" si="107"/>
        <v>0.21597633136094671</v>
      </c>
      <c r="I307" s="271" t="str">
        <f t="shared" si="108"/>
        <v>C</v>
      </c>
      <c r="J307" s="272">
        <f t="shared" si="109"/>
        <v>7.1992110453648905</v>
      </c>
      <c r="K307" s="272">
        <f t="shared" si="110"/>
        <v>4.4607541020911397</v>
      </c>
      <c r="L307" s="273" t="str">
        <f t="shared" si="97"/>
        <v>--</v>
      </c>
      <c r="M307" s="7">
        <f t="shared" si="98"/>
        <v>1032979956.9050423</v>
      </c>
      <c r="N307" s="7">
        <f t="shared" si="106"/>
        <v>48417000</v>
      </c>
      <c r="O307" s="326">
        <f t="shared" si="99"/>
        <v>25</v>
      </c>
      <c r="P307" s="224" t="str">
        <f t="shared" si="114"/>
        <v/>
      </c>
      <c r="Q307" s="224" t="str">
        <f t="shared" si="100"/>
        <v/>
      </c>
      <c r="R307" s="224"/>
      <c r="S307" s="271">
        <f t="shared" si="111"/>
        <v>1.2999999999999999E-5</v>
      </c>
      <c r="T307" s="7" t="str">
        <f t="shared" si="112"/>
        <v>CA</v>
      </c>
      <c r="U307" s="7" t="str">
        <f t="shared" si="101"/>
        <v/>
      </c>
      <c r="V307" s="7" t="str">
        <f t="shared" si="102"/>
        <v/>
      </c>
      <c r="W307" s="7" t="str">
        <f>VLOOKUP(C307,'Tox Summary'!$N$3:$S$1048576,6,FALSE)</f>
        <v/>
      </c>
      <c r="X307" s="76">
        <f t="shared" si="103"/>
        <v>0.21597633136094671</v>
      </c>
      <c r="Y307" s="76" t="str">
        <f t="shared" si="104"/>
        <v/>
      </c>
      <c r="AA307" s="332"/>
    </row>
    <row r="308" spans="1:27">
      <c r="A308" s="265" t="s">
        <v>1413</v>
      </c>
      <c r="B308" s="344" t="s">
        <v>880</v>
      </c>
      <c r="C308" s="269" t="s">
        <v>1114</v>
      </c>
      <c r="D308" s="280" t="str">
        <f>VLOOKUP(B308, 'Chem Props'!$1:$1048576,3,FALSE)</f>
        <v>No</v>
      </c>
      <c r="E308" s="598" t="str">
        <f t="shared" si="105"/>
        <v>No</v>
      </c>
      <c r="F308" s="7" t="str">
        <f t="shared" si="96"/>
        <v>No (not volatile)</v>
      </c>
      <c r="G308" s="270" t="str">
        <f t="shared" si="113"/>
        <v>No (not volatile)</v>
      </c>
      <c r="H308" s="76" t="str">
        <f t="shared" si="107"/>
        <v>--</v>
      </c>
      <c r="I308" s="271" t="str">
        <f t="shared" si="108"/>
        <v>--</v>
      </c>
      <c r="J308" s="272" t="str">
        <f t="shared" si="109"/>
        <v>--</v>
      </c>
      <c r="K308" s="272" t="str">
        <f t="shared" si="110"/>
        <v>--</v>
      </c>
      <c r="L308" s="273" t="str">
        <f t="shared" si="97"/>
        <v>--</v>
      </c>
      <c r="M308" s="7">
        <f t="shared" si="98"/>
        <v>411.58367044435221</v>
      </c>
      <c r="N308" s="7">
        <f t="shared" si="106"/>
        <v>289.82029999999997</v>
      </c>
      <c r="O308" s="326">
        <f t="shared" si="99"/>
        <v>25</v>
      </c>
      <c r="P308" s="224" t="str">
        <f t="shared" si="114"/>
        <v/>
      </c>
      <c r="Q308" s="224" t="str">
        <f t="shared" si="100"/>
        <v/>
      </c>
      <c r="R308" s="224"/>
      <c r="S308" s="271" t="str">
        <f t="shared" si="111"/>
        <v/>
      </c>
      <c r="T308" s="7" t="str">
        <f t="shared" si="112"/>
        <v/>
      </c>
      <c r="U308" s="7" t="str">
        <f t="shared" si="101"/>
        <v/>
      </c>
      <c r="V308" s="7" t="str">
        <f t="shared" si="102"/>
        <v/>
      </c>
      <c r="W308" s="7" t="str">
        <f>VLOOKUP(C308,'Tox Summary'!$N$3:$S$1048576,6,FALSE)</f>
        <v/>
      </c>
      <c r="X308" s="76" t="str">
        <f t="shared" si="103"/>
        <v/>
      </c>
      <c r="Y308" s="76" t="str">
        <f t="shared" si="104"/>
        <v/>
      </c>
      <c r="AA308" s="332"/>
    </row>
    <row r="309" spans="1:27">
      <c r="A309" s="265"/>
      <c r="B309" s="344" t="s">
        <v>881</v>
      </c>
      <c r="C309" s="269" t="s">
        <v>1115</v>
      </c>
      <c r="D309" s="280" t="str">
        <f>VLOOKUP(B309, 'Chem Props'!$1:$1048576,3,FALSE)</f>
        <v>No</v>
      </c>
      <c r="E309" s="598" t="str">
        <f t="shared" si="105"/>
        <v>No</v>
      </c>
      <c r="F309" s="7" t="str">
        <f t="shared" si="96"/>
        <v>No (not volatile)</v>
      </c>
      <c r="G309" s="270" t="str">
        <f t="shared" si="113"/>
        <v>No (not volatile)</v>
      </c>
      <c r="H309" s="76" t="str">
        <f t="shared" si="107"/>
        <v>--</v>
      </c>
      <c r="I309" s="271" t="str">
        <f t="shared" si="108"/>
        <v>--</v>
      </c>
      <c r="J309" s="272" t="str">
        <f t="shared" si="109"/>
        <v>--</v>
      </c>
      <c r="K309" s="272" t="str">
        <f t="shared" si="110"/>
        <v>--</v>
      </c>
      <c r="L309" s="273" t="str">
        <f t="shared" si="97"/>
        <v>--</v>
      </c>
      <c r="M309" s="7">
        <f t="shared" si="98"/>
        <v>8141.2154593388341</v>
      </c>
      <c r="N309" s="7">
        <f t="shared" si="106"/>
        <v>1067.7588999999998</v>
      </c>
      <c r="O309" s="326">
        <f t="shared" si="99"/>
        <v>25</v>
      </c>
      <c r="P309" s="224" t="str">
        <f t="shared" si="114"/>
        <v/>
      </c>
      <c r="Q309" s="224" t="str">
        <f t="shared" si="100"/>
        <v/>
      </c>
      <c r="R309" s="224"/>
      <c r="S309" s="271" t="str">
        <f t="shared" si="111"/>
        <v/>
      </c>
      <c r="T309" s="7" t="str">
        <f t="shared" si="112"/>
        <v/>
      </c>
      <c r="U309" s="7" t="str">
        <f t="shared" si="101"/>
        <v/>
      </c>
      <c r="V309" s="7" t="str">
        <f t="shared" si="102"/>
        <v/>
      </c>
      <c r="W309" s="7" t="str">
        <f>VLOOKUP(C309,'Tox Summary'!$N$3:$S$1048576,6,FALSE)</f>
        <v/>
      </c>
      <c r="X309" s="76" t="str">
        <f t="shared" si="103"/>
        <v/>
      </c>
      <c r="Y309" s="76" t="str">
        <f t="shared" si="104"/>
        <v/>
      </c>
      <c r="AA309" s="332"/>
    </row>
    <row r="310" spans="1:27">
      <c r="A310" s="265"/>
      <c r="B310" s="344" t="s">
        <v>882</v>
      </c>
      <c r="C310" s="269" t="s">
        <v>1116</v>
      </c>
      <c r="D310" s="280" t="str">
        <f>VLOOKUP(B310, 'Chem Props'!$1:$1048576,3,FALSE)</f>
        <v>No</v>
      </c>
      <c r="E310" s="598" t="str">
        <f t="shared" si="105"/>
        <v>No</v>
      </c>
      <c r="F310" s="7" t="str">
        <f t="shared" si="96"/>
        <v>No (not volatile)</v>
      </c>
      <c r="G310" s="270" t="str">
        <f t="shared" si="113"/>
        <v>No (not volatile)</v>
      </c>
      <c r="H310" s="76" t="str">
        <f t="shared" si="107"/>
        <v>--</v>
      </c>
      <c r="I310" s="271" t="str">
        <f t="shared" si="108"/>
        <v>--</v>
      </c>
      <c r="J310" s="272" t="str">
        <f t="shared" si="109"/>
        <v>--</v>
      </c>
      <c r="K310" s="272" t="str">
        <f t="shared" si="110"/>
        <v>--</v>
      </c>
      <c r="L310" s="273" t="str">
        <f t="shared" si="97"/>
        <v>--</v>
      </c>
      <c r="M310" s="7">
        <f t="shared" si="98"/>
        <v>236.09524832082619</v>
      </c>
      <c r="N310" s="7">
        <f t="shared" si="106"/>
        <v>236.67689999999999</v>
      </c>
      <c r="O310" s="326">
        <f t="shared" si="99"/>
        <v>25</v>
      </c>
      <c r="P310" s="224" t="str">
        <f t="shared" si="114"/>
        <v/>
      </c>
      <c r="Q310" s="224" t="str">
        <f t="shared" si="100"/>
        <v/>
      </c>
      <c r="R310" s="224"/>
      <c r="S310" s="271" t="str">
        <f t="shared" si="111"/>
        <v/>
      </c>
      <c r="T310" s="7" t="str">
        <f t="shared" si="112"/>
        <v/>
      </c>
      <c r="U310" s="7" t="str">
        <f t="shared" si="101"/>
        <v/>
      </c>
      <c r="V310" s="7" t="str">
        <f t="shared" si="102"/>
        <v/>
      </c>
      <c r="W310" s="7" t="str">
        <f>VLOOKUP(C310,'Tox Summary'!$N$3:$S$1048576,6,FALSE)</f>
        <v/>
      </c>
      <c r="X310" s="76" t="str">
        <f t="shared" si="103"/>
        <v/>
      </c>
      <c r="Y310" s="76" t="str">
        <f t="shared" si="104"/>
        <v/>
      </c>
      <c r="AA310" s="332"/>
    </row>
    <row r="311" spans="1:27">
      <c r="A311" s="265"/>
      <c r="B311" s="344" t="s">
        <v>878</v>
      </c>
      <c r="C311" s="269" t="s">
        <v>532</v>
      </c>
      <c r="D311" s="280" t="str">
        <f>VLOOKUP(B311, 'Chem Props'!$1:$1048576,3,FALSE)</f>
        <v>No</v>
      </c>
      <c r="E311" s="598" t="str">
        <f t="shared" si="105"/>
        <v>No</v>
      </c>
      <c r="F311" s="7" t="str">
        <f t="shared" si="96"/>
        <v>No (not volatile)</v>
      </c>
      <c r="G311" s="270" t="str">
        <f t="shared" si="113"/>
        <v>No (not volatile)</v>
      </c>
      <c r="H311" s="76" t="str">
        <f t="shared" si="107"/>
        <v>--</v>
      </c>
      <c r="I311" s="271" t="str">
        <f t="shared" si="108"/>
        <v>--</v>
      </c>
      <c r="J311" s="272" t="str">
        <f t="shared" si="109"/>
        <v>--</v>
      </c>
      <c r="K311" s="272" t="str">
        <f t="shared" si="110"/>
        <v>--</v>
      </c>
      <c r="L311" s="273" t="str">
        <f t="shared" si="97"/>
        <v>--</v>
      </c>
      <c r="M311" s="7">
        <f t="shared" si="98"/>
        <v>1279.40073452969</v>
      </c>
      <c r="N311" s="7">
        <f t="shared" si="106"/>
        <v>11325.6</v>
      </c>
      <c r="O311" s="326">
        <f t="shared" si="99"/>
        <v>25</v>
      </c>
      <c r="P311" s="224" t="str">
        <f t="shared" si="114"/>
        <v/>
      </c>
      <c r="Q311" s="224" t="str">
        <f t="shared" si="100"/>
        <v/>
      </c>
      <c r="R311" s="224"/>
      <c r="S311" s="271" t="str">
        <f t="shared" si="111"/>
        <v/>
      </c>
      <c r="T311" s="7" t="str">
        <f t="shared" si="112"/>
        <v/>
      </c>
      <c r="U311" s="7" t="str">
        <f t="shared" si="101"/>
        <v/>
      </c>
      <c r="V311" s="7" t="str">
        <f t="shared" si="102"/>
        <v/>
      </c>
      <c r="W311" s="7" t="str">
        <f>VLOOKUP(C311,'Tox Summary'!$N$3:$S$1048576,6,FALSE)</f>
        <v/>
      </c>
      <c r="X311" s="76" t="str">
        <f t="shared" si="103"/>
        <v/>
      </c>
      <c r="Y311" s="76" t="str">
        <f t="shared" si="104"/>
        <v/>
      </c>
      <c r="AA311" s="332"/>
    </row>
    <row r="312" spans="1:27">
      <c r="A312" s="265"/>
      <c r="B312" s="344" t="s">
        <v>879</v>
      </c>
      <c r="C312" s="269" t="s">
        <v>1113</v>
      </c>
      <c r="D312" s="280" t="str">
        <f>VLOOKUP(B312, 'Chem Props'!$1:$1048576,3,FALSE)</f>
        <v>No</v>
      </c>
      <c r="E312" s="598" t="str">
        <f t="shared" si="105"/>
        <v>No</v>
      </c>
      <c r="F312" s="7" t="str">
        <f t="shared" si="96"/>
        <v>No (not volatile)</v>
      </c>
      <c r="G312" s="270" t="str">
        <f t="shared" si="113"/>
        <v>No (not volatile)</v>
      </c>
      <c r="H312" s="76" t="str">
        <f t="shared" si="107"/>
        <v>--</v>
      </c>
      <c r="I312" s="271" t="str">
        <f t="shared" si="108"/>
        <v>--</v>
      </c>
      <c r="J312" s="272" t="str">
        <f t="shared" si="109"/>
        <v>--</v>
      </c>
      <c r="K312" s="272" t="str">
        <f t="shared" si="110"/>
        <v>--</v>
      </c>
      <c r="L312" s="273" t="str">
        <f t="shared" si="97"/>
        <v>--</v>
      </c>
      <c r="M312" s="7">
        <f t="shared" si="98"/>
        <v>0.60030663244125249</v>
      </c>
      <c r="N312" s="7">
        <f t="shared" si="106"/>
        <v>33.973500000000001</v>
      </c>
      <c r="O312" s="326">
        <f t="shared" si="99"/>
        <v>25</v>
      </c>
      <c r="P312" s="224" t="str">
        <f t="shared" si="114"/>
        <v/>
      </c>
      <c r="Q312" s="224" t="str">
        <f t="shared" si="100"/>
        <v/>
      </c>
      <c r="R312" s="224"/>
      <c r="S312" s="271" t="str">
        <f t="shared" si="111"/>
        <v/>
      </c>
      <c r="T312" s="7" t="str">
        <f t="shared" si="112"/>
        <v/>
      </c>
      <c r="U312" s="7" t="str">
        <f t="shared" si="101"/>
        <v/>
      </c>
      <c r="V312" s="7" t="str">
        <f t="shared" si="102"/>
        <v/>
      </c>
      <c r="W312" s="7" t="str">
        <f>VLOOKUP(C312,'Tox Summary'!$N$3:$S$1048576,6,FALSE)</f>
        <v/>
      </c>
      <c r="X312" s="76" t="str">
        <f t="shared" si="103"/>
        <v/>
      </c>
      <c r="Y312" s="76" t="str">
        <f t="shared" si="104"/>
        <v/>
      </c>
      <c r="AA312" s="332"/>
    </row>
    <row r="313" spans="1:27">
      <c r="A313" s="265"/>
      <c r="B313" s="344" t="s">
        <v>883</v>
      </c>
      <c r="C313" s="269" t="s">
        <v>1117</v>
      </c>
      <c r="D313" s="280" t="str">
        <f>VLOOKUP(B313, 'Chem Props'!$1:$1048576,3,FALSE)</f>
        <v>No</v>
      </c>
      <c r="E313" s="598" t="str">
        <f t="shared" si="105"/>
        <v>No</v>
      </c>
      <c r="F313" s="7" t="str">
        <f t="shared" si="96"/>
        <v>No (not volatile)</v>
      </c>
      <c r="G313" s="270" t="str">
        <f t="shared" si="113"/>
        <v>No (not volatile)</v>
      </c>
      <c r="H313" s="76" t="str">
        <f t="shared" si="107"/>
        <v>--</v>
      </c>
      <c r="I313" s="271" t="str">
        <f t="shared" si="108"/>
        <v>--</v>
      </c>
      <c r="J313" s="272" t="str">
        <f t="shared" si="109"/>
        <v>--</v>
      </c>
      <c r="K313" s="272" t="str">
        <f t="shared" si="110"/>
        <v>--</v>
      </c>
      <c r="L313" s="273" t="str">
        <f t="shared" si="97"/>
        <v>--</v>
      </c>
      <c r="M313" s="7">
        <f t="shared" si="98"/>
        <v>3863.626854806445</v>
      </c>
      <c r="N313" s="7">
        <f t="shared" si="106"/>
        <v>9809.3610000000008</v>
      </c>
      <c r="O313" s="326">
        <f t="shared" si="99"/>
        <v>25</v>
      </c>
      <c r="P313" s="224" t="str">
        <f t="shared" si="114"/>
        <v/>
      </c>
      <c r="Q313" s="224" t="str">
        <f t="shared" si="100"/>
        <v/>
      </c>
      <c r="R313" s="224"/>
      <c r="S313" s="271" t="str">
        <f t="shared" si="111"/>
        <v/>
      </c>
      <c r="T313" s="7" t="str">
        <f t="shared" si="112"/>
        <v/>
      </c>
      <c r="U313" s="7" t="str">
        <f t="shared" si="101"/>
        <v/>
      </c>
      <c r="V313" s="7" t="str">
        <f t="shared" si="102"/>
        <v/>
      </c>
      <c r="W313" s="7" t="str">
        <f>VLOOKUP(C313,'Tox Summary'!$N$3:$S$1048576,6,FALSE)</f>
        <v/>
      </c>
      <c r="X313" s="76" t="str">
        <f t="shared" si="103"/>
        <v/>
      </c>
      <c r="Y313" s="76" t="str">
        <f t="shared" si="104"/>
        <v/>
      </c>
      <c r="AA313" s="332"/>
    </row>
    <row r="314" spans="1:27">
      <c r="A314" s="265"/>
      <c r="B314" s="269" t="s">
        <v>2170</v>
      </c>
      <c r="C314" s="269" t="s">
        <v>1118</v>
      </c>
      <c r="D314" s="280" t="str">
        <f>VLOOKUP(B314, 'Chem Props'!$1:$1048576,3,FALSE)</f>
        <v>No</v>
      </c>
      <c r="E314" s="598" t="str">
        <f t="shared" si="105"/>
        <v>No</v>
      </c>
      <c r="F314" s="7" t="str">
        <f t="shared" si="96"/>
        <v>No (not volatile)</v>
      </c>
      <c r="G314" s="270" t="str">
        <f t="shared" si="113"/>
        <v>No (not volatile)</v>
      </c>
      <c r="H314" s="76" t="str">
        <f t="shared" si="107"/>
        <v>--</v>
      </c>
      <c r="I314" s="271" t="str">
        <f t="shared" si="108"/>
        <v>--</v>
      </c>
      <c r="J314" s="272" t="str">
        <f t="shared" si="109"/>
        <v>--</v>
      </c>
      <c r="K314" s="272" t="str">
        <f t="shared" si="110"/>
        <v>--</v>
      </c>
      <c r="L314" s="273" t="str">
        <f t="shared" si="97"/>
        <v>--</v>
      </c>
      <c r="M314" s="7">
        <f t="shared" si="98"/>
        <v>21071.574267460765</v>
      </c>
      <c r="N314" s="7">
        <f t="shared" si="106"/>
        <v>4374</v>
      </c>
      <c r="O314" s="326">
        <f t="shared" si="99"/>
        <v>25</v>
      </c>
      <c r="P314" s="224" t="str">
        <f t="shared" si="114"/>
        <v/>
      </c>
      <c r="Q314" s="224" t="str">
        <f t="shared" si="100"/>
        <v/>
      </c>
      <c r="R314" s="224"/>
      <c r="S314" s="271" t="str">
        <f t="shared" si="111"/>
        <v/>
      </c>
      <c r="T314" s="7" t="str">
        <f t="shared" si="112"/>
        <v/>
      </c>
      <c r="U314" s="7" t="str">
        <f t="shared" si="101"/>
        <v/>
      </c>
      <c r="V314" s="7" t="str">
        <f t="shared" si="102"/>
        <v/>
      </c>
      <c r="W314" s="7" t="str">
        <f>VLOOKUP(C314,'Tox Summary'!$N$3:$S$1048576,6,FALSE)</f>
        <v/>
      </c>
      <c r="X314" s="76" t="str">
        <f t="shared" si="103"/>
        <v/>
      </c>
      <c r="Y314" s="76" t="str">
        <f t="shared" si="104"/>
        <v/>
      </c>
      <c r="AA314" s="243"/>
    </row>
    <row r="315" spans="1:27">
      <c r="A315" s="265"/>
      <c r="B315" s="269" t="s">
        <v>885</v>
      </c>
      <c r="C315" s="269" t="s">
        <v>1119</v>
      </c>
      <c r="D315" s="280" t="str">
        <f>VLOOKUP(B315, 'Chem Props'!$1:$1048576,3,FALSE)</f>
        <v>No</v>
      </c>
      <c r="E315" s="598" t="str">
        <f t="shared" si="105"/>
        <v>Yes</v>
      </c>
      <c r="F315" s="7" t="str">
        <f t="shared" si="96"/>
        <v>No (not volatile)</v>
      </c>
      <c r="G315" s="270" t="str">
        <f t="shared" si="113"/>
        <v>No (not volatile)</v>
      </c>
      <c r="H315" s="76">
        <f t="shared" si="107"/>
        <v>3.1547104580812446E-2</v>
      </c>
      <c r="I315" s="271" t="str">
        <f t="shared" si="108"/>
        <v>C</v>
      </c>
      <c r="J315" s="272">
        <f t="shared" si="109"/>
        <v>1.0515701526937482</v>
      </c>
      <c r="K315" s="272">
        <f t="shared" si="110"/>
        <v>14289.579463157335</v>
      </c>
      <c r="L315" s="273" t="str">
        <f t="shared" si="97"/>
        <v>--</v>
      </c>
      <c r="M315" s="7">
        <f t="shared" si="98"/>
        <v>1440.7076359612709</v>
      </c>
      <c r="N315" s="7">
        <f t="shared" si="106"/>
        <v>441.54</v>
      </c>
      <c r="O315" s="326">
        <f t="shared" si="99"/>
        <v>25</v>
      </c>
      <c r="P315" s="224" t="str">
        <f t="shared" si="114"/>
        <v/>
      </c>
      <c r="Q315" s="224" t="str">
        <f t="shared" si="100"/>
        <v/>
      </c>
      <c r="R315" s="224"/>
      <c r="S315" s="271">
        <f t="shared" si="111"/>
        <v>8.8999999999999995E-5</v>
      </c>
      <c r="T315" s="7" t="str">
        <f t="shared" si="112"/>
        <v>CA</v>
      </c>
      <c r="U315" s="7" t="str">
        <f t="shared" si="101"/>
        <v/>
      </c>
      <c r="V315" s="7" t="str">
        <f t="shared" si="102"/>
        <v/>
      </c>
      <c r="W315" s="7" t="str">
        <f>VLOOKUP(C315,'Tox Summary'!$N$3:$S$1048576,6,FALSE)</f>
        <v/>
      </c>
      <c r="X315" s="76">
        <f t="shared" si="103"/>
        <v>3.1547104580812446E-2</v>
      </c>
      <c r="Y315" s="76" t="str">
        <f t="shared" si="104"/>
        <v/>
      </c>
      <c r="AA315" s="243"/>
    </row>
    <row r="316" spans="1:27">
      <c r="A316" s="265"/>
      <c r="B316" s="344" t="s">
        <v>886</v>
      </c>
      <c r="C316" s="269" t="s">
        <v>1120</v>
      </c>
      <c r="D316" s="280" t="str">
        <f>VLOOKUP(B316, 'Chem Props'!$1:$1048576,3,FALSE)</f>
        <v>No</v>
      </c>
      <c r="E316" s="598" t="str">
        <f t="shared" si="105"/>
        <v>No</v>
      </c>
      <c r="F316" s="7" t="str">
        <f t="shared" si="96"/>
        <v>No (not volatile)</v>
      </c>
      <c r="G316" s="270" t="str">
        <f t="shared" si="113"/>
        <v>No (not volatile)</v>
      </c>
      <c r="H316" s="76" t="str">
        <f t="shared" si="107"/>
        <v>--</v>
      </c>
      <c r="I316" s="271" t="str">
        <f t="shared" si="108"/>
        <v>--</v>
      </c>
      <c r="J316" s="272" t="str">
        <f t="shared" si="109"/>
        <v>--</v>
      </c>
      <c r="K316" s="272" t="str">
        <f t="shared" si="110"/>
        <v>--</v>
      </c>
      <c r="L316" s="273" t="str">
        <f t="shared" si="97"/>
        <v>--</v>
      </c>
      <c r="M316" s="7">
        <f t="shared" si="98"/>
        <v>5557.0151672791881</v>
      </c>
      <c r="N316" s="7">
        <f t="shared" si="106"/>
        <v>5550.9999999999991</v>
      </c>
      <c r="O316" s="326">
        <f t="shared" si="99"/>
        <v>25</v>
      </c>
      <c r="P316" s="224" t="str">
        <f t="shared" si="114"/>
        <v/>
      </c>
      <c r="Q316" s="224" t="str">
        <f t="shared" si="100"/>
        <v/>
      </c>
      <c r="R316" s="224"/>
      <c r="S316" s="271" t="str">
        <f t="shared" si="111"/>
        <v/>
      </c>
      <c r="T316" s="7" t="str">
        <f t="shared" si="112"/>
        <v/>
      </c>
      <c r="U316" s="7" t="str">
        <f t="shared" si="101"/>
        <v/>
      </c>
      <c r="V316" s="7" t="str">
        <f t="shared" si="102"/>
        <v/>
      </c>
      <c r="W316" s="7" t="str">
        <f>VLOOKUP(C316,'Tox Summary'!$N$3:$S$1048576,6,FALSE)</f>
        <v/>
      </c>
      <c r="X316" s="76" t="str">
        <f t="shared" si="103"/>
        <v/>
      </c>
      <c r="Y316" s="76" t="str">
        <f t="shared" si="104"/>
        <v/>
      </c>
      <c r="AA316" s="332"/>
    </row>
    <row r="317" spans="1:27">
      <c r="A317" s="265"/>
      <c r="B317" s="344" t="s">
        <v>887</v>
      </c>
      <c r="C317" s="269" t="s">
        <v>1121</v>
      </c>
      <c r="D317" s="280" t="str">
        <f>VLOOKUP(B317, 'Chem Props'!$1:$1048576,3,FALSE)</f>
        <v>No</v>
      </c>
      <c r="E317" s="598" t="str">
        <f t="shared" si="105"/>
        <v>No</v>
      </c>
      <c r="F317" s="7" t="str">
        <f t="shared" si="96"/>
        <v>No (not volatile)</v>
      </c>
      <c r="G317" s="270" t="str">
        <f t="shared" si="113"/>
        <v>No (not volatile)</v>
      </c>
      <c r="H317" s="76" t="str">
        <f t="shared" si="107"/>
        <v>--</v>
      </c>
      <c r="I317" s="271" t="str">
        <f t="shared" si="108"/>
        <v>--</v>
      </c>
      <c r="J317" s="272" t="str">
        <f t="shared" si="109"/>
        <v>--</v>
      </c>
      <c r="K317" s="272" t="str">
        <f t="shared" si="110"/>
        <v>--</v>
      </c>
      <c r="L317" s="273" t="str">
        <f t="shared" si="97"/>
        <v>--</v>
      </c>
      <c r="M317" s="7">
        <f t="shared" si="98"/>
        <v>113.50990236255734</v>
      </c>
      <c r="N317" s="7">
        <f t="shared" si="106"/>
        <v>1.6310180000000001</v>
      </c>
      <c r="O317" s="326">
        <f t="shared" si="99"/>
        <v>25</v>
      </c>
      <c r="P317" s="224" t="str">
        <f t="shared" si="114"/>
        <v/>
      </c>
      <c r="Q317" s="224" t="str">
        <f t="shared" si="100"/>
        <v/>
      </c>
      <c r="R317" s="224"/>
      <c r="S317" s="271" t="str">
        <f t="shared" si="111"/>
        <v/>
      </c>
      <c r="T317" s="7" t="str">
        <f t="shared" si="112"/>
        <v/>
      </c>
      <c r="U317" s="7" t="str">
        <f t="shared" si="101"/>
        <v/>
      </c>
      <c r="V317" s="7" t="str">
        <f t="shared" si="102"/>
        <v/>
      </c>
      <c r="W317" s="7" t="str">
        <f>VLOOKUP(C317,'Tox Summary'!$N$3:$S$1048576,6,FALSE)</f>
        <v/>
      </c>
      <c r="X317" s="76" t="str">
        <f t="shared" si="103"/>
        <v/>
      </c>
      <c r="Y317" s="76" t="str">
        <f t="shared" si="104"/>
        <v/>
      </c>
      <c r="AA317" s="332"/>
    </row>
    <row r="318" spans="1:27">
      <c r="A318" s="265"/>
      <c r="B318" s="269" t="s">
        <v>888</v>
      </c>
      <c r="C318" s="269" t="s">
        <v>1122</v>
      </c>
      <c r="D318" s="280" t="str">
        <f>VLOOKUP(B318, 'Chem Props'!$1:$1048576,3,FALSE)</f>
        <v>No</v>
      </c>
      <c r="E318" s="598" t="str">
        <f t="shared" si="105"/>
        <v>No</v>
      </c>
      <c r="F318" s="7" t="str">
        <f t="shared" si="96"/>
        <v>No (not volatile)</v>
      </c>
      <c r="G318" s="270" t="str">
        <f t="shared" si="113"/>
        <v>No (not volatile)</v>
      </c>
      <c r="H318" s="76" t="str">
        <f t="shared" si="107"/>
        <v>--</v>
      </c>
      <c r="I318" s="271" t="str">
        <f t="shared" si="108"/>
        <v>--</v>
      </c>
      <c r="J318" s="272" t="str">
        <f t="shared" si="109"/>
        <v>--</v>
      </c>
      <c r="K318" s="272" t="str">
        <f t="shared" si="110"/>
        <v>--</v>
      </c>
      <c r="L318" s="273" t="str">
        <f t="shared" si="97"/>
        <v>--</v>
      </c>
      <c r="M318" s="7">
        <f t="shared" si="98"/>
        <v>113.50990236255734</v>
      </c>
      <c r="N318" s="7">
        <f t="shared" si="106"/>
        <v>1.6310180000000001</v>
      </c>
      <c r="O318" s="326">
        <f t="shared" si="99"/>
        <v>25</v>
      </c>
      <c r="P318" s="224" t="str">
        <f t="shared" si="114"/>
        <v/>
      </c>
      <c r="Q318" s="224" t="str">
        <f t="shared" si="100"/>
        <v/>
      </c>
      <c r="R318" s="224"/>
      <c r="S318" s="271" t="str">
        <f t="shared" si="111"/>
        <v/>
      </c>
      <c r="T318" s="7" t="str">
        <f t="shared" si="112"/>
        <v/>
      </c>
      <c r="U318" s="7" t="str">
        <f t="shared" si="101"/>
        <v/>
      </c>
      <c r="V318" s="7" t="str">
        <f t="shared" si="102"/>
        <v/>
      </c>
      <c r="W318" s="7" t="str">
        <f>VLOOKUP(C318,'Tox Summary'!$N$3:$S$1048576,6,FALSE)</f>
        <v/>
      </c>
      <c r="X318" s="76" t="str">
        <f t="shared" si="103"/>
        <v/>
      </c>
      <c r="Y318" s="76" t="str">
        <f t="shared" si="104"/>
        <v/>
      </c>
      <c r="AA318" s="243"/>
    </row>
    <row r="319" spans="1:27">
      <c r="A319" s="265"/>
      <c r="B319" s="269" t="s">
        <v>884</v>
      </c>
      <c r="C319" s="269" t="s">
        <v>2031</v>
      </c>
      <c r="D319" s="280" t="str">
        <f>VLOOKUP(B319, 'Chem Props'!$1:$1048576,3,FALSE)</f>
        <v>No</v>
      </c>
      <c r="E319" s="598" t="str">
        <f t="shared" si="105"/>
        <v>No</v>
      </c>
      <c r="F319" s="7" t="str">
        <f t="shared" si="96"/>
        <v>No (not volatile)</v>
      </c>
      <c r="G319" s="270" t="str">
        <f t="shared" si="113"/>
        <v>No (not volatile)</v>
      </c>
      <c r="H319" s="76" t="str">
        <f t="shared" si="107"/>
        <v>--</v>
      </c>
      <c r="I319" s="271" t="str">
        <f t="shared" si="108"/>
        <v>--</v>
      </c>
      <c r="J319" s="272" t="str">
        <f t="shared" si="109"/>
        <v>--</v>
      </c>
      <c r="K319" s="272" t="str">
        <f t="shared" si="110"/>
        <v>--</v>
      </c>
      <c r="L319" s="273" t="str">
        <f t="shared" si="97"/>
        <v>--</v>
      </c>
      <c r="M319" s="7">
        <f t="shared" si="98"/>
        <v>11672.45845007251</v>
      </c>
      <c r="N319" s="7">
        <f t="shared" si="106"/>
        <v>1022.1659999999999</v>
      </c>
      <c r="O319" s="326">
        <f t="shared" si="99"/>
        <v>25</v>
      </c>
      <c r="P319" s="224" t="str">
        <f t="shared" si="114"/>
        <v/>
      </c>
      <c r="Q319" s="224" t="str">
        <f t="shared" si="100"/>
        <v/>
      </c>
      <c r="R319" s="224"/>
      <c r="S319" s="271" t="str">
        <f t="shared" si="111"/>
        <v/>
      </c>
      <c r="T319" s="7" t="str">
        <f t="shared" si="112"/>
        <v/>
      </c>
      <c r="U319" s="7" t="str">
        <f t="shared" si="101"/>
        <v/>
      </c>
      <c r="V319" s="7" t="str">
        <f t="shared" si="102"/>
        <v/>
      </c>
      <c r="W319" s="7" t="str">
        <f>VLOOKUP(C319,'Tox Summary'!$N$3:$S$1048576,6,FALSE)</f>
        <v/>
      </c>
      <c r="X319" s="76" t="str">
        <f t="shared" si="103"/>
        <v/>
      </c>
      <c r="Y319" s="76" t="str">
        <f t="shared" si="104"/>
        <v/>
      </c>
      <c r="AA319" s="243"/>
    </row>
    <row r="320" spans="1:27">
      <c r="A320" s="265"/>
      <c r="B320" s="269" t="s">
        <v>889</v>
      </c>
      <c r="C320" s="269" t="s">
        <v>1123</v>
      </c>
      <c r="D320" s="280" t="str">
        <f>VLOOKUP(B320, 'Chem Props'!$1:$1048576,3,FALSE)</f>
        <v>No</v>
      </c>
      <c r="E320" s="598" t="str">
        <f t="shared" si="105"/>
        <v>No</v>
      </c>
      <c r="F320" s="7" t="str">
        <f t="shared" si="96"/>
        <v>No (not volatile)</v>
      </c>
      <c r="G320" s="270" t="str">
        <f t="shared" si="113"/>
        <v>No (not volatile)</v>
      </c>
      <c r="H320" s="76" t="str">
        <f t="shared" si="107"/>
        <v>--</v>
      </c>
      <c r="I320" s="271" t="str">
        <f t="shared" si="108"/>
        <v>--</v>
      </c>
      <c r="J320" s="272" t="str">
        <f t="shared" si="109"/>
        <v>--</v>
      </c>
      <c r="K320" s="272" t="str">
        <f t="shared" si="110"/>
        <v>--</v>
      </c>
      <c r="L320" s="273" t="str">
        <f t="shared" si="97"/>
        <v>No (7)</v>
      </c>
      <c r="M320" s="7">
        <f t="shared" si="98"/>
        <v>969.44598657742665</v>
      </c>
      <c r="N320" s="7">
        <f t="shared" si="106"/>
        <v>967.2</v>
      </c>
      <c r="O320" s="326">
        <f t="shared" si="99"/>
        <v>25</v>
      </c>
      <c r="P320" s="224" t="str">
        <f t="shared" si="114"/>
        <v/>
      </c>
      <c r="Q320" s="224" t="str">
        <f t="shared" si="100"/>
        <v/>
      </c>
      <c r="R320" s="224"/>
      <c r="S320" s="271" t="str">
        <f t="shared" si="111"/>
        <v/>
      </c>
      <c r="T320" s="7" t="str">
        <f t="shared" si="112"/>
        <v/>
      </c>
      <c r="U320" s="7" t="str">
        <f t="shared" si="101"/>
        <v/>
      </c>
      <c r="V320" s="7" t="str">
        <f t="shared" si="102"/>
        <v/>
      </c>
      <c r="W320" s="7" t="str">
        <f>VLOOKUP(C320,'Tox Summary'!$N$3:$S$1048576,6,FALSE)</f>
        <v/>
      </c>
      <c r="X320" s="76" t="str">
        <f t="shared" si="103"/>
        <v/>
      </c>
      <c r="Y320" s="76" t="str">
        <f t="shared" si="104"/>
        <v/>
      </c>
      <c r="AA320" s="243"/>
    </row>
    <row r="321" spans="1:27">
      <c r="A321" s="265"/>
      <c r="B321" s="269" t="s">
        <v>890</v>
      </c>
      <c r="C321" s="269" t="s">
        <v>1124</v>
      </c>
      <c r="D321" s="280" t="str">
        <f>VLOOKUP(B321, 'Chem Props'!$1:$1048576,3,FALSE)</f>
        <v>Yes</v>
      </c>
      <c r="E321" s="598" t="str">
        <f t="shared" si="105"/>
        <v>Yes</v>
      </c>
      <c r="F321" s="7" t="str">
        <f t="shared" si="96"/>
        <v>Yes</v>
      </c>
      <c r="G321" s="270" t="str">
        <f t="shared" si="113"/>
        <v>Yes</v>
      </c>
      <c r="H321" s="76">
        <f t="shared" si="107"/>
        <v>0.56153846153846143</v>
      </c>
      <c r="I321" s="271" t="str">
        <f t="shared" si="108"/>
        <v>C</v>
      </c>
      <c r="J321" s="272">
        <f t="shared" si="109"/>
        <v>18.717948717948715</v>
      </c>
      <c r="K321" s="272">
        <f t="shared" si="110"/>
        <v>2862.0716694111184</v>
      </c>
      <c r="L321" s="273" t="str">
        <f t="shared" si="97"/>
        <v>--</v>
      </c>
      <c r="M321" s="7">
        <f t="shared" si="98"/>
        <v>180582049.4810248</v>
      </c>
      <c r="N321" s="7">
        <f t="shared" si="106"/>
        <v>196200000</v>
      </c>
      <c r="O321" s="326">
        <f t="shared" si="99"/>
        <v>25</v>
      </c>
      <c r="P321" s="224">
        <f t="shared" si="114"/>
        <v>2</v>
      </c>
      <c r="Q321" s="224" t="str">
        <f t="shared" si="100"/>
        <v>N</v>
      </c>
      <c r="R321" s="224"/>
      <c r="S321" s="271">
        <f t="shared" si="111"/>
        <v>5.0000000000000004E-6</v>
      </c>
      <c r="T321" s="7" t="str">
        <f t="shared" si="112"/>
        <v>I</v>
      </c>
      <c r="U321" s="7">
        <f t="shared" si="101"/>
        <v>0.03</v>
      </c>
      <c r="V321" s="7" t="str">
        <f t="shared" si="102"/>
        <v>I</v>
      </c>
      <c r="W321" s="7" t="str">
        <f>VLOOKUP(C321,'Tox Summary'!$N$3:$S$1048576,6,FALSE)</f>
        <v/>
      </c>
      <c r="X321" s="76">
        <f t="shared" si="103"/>
        <v>0.56153846153846143</v>
      </c>
      <c r="Y321" s="76">
        <f t="shared" si="104"/>
        <v>31.285714285714285</v>
      </c>
      <c r="AA321" s="243"/>
    </row>
    <row r="322" spans="1:27">
      <c r="A322" s="265"/>
      <c r="B322" s="269" t="s">
        <v>892</v>
      </c>
      <c r="C322" s="269" t="s">
        <v>1126</v>
      </c>
      <c r="D322" s="280" t="str">
        <f>VLOOKUP(B322, 'Chem Props'!$1:$1048576,3,FALSE)</f>
        <v>No</v>
      </c>
      <c r="E322" s="598" t="str">
        <f t="shared" si="105"/>
        <v>No</v>
      </c>
      <c r="F322" s="7" t="str">
        <f t="shared" si="96"/>
        <v>No (not volatile)</v>
      </c>
      <c r="G322" s="270" t="str">
        <f t="shared" si="113"/>
        <v>No (not volatile)</v>
      </c>
      <c r="H322" s="76" t="str">
        <f t="shared" si="107"/>
        <v>--</v>
      </c>
      <c r="I322" s="271" t="str">
        <f t="shared" si="108"/>
        <v>--</v>
      </c>
      <c r="J322" s="272" t="str">
        <f t="shared" si="109"/>
        <v>--</v>
      </c>
      <c r="K322" s="272" t="str">
        <f t="shared" si="110"/>
        <v>--</v>
      </c>
      <c r="L322" s="273" t="str">
        <f t="shared" si="97"/>
        <v>--</v>
      </c>
      <c r="M322" s="7">
        <f t="shared" si="98"/>
        <v>0.38632555741854924</v>
      </c>
      <c r="N322" s="7">
        <f t="shared" si="106"/>
        <v>0.38586599999999999</v>
      </c>
      <c r="O322" s="326">
        <f t="shared" si="99"/>
        <v>25</v>
      </c>
      <c r="P322" s="224" t="str">
        <f t="shared" si="114"/>
        <v/>
      </c>
      <c r="Q322" s="224" t="str">
        <f t="shared" si="100"/>
        <v/>
      </c>
      <c r="R322" s="224"/>
      <c r="S322" s="271" t="str">
        <f t="shared" si="111"/>
        <v/>
      </c>
      <c r="T322" s="7" t="str">
        <f t="shared" si="112"/>
        <v/>
      </c>
      <c r="U322" s="7" t="str">
        <f t="shared" si="101"/>
        <v/>
      </c>
      <c r="V322" s="7" t="str">
        <f t="shared" si="102"/>
        <v/>
      </c>
      <c r="W322" s="7" t="str">
        <f>VLOOKUP(C322,'Tox Summary'!$N$3:$S$1048576,6,FALSE)</f>
        <v/>
      </c>
      <c r="X322" s="76" t="str">
        <f t="shared" si="103"/>
        <v/>
      </c>
      <c r="Y322" s="76" t="str">
        <f t="shared" si="104"/>
        <v/>
      </c>
      <c r="AA322" s="243"/>
    </row>
    <row r="323" spans="1:27">
      <c r="A323" s="265"/>
      <c r="B323" s="96" t="s">
        <v>2501</v>
      </c>
      <c r="C323" s="96" t="s">
        <v>2500</v>
      </c>
      <c r="D323" s="280" t="str">
        <f>VLOOKUP(B323, 'Chem Props'!$1:$1048576,3,FALSE)</f>
        <v>Yes</v>
      </c>
      <c r="E323" s="598" t="str">
        <f t="shared" si="105"/>
        <v>Yes</v>
      </c>
      <c r="F323" s="7" t="str">
        <f t="shared" si="96"/>
        <v>Yes</v>
      </c>
      <c r="G323" s="270" t="str">
        <f t="shared" si="113"/>
        <v>Yes</v>
      </c>
      <c r="H323" s="76">
        <f t="shared" si="107"/>
        <v>0.41714285714285715</v>
      </c>
      <c r="I323" s="271" t="str">
        <f t="shared" si="108"/>
        <v>NC</v>
      </c>
      <c r="J323" s="272">
        <f t="shared" si="109"/>
        <v>13.904761904761905</v>
      </c>
      <c r="K323" s="272">
        <f t="shared" si="110"/>
        <v>36.570947638418524</v>
      </c>
      <c r="L323" s="273" t="str">
        <f t="shared" si="97"/>
        <v>--</v>
      </c>
      <c r="M323" s="7">
        <f t="shared" si="98"/>
        <v>206072.8516052083</v>
      </c>
      <c r="N323" s="7">
        <f t="shared" si="106"/>
        <v>205315.20000000001</v>
      </c>
      <c r="O323" s="326">
        <f t="shared" si="99"/>
        <v>25</v>
      </c>
      <c r="P323" s="224" t="str">
        <f t="shared" si="114"/>
        <v/>
      </c>
      <c r="Q323" s="224" t="str">
        <f t="shared" si="100"/>
        <v/>
      </c>
      <c r="R323" s="224"/>
      <c r="S323" s="271" t="str">
        <f t="shared" si="111"/>
        <v/>
      </c>
      <c r="T323" s="7" t="str">
        <f t="shared" si="112"/>
        <v/>
      </c>
      <c r="U323" s="7">
        <f t="shared" si="101"/>
        <v>4.0000000000000002E-4</v>
      </c>
      <c r="V323" s="7" t="str">
        <f t="shared" si="102"/>
        <v>X</v>
      </c>
      <c r="W323" s="7" t="str">
        <f>VLOOKUP(C323,'Tox Summary'!$N$3:$S$1048576,6,FALSE)</f>
        <v/>
      </c>
      <c r="X323" s="76" t="str">
        <f t="shared" si="103"/>
        <v/>
      </c>
      <c r="Y323" s="76">
        <f t="shared" si="104"/>
        <v>0.41714285714285715</v>
      </c>
      <c r="AA323" s="332"/>
    </row>
    <row r="324" spans="1:27">
      <c r="A324" s="265"/>
      <c r="B324" s="269" t="s">
        <v>893</v>
      </c>
      <c r="C324" s="269" t="s">
        <v>533</v>
      </c>
      <c r="D324" s="280" t="str">
        <f>VLOOKUP(B324, 'Chem Props'!$1:$1048576,3,FALSE)</f>
        <v>No</v>
      </c>
      <c r="E324" s="598" t="str">
        <f t="shared" si="105"/>
        <v>No</v>
      </c>
      <c r="F324" s="7" t="str">
        <f t="shared" si="96"/>
        <v>No (not volatile)</v>
      </c>
      <c r="G324" s="270" t="str">
        <f t="shared" si="113"/>
        <v>No (not volatile)</v>
      </c>
      <c r="H324" s="76" t="str">
        <f t="shared" si="107"/>
        <v>--</v>
      </c>
      <c r="I324" s="271" t="str">
        <f t="shared" si="108"/>
        <v>--</v>
      </c>
      <c r="J324" s="272" t="str">
        <f t="shared" si="109"/>
        <v>--</v>
      </c>
      <c r="K324" s="272" t="str">
        <f t="shared" si="110"/>
        <v>--</v>
      </c>
      <c r="L324" s="273" t="str">
        <f t="shared" si="97"/>
        <v>--</v>
      </c>
      <c r="M324" s="7">
        <f t="shared" si="98"/>
        <v>179.70434047883035</v>
      </c>
      <c r="N324" s="7">
        <f t="shared" si="106"/>
        <v>3198.7200000000003</v>
      </c>
      <c r="O324" s="326">
        <f t="shared" si="99"/>
        <v>25</v>
      </c>
      <c r="P324" s="224" t="str">
        <f t="shared" si="114"/>
        <v/>
      </c>
      <c r="Q324" s="224" t="str">
        <f t="shared" si="100"/>
        <v/>
      </c>
      <c r="R324" s="224"/>
      <c r="S324" s="271" t="str">
        <f t="shared" si="111"/>
        <v/>
      </c>
      <c r="T324" s="7" t="str">
        <f t="shared" si="112"/>
        <v/>
      </c>
      <c r="U324" s="7" t="str">
        <f t="shared" si="101"/>
        <v/>
      </c>
      <c r="V324" s="7" t="str">
        <f t="shared" si="102"/>
        <v/>
      </c>
      <c r="W324" s="7" t="str">
        <f>VLOOKUP(C324,'Tox Summary'!$N$3:$S$1048576,6,FALSE)</f>
        <v/>
      </c>
      <c r="X324" s="76" t="str">
        <f t="shared" si="103"/>
        <v/>
      </c>
      <c r="Y324" s="76" t="str">
        <f t="shared" si="104"/>
        <v/>
      </c>
      <c r="AA324" s="243"/>
    </row>
    <row r="325" spans="1:27">
      <c r="A325" s="265"/>
      <c r="B325" s="344" t="s">
        <v>894</v>
      </c>
      <c r="C325" s="269" t="s">
        <v>1127</v>
      </c>
      <c r="D325" s="280" t="str">
        <f>VLOOKUP(B325, 'Chem Props'!$1:$1048576,3,FALSE)</f>
        <v>No</v>
      </c>
      <c r="E325" s="598" t="str">
        <f t="shared" si="105"/>
        <v>No</v>
      </c>
      <c r="F325" s="7" t="str">
        <f t="shared" si="96"/>
        <v>No (not volatile)</v>
      </c>
      <c r="G325" s="270" t="str">
        <f t="shared" si="113"/>
        <v>No (not volatile)</v>
      </c>
      <c r="H325" s="76" t="str">
        <f t="shared" si="107"/>
        <v>--</v>
      </c>
      <c r="I325" s="271" t="str">
        <f t="shared" si="108"/>
        <v>--</v>
      </c>
      <c r="J325" s="272" t="str">
        <f t="shared" si="109"/>
        <v>--</v>
      </c>
      <c r="K325" s="272" t="str">
        <f t="shared" si="110"/>
        <v>--</v>
      </c>
      <c r="L325" s="273" t="str">
        <f t="shared" si="97"/>
        <v>--</v>
      </c>
      <c r="M325" s="7">
        <f t="shared" si="98"/>
        <v>6101.0607324782068</v>
      </c>
      <c r="N325" s="7">
        <f t="shared" si="106"/>
        <v>5830</v>
      </c>
      <c r="O325" s="326">
        <f t="shared" si="99"/>
        <v>25</v>
      </c>
      <c r="P325" s="224" t="str">
        <f t="shared" si="114"/>
        <v/>
      </c>
      <c r="Q325" s="224" t="str">
        <f t="shared" si="100"/>
        <v/>
      </c>
      <c r="R325" s="224"/>
      <c r="S325" s="271" t="str">
        <f t="shared" si="111"/>
        <v/>
      </c>
      <c r="T325" s="7" t="str">
        <f t="shared" si="112"/>
        <v/>
      </c>
      <c r="U325" s="7" t="str">
        <f t="shared" si="101"/>
        <v/>
      </c>
      <c r="V325" s="7" t="str">
        <f t="shared" si="102"/>
        <v/>
      </c>
      <c r="W325" s="7" t="str">
        <f>VLOOKUP(C325,'Tox Summary'!$N$3:$S$1048576,6,FALSE)</f>
        <v/>
      </c>
      <c r="X325" s="76" t="str">
        <f t="shared" si="103"/>
        <v/>
      </c>
      <c r="Y325" s="76" t="str">
        <f t="shared" si="104"/>
        <v/>
      </c>
      <c r="AA325" s="332"/>
    </row>
    <row r="326" spans="1:27">
      <c r="A326" s="265" t="s">
        <v>1413</v>
      </c>
      <c r="B326" s="344" t="s">
        <v>895</v>
      </c>
      <c r="C326" s="269" t="s">
        <v>1128</v>
      </c>
      <c r="D326" s="280" t="str">
        <f>VLOOKUP(B326, 'Chem Props'!$1:$1048576,3,FALSE)</f>
        <v>No</v>
      </c>
      <c r="E326" s="598" t="str">
        <f t="shared" si="105"/>
        <v>Yes</v>
      </c>
      <c r="F326" s="7" t="str">
        <f t="shared" si="96"/>
        <v>No (not volatile)</v>
      </c>
      <c r="G326" s="270" t="str">
        <f t="shared" si="113"/>
        <v>No (not volatile)</v>
      </c>
      <c r="H326" s="76">
        <f t="shared" si="107"/>
        <v>1.2762237762237762E-2</v>
      </c>
      <c r="I326" s="271" t="str">
        <f t="shared" si="108"/>
        <v>C</v>
      </c>
      <c r="J326" s="272">
        <f t="shared" si="109"/>
        <v>0.42540792540792538</v>
      </c>
      <c r="K326" s="272">
        <f t="shared" si="110"/>
        <v>654.47373139680838</v>
      </c>
      <c r="L326" s="273" t="str">
        <f t="shared" si="97"/>
        <v>--</v>
      </c>
      <c r="M326" s="7">
        <f t="shared" si="98"/>
        <v>4322.386570933475</v>
      </c>
      <c r="N326" s="7">
        <f t="shared" si="106"/>
        <v>4309.5</v>
      </c>
      <c r="O326" s="326">
        <f t="shared" si="99"/>
        <v>25</v>
      </c>
      <c r="P326" s="224" t="str">
        <f t="shared" si="114"/>
        <v/>
      </c>
      <c r="Q326" s="224" t="str">
        <f t="shared" si="100"/>
        <v/>
      </c>
      <c r="R326" s="224"/>
      <c r="S326" s="271">
        <f t="shared" si="111"/>
        <v>2.2000000000000001E-4</v>
      </c>
      <c r="T326" s="7" t="str">
        <f t="shared" si="112"/>
        <v>I</v>
      </c>
      <c r="U326" s="7" t="str">
        <f t="shared" si="101"/>
        <v/>
      </c>
      <c r="V326" s="7" t="str">
        <f t="shared" si="102"/>
        <v/>
      </c>
      <c r="W326" s="7" t="str">
        <f>VLOOKUP(C326,'Tox Summary'!$N$3:$S$1048576,6,FALSE)</f>
        <v/>
      </c>
      <c r="X326" s="76">
        <f t="shared" si="103"/>
        <v>1.2762237762237762E-2</v>
      </c>
      <c r="Y326" s="76" t="str">
        <f t="shared" si="104"/>
        <v/>
      </c>
      <c r="AA326" s="332"/>
    </row>
    <row r="327" spans="1:27">
      <c r="A327" s="265" t="s">
        <v>1413</v>
      </c>
      <c r="B327" s="344" t="s">
        <v>1587</v>
      </c>
      <c r="C327" s="269" t="s">
        <v>2387</v>
      </c>
      <c r="D327" s="280" t="str">
        <f>VLOOKUP(B327, 'Chem Props'!$1:$1048576,3,FALSE)</f>
        <v>No</v>
      </c>
      <c r="E327" s="598" t="str">
        <f t="shared" si="105"/>
        <v>No</v>
      </c>
      <c r="F327" s="7" t="str">
        <f t="shared" si="96"/>
        <v>No (not volatile)</v>
      </c>
      <c r="G327" s="270" t="str">
        <f t="shared" si="113"/>
        <v>No (not volatile)</v>
      </c>
      <c r="H327" s="76" t="str">
        <f t="shared" si="107"/>
        <v>No VP</v>
      </c>
      <c r="I327" s="271" t="str">
        <f t="shared" si="108"/>
        <v>--</v>
      </c>
      <c r="J327" s="272" t="str">
        <f t="shared" si="109"/>
        <v>No VP</v>
      </c>
      <c r="K327" s="272" t="str">
        <f t="shared" si="110"/>
        <v>No VP</v>
      </c>
      <c r="L327" s="273" t="str">
        <f t="shared" si="97"/>
        <v>--</v>
      </c>
      <c r="M327" s="7" t="str">
        <f t="shared" si="98"/>
        <v>No VP</v>
      </c>
      <c r="N327" s="7" t="str">
        <f t="shared" si="106"/>
        <v>No S</v>
      </c>
      <c r="O327" s="326">
        <f t="shared" si="99"/>
        <v>25</v>
      </c>
      <c r="P327" s="224" t="str">
        <f t="shared" si="114"/>
        <v/>
      </c>
      <c r="Q327" s="224" t="str">
        <f t="shared" si="100"/>
        <v/>
      </c>
      <c r="R327" s="224"/>
      <c r="S327" s="271" t="str">
        <f t="shared" si="111"/>
        <v/>
      </c>
      <c r="T327" s="7" t="str">
        <f t="shared" si="112"/>
        <v/>
      </c>
      <c r="U327" s="7" t="str">
        <f t="shared" si="101"/>
        <v/>
      </c>
      <c r="V327" s="7" t="str">
        <f t="shared" si="102"/>
        <v/>
      </c>
      <c r="W327" s="7" t="str">
        <f>VLOOKUP(C327,'Tox Summary'!$N$3:$S$1048576,6,FALSE)</f>
        <v/>
      </c>
      <c r="X327" s="76" t="str">
        <f t="shared" si="103"/>
        <v/>
      </c>
      <c r="Y327" s="76" t="str">
        <f t="shared" si="104"/>
        <v/>
      </c>
      <c r="AA327" s="332"/>
    </row>
    <row r="328" spans="1:27">
      <c r="A328" s="265"/>
      <c r="B328" s="344" t="s">
        <v>896</v>
      </c>
      <c r="C328" s="269" t="s">
        <v>1129</v>
      </c>
      <c r="D328" s="280" t="str">
        <f>VLOOKUP(B328, 'Chem Props'!$1:$1048576,3,FALSE)</f>
        <v>No</v>
      </c>
      <c r="E328" s="598" t="str">
        <f t="shared" si="105"/>
        <v>No</v>
      </c>
      <c r="F328" s="7" t="str">
        <f t="shared" si="96"/>
        <v>No (not volatile)</v>
      </c>
      <c r="G328" s="270" t="str">
        <f t="shared" si="113"/>
        <v>No (not volatile)</v>
      </c>
      <c r="H328" s="76" t="str">
        <f t="shared" si="107"/>
        <v>--</v>
      </c>
      <c r="I328" s="271" t="str">
        <f t="shared" si="108"/>
        <v>--</v>
      </c>
      <c r="J328" s="272" t="str">
        <f t="shared" si="109"/>
        <v>--</v>
      </c>
      <c r="K328" s="272" t="str">
        <f t="shared" si="110"/>
        <v>--</v>
      </c>
      <c r="L328" s="273" t="str">
        <f t="shared" si="97"/>
        <v>No (20)</v>
      </c>
      <c r="M328" s="7">
        <f t="shared" si="98"/>
        <v>33.508371989251756</v>
      </c>
      <c r="N328" s="7">
        <f t="shared" si="106"/>
        <v>4.1093595000000001</v>
      </c>
      <c r="O328" s="326">
        <f t="shared" si="99"/>
        <v>25</v>
      </c>
      <c r="P328" s="224" t="str">
        <f t="shared" si="114"/>
        <v/>
      </c>
      <c r="Q328" s="224" t="str">
        <f t="shared" si="100"/>
        <v/>
      </c>
      <c r="R328" s="224"/>
      <c r="S328" s="271" t="str">
        <f t="shared" si="111"/>
        <v/>
      </c>
      <c r="T328" s="7" t="str">
        <f t="shared" si="112"/>
        <v/>
      </c>
      <c r="U328" s="7" t="str">
        <f t="shared" si="101"/>
        <v/>
      </c>
      <c r="V328" s="7" t="str">
        <f t="shared" si="102"/>
        <v/>
      </c>
      <c r="W328" s="7" t="str">
        <f>VLOOKUP(C328,'Tox Summary'!$N$3:$S$1048576,6,FALSE)</f>
        <v/>
      </c>
      <c r="X328" s="76" t="str">
        <f t="shared" si="103"/>
        <v/>
      </c>
      <c r="Y328" s="76" t="str">
        <f t="shared" si="104"/>
        <v/>
      </c>
      <c r="AA328" s="332"/>
    </row>
    <row r="329" spans="1:27">
      <c r="A329" s="265"/>
      <c r="B329" s="269" t="s">
        <v>897</v>
      </c>
      <c r="C329" s="269" t="s">
        <v>1130</v>
      </c>
      <c r="D329" s="280" t="str">
        <f>VLOOKUP(B329, 'Chem Props'!$1:$1048576,3,FALSE)</f>
        <v>No</v>
      </c>
      <c r="E329" s="598" t="str">
        <f t="shared" si="105"/>
        <v>Yes</v>
      </c>
      <c r="F329" s="7" t="str">
        <f t="shared" si="96"/>
        <v>No (not volatile)</v>
      </c>
      <c r="G329" s="270" t="str">
        <f t="shared" si="113"/>
        <v>No (not volatile)</v>
      </c>
      <c r="H329" s="76" t="str">
        <f t="shared" si="107"/>
        <v>NVT</v>
      </c>
      <c r="I329" s="271" t="str">
        <f t="shared" si="108"/>
        <v>C</v>
      </c>
      <c r="J329" s="272" t="str">
        <f t="shared" si="109"/>
        <v>NVT</v>
      </c>
      <c r="K329" s="272" t="str">
        <f t="shared" si="110"/>
        <v>NVT</v>
      </c>
      <c r="L329" s="273" t="str">
        <f t="shared" si="97"/>
        <v>--</v>
      </c>
      <c r="M329" s="7">
        <f t="shared" si="98"/>
        <v>6.4196469477358219E-29</v>
      </c>
      <c r="N329" s="7">
        <f t="shared" si="106"/>
        <v>1.0095E-28</v>
      </c>
      <c r="O329" s="326">
        <f t="shared" si="99"/>
        <v>25</v>
      </c>
      <c r="P329" s="224" t="str">
        <f t="shared" si="114"/>
        <v/>
      </c>
      <c r="Q329" s="224" t="str">
        <f t="shared" si="100"/>
        <v/>
      </c>
      <c r="R329" s="224"/>
      <c r="S329" s="271">
        <f t="shared" si="111"/>
        <v>0.14000000000000001</v>
      </c>
      <c r="T329" s="7" t="str">
        <f t="shared" si="112"/>
        <v>CA</v>
      </c>
      <c r="U329" s="7" t="str">
        <f t="shared" si="101"/>
        <v/>
      </c>
      <c r="V329" s="7" t="str">
        <f t="shared" si="102"/>
        <v/>
      </c>
      <c r="W329" s="7" t="str">
        <f>VLOOKUP(C329,'Tox Summary'!$N$3:$S$1048576,6,FALSE)</f>
        <v/>
      </c>
      <c r="X329" s="76">
        <f t="shared" si="103"/>
        <v>2.0054945054945052E-5</v>
      </c>
      <c r="Y329" s="76" t="str">
        <f t="shared" si="104"/>
        <v/>
      </c>
      <c r="AA329" s="243"/>
    </row>
    <row r="330" spans="1:27">
      <c r="A330" s="265" t="s">
        <v>1413</v>
      </c>
      <c r="B330" s="344" t="s">
        <v>898</v>
      </c>
      <c r="C330" s="269" t="s">
        <v>1131</v>
      </c>
      <c r="D330" s="280" t="str">
        <f>VLOOKUP(B330, 'Chem Props'!$1:$1048576,3,FALSE)</f>
        <v>No</v>
      </c>
      <c r="E330" s="598" t="str">
        <f t="shared" si="105"/>
        <v>Yes</v>
      </c>
      <c r="F330" s="7" t="str">
        <f t="shared" si="96"/>
        <v>No (not volatile)</v>
      </c>
      <c r="G330" s="270" t="str">
        <f t="shared" si="113"/>
        <v>No (not volatile)</v>
      </c>
      <c r="H330" s="76" t="str">
        <f t="shared" si="107"/>
        <v>NVT</v>
      </c>
      <c r="I330" s="271" t="str">
        <f t="shared" si="108"/>
        <v>C</v>
      </c>
      <c r="J330" s="272" t="str">
        <f t="shared" si="109"/>
        <v>NVT</v>
      </c>
      <c r="K330" s="272" t="str">
        <f t="shared" si="110"/>
        <v>NVT</v>
      </c>
      <c r="L330" s="273" t="str">
        <f t="shared" si="97"/>
        <v>--</v>
      </c>
      <c r="M330" s="7">
        <f t="shared" si="98"/>
        <v>4.7881911485123217E-31</v>
      </c>
      <c r="N330" s="7">
        <f t="shared" si="106"/>
        <v>5.0869840000000006E-40</v>
      </c>
      <c r="O330" s="326">
        <f t="shared" si="99"/>
        <v>25</v>
      </c>
      <c r="P330" s="224" t="str">
        <f t="shared" si="114"/>
        <v/>
      </c>
      <c r="Q330" s="224" t="str">
        <f t="shared" si="100"/>
        <v/>
      </c>
      <c r="R330" s="224"/>
      <c r="S330" s="271">
        <f t="shared" si="111"/>
        <v>0.14000000000000001</v>
      </c>
      <c r="T330" s="7" t="str">
        <f t="shared" si="112"/>
        <v>CA</v>
      </c>
      <c r="U330" s="7" t="str">
        <f t="shared" si="101"/>
        <v/>
      </c>
      <c r="V330" s="7" t="str">
        <f t="shared" si="102"/>
        <v/>
      </c>
      <c r="W330" s="7" t="str">
        <f>VLOOKUP(C330,'Tox Summary'!$N$3:$S$1048576,6,FALSE)</f>
        <v/>
      </c>
      <c r="X330" s="76">
        <f t="shared" si="103"/>
        <v>2.0054945054945052E-5</v>
      </c>
      <c r="Y330" s="76" t="str">
        <f t="shared" si="104"/>
        <v/>
      </c>
      <c r="AA330" s="332"/>
    </row>
    <row r="331" spans="1:27">
      <c r="A331" s="265" t="s">
        <v>1413</v>
      </c>
      <c r="B331" s="269" t="s">
        <v>899</v>
      </c>
      <c r="C331" s="269" t="s">
        <v>1132</v>
      </c>
      <c r="D331" s="280" t="str">
        <f>VLOOKUP(B331, 'Chem Props'!$1:$1048576,3,FALSE)</f>
        <v>No</v>
      </c>
      <c r="E331" s="598" t="str">
        <f t="shared" si="105"/>
        <v>Yes</v>
      </c>
      <c r="F331" s="7" t="str">
        <f t="shared" si="96"/>
        <v>No (not volatile)</v>
      </c>
      <c r="G331" s="270" t="str">
        <f t="shared" si="113"/>
        <v>No (not volatile)</v>
      </c>
      <c r="H331" s="76" t="str">
        <f t="shared" si="107"/>
        <v>NVT</v>
      </c>
      <c r="I331" s="271" t="str">
        <f t="shared" si="108"/>
        <v>C</v>
      </c>
      <c r="J331" s="272" t="str">
        <f t="shared" si="109"/>
        <v>NVT</v>
      </c>
      <c r="K331" s="272" t="str">
        <f t="shared" si="110"/>
        <v>NVT</v>
      </c>
      <c r="L331" s="273" t="str">
        <f t="shared" si="97"/>
        <v>--</v>
      </c>
      <c r="M331" s="7">
        <f t="shared" si="98"/>
        <v>5.8565568390333845E-34</v>
      </c>
      <c r="N331" s="7"/>
      <c r="O331" s="326">
        <f t="shared" si="99"/>
        <v>25</v>
      </c>
      <c r="P331" s="224" t="str">
        <f t="shared" si="114"/>
        <v/>
      </c>
      <c r="Q331" s="224" t="str">
        <f t="shared" si="100"/>
        <v/>
      </c>
      <c r="R331" s="224"/>
      <c r="S331" s="271">
        <f t="shared" si="111"/>
        <v>0.14000000000000001</v>
      </c>
      <c r="T331" s="7" t="str">
        <f t="shared" si="112"/>
        <v>CA</v>
      </c>
      <c r="U331" s="7" t="str">
        <f t="shared" si="101"/>
        <v/>
      </c>
      <c r="V331" s="7" t="str">
        <f t="shared" si="102"/>
        <v/>
      </c>
      <c r="W331" s="7" t="str">
        <f>VLOOKUP(C331,'Tox Summary'!$N$3:$S$1048576,6,FALSE)</f>
        <v/>
      </c>
      <c r="X331" s="76">
        <f t="shared" si="103"/>
        <v>2.0054945054945052E-5</v>
      </c>
      <c r="Y331" s="76" t="str">
        <f t="shared" si="104"/>
        <v/>
      </c>
      <c r="AA331" s="243"/>
    </row>
    <row r="332" spans="1:27">
      <c r="A332" s="265" t="s">
        <v>1413</v>
      </c>
      <c r="B332" s="344" t="s">
        <v>1588</v>
      </c>
      <c r="C332" s="269" t="s">
        <v>2388</v>
      </c>
      <c r="D332" s="280" t="str">
        <f>VLOOKUP(B332, 'Chem Props'!$1:$1048576,3,FALSE)</f>
        <v>No</v>
      </c>
      <c r="E332" s="598" t="str">
        <f t="shared" si="105"/>
        <v>No</v>
      </c>
      <c r="F332" s="7" t="str">
        <f t="shared" si="96"/>
        <v>No (not volatile)</v>
      </c>
      <c r="G332" s="270" t="str">
        <f t="shared" si="113"/>
        <v>No (not volatile)</v>
      </c>
      <c r="H332" s="76" t="str">
        <f t="shared" si="107"/>
        <v>No VP</v>
      </c>
      <c r="I332" s="271" t="str">
        <f t="shared" si="108"/>
        <v>--</v>
      </c>
      <c r="J332" s="272" t="str">
        <f t="shared" si="109"/>
        <v>No VP</v>
      </c>
      <c r="K332" s="272" t="str">
        <f t="shared" si="110"/>
        <v>No VP</v>
      </c>
      <c r="L332" s="273" t="str">
        <f t="shared" si="97"/>
        <v>--</v>
      </c>
      <c r="M332" s="7" t="str">
        <f t="shared" si="98"/>
        <v>No VP</v>
      </c>
      <c r="N332" s="7" t="str">
        <f t="shared" ref="N332:N368" si="115">IF(INDEX(HLC,MATCH(C332,ChemNameChem,0))="","No HLC",IF(INDEX(Sol,MATCH(C332,ChemNameChem,0))="No S","No S",INDEX(HLC,MATCH(C332,ChemNameChem,0))*INDEX(Sol,MATCH(C332,ChemNameChem,0))*1000000))</f>
        <v>No S</v>
      </c>
      <c r="O332" s="326">
        <f t="shared" si="99"/>
        <v>25</v>
      </c>
      <c r="P332" s="224" t="str">
        <f t="shared" si="114"/>
        <v/>
      </c>
      <c r="Q332" s="224" t="str">
        <f t="shared" si="100"/>
        <v/>
      </c>
      <c r="R332" s="224"/>
      <c r="S332" s="271" t="str">
        <f t="shared" si="111"/>
        <v/>
      </c>
      <c r="T332" s="7" t="str">
        <f t="shared" si="112"/>
        <v/>
      </c>
      <c r="U332" s="7" t="str">
        <f t="shared" si="101"/>
        <v/>
      </c>
      <c r="V332" s="7" t="str">
        <f t="shared" si="102"/>
        <v/>
      </c>
      <c r="W332" s="7" t="str">
        <f>VLOOKUP(C332,'Tox Summary'!$N$3:$S$1048576,6,FALSE)</f>
        <v/>
      </c>
      <c r="X332" s="76" t="str">
        <f t="shared" si="103"/>
        <v/>
      </c>
      <c r="Y332" s="76" t="str">
        <f t="shared" si="104"/>
        <v/>
      </c>
      <c r="AA332" s="332"/>
    </row>
    <row r="333" spans="1:27">
      <c r="A333" s="265" t="s">
        <v>1413</v>
      </c>
      <c r="B333" s="344" t="s">
        <v>900</v>
      </c>
      <c r="C333" s="269" t="s">
        <v>1133</v>
      </c>
      <c r="D333" s="280" t="str">
        <f>VLOOKUP(B333, 'Chem Props'!$1:$1048576,3,FALSE)</f>
        <v>No</v>
      </c>
      <c r="E333" s="598" t="str">
        <f t="shared" si="105"/>
        <v>No</v>
      </c>
      <c r="F333" s="7" t="str">
        <f t="shared" si="96"/>
        <v>No (not volatile)</v>
      </c>
      <c r="G333" s="270" t="str">
        <f t="shared" si="113"/>
        <v>No (not volatile)</v>
      </c>
      <c r="H333" s="76" t="str">
        <f t="shared" si="107"/>
        <v>--</v>
      </c>
      <c r="I333" s="271" t="str">
        <f t="shared" si="108"/>
        <v>--</v>
      </c>
      <c r="J333" s="272" t="str">
        <f t="shared" si="109"/>
        <v>--</v>
      </c>
      <c r="K333" s="272" t="str">
        <f t="shared" si="110"/>
        <v>--</v>
      </c>
      <c r="L333" s="273" t="str">
        <f t="shared" si="97"/>
        <v>--</v>
      </c>
      <c r="M333" s="7">
        <f t="shared" si="98"/>
        <v>1439.6527147186962</v>
      </c>
      <c r="N333" s="7">
        <f t="shared" si="115"/>
        <v>1439.2900000000002</v>
      </c>
      <c r="O333" s="326">
        <f t="shared" si="99"/>
        <v>25</v>
      </c>
      <c r="P333" s="224" t="str">
        <f t="shared" si="114"/>
        <v/>
      </c>
      <c r="Q333" s="224" t="str">
        <f t="shared" si="100"/>
        <v/>
      </c>
      <c r="R333" s="224"/>
      <c r="S333" s="271" t="str">
        <f t="shared" si="111"/>
        <v/>
      </c>
      <c r="T333" s="7" t="str">
        <f t="shared" si="112"/>
        <v/>
      </c>
      <c r="U333" s="7" t="str">
        <f t="shared" si="101"/>
        <v/>
      </c>
      <c r="V333" s="7" t="str">
        <f t="shared" si="102"/>
        <v/>
      </c>
      <c r="W333" s="7" t="str">
        <f>VLOOKUP(C333,'Tox Summary'!$N$3:$S$1048576,6,FALSE)</f>
        <v/>
      </c>
      <c r="X333" s="76" t="str">
        <f t="shared" si="103"/>
        <v/>
      </c>
      <c r="Y333" s="76" t="str">
        <f t="shared" si="104"/>
        <v/>
      </c>
      <c r="AA333" s="332"/>
    </row>
    <row r="334" spans="1:27">
      <c r="A334" s="265"/>
      <c r="B334" s="344" t="s">
        <v>901</v>
      </c>
      <c r="C334" s="269" t="s">
        <v>1134</v>
      </c>
      <c r="D334" s="280" t="str">
        <f>VLOOKUP(B334, 'Chem Props'!$1:$1048576,3,FALSE)</f>
        <v>Yes</v>
      </c>
      <c r="E334" s="598" t="str">
        <f t="shared" si="105"/>
        <v>No</v>
      </c>
      <c r="F334" s="7" t="str">
        <f t="shared" si="96"/>
        <v>No Inhal. Tox. Info</v>
      </c>
      <c r="G334" s="270" t="str">
        <f t="shared" si="113"/>
        <v>No Inhal. Tox. Info</v>
      </c>
      <c r="H334" s="76" t="str">
        <f t="shared" si="107"/>
        <v>--</v>
      </c>
      <c r="I334" s="271" t="str">
        <f t="shared" si="108"/>
        <v>--</v>
      </c>
      <c r="J334" s="272" t="str">
        <f t="shared" si="109"/>
        <v>--</v>
      </c>
      <c r="K334" s="272" t="str">
        <f t="shared" si="110"/>
        <v>--</v>
      </c>
      <c r="L334" s="273" t="str">
        <f t="shared" si="97"/>
        <v>--</v>
      </c>
      <c r="M334" s="7">
        <f t="shared" si="98"/>
        <v>514362.4866856797</v>
      </c>
      <c r="N334" s="7">
        <f t="shared" si="115"/>
        <v>5151300</v>
      </c>
      <c r="O334" s="326">
        <f t="shared" si="99"/>
        <v>25</v>
      </c>
      <c r="P334" s="224" t="str">
        <f t="shared" si="114"/>
        <v/>
      </c>
      <c r="Q334" s="224" t="str">
        <f t="shared" si="100"/>
        <v/>
      </c>
      <c r="R334" s="224"/>
      <c r="S334" s="271" t="str">
        <f t="shared" si="111"/>
        <v/>
      </c>
      <c r="T334" s="7" t="str">
        <f t="shared" si="112"/>
        <v/>
      </c>
      <c r="U334" s="7" t="str">
        <f t="shared" si="101"/>
        <v/>
      </c>
      <c r="V334" s="7" t="str">
        <f t="shared" si="102"/>
        <v/>
      </c>
      <c r="W334" s="7" t="str">
        <f>VLOOKUP(C334,'Tox Summary'!$N$3:$S$1048576,6,FALSE)</f>
        <v/>
      </c>
      <c r="X334" s="76" t="str">
        <f t="shared" si="103"/>
        <v/>
      </c>
      <c r="Y334" s="76" t="str">
        <f t="shared" si="104"/>
        <v/>
      </c>
      <c r="AA334" s="332"/>
    </row>
    <row r="335" spans="1:27">
      <c r="A335" s="265" t="s">
        <v>1413</v>
      </c>
      <c r="B335" s="344" t="s">
        <v>902</v>
      </c>
      <c r="C335" s="269" t="s">
        <v>1135</v>
      </c>
      <c r="D335" s="280" t="str">
        <f>VLOOKUP(B335, 'Chem Props'!$1:$1048576,3,FALSE)</f>
        <v>No</v>
      </c>
      <c r="E335" s="598" t="str">
        <f t="shared" si="105"/>
        <v>No</v>
      </c>
      <c r="F335" s="7" t="str">
        <f t="shared" si="96"/>
        <v>No (not volatile)</v>
      </c>
      <c r="G335" s="270" t="str">
        <f t="shared" si="113"/>
        <v>No (not volatile)</v>
      </c>
      <c r="H335" s="76" t="str">
        <f t="shared" si="107"/>
        <v>--</v>
      </c>
      <c r="I335" s="271" t="str">
        <f t="shared" si="108"/>
        <v>--</v>
      </c>
      <c r="J335" s="272" t="str">
        <f t="shared" si="109"/>
        <v>--</v>
      </c>
      <c r="K335" s="272" t="str">
        <f t="shared" si="110"/>
        <v>--</v>
      </c>
      <c r="L335" s="273" t="str">
        <f t="shared" si="97"/>
        <v>--</v>
      </c>
      <c r="M335" s="7">
        <f t="shared" si="98"/>
        <v>0.8654551274394402</v>
      </c>
      <c r="N335" s="7">
        <f t="shared" si="115"/>
        <v>0.86541000000000012</v>
      </c>
      <c r="O335" s="326">
        <f t="shared" si="99"/>
        <v>25</v>
      </c>
      <c r="P335" s="224" t="str">
        <f t="shared" si="114"/>
        <v/>
      </c>
      <c r="Q335" s="224" t="str">
        <f t="shared" si="100"/>
        <v/>
      </c>
      <c r="R335" s="224"/>
      <c r="S335" s="271" t="str">
        <f t="shared" si="111"/>
        <v/>
      </c>
      <c r="T335" s="7" t="str">
        <f t="shared" si="112"/>
        <v/>
      </c>
      <c r="U335" s="7" t="str">
        <f t="shared" si="101"/>
        <v/>
      </c>
      <c r="V335" s="7" t="str">
        <f t="shared" si="102"/>
        <v/>
      </c>
      <c r="W335" s="7" t="str">
        <f>VLOOKUP(C335,'Tox Summary'!$N$3:$S$1048576,6,FALSE)</f>
        <v/>
      </c>
      <c r="X335" s="76" t="str">
        <f t="shared" si="103"/>
        <v/>
      </c>
      <c r="Y335" s="76" t="str">
        <f t="shared" si="104"/>
        <v/>
      </c>
      <c r="AA335" s="332"/>
    </row>
    <row r="336" spans="1:27">
      <c r="A336" s="265"/>
      <c r="B336" s="344" t="s">
        <v>903</v>
      </c>
      <c r="C336" s="269" t="s">
        <v>1136</v>
      </c>
      <c r="D336" s="280" t="str">
        <f>VLOOKUP(B336, 'Chem Props'!$1:$1048576,3,FALSE)</f>
        <v>No</v>
      </c>
      <c r="E336" s="598" t="str">
        <f t="shared" si="105"/>
        <v>No</v>
      </c>
      <c r="F336" s="7" t="str">
        <f t="shared" si="96"/>
        <v>No (not volatile)</v>
      </c>
      <c r="G336" s="270" t="str">
        <f t="shared" si="113"/>
        <v>No (not volatile)</v>
      </c>
      <c r="H336" s="76" t="str">
        <f t="shared" si="107"/>
        <v>--</v>
      </c>
      <c r="I336" s="271" t="str">
        <f t="shared" si="108"/>
        <v>--</v>
      </c>
      <c r="J336" s="272" t="str">
        <f t="shared" si="109"/>
        <v>--</v>
      </c>
      <c r="K336" s="272" t="str">
        <f t="shared" si="110"/>
        <v>--</v>
      </c>
      <c r="L336" s="273" t="str">
        <f t="shared" si="97"/>
        <v>--</v>
      </c>
      <c r="M336" s="7">
        <f t="shared" si="98"/>
        <v>2.3201003150585406</v>
      </c>
      <c r="N336" s="7">
        <f t="shared" si="115"/>
        <v>2.320668</v>
      </c>
      <c r="O336" s="326">
        <f t="shared" si="99"/>
        <v>25</v>
      </c>
      <c r="P336" s="224" t="str">
        <f t="shared" si="114"/>
        <v/>
      </c>
      <c r="Q336" s="224" t="str">
        <f t="shared" si="100"/>
        <v/>
      </c>
      <c r="R336" s="224"/>
      <c r="S336" s="271" t="str">
        <f t="shared" si="111"/>
        <v/>
      </c>
      <c r="T336" s="7" t="str">
        <f t="shared" si="112"/>
        <v/>
      </c>
      <c r="U336" s="7" t="str">
        <f t="shared" si="101"/>
        <v/>
      </c>
      <c r="V336" s="7" t="str">
        <f t="shared" si="102"/>
        <v/>
      </c>
      <c r="W336" s="7" t="str">
        <f>VLOOKUP(C336,'Tox Summary'!$N$3:$S$1048576,6,FALSE)</f>
        <v/>
      </c>
      <c r="X336" s="76" t="str">
        <f t="shared" si="103"/>
        <v/>
      </c>
      <c r="Y336" s="76" t="str">
        <f t="shared" si="104"/>
        <v/>
      </c>
      <c r="AA336" s="332"/>
    </row>
    <row r="337" spans="1:27">
      <c r="A337" s="265"/>
      <c r="B337" s="344" t="s">
        <v>905</v>
      </c>
      <c r="C337" s="269" t="s">
        <v>438</v>
      </c>
      <c r="D337" s="280" t="str">
        <f>VLOOKUP(B337, 'Chem Props'!$1:$1048576,3,FALSE)</f>
        <v>Yes</v>
      </c>
      <c r="E337" s="598" t="str">
        <f t="shared" si="105"/>
        <v>No</v>
      </c>
      <c r="F337" s="7" t="str">
        <f t="shared" si="96"/>
        <v>No Inhal. Tox. Info</v>
      </c>
      <c r="G337" s="270" t="str">
        <f t="shared" si="113"/>
        <v>No Inhal. Tox. Info</v>
      </c>
      <c r="H337" s="76" t="str">
        <f t="shared" si="107"/>
        <v>--</v>
      </c>
      <c r="I337" s="271" t="str">
        <f t="shared" si="108"/>
        <v>--</v>
      </c>
      <c r="J337" s="272" t="str">
        <f t="shared" si="109"/>
        <v>--</v>
      </c>
      <c r="K337" s="272" t="str">
        <f t="shared" si="110"/>
        <v>--</v>
      </c>
      <c r="L337" s="273" t="str">
        <f t="shared" si="97"/>
        <v>--</v>
      </c>
      <c r="M337" s="7">
        <f t="shared" si="98"/>
        <v>3.7880787816726751</v>
      </c>
      <c r="N337" s="7">
        <f t="shared" si="115"/>
        <v>863.65499999999997</v>
      </c>
      <c r="O337" s="326">
        <f t="shared" si="99"/>
        <v>25</v>
      </c>
      <c r="P337" s="224" t="str">
        <f t="shared" si="114"/>
        <v/>
      </c>
      <c r="Q337" s="224" t="str">
        <f t="shared" si="100"/>
        <v/>
      </c>
      <c r="R337" s="224"/>
      <c r="S337" s="271" t="str">
        <f t="shared" si="111"/>
        <v/>
      </c>
      <c r="T337" s="7" t="str">
        <f t="shared" si="112"/>
        <v/>
      </c>
      <c r="U337" s="7" t="str">
        <f t="shared" si="101"/>
        <v/>
      </c>
      <c r="V337" s="7" t="str">
        <f t="shared" si="102"/>
        <v/>
      </c>
      <c r="W337" s="7" t="str">
        <f>VLOOKUP(C337,'Tox Summary'!$N$3:$S$1048576,6,FALSE)</f>
        <v/>
      </c>
      <c r="X337" s="76" t="str">
        <f t="shared" si="103"/>
        <v/>
      </c>
      <c r="Y337" s="76" t="str">
        <f t="shared" si="104"/>
        <v/>
      </c>
      <c r="AA337" s="332"/>
    </row>
    <row r="338" spans="1:27">
      <c r="A338" s="265"/>
      <c r="B338" s="344" t="s">
        <v>906</v>
      </c>
      <c r="C338" s="269" t="s">
        <v>1137</v>
      </c>
      <c r="D338" s="280" t="str">
        <f>VLOOKUP(B338, 'Chem Props'!$1:$1048576,3,FALSE)</f>
        <v>No</v>
      </c>
      <c r="E338" s="598" t="str">
        <f t="shared" si="105"/>
        <v>No</v>
      </c>
      <c r="F338" s="7" t="str">
        <f t="shared" ref="F338:F401" si="116">IF(LEFT(D338,2)="No","No (not volatile)",IF(D338="unknown","unknown",IF(H338="NVT","No",IF(AND(X338="",Y338=""),"No Inhal. Tox. Info",IF(MIN(X338:Y338)&gt;=M338,"No",IF(M338&gt;H338,"Yes","No"))))))</f>
        <v>No (not volatile)</v>
      </c>
      <c r="G338" s="270" t="str">
        <f t="shared" si="113"/>
        <v>No (not volatile)</v>
      </c>
      <c r="H338" s="76" t="str">
        <f t="shared" si="107"/>
        <v>--</v>
      </c>
      <c r="I338" s="271" t="str">
        <f t="shared" si="108"/>
        <v>--</v>
      </c>
      <c r="J338" s="272" t="str">
        <f t="shared" si="109"/>
        <v>--</v>
      </c>
      <c r="K338" s="272" t="str">
        <f t="shared" si="110"/>
        <v>--</v>
      </c>
      <c r="L338" s="273" t="str">
        <f t="shared" ref="L338:L401" si="117">IF(INDEX(MCL,MATCH(C338,ChemNameChem,0))="","--",IF(K338&lt;INDEX(MCL,MATCH(C338,ChemNameChem,0)),"Yes ("&amp;(INDEX(MCL,MATCH(C338,ChemNameChem,0)))&amp;")","No ("&amp;(INDEX(MCL,MATCH(C338,ChemNameChem,0)))&amp;")"))</f>
        <v>No (100)</v>
      </c>
      <c r="M338" s="7">
        <f t="shared" ref="M338:M401" si="118">IF(INDEX(_VP25,MATCH(B338,CASNoChem,0))="No VP","No VP",IF(INDEX(MW,MATCH(B338,CASNoChem,0))="No MW","No MW",INDEX(MW,MATCH(B338,CASNoChem,0))*INDEX(_VP25,MATCH(B338,CASNoChem,0))*53808.7856452378))</f>
        <v>1.5727603149011053E-3</v>
      </c>
      <c r="N338" s="7">
        <f t="shared" si="115"/>
        <v>1.5740000000000001E-3</v>
      </c>
      <c r="O338" s="326">
        <f t="shared" ref="O338:O401" si="119">IF(INDEX(HTgw,MATCH(B338,CASNoChem,0),1)="",25,Tgw)</f>
        <v>25</v>
      </c>
      <c r="P338" s="224" t="str">
        <f t="shared" si="114"/>
        <v/>
      </c>
      <c r="Q338" s="224" t="str">
        <f t="shared" ref="Q338:Q401" si="120">IF(INDEX(LELsource,MATCH(B338,CASNoChem,0),1)="","",INDEX(LELsource,MATCH(B338,CASNoChem,0),1))</f>
        <v/>
      </c>
      <c r="R338" s="224"/>
      <c r="S338" s="271" t="str">
        <f t="shared" si="111"/>
        <v/>
      </c>
      <c r="T338" s="7" t="str">
        <f t="shared" si="112"/>
        <v/>
      </c>
      <c r="U338" s="7" t="str">
        <f t="shared" ref="U338:U401" si="121">IF(INDEX(RFC,MATCH(B338,CASNoTox,0))=" ","",INDEX(RFC,MATCH(B338,CASNoTox,0)))</f>
        <v/>
      </c>
      <c r="V338" s="7" t="str">
        <f t="shared" ref="V338:V401" si="122">IF(INDEX(RFCSource,MATCH(B338,CASNoTox,0))="","",SUBSTITUTE(INDEX(RFCSource,MATCH(B338,CASNoTox,0)),"C","CA"))</f>
        <v/>
      </c>
      <c r="W338" s="7" t="str">
        <f>VLOOKUP(C338,'Tox Summary'!$N$3:$S$1048576,6,FALSE)</f>
        <v/>
      </c>
      <c r="X338" s="76" t="str">
        <f t="shared" ref="X338:X401" si="123">IF(S338="","",IF(W338&lt;&gt;"TCE",TCR/(IF(AND(W338="VC",Scenario="Residential"),S338,0)+(EF*IF(W338="Mut",MMOAAF,ED)*ET*S338/(Atc*365*24))), 1/((EF*MMOAAF*ET*mIURTCE/(TCR*Atc*365*24))+EF*ED*ET*IURTCE/(TCR*Atc*365*24))))</f>
        <v/>
      </c>
      <c r="Y338" s="76" t="str">
        <f t="shared" ref="Y338:Y401" si="124">IF(U338="","",THQ*Atnc*365*24*U338*1000/(EF*ED*ET))</f>
        <v/>
      </c>
      <c r="AA338" s="332"/>
    </row>
    <row r="339" spans="1:27">
      <c r="A339" s="265"/>
      <c r="B339" s="344" t="s">
        <v>907</v>
      </c>
      <c r="C339" s="269" t="s">
        <v>380</v>
      </c>
      <c r="D339" s="280" t="str">
        <f>VLOOKUP(B339, 'Chem Props'!$1:$1048576,3,FALSE)</f>
        <v>No</v>
      </c>
      <c r="E339" s="598" t="str">
        <f t="shared" ref="E339:E402" si="125">IF(OR(ISNUMBER(S339),ISNUMBER(U339)),"Yes","No")</f>
        <v>No</v>
      </c>
      <c r="F339" s="7" t="str">
        <f t="shared" si="116"/>
        <v>No (not volatile)</v>
      </c>
      <c r="G339" s="270" t="str">
        <f t="shared" si="113"/>
        <v>No (not volatile)</v>
      </c>
      <c r="H339" s="76" t="str">
        <f t="shared" si="107"/>
        <v>--</v>
      </c>
      <c r="I339" s="271" t="str">
        <f t="shared" si="108"/>
        <v>--</v>
      </c>
      <c r="J339" s="272" t="str">
        <f t="shared" si="109"/>
        <v>--</v>
      </c>
      <c r="K339" s="272" t="str">
        <f t="shared" si="110"/>
        <v>--</v>
      </c>
      <c r="L339" s="273" t="str">
        <f t="shared" si="117"/>
        <v>No (2)</v>
      </c>
      <c r="M339" s="7">
        <f t="shared" si="118"/>
        <v>61.48891362038259</v>
      </c>
      <c r="N339" s="7">
        <f t="shared" si="115"/>
        <v>65</v>
      </c>
      <c r="O339" s="326">
        <f t="shared" si="119"/>
        <v>25</v>
      </c>
      <c r="P339" s="224" t="str">
        <f t="shared" si="114"/>
        <v/>
      </c>
      <c r="Q339" s="224" t="str">
        <f t="shared" si="120"/>
        <v/>
      </c>
      <c r="R339" s="224"/>
      <c r="S339" s="271" t="str">
        <f t="shared" si="111"/>
        <v/>
      </c>
      <c r="T339" s="7" t="str">
        <f t="shared" si="112"/>
        <v/>
      </c>
      <c r="U339" s="7" t="str">
        <f t="shared" si="121"/>
        <v/>
      </c>
      <c r="V339" s="7" t="str">
        <f t="shared" si="122"/>
        <v/>
      </c>
      <c r="W339" s="7" t="str">
        <f>VLOOKUP(C339,'Tox Summary'!$N$3:$S$1048576,6,FALSE)</f>
        <v/>
      </c>
      <c r="X339" s="76" t="str">
        <f t="shared" si="123"/>
        <v/>
      </c>
      <c r="Y339" s="76" t="str">
        <f t="shared" si="124"/>
        <v/>
      </c>
      <c r="AA339" s="332"/>
    </row>
    <row r="340" spans="1:27">
      <c r="A340" s="265" t="s">
        <v>1413</v>
      </c>
      <c r="B340" s="344" t="s">
        <v>908</v>
      </c>
      <c r="C340" s="269" t="s">
        <v>1439</v>
      </c>
      <c r="D340" s="280" t="str">
        <f>VLOOKUP(B340, 'Chem Props'!$1:$1048576,3,FALSE)</f>
        <v>Yes</v>
      </c>
      <c r="E340" s="598" t="str">
        <f t="shared" si="125"/>
        <v>Yes</v>
      </c>
      <c r="F340" s="7" t="str">
        <f t="shared" si="116"/>
        <v>Yes</v>
      </c>
      <c r="G340" s="270" t="str">
        <f t="shared" si="113"/>
        <v>Yes</v>
      </c>
      <c r="H340" s="76">
        <f t="shared" si="107"/>
        <v>1.0428571428571429</v>
      </c>
      <c r="I340" s="271" t="str">
        <f t="shared" si="108"/>
        <v>NC</v>
      </c>
      <c r="J340" s="272">
        <f t="shared" si="109"/>
        <v>34.761904761904766</v>
      </c>
      <c r="K340" s="272">
        <f t="shared" si="110"/>
        <v>839.11903995585999</v>
      </c>
      <c r="L340" s="273" t="str">
        <f t="shared" si="117"/>
        <v>--</v>
      </c>
      <c r="M340" s="7">
        <f t="shared" si="118"/>
        <v>81850020.358049318</v>
      </c>
      <c r="N340" s="7">
        <f t="shared" si="115"/>
        <v>81900520</v>
      </c>
      <c r="O340" s="326">
        <f t="shared" si="119"/>
        <v>25</v>
      </c>
      <c r="P340" s="224">
        <f t="shared" si="114"/>
        <v>3.8</v>
      </c>
      <c r="Q340" s="224" t="str">
        <f t="shared" si="120"/>
        <v>N</v>
      </c>
      <c r="R340" s="224"/>
      <c r="S340" s="271">
        <f t="shared" si="111"/>
        <v>1.1999999999999999E-6</v>
      </c>
      <c r="T340" s="7" t="str">
        <f t="shared" si="112"/>
        <v>I</v>
      </c>
      <c r="U340" s="7">
        <f t="shared" si="121"/>
        <v>1E-3</v>
      </c>
      <c r="V340" s="7" t="str">
        <f t="shared" si="122"/>
        <v>I</v>
      </c>
      <c r="W340" s="7" t="str">
        <f>VLOOKUP(C340,'Tox Summary'!$N$3:$S$1048576,6,FALSE)</f>
        <v/>
      </c>
      <c r="X340" s="76">
        <f t="shared" si="123"/>
        <v>2.3397435897435899</v>
      </c>
      <c r="Y340" s="76">
        <f t="shared" si="124"/>
        <v>1.0428571428571429</v>
      </c>
      <c r="AA340" s="332"/>
    </row>
    <row r="341" spans="1:27">
      <c r="A341" s="265"/>
      <c r="B341" s="344" t="s">
        <v>909</v>
      </c>
      <c r="C341" s="269" t="s">
        <v>1138</v>
      </c>
      <c r="D341" s="280" t="str">
        <f>VLOOKUP(B341, 'Chem Props'!$1:$1048576,3,FALSE)</f>
        <v>Yes</v>
      </c>
      <c r="E341" s="598" t="str">
        <f t="shared" si="125"/>
        <v>Yes</v>
      </c>
      <c r="F341" s="7" t="str">
        <f t="shared" si="116"/>
        <v>Yes</v>
      </c>
      <c r="G341" s="270" t="str">
        <f t="shared" si="113"/>
        <v>Yes</v>
      </c>
      <c r="H341" s="76">
        <f t="shared" si="107"/>
        <v>20.857142857142858</v>
      </c>
      <c r="I341" s="271" t="str">
        <f t="shared" si="108"/>
        <v>NC</v>
      </c>
      <c r="J341" s="272">
        <f t="shared" si="109"/>
        <v>695.2380952380953</v>
      </c>
      <c r="K341" s="272">
        <f t="shared" si="110"/>
        <v>2834.2360180925207</v>
      </c>
      <c r="L341" s="273" t="str">
        <f t="shared" si="117"/>
        <v>--</v>
      </c>
      <c r="M341" s="7">
        <f t="shared" si="118"/>
        <v>698407904.7552253</v>
      </c>
      <c r="N341" s="7">
        <f t="shared" si="115"/>
        <v>699105000</v>
      </c>
      <c r="O341" s="326">
        <f t="shared" si="119"/>
        <v>25</v>
      </c>
      <c r="P341" s="224" t="str">
        <f t="shared" si="114"/>
        <v/>
      </c>
      <c r="Q341" s="224" t="str">
        <f t="shared" si="120"/>
        <v/>
      </c>
      <c r="R341" s="224"/>
      <c r="S341" s="271" t="str">
        <f t="shared" si="111"/>
        <v/>
      </c>
      <c r="T341" s="7" t="str">
        <f t="shared" si="112"/>
        <v/>
      </c>
      <c r="U341" s="7">
        <f t="shared" si="121"/>
        <v>0.02</v>
      </c>
      <c r="V341" s="7" t="str">
        <f t="shared" si="122"/>
        <v>I</v>
      </c>
      <c r="W341" s="7" t="str">
        <f>VLOOKUP(C341,'Tox Summary'!$N$3:$S$1048576,6,FALSE)</f>
        <v/>
      </c>
      <c r="X341" s="76" t="str">
        <f t="shared" si="123"/>
        <v/>
      </c>
      <c r="Y341" s="76">
        <f t="shared" si="124"/>
        <v>20.857142857142858</v>
      </c>
      <c r="AA341" s="332"/>
    </row>
    <row r="342" spans="1:27">
      <c r="A342" s="265" t="s">
        <v>1413</v>
      </c>
      <c r="B342" s="344" t="s">
        <v>904</v>
      </c>
      <c r="C342" s="269" t="s">
        <v>1139</v>
      </c>
      <c r="D342" s="280" t="str">
        <f>VLOOKUP(B342, 'Chem Props'!$1:$1048576,3,FALSE)</f>
        <v>Yes</v>
      </c>
      <c r="E342" s="598" t="str">
        <f t="shared" si="125"/>
        <v>No</v>
      </c>
      <c r="F342" s="7" t="str">
        <f t="shared" si="116"/>
        <v>No Inhal. Tox. Info</v>
      </c>
      <c r="G342" s="270" t="str">
        <f t="shared" si="113"/>
        <v>No Inhal. Tox. Info</v>
      </c>
      <c r="H342" s="76" t="str">
        <f t="shared" si="107"/>
        <v>--</v>
      </c>
      <c r="I342" s="271" t="str">
        <f t="shared" si="108"/>
        <v>--</v>
      </c>
      <c r="J342" s="272" t="str">
        <f t="shared" si="109"/>
        <v>--</v>
      </c>
      <c r="K342" s="272" t="str">
        <f t="shared" si="110"/>
        <v>--</v>
      </c>
      <c r="L342" s="273" t="str">
        <f t="shared" si="117"/>
        <v>--</v>
      </c>
      <c r="M342" s="7">
        <f t="shared" si="118"/>
        <v>244489.90316055407</v>
      </c>
      <c r="N342" s="7">
        <f t="shared" si="115"/>
        <v>243750</v>
      </c>
      <c r="O342" s="326">
        <f t="shared" si="119"/>
        <v>25</v>
      </c>
      <c r="P342" s="224" t="str">
        <f t="shared" si="114"/>
        <v/>
      </c>
      <c r="Q342" s="224" t="str">
        <f t="shared" si="120"/>
        <v/>
      </c>
      <c r="R342" s="224"/>
      <c r="S342" s="271" t="str">
        <f t="shared" si="111"/>
        <v/>
      </c>
      <c r="T342" s="7" t="str">
        <f t="shared" si="112"/>
        <v/>
      </c>
      <c r="U342" s="7" t="str">
        <f t="shared" si="121"/>
        <v/>
      </c>
      <c r="V342" s="7" t="str">
        <f t="shared" si="122"/>
        <v/>
      </c>
      <c r="W342" s="7" t="str">
        <f>VLOOKUP(C342,'Tox Summary'!$N$3:$S$1048576,6,FALSE)</f>
        <v/>
      </c>
      <c r="X342" s="76" t="str">
        <f t="shared" si="123"/>
        <v/>
      </c>
      <c r="Y342" s="76" t="str">
        <f t="shared" si="124"/>
        <v/>
      </c>
      <c r="AA342" s="332"/>
    </row>
    <row r="343" spans="1:27">
      <c r="A343" s="265"/>
      <c r="B343" s="344" t="s">
        <v>2282</v>
      </c>
      <c r="C343" s="269" t="s">
        <v>2297</v>
      </c>
      <c r="D343" s="280" t="str">
        <f>VLOOKUP(B343, 'Chem Props'!$1:$1048576,3,FALSE)</f>
        <v>No</v>
      </c>
      <c r="E343" s="598" t="str">
        <f t="shared" si="125"/>
        <v>No</v>
      </c>
      <c r="F343" s="7" t="str">
        <f t="shared" si="116"/>
        <v>No (not volatile)</v>
      </c>
      <c r="G343" s="270" t="str">
        <f t="shared" si="113"/>
        <v>No (not volatile)</v>
      </c>
      <c r="H343" s="76" t="str">
        <f t="shared" si="107"/>
        <v>--</v>
      </c>
      <c r="I343" s="271" t="str">
        <f t="shared" si="108"/>
        <v>--</v>
      </c>
      <c r="J343" s="272" t="str">
        <f t="shared" si="109"/>
        <v>--</v>
      </c>
      <c r="K343" s="272" t="str">
        <f t="shared" si="110"/>
        <v>--</v>
      </c>
      <c r="L343" s="273" t="str">
        <f t="shared" si="117"/>
        <v>--</v>
      </c>
      <c r="M343" s="7">
        <f t="shared" si="118"/>
        <v>1616281.3988188305</v>
      </c>
      <c r="N343" s="7">
        <f t="shared" si="115"/>
        <v>674.6</v>
      </c>
      <c r="O343" s="326">
        <f t="shared" si="119"/>
        <v>25</v>
      </c>
      <c r="P343" s="224" t="str">
        <f t="shared" si="114"/>
        <v/>
      </c>
      <c r="Q343" s="224" t="str">
        <f t="shared" si="120"/>
        <v/>
      </c>
      <c r="R343" s="224"/>
      <c r="S343" s="271" t="str">
        <f t="shared" si="111"/>
        <v/>
      </c>
      <c r="T343" s="7" t="str">
        <f t="shared" si="112"/>
        <v/>
      </c>
      <c r="U343" s="7" t="str">
        <f t="shared" si="121"/>
        <v/>
      </c>
      <c r="V343" s="7" t="str">
        <f t="shared" si="122"/>
        <v/>
      </c>
      <c r="W343" s="7" t="str">
        <f>VLOOKUP(C343,'Tox Summary'!$N$3:$S$1048576,6,FALSE)</f>
        <v/>
      </c>
      <c r="X343" s="76" t="str">
        <f t="shared" si="123"/>
        <v/>
      </c>
      <c r="Y343" s="76" t="str">
        <f t="shared" si="124"/>
        <v/>
      </c>
      <c r="AA343" s="332"/>
    </row>
    <row r="344" spans="1:27">
      <c r="A344" s="265"/>
      <c r="B344" s="344" t="s">
        <v>910</v>
      </c>
      <c r="C344" s="269" t="s">
        <v>1140</v>
      </c>
      <c r="D344" s="280" t="str">
        <f>VLOOKUP(B344, 'Chem Props'!$1:$1048576,3,FALSE)</f>
        <v>No</v>
      </c>
      <c r="E344" s="598" t="str">
        <f t="shared" si="125"/>
        <v>No</v>
      </c>
      <c r="F344" s="7" t="str">
        <f t="shared" si="116"/>
        <v>No (not volatile)</v>
      </c>
      <c r="G344" s="270" t="str">
        <f t="shared" si="113"/>
        <v>No (not volatile)</v>
      </c>
      <c r="H344" s="76" t="str">
        <f t="shared" si="107"/>
        <v>--</v>
      </c>
      <c r="I344" s="271" t="str">
        <f t="shared" si="108"/>
        <v>--</v>
      </c>
      <c r="J344" s="272" t="str">
        <f t="shared" si="109"/>
        <v>--</v>
      </c>
      <c r="K344" s="272" t="str">
        <f t="shared" si="110"/>
        <v>--</v>
      </c>
      <c r="L344" s="273" t="str">
        <f t="shared" si="117"/>
        <v>--</v>
      </c>
      <c r="M344" s="7">
        <f t="shared" si="118"/>
        <v>0.76198621352221241</v>
      </c>
      <c r="N344" s="7">
        <f t="shared" si="115"/>
        <v>233.00000000000003</v>
      </c>
      <c r="O344" s="326">
        <f t="shared" si="119"/>
        <v>25</v>
      </c>
      <c r="P344" s="224" t="str">
        <f t="shared" si="114"/>
        <v/>
      </c>
      <c r="Q344" s="224" t="str">
        <f t="shared" si="120"/>
        <v/>
      </c>
      <c r="R344" s="224"/>
      <c r="S344" s="271" t="str">
        <f t="shared" si="111"/>
        <v/>
      </c>
      <c r="T344" s="7" t="str">
        <f t="shared" si="112"/>
        <v/>
      </c>
      <c r="U344" s="7" t="str">
        <f t="shared" si="121"/>
        <v/>
      </c>
      <c r="V344" s="7" t="str">
        <f t="shared" si="122"/>
        <v/>
      </c>
      <c r="W344" s="7" t="str">
        <f>VLOOKUP(C344,'Tox Summary'!$N$3:$S$1048576,6,FALSE)</f>
        <v/>
      </c>
      <c r="X344" s="76" t="str">
        <f t="shared" si="123"/>
        <v/>
      </c>
      <c r="Y344" s="76" t="str">
        <f t="shared" si="124"/>
        <v/>
      </c>
      <c r="AA344" s="332"/>
    </row>
    <row r="345" spans="1:27">
      <c r="A345" s="265"/>
      <c r="B345" s="344" t="s">
        <v>911</v>
      </c>
      <c r="C345" s="269" t="s">
        <v>1141</v>
      </c>
      <c r="D345" s="280" t="str">
        <f>VLOOKUP(B345, 'Chem Props'!$1:$1048576,3,FALSE)</f>
        <v>No</v>
      </c>
      <c r="E345" s="598" t="str">
        <f t="shared" si="125"/>
        <v>No</v>
      </c>
      <c r="F345" s="7" t="str">
        <f t="shared" si="116"/>
        <v>No (not volatile)</v>
      </c>
      <c r="G345" s="270" t="str">
        <f t="shared" si="113"/>
        <v>No (not volatile)</v>
      </c>
      <c r="H345" s="76" t="str">
        <f t="shared" si="107"/>
        <v>--</v>
      </c>
      <c r="I345" s="271" t="str">
        <f t="shared" si="108"/>
        <v>--</v>
      </c>
      <c r="J345" s="272" t="str">
        <f t="shared" si="109"/>
        <v>--</v>
      </c>
      <c r="K345" s="272" t="str">
        <f t="shared" si="110"/>
        <v>--</v>
      </c>
      <c r="L345" s="273" t="str">
        <f t="shared" si="117"/>
        <v>--</v>
      </c>
      <c r="M345" s="7">
        <f t="shared" si="118"/>
        <v>31.032602857321546</v>
      </c>
      <c r="N345" s="7">
        <f t="shared" si="115"/>
        <v>31</v>
      </c>
      <c r="O345" s="326">
        <f t="shared" si="119"/>
        <v>25</v>
      </c>
      <c r="P345" s="224" t="str">
        <f t="shared" si="114"/>
        <v/>
      </c>
      <c r="Q345" s="224" t="str">
        <f t="shared" si="120"/>
        <v/>
      </c>
      <c r="R345" s="224"/>
      <c r="S345" s="271" t="str">
        <f t="shared" si="111"/>
        <v/>
      </c>
      <c r="T345" s="7" t="str">
        <f t="shared" si="112"/>
        <v/>
      </c>
      <c r="U345" s="7" t="str">
        <f t="shared" si="121"/>
        <v/>
      </c>
      <c r="V345" s="7" t="str">
        <f t="shared" si="122"/>
        <v/>
      </c>
      <c r="W345" s="7" t="str">
        <f>VLOOKUP(C345,'Tox Summary'!$N$3:$S$1048576,6,FALSE)</f>
        <v/>
      </c>
      <c r="X345" s="76" t="str">
        <f t="shared" si="123"/>
        <v/>
      </c>
      <c r="Y345" s="76" t="str">
        <f t="shared" si="124"/>
        <v/>
      </c>
      <c r="AA345" s="332"/>
    </row>
    <row r="346" spans="1:27">
      <c r="A346" s="265"/>
      <c r="B346" s="344" t="s">
        <v>912</v>
      </c>
      <c r="C346" s="269" t="s">
        <v>1142</v>
      </c>
      <c r="D346" s="280" t="str">
        <f>VLOOKUP(B346, 'Chem Props'!$1:$1048576,3,FALSE)</f>
        <v>Yes</v>
      </c>
      <c r="E346" s="598" t="str">
        <f t="shared" si="125"/>
        <v>Yes</v>
      </c>
      <c r="F346" s="7" t="str">
        <f t="shared" si="116"/>
        <v>Yes</v>
      </c>
      <c r="G346" s="270" t="str">
        <f t="shared" si="113"/>
        <v>Yes</v>
      </c>
      <c r="H346" s="76">
        <f t="shared" si="107"/>
        <v>62.571428571428569</v>
      </c>
      <c r="I346" s="271" t="str">
        <f t="shared" si="108"/>
        <v>NC</v>
      </c>
      <c r="J346" s="272">
        <f t="shared" si="109"/>
        <v>2085.7142857142858</v>
      </c>
      <c r="K346" s="272">
        <f t="shared" si="110"/>
        <v>478374.83617300127</v>
      </c>
      <c r="L346" s="273" t="str">
        <f t="shared" si="117"/>
        <v>--</v>
      </c>
      <c r="M346" s="7">
        <f t="shared" si="118"/>
        <v>14222738.221749254</v>
      </c>
      <c r="N346" s="7">
        <f t="shared" si="115"/>
        <v>24459600</v>
      </c>
      <c r="O346" s="326">
        <f t="shared" si="119"/>
        <v>25</v>
      </c>
      <c r="P346" s="224">
        <f t="shared" si="114"/>
        <v>1.7</v>
      </c>
      <c r="Q346" s="224" t="str">
        <f t="shared" si="120"/>
        <v>N</v>
      </c>
      <c r="R346" s="224"/>
      <c r="S346" s="271" t="str">
        <f t="shared" si="111"/>
        <v/>
      </c>
      <c r="T346" s="7" t="str">
        <f t="shared" si="112"/>
        <v/>
      </c>
      <c r="U346" s="7">
        <f t="shared" si="121"/>
        <v>0.06</v>
      </c>
      <c r="V346" s="7" t="str">
        <f t="shared" si="122"/>
        <v>P</v>
      </c>
      <c r="W346" s="7" t="str">
        <f>VLOOKUP(C346,'Tox Summary'!$N$3:$S$1048576,6,FALSE)</f>
        <v/>
      </c>
      <c r="X346" s="76" t="str">
        <f t="shared" si="123"/>
        <v/>
      </c>
      <c r="Y346" s="76">
        <f t="shared" si="124"/>
        <v>62.571428571428569</v>
      </c>
      <c r="AA346" s="332"/>
    </row>
    <row r="347" spans="1:27">
      <c r="A347" s="265"/>
      <c r="B347" s="344" t="s">
        <v>913</v>
      </c>
      <c r="C347" s="269" t="s">
        <v>1143</v>
      </c>
      <c r="D347" s="280" t="str">
        <f>VLOOKUP(B347, 'Chem Props'!$1:$1048576,3,FALSE)</f>
        <v>Yes</v>
      </c>
      <c r="E347" s="598" t="str">
        <f t="shared" si="125"/>
        <v>Yes</v>
      </c>
      <c r="F347" s="7" t="str">
        <f t="shared" si="116"/>
        <v>Yes</v>
      </c>
      <c r="G347" s="270" t="str">
        <f t="shared" si="113"/>
        <v>Yes</v>
      </c>
      <c r="H347" s="76">
        <f t="shared" si="107"/>
        <v>208.57142857142858</v>
      </c>
      <c r="I347" s="271" t="str">
        <f t="shared" si="108"/>
        <v>NC</v>
      </c>
      <c r="J347" s="272">
        <f t="shared" si="109"/>
        <v>6952.3809523809532</v>
      </c>
      <c r="K347" s="272">
        <f t="shared" si="110"/>
        <v>10863095.238095239</v>
      </c>
      <c r="L347" s="273" t="str">
        <f t="shared" si="117"/>
        <v>--</v>
      </c>
      <c r="M347" s="7">
        <f t="shared" si="118"/>
        <v>25750362.792027619</v>
      </c>
      <c r="N347" s="7">
        <f t="shared" si="115"/>
        <v>19200000</v>
      </c>
      <c r="O347" s="326">
        <f t="shared" si="119"/>
        <v>25</v>
      </c>
      <c r="P347" s="224">
        <f t="shared" si="114"/>
        <v>1.7</v>
      </c>
      <c r="Q347" s="224" t="str">
        <f t="shared" si="120"/>
        <v>N</v>
      </c>
      <c r="R347" s="224"/>
      <c r="S347" s="271" t="str">
        <f t="shared" si="111"/>
        <v/>
      </c>
      <c r="T347" s="7" t="str">
        <f t="shared" si="112"/>
        <v/>
      </c>
      <c r="U347" s="7">
        <f t="shared" si="121"/>
        <v>0.2</v>
      </c>
      <c r="V347" s="7" t="str">
        <f t="shared" si="122"/>
        <v>I</v>
      </c>
      <c r="W347" s="7" t="str">
        <f>VLOOKUP(C347,'Tox Summary'!$N$3:$S$1048576,6,FALSE)</f>
        <v/>
      </c>
      <c r="X347" s="76" t="str">
        <f t="shared" si="123"/>
        <v/>
      </c>
      <c r="Y347" s="76">
        <f t="shared" si="124"/>
        <v>208.57142857142858</v>
      </c>
      <c r="AA347" s="332"/>
    </row>
    <row r="348" spans="1:27">
      <c r="A348" s="265"/>
      <c r="B348" s="269" t="s">
        <v>914</v>
      </c>
      <c r="C348" s="269" t="s">
        <v>1144</v>
      </c>
      <c r="D348" s="280" t="str">
        <f>VLOOKUP(B348, 'Chem Props'!$1:$1048576,3,FALSE)</f>
        <v>Yes</v>
      </c>
      <c r="E348" s="598" t="str">
        <f t="shared" si="125"/>
        <v>Yes</v>
      </c>
      <c r="F348" s="7" t="str">
        <f t="shared" si="116"/>
        <v>Yes</v>
      </c>
      <c r="G348" s="270" t="str">
        <f t="shared" si="113"/>
        <v>Yes</v>
      </c>
      <c r="H348" s="76">
        <f t="shared" si="107"/>
        <v>73</v>
      </c>
      <c r="I348" s="271" t="str">
        <f t="shared" si="108"/>
        <v>NC</v>
      </c>
      <c r="J348" s="272">
        <f t="shared" si="109"/>
        <v>2433.3333333333335</v>
      </c>
      <c r="K348" s="272">
        <f t="shared" si="110"/>
        <v>13325.30164467079</v>
      </c>
      <c r="L348" s="273" t="str">
        <f t="shared" si="117"/>
        <v>--</v>
      </c>
      <c r="M348" s="7">
        <f t="shared" si="118"/>
        <v>441854739.0819509</v>
      </c>
      <c r="N348" s="7">
        <f t="shared" si="115"/>
        <v>438264000</v>
      </c>
      <c r="O348" s="326">
        <f t="shared" si="119"/>
        <v>25</v>
      </c>
      <c r="P348" s="224">
        <f t="shared" si="114"/>
        <v>2</v>
      </c>
      <c r="Q348" s="224" t="str">
        <f t="shared" si="120"/>
        <v>N</v>
      </c>
      <c r="R348" s="224"/>
      <c r="S348" s="271" t="str">
        <f t="shared" si="111"/>
        <v/>
      </c>
      <c r="T348" s="7" t="str">
        <f t="shared" si="112"/>
        <v/>
      </c>
      <c r="U348" s="7">
        <f t="shared" si="121"/>
        <v>7.0000000000000007E-2</v>
      </c>
      <c r="V348" s="7" t="str">
        <f t="shared" si="122"/>
        <v>P</v>
      </c>
      <c r="W348" s="7" t="str">
        <f>VLOOKUP(C348,'Tox Summary'!$N$3:$S$1048576,6,FALSE)</f>
        <v/>
      </c>
      <c r="X348" s="76" t="str">
        <f t="shared" si="123"/>
        <v/>
      </c>
      <c r="Y348" s="76">
        <f t="shared" si="124"/>
        <v>73</v>
      </c>
      <c r="AA348" s="243"/>
    </row>
    <row r="349" spans="1:27">
      <c r="A349" s="265"/>
      <c r="B349" s="269" t="s">
        <v>915</v>
      </c>
      <c r="C349" s="269" t="s">
        <v>1145</v>
      </c>
      <c r="D349" s="280" t="str">
        <f>VLOOKUP(B349, 'Chem Props'!$1:$1048576,3,FALSE)</f>
        <v>Yes</v>
      </c>
      <c r="E349" s="598" t="str">
        <f t="shared" si="125"/>
        <v>Yes</v>
      </c>
      <c r="F349" s="7" t="str">
        <f t="shared" si="116"/>
        <v>Yes</v>
      </c>
      <c r="G349" s="270" t="str">
        <f t="shared" si="113"/>
        <v>Yes</v>
      </c>
      <c r="H349" s="76">
        <f t="shared" si="107"/>
        <v>8.3428571428571434</v>
      </c>
      <c r="I349" s="271" t="str">
        <f t="shared" si="108"/>
        <v>NC</v>
      </c>
      <c r="J349" s="272">
        <f t="shared" si="109"/>
        <v>278.09523809523813</v>
      </c>
      <c r="K349" s="272">
        <f t="shared" si="110"/>
        <v>601.9638038340147</v>
      </c>
      <c r="L349" s="273" t="str">
        <f t="shared" si="117"/>
        <v>--</v>
      </c>
      <c r="M349" s="7">
        <f t="shared" si="118"/>
        <v>207951154.88572666</v>
      </c>
      <c r="N349" s="7">
        <f t="shared" si="115"/>
        <v>207891000</v>
      </c>
      <c r="O349" s="326">
        <f t="shared" si="119"/>
        <v>25</v>
      </c>
      <c r="P349" s="224" t="str">
        <f t="shared" si="114"/>
        <v/>
      </c>
      <c r="Q349" s="224" t="str">
        <f t="shared" si="120"/>
        <v/>
      </c>
      <c r="R349" s="224"/>
      <c r="S349" s="271" t="str">
        <f t="shared" si="111"/>
        <v/>
      </c>
      <c r="T349" s="7" t="str">
        <f t="shared" si="112"/>
        <v/>
      </c>
      <c r="U349" s="7">
        <f t="shared" si="121"/>
        <v>8.0000000000000002E-3</v>
      </c>
      <c r="V349" s="7" t="str">
        <f t="shared" si="122"/>
        <v>P</v>
      </c>
      <c r="W349" s="7" t="str">
        <f>VLOOKUP(C349,'Tox Summary'!$N$3:$S$1048576,6,FALSE)</f>
        <v/>
      </c>
      <c r="X349" s="76" t="str">
        <f t="shared" si="123"/>
        <v/>
      </c>
      <c r="Y349" s="76">
        <f t="shared" si="124"/>
        <v>8.3428571428571434</v>
      </c>
      <c r="AA349" s="243"/>
    </row>
    <row r="350" spans="1:27">
      <c r="A350" s="265"/>
      <c r="B350" s="344" t="s">
        <v>916</v>
      </c>
      <c r="C350" s="269" t="s">
        <v>2046</v>
      </c>
      <c r="D350" s="280" t="str">
        <f>VLOOKUP(B350, 'Chem Props'!$1:$1048576,3,FALSE)</f>
        <v>Yes</v>
      </c>
      <c r="E350" s="598" t="str">
        <f t="shared" si="125"/>
        <v>Yes</v>
      </c>
      <c r="F350" s="7" t="str">
        <f t="shared" si="116"/>
        <v>Yes</v>
      </c>
      <c r="G350" s="270" t="str">
        <f t="shared" si="113"/>
        <v>Yes</v>
      </c>
      <c r="H350" s="76">
        <f t="shared" si="107"/>
        <v>10428.571428571429</v>
      </c>
      <c r="I350" s="271" t="str">
        <f t="shared" si="108"/>
        <v>NC</v>
      </c>
      <c r="J350" s="272">
        <f t="shared" si="109"/>
        <v>347619.04761904763</v>
      </c>
      <c r="K350" s="272">
        <f t="shared" si="110"/>
        <v>22980.438893014001</v>
      </c>
      <c r="L350" s="273" t="str">
        <f t="shared" si="117"/>
        <v>--</v>
      </c>
      <c r="M350" s="7">
        <f t="shared" si="118"/>
        <v>3499245596.3497367</v>
      </c>
      <c r="N350" s="7">
        <f t="shared" si="115"/>
        <v>3045012091</v>
      </c>
      <c r="O350" s="326">
        <f t="shared" si="119"/>
        <v>25</v>
      </c>
      <c r="P350" s="224">
        <f t="shared" si="114"/>
        <v>3.8</v>
      </c>
      <c r="Q350" s="224" t="str">
        <f t="shared" si="120"/>
        <v>N</v>
      </c>
      <c r="R350" s="224"/>
      <c r="S350" s="271" t="str">
        <f t="shared" si="111"/>
        <v/>
      </c>
      <c r="T350" s="7" t="str">
        <f t="shared" si="112"/>
        <v/>
      </c>
      <c r="U350" s="7">
        <f t="shared" si="121"/>
        <v>10</v>
      </c>
      <c r="V350" s="7" t="str">
        <f t="shared" si="122"/>
        <v>I</v>
      </c>
      <c r="W350" s="7" t="str">
        <f>VLOOKUP(C350,'Tox Summary'!$N$3:$S$1048576,6,FALSE)</f>
        <v/>
      </c>
      <c r="X350" s="76" t="str">
        <f t="shared" si="123"/>
        <v/>
      </c>
      <c r="Y350" s="76">
        <f t="shared" si="124"/>
        <v>10428.571428571429</v>
      </c>
      <c r="AA350" s="332"/>
    </row>
    <row r="351" spans="1:27">
      <c r="A351" s="265"/>
      <c r="B351" s="344" t="s">
        <v>917</v>
      </c>
      <c r="C351" s="269" t="s">
        <v>1146</v>
      </c>
      <c r="D351" s="280" t="str">
        <f>VLOOKUP(B351, 'Chem Props'!$1:$1048576,3,FALSE)</f>
        <v>Yes</v>
      </c>
      <c r="E351" s="598" t="str">
        <f t="shared" si="125"/>
        <v>No</v>
      </c>
      <c r="F351" s="7" t="str">
        <f t="shared" si="116"/>
        <v>No Inhal. Tox. Info</v>
      </c>
      <c r="G351" s="270" t="str">
        <f t="shared" si="113"/>
        <v>No Inhal. Tox. Info</v>
      </c>
      <c r="H351" s="76" t="str">
        <f t="shared" si="107"/>
        <v>--</v>
      </c>
      <c r="I351" s="271" t="str">
        <f t="shared" si="108"/>
        <v>--</v>
      </c>
      <c r="J351" s="272" t="str">
        <f t="shared" si="109"/>
        <v>--</v>
      </c>
      <c r="K351" s="272" t="str">
        <f t="shared" si="110"/>
        <v>--</v>
      </c>
      <c r="L351" s="273" t="str">
        <f t="shared" si="117"/>
        <v>--</v>
      </c>
      <c r="M351" s="7">
        <f t="shared" si="118"/>
        <v>2145825065.8161721</v>
      </c>
      <c r="N351" s="7">
        <f t="shared" si="115"/>
        <v>3037286480</v>
      </c>
      <c r="O351" s="326">
        <f t="shared" si="119"/>
        <v>25</v>
      </c>
      <c r="P351" s="224">
        <f t="shared" si="114"/>
        <v>1.9</v>
      </c>
      <c r="Q351" s="224" t="str">
        <f t="shared" si="120"/>
        <v>N</v>
      </c>
      <c r="R351" s="224"/>
      <c r="S351" s="271" t="str">
        <f t="shared" si="111"/>
        <v/>
      </c>
      <c r="T351" s="7" t="str">
        <f t="shared" si="112"/>
        <v/>
      </c>
      <c r="U351" s="7" t="str">
        <f t="shared" si="121"/>
        <v/>
      </c>
      <c r="V351" s="7" t="str">
        <f t="shared" si="122"/>
        <v/>
      </c>
      <c r="W351" s="7" t="str">
        <f>VLOOKUP(C351,'Tox Summary'!$N$3:$S$1048576,6,FALSE)</f>
        <v/>
      </c>
      <c r="X351" s="76" t="str">
        <f t="shared" si="123"/>
        <v/>
      </c>
      <c r="Y351" s="76" t="str">
        <f t="shared" si="124"/>
        <v/>
      </c>
      <c r="AA351" s="332"/>
    </row>
    <row r="352" spans="1:27">
      <c r="A352" s="265"/>
      <c r="B352" s="269" t="s">
        <v>918</v>
      </c>
      <c r="C352" s="269" t="s">
        <v>1147</v>
      </c>
      <c r="D352" s="280" t="str">
        <f>VLOOKUP(B352, 'Chem Props'!$1:$1048576,3,FALSE)</f>
        <v>Yes</v>
      </c>
      <c r="E352" s="598" t="str">
        <f t="shared" si="125"/>
        <v>Yes</v>
      </c>
      <c r="F352" s="7" t="str">
        <f t="shared" si="116"/>
        <v>Yes</v>
      </c>
      <c r="G352" s="270" t="str">
        <f t="shared" si="113"/>
        <v>Yes</v>
      </c>
      <c r="H352" s="76">
        <f t="shared" si="107"/>
        <v>312.85714285714283</v>
      </c>
      <c r="I352" s="271" t="str">
        <f t="shared" si="108"/>
        <v>NC</v>
      </c>
      <c r="J352" s="272">
        <f t="shared" si="109"/>
        <v>10428.571428571428</v>
      </c>
      <c r="K352" s="272">
        <f t="shared" si="110"/>
        <v>13355.124342915686</v>
      </c>
      <c r="L352" s="273" t="str">
        <f t="shared" si="117"/>
        <v>--</v>
      </c>
      <c r="M352" s="7">
        <f t="shared" si="118"/>
        <v>126469398.62810619</v>
      </c>
      <c r="N352" s="7">
        <f t="shared" si="115"/>
        <v>126500400</v>
      </c>
      <c r="O352" s="326">
        <f t="shared" si="119"/>
        <v>25</v>
      </c>
      <c r="P352" s="224">
        <f t="shared" si="114"/>
        <v>1.8</v>
      </c>
      <c r="Q352" s="224" t="str">
        <f t="shared" si="120"/>
        <v>M</v>
      </c>
      <c r="R352" s="224"/>
      <c r="S352" s="271" t="str">
        <f t="shared" si="111"/>
        <v/>
      </c>
      <c r="T352" s="7" t="str">
        <f t="shared" si="112"/>
        <v/>
      </c>
      <c r="U352" s="7">
        <f t="shared" si="121"/>
        <v>0.3</v>
      </c>
      <c r="V352" s="7" t="str">
        <f t="shared" si="122"/>
        <v>P</v>
      </c>
      <c r="W352" s="7" t="str">
        <f>VLOOKUP(C352,'Tox Summary'!$N$3:$S$1048576,6,FALSE)</f>
        <v/>
      </c>
      <c r="X352" s="76" t="str">
        <f t="shared" si="123"/>
        <v/>
      </c>
      <c r="Y352" s="76">
        <f t="shared" si="124"/>
        <v>312.85714285714283</v>
      </c>
      <c r="AA352" s="243"/>
    </row>
    <row r="353" spans="1:27">
      <c r="A353" s="265"/>
      <c r="B353" s="344" t="s">
        <v>920</v>
      </c>
      <c r="C353" s="269" t="s">
        <v>381</v>
      </c>
      <c r="D353" s="280" t="str">
        <f>VLOOKUP(B353, 'Chem Props'!$1:$1048576,3,FALSE)</f>
        <v>Yes</v>
      </c>
      <c r="E353" s="598" t="str">
        <f t="shared" si="125"/>
        <v>Yes</v>
      </c>
      <c r="F353" s="7" t="str">
        <f t="shared" si="116"/>
        <v>Yes</v>
      </c>
      <c r="G353" s="270" t="str">
        <f t="shared" si="113"/>
        <v>Yes</v>
      </c>
      <c r="H353" s="76">
        <f t="shared" si="107"/>
        <v>1.1230769230769229</v>
      </c>
      <c r="I353" s="271" t="str">
        <f t="shared" si="108"/>
        <v>C</v>
      </c>
      <c r="J353" s="272">
        <f t="shared" si="109"/>
        <v>37.435897435897431</v>
      </c>
      <c r="K353" s="272">
        <f t="shared" si="110"/>
        <v>3.486099464912384</v>
      </c>
      <c r="L353" s="273" t="str">
        <f t="shared" si="117"/>
        <v>Yes (700)</v>
      </c>
      <c r="M353" s="7">
        <f t="shared" si="118"/>
        <v>54843636.210767008</v>
      </c>
      <c r="N353" s="7">
        <f t="shared" si="115"/>
        <v>54444803.400000006</v>
      </c>
      <c r="O353" s="326">
        <f t="shared" si="119"/>
        <v>25</v>
      </c>
      <c r="P353" s="224">
        <f t="shared" si="114"/>
        <v>0.8</v>
      </c>
      <c r="Q353" s="224" t="str">
        <f t="shared" si="120"/>
        <v>N</v>
      </c>
      <c r="R353" s="224"/>
      <c r="S353" s="271">
        <f t="shared" si="111"/>
        <v>2.5000000000000002E-6</v>
      </c>
      <c r="T353" s="7" t="str">
        <f t="shared" si="112"/>
        <v>CA</v>
      </c>
      <c r="U353" s="7">
        <f t="shared" si="121"/>
        <v>1</v>
      </c>
      <c r="V353" s="7" t="str">
        <f t="shared" si="122"/>
        <v>I</v>
      </c>
      <c r="W353" s="7" t="str">
        <f>VLOOKUP(C353,'Tox Summary'!$N$3:$S$1048576,6,FALSE)</f>
        <v/>
      </c>
      <c r="X353" s="76">
        <f t="shared" si="123"/>
        <v>1.1230769230769229</v>
      </c>
      <c r="Y353" s="76">
        <f t="shared" si="124"/>
        <v>1042.8571428571429</v>
      </c>
      <c r="AA353" s="332"/>
    </row>
    <row r="354" spans="1:27">
      <c r="A354" s="265"/>
      <c r="B354" s="344" t="s">
        <v>921</v>
      </c>
      <c r="C354" s="269" t="s">
        <v>1149</v>
      </c>
      <c r="D354" s="280" t="str">
        <f>VLOOKUP(B354, 'Chem Props'!$1:$1048576,3,FALSE)</f>
        <v>No</v>
      </c>
      <c r="E354" s="598" t="str">
        <f t="shared" si="125"/>
        <v>No</v>
      </c>
      <c r="F354" s="7" t="str">
        <f t="shared" si="116"/>
        <v>No (not volatile)</v>
      </c>
      <c r="G354" s="270" t="str">
        <f t="shared" si="113"/>
        <v>No (not volatile)</v>
      </c>
      <c r="H354" s="76" t="str">
        <f t="shared" si="107"/>
        <v>--</v>
      </c>
      <c r="I354" s="271" t="str">
        <f t="shared" si="108"/>
        <v>--</v>
      </c>
      <c r="J354" s="272" t="str">
        <f t="shared" si="109"/>
        <v>--</v>
      </c>
      <c r="K354" s="272" t="str">
        <f t="shared" si="110"/>
        <v>--</v>
      </c>
      <c r="L354" s="273" t="str">
        <f t="shared" si="117"/>
        <v>--</v>
      </c>
      <c r="M354" s="7">
        <f t="shared" si="118"/>
        <v>306738.90892520413</v>
      </c>
      <c r="N354" s="7">
        <f t="shared" si="115"/>
        <v>306619.99999999994</v>
      </c>
      <c r="O354" s="326">
        <f t="shared" si="119"/>
        <v>25</v>
      </c>
      <c r="P354" s="224" t="str">
        <f t="shared" si="114"/>
        <v/>
      </c>
      <c r="Q354" s="224" t="str">
        <f t="shared" si="120"/>
        <v/>
      </c>
      <c r="R354" s="224"/>
      <c r="S354" s="271" t="str">
        <f t="shared" si="111"/>
        <v/>
      </c>
      <c r="T354" s="7" t="str">
        <f t="shared" si="112"/>
        <v/>
      </c>
      <c r="U354" s="7" t="str">
        <f t="shared" si="121"/>
        <v/>
      </c>
      <c r="V354" s="7" t="str">
        <f t="shared" si="122"/>
        <v/>
      </c>
      <c r="W354" s="7" t="str">
        <f>VLOOKUP(C354,'Tox Summary'!$N$3:$S$1048576,6,FALSE)</f>
        <v/>
      </c>
      <c r="X354" s="76" t="str">
        <f t="shared" si="123"/>
        <v/>
      </c>
      <c r="Y354" s="76" t="str">
        <f t="shared" si="124"/>
        <v/>
      </c>
      <c r="AA354" s="332"/>
    </row>
    <row r="355" spans="1:27">
      <c r="A355" s="265"/>
      <c r="B355" s="344" t="s">
        <v>922</v>
      </c>
      <c r="C355" s="269" t="s">
        <v>1150</v>
      </c>
      <c r="D355" s="280" t="str">
        <f>VLOOKUP(B355, 'Chem Props'!$1:$1048576,3,FALSE)</f>
        <v>Yes</v>
      </c>
      <c r="E355" s="598" t="str">
        <f t="shared" si="125"/>
        <v>No</v>
      </c>
      <c r="F355" s="7" t="str">
        <f t="shared" si="116"/>
        <v>No Inhal. Tox. Info</v>
      </c>
      <c r="G355" s="270" t="str">
        <f t="shared" si="113"/>
        <v>No Inhal. Tox. Info</v>
      </c>
      <c r="H355" s="76" t="str">
        <f t="shared" si="107"/>
        <v>--</v>
      </c>
      <c r="I355" s="271" t="str">
        <f t="shared" si="108"/>
        <v>--</v>
      </c>
      <c r="J355" s="272" t="str">
        <f t="shared" si="109"/>
        <v>--</v>
      </c>
      <c r="K355" s="272" t="str">
        <f t="shared" si="110"/>
        <v>--</v>
      </c>
      <c r="L355" s="273" t="str">
        <f t="shared" si="117"/>
        <v>--</v>
      </c>
      <c r="M355" s="7">
        <f t="shared" si="118"/>
        <v>38806250.501917757</v>
      </c>
      <c r="N355" s="7">
        <f t="shared" si="115"/>
        <v>70728</v>
      </c>
      <c r="O355" s="326">
        <f t="shared" si="119"/>
        <v>25</v>
      </c>
      <c r="P355" s="224" t="str">
        <f t="shared" si="114"/>
        <v/>
      </c>
      <c r="Q355" s="224" t="str">
        <f t="shared" si="120"/>
        <v/>
      </c>
      <c r="R355" s="224"/>
      <c r="S355" s="271" t="str">
        <f t="shared" si="111"/>
        <v/>
      </c>
      <c r="T355" s="7" t="str">
        <f t="shared" si="112"/>
        <v/>
      </c>
      <c r="U355" s="7" t="str">
        <f t="shared" si="121"/>
        <v/>
      </c>
      <c r="V355" s="7" t="str">
        <f t="shared" si="122"/>
        <v/>
      </c>
      <c r="W355" s="7" t="str">
        <f>VLOOKUP(C355,'Tox Summary'!$N$3:$S$1048576,6,FALSE)</f>
        <v/>
      </c>
      <c r="X355" s="76" t="str">
        <f t="shared" si="123"/>
        <v/>
      </c>
      <c r="Y355" s="76" t="str">
        <f t="shared" si="124"/>
        <v/>
      </c>
      <c r="AA355" s="332"/>
    </row>
    <row r="356" spans="1:27">
      <c r="A356" s="265"/>
      <c r="B356" s="344" t="s">
        <v>923</v>
      </c>
      <c r="C356" s="269" t="s">
        <v>1151</v>
      </c>
      <c r="D356" s="280" t="str">
        <f>VLOOKUP(B356, 'Chem Props'!$1:$1048576,3,FALSE)</f>
        <v>No</v>
      </c>
      <c r="E356" s="598" t="str">
        <f t="shared" si="125"/>
        <v>Yes</v>
      </c>
      <c r="F356" s="7" t="str">
        <f t="shared" si="116"/>
        <v>No (not volatile)</v>
      </c>
      <c r="G356" s="270" t="str">
        <f t="shared" si="113"/>
        <v>No (not volatile)</v>
      </c>
      <c r="H356" s="76">
        <f t="shared" si="107"/>
        <v>417.14285714285717</v>
      </c>
      <c r="I356" s="271" t="str">
        <f t="shared" si="108"/>
        <v>NC</v>
      </c>
      <c r="J356" s="272">
        <f t="shared" si="109"/>
        <v>13904.761904761906</v>
      </c>
      <c r="K356" s="272">
        <f t="shared" si="110"/>
        <v>170054161.0855512</v>
      </c>
      <c r="L356" s="273" t="str">
        <f t="shared" si="117"/>
        <v>--</v>
      </c>
      <c r="M356" s="7">
        <f t="shared" si="118"/>
        <v>307266.89149171236</v>
      </c>
      <c r="N356" s="7">
        <f t="shared" si="115"/>
        <v>2453000</v>
      </c>
      <c r="O356" s="326">
        <f t="shared" si="119"/>
        <v>25</v>
      </c>
      <c r="P356" s="224" t="str">
        <f t="shared" si="114"/>
        <v/>
      </c>
      <c r="Q356" s="224" t="str">
        <f t="shared" si="120"/>
        <v/>
      </c>
      <c r="R356" s="224"/>
      <c r="S356" s="271" t="str">
        <f t="shared" si="111"/>
        <v/>
      </c>
      <c r="T356" s="7" t="str">
        <f t="shared" si="112"/>
        <v/>
      </c>
      <c r="U356" s="7">
        <f t="shared" si="121"/>
        <v>0.4</v>
      </c>
      <c r="V356" s="7" t="str">
        <f t="shared" si="122"/>
        <v>CA</v>
      </c>
      <c r="W356" s="7" t="str">
        <f>VLOOKUP(C356,'Tox Summary'!$N$3:$S$1048576,6,FALSE)</f>
        <v/>
      </c>
      <c r="X356" s="76" t="str">
        <f t="shared" si="123"/>
        <v/>
      </c>
      <c r="Y356" s="76">
        <f t="shared" si="124"/>
        <v>417.14285714285717</v>
      </c>
      <c r="AA356" s="332"/>
    </row>
    <row r="357" spans="1:27">
      <c r="A357" s="265"/>
      <c r="B357" s="269" t="s">
        <v>924</v>
      </c>
      <c r="C357" s="269" t="s">
        <v>1152</v>
      </c>
      <c r="D357" s="280" t="str">
        <f>VLOOKUP(B357, 'Chem Props'!$1:$1048576,3,FALSE)</f>
        <v>No</v>
      </c>
      <c r="E357" s="598" t="str">
        <f t="shared" si="125"/>
        <v>Yes</v>
      </c>
      <c r="F357" s="7" t="str">
        <f t="shared" si="116"/>
        <v>No (not volatile)</v>
      </c>
      <c r="G357" s="270" t="str">
        <f t="shared" si="113"/>
        <v>No (not volatile)</v>
      </c>
      <c r="H357" s="76">
        <f t="shared" ref="H357:H420" si="126">IF(ISNUMBER(M357),IF(AND(X357="",Y357=""),"--",IF(MIN(X357:Y357)&gt;=M357,"NVT",MIN(X357:Y357))),M357)</f>
        <v>1668.5714285714287</v>
      </c>
      <c r="I357" s="271" t="str">
        <f t="shared" ref="I357:I420" si="127">IF(AND(S357="",U357=""),"--",IF(MIN(X357,Y357)=X357,"C","NC"))</f>
        <v>NC</v>
      </c>
      <c r="J357" s="272">
        <f t="shared" ref="J357:J420" si="128">IF(ISNUMBER(H357),IF(OR(H357="--",H357="NVT"),H357,IF(H357/Afss&gt;=M357,"NVT",H357/Afss)),H357)</f>
        <v>55619.047619047626</v>
      </c>
      <c r="K357" s="272">
        <f t="shared" ref="K357:K420" si="129">IF(ISNUMBER(H357),IF(H357="--","--", IF(LEFT(N357,2)="No",N357,IF(H357*0.001/(INDEX(HLC,MATCH(C357,ChemNameChem,0))*AFgw)&gt;=1000*INDEX(PWCS,MATCH(C357,ChemNameChem,0)), "NVT", H357*0.001/(INDEX(HLC,MATCH(C357,ChemNameChem,0))*AFgw)))),H357)</f>
        <v>25513324.595893402</v>
      </c>
      <c r="L357" s="273" t="str">
        <f t="shared" si="117"/>
        <v>--</v>
      </c>
      <c r="M357" s="7">
        <f t="shared" si="118"/>
        <v>5596027.6130476985</v>
      </c>
      <c r="N357" s="7">
        <f t="shared" si="115"/>
        <v>65400000.000000007</v>
      </c>
      <c r="O357" s="326">
        <f t="shared" si="119"/>
        <v>25</v>
      </c>
      <c r="P357" s="224" t="str">
        <f t="shared" si="114"/>
        <v/>
      </c>
      <c r="Q357" s="224" t="str">
        <f t="shared" si="120"/>
        <v/>
      </c>
      <c r="R357" s="224"/>
      <c r="S357" s="271" t="str">
        <f t="shared" ref="S357:S420" si="130">IF(INDEX(IUR,MATCH(B357,CASNoTox,0))=" ","",IF(W357="TCE","see note",INDEX(IUR,MATCH(B357,CASNoTox,0))))</f>
        <v/>
      </c>
      <c r="T357" s="7" t="str">
        <f t="shared" ref="T357:T420" si="131">IF(INDEX(IURSource,MATCH(B357,CASNoTox,0))="","",SUBSTITUTE(INDEX(IURSource,MATCH(B357,CASNoTox,0)),"C","CA"))</f>
        <v/>
      </c>
      <c r="U357" s="7">
        <f t="shared" si="121"/>
        <v>1.6</v>
      </c>
      <c r="V357" s="7" t="str">
        <f t="shared" si="122"/>
        <v>I</v>
      </c>
      <c r="W357" s="7" t="str">
        <f>VLOOKUP(C357,'Tox Summary'!$N$3:$S$1048576,6,FALSE)</f>
        <v/>
      </c>
      <c r="X357" s="76" t="str">
        <f t="shared" si="123"/>
        <v/>
      </c>
      <c r="Y357" s="76">
        <f t="shared" si="124"/>
        <v>1668.5714285714287</v>
      </c>
      <c r="AA357" s="243"/>
    </row>
    <row r="358" spans="1:27">
      <c r="A358" s="265"/>
      <c r="B358" s="344" t="s">
        <v>925</v>
      </c>
      <c r="C358" s="269" t="s">
        <v>1153</v>
      </c>
      <c r="D358" s="280" t="str">
        <f>VLOOKUP(B358, 'Chem Props'!$1:$1048576,3,FALSE)</f>
        <v>Yes</v>
      </c>
      <c r="E358" s="598" t="str">
        <f t="shared" si="125"/>
        <v>Yes</v>
      </c>
      <c r="F358" s="7" t="str">
        <f t="shared" si="116"/>
        <v>Yes</v>
      </c>
      <c r="G358" s="270" t="str">
        <f t="shared" si="113"/>
        <v>Yes</v>
      </c>
      <c r="H358" s="76">
        <f t="shared" si="126"/>
        <v>3.3796296296296292E-4</v>
      </c>
      <c r="I358" s="271" t="str">
        <f t="shared" si="127"/>
        <v>C</v>
      </c>
      <c r="J358" s="272">
        <f t="shared" si="128"/>
        <v>1.126543209876543E-2</v>
      </c>
      <c r="K358" s="272">
        <f t="shared" si="129"/>
        <v>5.5855184187443258E-2</v>
      </c>
      <c r="L358" s="273" t="str">
        <f t="shared" si="117"/>
        <v>--</v>
      </c>
      <c r="M358" s="7">
        <f t="shared" si="118"/>
        <v>3114826807.0593123</v>
      </c>
      <c r="N358" s="7">
        <f t="shared" si="115"/>
        <v>6050700000</v>
      </c>
      <c r="O358" s="326">
        <f t="shared" si="119"/>
        <v>25</v>
      </c>
      <c r="P358" s="224">
        <f t="shared" si="114"/>
        <v>3</v>
      </c>
      <c r="Q358" s="224" t="str">
        <f t="shared" si="120"/>
        <v>N</v>
      </c>
      <c r="R358" s="224"/>
      <c r="S358" s="271">
        <f t="shared" si="130"/>
        <v>3.0000000000000001E-3</v>
      </c>
      <c r="T358" s="7" t="str">
        <f t="shared" si="131"/>
        <v>I</v>
      </c>
      <c r="U358" s="7">
        <f t="shared" si="121"/>
        <v>0.03</v>
      </c>
      <c r="V358" s="7" t="str">
        <f t="shared" si="122"/>
        <v>CA</v>
      </c>
      <c r="W358" s="7" t="str">
        <f>VLOOKUP(C358,'Tox Summary'!$N$3:$S$1048576,6,FALSE)</f>
        <v>Mut</v>
      </c>
      <c r="X358" s="76">
        <f t="shared" si="123"/>
        <v>3.3796296296296292E-4</v>
      </c>
      <c r="Y358" s="76">
        <f t="shared" si="124"/>
        <v>31.285714285714285</v>
      </c>
      <c r="AA358" s="332"/>
    </row>
    <row r="359" spans="1:27">
      <c r="A359" s="265"/>
      <c r="B359" s="344" t="s">
        <v>926</v>
      </c>
      <c r="C359" s="269" t="s">
        <v>1154</v>
      </c>
      <c r="D359" s="280" t="str">
        <f>VLOOKUP(B359, 'Chem Props'!$1:$1048576,3,FALSE)</f>
        <v>No</v>
      </c>
      <c r="E359" s="598" t="str">
        <f t="shared" si="125"/>
        <v>Yes</v>
      </c>
      <c r="F359" s="7" t="str">
        <f t="shared" si="116"/>
        <v>No (not volatile)</v>
      </c>
      <c r="G359" s="270" t="str">
        <f t="shared" si="113"/>
        <v>No (not volatile)</v>
      </c>
      <c r="H359" s="76">
        <f t="shared" si="126"/>
        <v>0.21597633136094671</v>
      </c>
      <c r="I359" s="271" t="str">
        <f t="shared" si="127"/>
        <v>C</v>
      </c>
      <c r="J359" s="272">
        <f t="shared" si="128"/>
        <v>7.1992110453648905</v>
      </c>
      <c r="K359" s="272" t="str">
        <f t="shared" si="129"/>
        <v>NVT</v>
      </c>
      <c r="L359" s="273" t="str">
        <f t="shared" si="117"/>
        <v>--</v>
      </c>
      <c r="M359" s="7">
        <f t="shared" si="118"/>
        <v>11.104153193865336</v>
      </c>
      <c r="N359" s="7">
        <f t="shared" si="115"/>
        <v>11.120000000000001</v>
      </c>
      <c r="O359" s="326">
        <f t="shared" si="119"/>
        <v>25</v>
      </c>
      <c r="P359" s="224" t="str">
        <f t="shared" si="114"/>
        <v/>
      </c>
      <c r="Q359" s="224" t="str">
        <f t="shared" si="120"/>
        <v/>
      </c>
      <c r="R359" s="224"/>
      <c r="S359" s="271">
        <f t="shared" si="130"/>
        <v>1.2999999999999999E-5</v>
      </c>
      <c r="T359" s="7" t="str">
        <f t="shared" si="131"/>
        <v>CA</v>
      </c>
      <c r="U359" s="7" t="str">
        <f t="shared" si="121"/>
        <v/>
      </c>
      <c r="V359" s="7" t="str">
        <f t="shared" si="122"/>
        <v/>
      </c>
      <c r="W359" s="7" t="str">
        <f>VLOOKUP(C359,'Tox Summary'!$N$3:$S$1048576,6,FALSE)</f>
        <v/>
      </c>
      <c r="X359" s="76">
        <f t="shared" si="123"/>
        <v>0.21597633136094671</v>
      </c>
      <c r="Y359" s="76" t="str">
        <f t="shared" si="124"/>
        <v/>
      </c>
      <c r="AA359" s="332"/>
    </row>
    <row r="360" spans="1:27">
      <c r="A360" s="265"/>
      <c r="B360" s="344" t="s">
        <v>927</v>
      </c>
      <c r="C360" s="269" t="s">
        <v>585</v>
      </c>
      <c r="D360" s="280" t="str">
        <f>VLOOKUP(B360, 'Chem Props'!$1:$1048576,3,FALSE)</f>
        <v>Yes</v>
      </c>
      <c r="E360" s="598" t="str">
        <f t="shared" si="125"/>
        <v>Yes</v>
      </c>
      <c r="F360" s="7" t="str">
        <f t="shared" si="116"/>
        <v>Yes</v>
      </c>
      <c r="G360" s="270" t="str">
        <f t="shared" si="113"/>
        <v>Yes</v>
      </c>
      <c r="H360" s="76">
        <f t="shared" si="126"/>
        <v>1.4777327935222673E-4</v>
      </c>
      <c r="I360" s="271" t="str">
        <f t="shared" si="127"/>
        <v>C</v>
      </c>
      <c r="J360" s="272">
        <f t="shared" si="128"/>
        <v>4.9257759784075575E-3</v>
      </c>
      <c r="K360" s="272">
        <f t="shared" si="129"/>
        <v>0.29871291560991858</v>
      </c>
      <c r="L360" s="273" t="str">
        <f t="shared" si="117"/>
        <v>--</v>
      </c>
      <c r="M360" s="7">
        <f t="shared" si="118"/>
        <v>493625495.44736105</v>
      </c>
      <c r="N360" s="7">
        <f t="shared" si="115"/>
        <v>494700000.00000006</v>
      </c>
      <c r="O360" s="326">
        <f t="shared" si="119"/>
        <v>25</v>
      </c>
      <c r="P360" s="224">
        <f t="shared" si="114"/>
        <v>3.3</v>
      </c>
      <c r="Q360" s="224" t="str">
        <f t="shared" si="120"/>
        <v>N</v>
      </c>
      <c r="R360" s="224"/>
      <c r="S360" s="271">
        <f t="shared" si="130"/>
        <v>1.9E-2</v>
      </c>
      <c r="T360" s="7" t="str">
        <f t="shared" si="131"/>
        <v>CA</v>
      </c>
      <c r="U360" s="7" t="str">
        <f t="shared" si="121"/>
        <v/>
      </c>
      <c r="V360" s="7" t="str">
        <f t="shared" si="122"/>
        <v/>
      </c>
      <c r="W360" s="7" t="str">
        <f>VLOOKUP(C360,'Tox Summary'!$N$3:$S$1048576,6,FALSE)</f>
        <v/>
      </c>
      <c r="X360" s="76">
        <f t="shared" si="123"/>
        <v>1.4777327935222673E-4</v>
      </c>
      <c r="Y360" s="76" t="str">
        <f t="shared" si="124"/>
        <v/>
      </c>
      <c r="AA360" s="332"/>
    </row>
    <row r="361" spans="1:27">
      <c r="A361" s="265"/>
      <c r="B361" s="344" t="s">
        <v>928</v>
      </c>
      <c r="C361" s="269" t="s">
        <v>1155</v>
      </c>
      <c r="D361" s="280" t="str">
        <f>VLOOKUP(B361, 'Chem Props'!$1:$1048576,3,FALSE)</f>
        <v>No</v>
      </c>
      <c r="E361" s="598" t="str">
        <f t="shared" si="125"/>
        <v>No</v>
      </c>
      <c r="F361" s="7" t="str">
        <f t="shared" si="116"/>
        <v>No (not volatile)</v>
      </c>
      <c r="G361" s="270" t="str">
        <f t="shared" si="113"/>
        <v>No (not volatile)</v>
      </c>
      <c r="H361" s="76" t="str">
        <f t="shared" si="126"/>
        <v>--</v>
      </c>
      <c r="I361" s="271" t="str">
        <f t="shared" si="127"/>
        <v>--</v>
      </c>
      <c r="J361" s="272" t="str">
        <f t="shared" si="128"/>
        <v>--</v>
      </c>
      <c r="K361" s="272" t="str">
        <f t="shared" si="129"/>
        <v>--</v>
      </c>
      <c r="L361" s="273" t="str">
        <f t="shared" si="117"/>
        <v>--</v>
      </c>
      <c r="M361" s="7">
        <f t="shared" si="118"/>
        <v>3257.6097111798058</v>
      </c>
      <c r="N361" s="7">
        <f t="shared" si="115"/>
        <v>58.852528000000007</v>
      </c>
      <c r="O361" s="326">
        <f t="shared" si="119"/>
        <v>25</v>
      </c>
      <c r="P361" s="224" t="str">
        <f t="shared" si="114"/>
        <v/>
      </c>
      <c r="Q361" s="224" t="str">
        <f t="shared" si="120"/>
        <v/>
      </c>
      <c r="R361" s="224"/>
      <c r="S361" s="271" t="str">
        <f t="shared" si="130"/>
        <v/>
      </c>
      <c r="T361" s="7" t="str">
        <f t="shared" si="131"/>
        <v/>
      </c>
      <c r="U361" s="7" t="str">
        <f t="shared" si="121"/>
        <v/>
      </c>
      <c r="V361" s="7" t="str">
        <f t="shared" si="122"/>
        <v/>
      </c>
      <c r="W361" s="7" t="str">
        <f>VLOOKUP(C361,'Tox Summary'!$N$3:$S$1048576,6,FALSE)</f>
        <v/>
      </c>
      <c r="X361" s="76" t="str">
        <f t="shared" si="123"/>
        <v/>
      </c>
      <c r="Y361" s="76" t="str">
        <f t="shared" si="124"/>
        <v/>
      </c>
      <c r="AA361" s="332"/>
    </row>
    <row r="362" spans="1:27">
      <c r="A362" s="265"/>
      <c r="B362" s="344" t="s">
        <v>919</v>
      </c>
      <c r="C362" s="269" t="s">
        <v>1148</v>
      </c>
      <c r="D362" s="280" t="str">
        <f>VLOOKUP(B362, 'Chem Props'!$1:$1048576,3,FALSE)</f>
        <v>No</v>
      </c>
      <c r="E362" s="598" t="str">
        <f t="shared" si="125"/>
        <v>No</v>
      </c>
      <c r="F362" s="7" t="str">
        <f t="shared" si="116"/>
        <v>No (not volatile)</v>
      </c>
      <c r="G362" s="270" t="str">
        <f t="shared" si="113"/>
        <v>No (not volatile)</v>
      </c>
      <c r="H362" s="76" t="str">
        <f t="shared" si="126"/>
        <v>--</v>
      </c>
      <c r="I362" s="271" t="str">
        <f t="shared" si="127"/>
        <v>--</v>
      </c>
      <c r="J362" s="272" t="str">
        <f t="shared" si="128"/>
        <v>--</v>
      </c>
      <c r="K362" s="272" t="str">
        <f t="shared" si="129"/>
        <v>--</v>
      </c>
      <c r="L362" s="273" t="str">
        <f t="shared" si="117"/>
        <v>--</v>
      </c>
      <c r="M362" s="7">
        <f t="shared" si="118"/>
        <v>16.527072562613739</v>
      </c>
      <c r="N362" s="7">
        <f t="shared" si="115"/>
        <v>56.60199999999999</v>
      </c>
      <c r="O362" s="326">
        <f t="shared" si="119"/>
        <v>25</v>
      </c>
      <c r="P362" s="224" t="str">
        <f t="shared" si="114"/>
        <v/>
      </c>
      <c r="Q362" s="224" t="str">
        <f t="shared" si="120"/>
        <v/>
      </c>
      <c r="R362" s="224"/>
      <c r="S362" s="271" t="str">
        <f t="shared" si="130"/>
        <v/>
      </c>
      <c r="T362" s="7" t="str">
        <f t="shared" si="131"/>
        <v/>
      </c>
      <c r="U362" s="7" t="str">
        <f t="shared" si="121"/>
        <v/>
      </c>
      <c r="V362" s="7" t="str">
        <f t="shared" si="122"/>
        <v/>
      </c>
      <c r="W362" s="7" t="str">
        <f>VLOOKUP(C362,'Tox Summary'!$N$3:$S$1048576,6,FALSE)</f>
        <v/>
      </c>
      <c r="X362" s="76" t="str">
        <f t="shared" si="123"/>
        <v/>
      </c>
      <c r="Y362" s="76" t="str">
        <f t="shared" si="124"/>
        <v/>
      </c>
      <c r="AA362" s="332"/>
    </row>
    <row r="363" spans="1:27">
      <c r="A363" s="265" t="s">
        <v>1413</v>
      </c>
      <c r="B363" s="344" t="s">
        <v>930</v>
      </c>
      <c r="C363" s="269" t="s">
        <v>1156</v>
      </c>
      <c r="D363" s="280" t="str">
        <f>VLOOKUP(B363, 'Chem Props'!$1:$1048576,3,FALSE)</f>
        <v>No</v>
      </c>
      <c r="E363" s="598" t="str">
        <f t="shared" si="125"/>
        <v>No</v>
      </c>
      <c r="F363" s="7" t="str">
        <f t="shared" si="116"/>
        <v>No (not volatile)</v>
      </c>
      <c r="G363" s="270" t="str">
        <f t="shared" ref="G363:G426" si="132">IF(LEFT(D363,2)="No","No (not volatile)",IF(D363="unknown","unknown",IF(H363="NVT","No",IF(AND(X363="",Y363=""),"No Inhal. Tox. Info",IF(MIN(X363:Y363)&gt;=N363,"No",IF(N363&gt;H363,"Yes","No"))))))</f>
        <v>No (not volatile)</v>
      </c>
      <c r="H363" s="76" t="str">
        <f t="shared" si="126"/>
        <v>--</v>
      </c>
      <c r="I363" s="271" t="str">
        <f t="shared" si="127"/>
        <v>--</v>
      </c>
      <c r="J363" s="272" t="str">
        <f t="shared" si="128"/>
        <v>--</v>
      </c>
      <c r="K363" s="272" t="str">
        <f t="shared" si="129"/>
        <v>--</v>
      </c>
      <c r="L363" s="273" t="str">
        <f t="shared" si="117"/>
        <v>--</v>
      </c>
      <c r="M363" s="7">
        <f t="shared" si="118"/>
        <v>16.323433213339339</v>
      </c>
      <c r="N363" s="7">
        <f t="shared" si="115"/>
        <v>16.275300999999999</v>
      </c>
      <c r="O363" s="326">
        <f t="shared" si="119"/>
        <v>25</v>
      </c>
      <c r="P363" s="224" t="str">
        <f t="shared" ref="P363:P392" si="133">IF(VLOOKUP(B363,AllChemProps,32,FALSE)&gt;0,VLOOKUP(B363,AllChemProps,32,FALSE),"")</f>
        <v/>
      </c>
      <c r="Q363" s="224" t="str">
        <f t="shared" si="120"/>
        <v/>
      </c>
      <c r="R363" s="224"/>
      <c r="S363" s="271" t="str">
        <f t="shared" si="130"/>
        <v/>
      </c>
      <c r="T363" s="7" t="str">
        <f t="shared" si="131"/>
        <v/>
      </c>
      <c r="U363" s="7" t="str">
        <f t="shared" si="121"/>
        <v/>
      </c>
      <c r="V363" s="7" t="str">
        <f t="shared" si="122"/>
        <v/>
      </c>
      <c r="W363" s="7" t="str">
        <f>VLOOKUP(C363,'Tox Summary'!$N$3:$S$1048576,6,FALSE)</f>
        <v/>
      </c>
      <c r="X363" s="76" t="str">
        <f t="shared" si="123"/>
        <v/>
      </c>
      <c r="Y363" s="76" t="str">
        <f t="shared" si="124"/>
        <v/>
      </c>
      <c r="AA363" s="332"/>
    </row>
    <row r="364" spans="1:27">
      <c r="A364" s="265"/>
      <c r="B364" s="344" t="s">
        <v>931</v>
      </c>
      <c r="C364" s="269" t="s">
        <v>1157</v>
      </c>
      <c r="D364" s="280" t="str">
        <f>VLOOKUP(B364, 'Chem Props'!$1:$1048576,3,FALSE)</f>
        <v>No</v>
      </c>
      <c r="E364" s="598" t="str">
        <f t="shared" si="125"/>
        <v>No</v>
      </c>
      <c r="F364" s="7" t="str">
        <f t="shared" si="116"/>
        <v>No (not volatile)</v>
      </c>
      <c r="G364" s="270" t="str">
        <f t="shared" si="132"/>
        <v>No (not volatile)</v>
      </c>
      <c r="H364" s="76" t="str">
        <f t="shared" si="126"/>
        <v>--</v>
      </c>
      <c r="I364" s="271" t="str">
        <f t="shared" si="127"/>
        <v>--</v>
      </c>
      <c r="J364" s="272" t="str">
        <f t="shared" si="128"/>
        <v>--</v>
      </c>
      <c r="K364" s="272" t="str">
        <f t="shared" si="129"/>
        <v>--</v>
      </c>
      <c r="L364" s="273" t="str">
        <f t="shared" si="117"/>
        <v>--</v>
      </c>
      <c r="M364" s="7">
        <f t="shared" si="118"/>
        <v>103.03717374472463</v>
      </c>
      <c r="N364" s="7">
        <f t="shared" si="115"/>
        <v>103.059</v>
      </c>
      <c r="O364" s="326">
        <f t="shared" si="119"/>
        <v>25</v>
      </c>
      <c r="P364" s="224" t="str">
        <f t="shared" si="133"/>
        <v/>
      </c>
      <c r="Q364" s="224" t="str">
        <f t="shared" si="120"/>
        <v/>
      </c>
      <c r="R364" s="224"/>
      <c r="S364" s="271" t="str">
        <f t="shared" si="130"/>
        <v/>
      </c>
      <c r="T364" s="7" t="str">
        <f t="shared" si="131"/>
        <v/>
      </c>
      <c r="U364" s="7" t="str">
        <f t="shared" si="121"/>
        <v/>
      </c>
      <c r="V364" s="7" t="str">
        <f t="shared" si="122"/>
        <v/>
      </c>
      <c r="W364" s="7" t="str">
        <f>VLOOKUP(C364,'Tox Summary'!$N$3:$S$1048576,6,FALSE)</f>
        <v/>
      </c>
      <c r="X364" s="76" t="str">
        <f t="shared" si="123"/>
        <v/>
      </c>
      <c r="Y364" s="76" t="str">
        <f t="shared" si="124"/>
        <v/>
      </c>
      <c r="AA364" s="332"/>
    </row>
    <row r="365" spans="1:27">
      <c r="A365" s="265"/>
      <c r="B365" s="269" t="s">
        <v>240</v>
      </c>
      <c r="C365" s="269" t="s">
        <v>2309</v>
      </c>
      <c r="D365" s="280" t="str">
        <f>VLOOKUP(B365, 'Chem Props'!$1:$1048576,3,FALSE)</f>
        <v>No</v>
      </c>
      <c r="E365" s="598" t="str">
        <f t="shared" si="125"/>
        <v>No</v>
      </c>
      <c r="F365" s="7" t="str">
        <f t="shared" si="116"/>
        <v>No (not volatile)</v>
      </c>
      <c r="G365" s="270" t="str">
        <f t="shared" si="132"/>
        <v>No (not volatile)</v>
      </c>
      <c r="H365" s="76" t="str">
        <f t="shared" si="126"/>
        <v>--</v>
      </c>
      <c r="I365" s="271" t="str">
        <f t="shared" si="127"/>
        <v>--</v>
      </c>
      <c r="J365" s="272" t="str">
        <f t="shared" si="128"/>
        <v>--</v>
      </c>
      <c r="K365" s="272" t="str">
        <f t="shared" si="129"/>
        <v>--</v>
      </c>
      <c r="L365" s="273" t="str">
        <f t="shared" si="117"/>
        <v>--</v>
      </c>
      <c r="M365" s="7">
        <f t="shared" si="118"/>
        <v>3.3892270770437702E-2</v>
      </c>
      <c r="N365" s="7">
        <f t="shared" si="115"/>
        <v>3.3852000000000007E-2</v>
      </c>
      <c r="O365" s="326">
        <f t="shared" si="119"/>
        <v>25</v>
      </c>
      <c r="P365" s="224" t="str">
        <f t="shared" si="133"/>
        <v/>
      </c>
      <c r="Q365" s="224" t="str">
        <f t="shared" si="120"/>
        <v/>
      </c>
      <c r="R365" s="224"/>
      <c r="S365" s="271" t="str">
        <f t="shared" si="130"/>
        <v/>
      </c>
      <c r="T365" s="7" t="str">
        <f t="shared" si="131"/>
        <v/>
      </c>
      <c r="U365" s="7" t="str">
        <f t="shared" si="121"/>
        <v/>
      </c>
      <c r="V365" s="7" t="str">
        <f t="shared" si="122"/>
        <v/>
      </c>
      <c r="W365" s="7" t="str">
        <f>VLOOKUP(C365,'Tox Summary'!$N$3:$S$1048576,6,FALSE)</f>
        <v/>
      </c>
      <c r="X365" s="76" t="str">
        <f t="shared" si="123"/>
        <v/>
      </c>
      <c r="Y365" s="76" t="str">
        <f t="shared" si="124"/>
        <v/>
      </c>
      <c r="AA365" s="243"/>
    </row>
    <row r="366" spans="1:27">
      <c r="A366" s="265"/>
      <c r="B366" s="269" t="s">
        <v>932</v>
      </c>
      <c r="C366" s="269" t="s">
        <v>1158</v>
      </c>
      <c r="D366" s="280" t="str">
        <f>VLOOKUP(B366, 'Chem Props'!$1:$1048576,3,FALSE)</f>
        <v>No</v>
      </c>
      <c r="E366" s="598" t="str">
        <f t="shared" si="125"/>
        <v>No</v>
      </c>
      <c r="F366" s="7" t="str">
        <f t="shared" si="116"/>
        <v>No (not volatile)</v>
      </c>
      <c r="G366" s="270" t="str">
        <f t="shared" si="132"/>
        <v>No (not volatile)</v>
      </c>
      <c r="H366" s="76" t="str">
        <f t="shared" si="126"/>
        <v>--</v>
      </c>
      <c r="I366" s="271" t="str">
        <f t="shared" si="127"/>
        <v>--</v>
      </c>
      <c r="J366" s="272" t="str">
        <f t="shared" si="128"/>
        <v>--</v>
      </c>
      <c r="K366" s="272" t="str">
        <f t="shared" si="129"/>
        <v>--</v>
      </c>
      <c r="L366" s="273" t="str">
        <f t="shared" si="117"/>
        <v>--</v>
      </c>
      <c r="M366" s="7">
        <f t="shared" si="118"/>
        <v>11.720251951570466</v>
      </c>
      <c r="N366" s="7">
        <f t="shared" si="115"/>
        <v>11.737</v>
      </c>
      <c r="O366" s="326">
        <f t="shared" si="119"/>
        <v>25</v>
      </c>
      <c r="P366" s="224" t="str">
        <f t="shared" si="133"/>
        <v/>
      </c>
      <c r="Q366" s="224" t="str">
        <f t="shared" si="120"/>
        <v/>
      </c>
      <c r="R366" s="224"/>
      <c r="S366" s="271" t="str">
        <f t="shared" si="130"/>
        <v/>
      </c>
      <c r="T366" s="7" t="str">
        <f t="shared" si="131"/>
        <v/>
      </c>
      <c r="U366" s="7" t="str">
        <f t="shared" si="121"/>
        <v/>
      </c>
      <c r="V366" s="7" t="str">
        <f t="shared" si="122"/>
        <v/>
      </c>
      <c r="W366" s="7" t="str">
        <f>VLOOKUP(C366,'Tox Summary'!$N$3:$S$1048576,6,FALSE)</f>
        <v/>
      </c>
      <c r="X366" s="76" t="str">
        <f t="shared" si="123"/>
        <v/>
      </c>
      <c r="Y366" s="76" t="str">
        <f t="shared" si="124"/>
        <v/>
      </c>
      <c r="AA366" s="243"/>
    </row>
    <row r="367" spans="1:27">
      <c r="A367" s="265"/>
      <c r="B367" s="269" t="s">
        <v>212</v>
      </c>
      <c r="C367" s="269" t="s">
        <v>2356</v>
      </c>
      <c r="D367" s="280" t="str">
        <f>VLOOKUP(B367, 'Chem Props'!$1:$1048576,3,FALSE)</f>
        <v>No</v>
      </c>
      <c r="E367" s="598" t="str">
        <f t="shared" si="125"/>
        <v>No</v>
      </c>
      <c r="F367" s="7" t="str">
        <f t="shared" si="116"/>
        <v>No (not volatile)</v>
      </c>
      <c r="G367" s="270" t="str">
        <f t="shared" si="132"/>
        <v>No (not volatile)</v>
      </c>
      <c r="H367" s="76" t="str">
        <f t="shared" si="126"/>
        <v>--</v>
      </c>
      <c r="I367" s="271" t="str">
        <f t="shared" si="127"/>
        <v>--</v>
      </c>
      <c r="J367" s="272" t="str">
        <f t="shared" si="128"/>
        <v>--</v>
      </c>
      <c r="K367" s="272" t="str">
        <f t="shared" si="129"/>
        <v>--</v>
      </c>
      <c r="L367" s="273" t="str">
        <f t="shared" si="117"/>
        <v>--</v>
      </c>
      <c r="M367" s="7">
        <f t="shared" si="118"/>
        <v>100.34462515806544</v>
      </c>
      <c r="N367" s="7">
        <f t="shared" si="115"/>
        <v>94.172000000000011</v>
      </c>
      <c r="O367" s="326">
        <f t="shared" si="119"/>
        <v>25</v>
      </c>
      <c r="P367" s="224" t="str">
        <f t="shared" si="133"/>
        <v/>
      </c>
      <c r="Q367" s="224" t="str">
        <f t="shared" si="120"/>
        <v/>
      </c>
      <c r="R367" s="224"/>
      <c r="S367" s="271" t="str">
        <f t="shared" si="130"/>
        <v/>
      </c>
      <c r="T367" s="7" t="str">
        <f t="shared" si="131"/>
        <v/>
      </c>
      <c r="U367" s="7" t="str">
        <f t="shared" si="121"/>
        <v/>
      </c>
      <c r="V367" s="7" t="str">
        <f t="shared" si="122"/>
        <v/>
      </c>
      <c r="W367" s="7" t="str">
        <f>VLOOKUP(C367,'Tox Summary'!$N$3:$S$1048576,6,FALSE)</f>
        <v/>
      </c>
      <c r="X367" s="76" t="str">
        <f t="shared" si="123"/>
        <v/>
      </c>
      <c r="Y367" s="76" t="str">
        <f t="shared" si="124"/>
        <v/>
      </c>
      <c r="AA367" s="243"/>
    </row>
    <row r="368" spans="1:27">
      <c r="A368" s="265"/>
      <c r="B368" s="344" t="s">
        <v>213</v>
      </c>
      <c r="C368" s="269" t="s">
        <v>2332</v>
      </c>
      <c r="D368" s="280" t="str">
        <f>VLOOKUP(B368, 'Chem Props'!$1:$1048576,3,FALSE)</f>
        <v>Yes</v>
      </c>
      <c r="E368" s="598" t="str">
        <f t="shared" si="125"/>
        <v>No</v>
      </c>
      <c r="F368" s="7" t="str">
        <f t="shared" si="116"/>
        <v>No Inhal. Tox. Info</v>
      </c>
      <c r="G368" s="270" t="str">
        <f t="shared" si="132"/>
        <v>No Inhal. Tox. Info</v>
      </c>
      <c r="H368" s="76" t="str">
        <f t="shared" si="126"/>
        <v>--</v>
      </c>
      <c r="I368" s="271" t="str">
        <f t="shared" si="127"/>
        <v>--</v>
      </c>
      <c r="J368" s="272" t="str">
        <f t="shared" si="128"/>
        <v>--</v>
      </c>
      <c r="K368" s="272" t="str">
        <f t="shared" si="129"/>
        <v>--</v>
      </c>
      <c r="L368" s="273" t="str">
        <f t="shared" si="117"/>
        <v>--</v>
      </c>
      <c r="M368" s="7">
        <f t="shared" si="118"/>
        <v>5366.4578099708551</v>
      </c>
      <c r="N368" s="7">
        <f t="shared" si="115"/>
        <v>6646.7699999999995</v>
      </c>
      <c r="O368" s="326">
        <f t="shared" si="119"/>
        <v>25</v>
      </c>
      <c r="P368" s="224" t="str">
        <f t="shared" si="133"/>
        <v/>
      </c>
      <c r="Q368" s="224" t="str">
        <f t="shared" si="120"/>
        <v/>
      </c>
      <c r="R368" s="224"/>
      <c r="S368" s="271" t="str">
        <f t="shared" si="130"/>
        <v/>
      </c>
      <c r="T368" s="7" t="str">
        <f t="shared" si="131"/>
        <v/>
      </c>
      <c r="U368" s="7" t="str">
        <f t="shared" si="121"/>
        <v/>
      </c>
      <c r="V368" s="7" t="str">
        <f t="shared" si="122"/>
        <v/>
      </c>
      <c r="W368" s="7" t="str">
        <f>VLOOKUP(C368,'Tox Summary'!$N$3:$S$1048576,6,FALSE)</f>
        <v/>
      </c>
      <c r="X368" s="76" t="str">
        <f t="shared" si="123"/>
        <v/>
      </c>
      <c r="Y368" s="76" t="str">
        <f t="shared" si="124"/>
        <v/>
      </c>
      <c r="AA368" s="332"/>
    </row>
    <row r="369" spans="1:27">
      <c r="A369" s="265"/>
      <c r="B369" s="344" t="s">
        <v>933</v>
      </c>
      <c r="C369" s="269" t="s">
        <v>586</v>
      </c>
      <c r="D369" s="280" t="str">
        <f>VLOOKUP(B369, 'Chem Props'!$1:$1048576,3,FALSE)</f>
        <v>No</v>
      </c>
      <c r="E369" s="598" t="str">
        <f t="shared" si="125"/>
        <v>Yes</v>
      </c>
      <c r="F369" s="7" t="str">
        <f t="shared" si="116"/>
        <v>No (not volatile)</v>
      </c>
      <c r="G369" s="270" t="str">
        <f t="shared" si="132"/>
        <v>No (not volatile)</v>
      </c>
      <c r="H369" s="76" t="str">
        <f t="shared" si="126"/>
        <v>No VP</v>
      </c>
      <c r="I369" s="271" t="str">
        <f t="shared" si="127"/>
        <v>NC</v>
      </c>
      <c r="J369" s="272" t="str">
        <f t="shared" si="128"/>
        <v>No VP</v>
      </c>
      <c r="K369" s="272" t="str">
        <f t="shared" si="129"/>
        <v>No VP</v>
      </c>
      <c r="L369" s="273" t="str">
        <f t="shared" si="117"/>
        <v>--</v>
      </c>
      <c r="M369" s="7" t="str">
        <f t="shared" si="118"/>
        <v>No VP</v>
      </c>
      <c r="N369" s="7"/>
      <c r="O369" s="326">
        <f t="shared" si="119"/>
        <v>25</v>
      </c>
      <c r="P369" s="224" t="str">
        <f t="shared" si="133"/>
        <v/>
      </c>
      <c r="Q369" s="224" t="str">
        <f t="shared" si="120"/>
        <v/>
      </c>
      <c r="R369" s="224"/>
      <c r="S369" s="271" t="str">
        <f t="shared" si="130"/>
        <v/>
      </c>
      <c r="T369" s="7" t="str">
        <f t="shared" si="131"/>
        <v/>
      </c>
      <c r="U369" s="7">
        <f t="shared" si="121"/>
        <v>1.2999999999999999E-2</v>
      </c>
      <c r="V369" s="7" t="str">
        <f t="shared" si="122"/>
        <v>CA</v>
      </c>
      <c r="W369" s="7" t="str">
        <f>VLOOKUP(C369,'Tox Summary'!$N$3:$S$1048576,6,FALSE)</f>
        <v/>
      </c>
      <c r="X369" s="76" t="str">
        <f t="shared" si="123"/>
        <v/>
      </c>
      <c r="Y369" s="76">
        <f t="shared" si="124"/>
        <v>13.557142857142855</v>
      </c>
      <c r="AA369" s="332"/>
    </row>
    <row r="370" spans="1:27">
      <c r="A370" s="265"/>
      <c r="B370" s="269" t="s">
        <v>934</v>
      </c>
      <c r="C370" s="269" t="s">
        <v>1159</v>
      </c>
      <c r="D370" s="280" t="str">
        <f>VLOOKUP(B370, 'Chem Props'!$1:$1048576,3,FALSE)</f>
        <v>No</v>
      </c>
      <c r="E370" s="598" t="str">
        <f t="shared" si="125"/>
        <v>Yes</v>
      </c>
      <c r="F370" s="7" t="str">
        <f t="shared" si="116"/>
        <v>No (not volatile)</v>
      </c>
      <c r="G370" s="270" t="str">
        <f t="shared" si="132"/>
        <v>No (not volatile)</v>
      </c>
      <c r="H370" s="76" t="str">
        <f t="shared" si="126"/>
        <v>No VP</v>
      </c>
      <c r="I370" s="271" t="str">
        <f t="shared" si="127"/>
        <v>NC</v>
      </c>
      <c r="J370" s="272" t="str">
        <f t="shared" si="128"/>
        <v>No VP</v>
      </c>
      <c r="K370" s="272" t="str">
        <f t="shared" si="129"/>
        <v>No VP</v>
      </c>
      <c r="L370" s="273" t="str">
        <f t="shared" si="117"/>
        <v>No (4000)</v>
      </c>
      <c r="M370" s="7" t="str">
        <f t="shared" si="118"/>
        <v>No VP</v>
      </c>
      <c r="N370" s="7" t="str">
        <f t="shared" ref="N370:N400" si="134">IF(INDEX(HLC,MATCH(C370,ChemNameChem,0))="","No HLC",IF(INDEX(Sol,MATCH(C370,ChemNameChem,0))="No S","No S",INDEX(HLC,MATCH(C370,ChemNameChem,0))*INDEX(Sol,MATCH(C370,ChemNameChem,0))*1000000))</f>
        <v>No HLC</v>
      </c>
      <c r="O370" s="326">
        <f t="shared" si="119"/>
        <v>25</v>
      </c>
      <c r="P370" s="224" t="str">
        <f t="shared" si="133"/>
        <v/>
      </c>
      <c r="Q370" s="224" t="str">
        <f t="shared" si="120"/>
        <v/>
      </c>
      <c r="R370" s="224"/>
      <c r="S370" s="271" t="str">
        <f t="shared" si="130"/>
        <v/>
      </c>
      <c r="T370" s="7" t="str">
        <f t="shared" si="131"/>
        <v/>
      </c>
      <c r="U370" s="7">
        <f t="shared" si="121"/>
        <v>1.2999999999999999E-2</v>
      </c>
      <c r="V370" s="7" t="str">
        <f t="shared" si="122"/>
        <v>CA</v>
      </c>
      <c r="W370" s="7" t="str">
        <f>VLOOKUP(C370,'Tox Summary'!$N$3:$S$1048576,6,FALSE)</f>
        <v/>
      </c>
      <c r="X370" s="76" t="str">
        <f t="shared" si="123"/>
        <v/>
      </c>
      <c r="Y370" s="76">
        <f t="shared" si="124"/>
        <v>13.557142857142855</v>
      </c>
      <c r="AA370" s="243"/>
    </row>
    <row r="371" spans="1:27">
      <c r="A371" s="265"/>
      <c r="B371" s="269" t="s">
        <v>935</v>
      </c>
      <c r="C371" s="269" t="s">
        <v>1160</v>
      </c>
      <c r="D371" s="280" t="str">
        <f>VLOOKUP(B371, 'Chem Props'!$1:$1048576,3,FALSE)</f>
        <v>No</v>
      </c>
      <c r="E371" s="598" t="str">
        <f t="shared" si="125"/>
        <v>No</v>
      </c>
      <c r="F371" s="7" t="str">
        <f t="shared" si="116"/>
        <v>No (not volatile)</v>
      </c>
      <c r="G371" s="270" t="str">
        <f t="shared" si="132"/>
        <v>No (not volatile)</v>
      </c>
      <c r="H371" s="76" t="str">
        <f t="shared" si="126"/>
        <v>--</v>
      </c>
      <c r="I371" s="271" t="str">
        <f t="shared" si="127"/>
        <v>--</v>
      </c>
      <c r="J371" s="272" t="str">
        <f t="shared" si="128"/>
        <v>--</v>
      </c>
      <c r="K371" s="272" t="str">
        <f t="shared" si="129"/>
        <v>--</v>
      </c>
      <c r="L371" s="273" t="str">
        <f t="shared" si="117"/>
        <v>--</v>
      </c>
      <c r="M371" s="7">
        <f t="shared" si="118"/>
        <v>1.7277301556472469</v>
      </c>
      <c r="N371" s="7">
        <f t="shared" si="134"/>
        <v>3.9737999999999998</v>
      </c>
      <c r="O371" s="326">
        <f t="shared" si="119"/>
        <v>25</v>
      </c>
      <c r="P371" s="224" t="str">
        <f t="shared" si="133"/>
        <v/>
      </c>
      <c r="Q371" s="224" t="str">
        <f t="shared" si="120"/>
        <v/>
      </c>
      <c r="R371" s="224"/>
      <c r="S371" s="271" t="str">
        <f t="shared" si="130"/>
        <v/>
      </c>
      <c r="T371" s="7" t="str">
        <f t="shared" si="131"/>
        <v/>
      </c>
      <c r="U371" s="7" t="str">
        <f t="shared" si="121"/>
        <v/>
      </c>
      <c r="V371" s="7" t="str">
        <f t="shared" si="122"/>
        <v/>
      </c>
      <c r="W371" s="7" t="str">
        <f>VLOOKUP(C371,'Tox Summary'!$N$3:$S$1048576,6,FALSE)</f>
        <v/>
      </c>
      <c r="X371" s="76" t="str">
        <f t="shared" si="123"/>
        <v/>
      </c>
      <c r="Y371" s="76" t="str">
        <f t="shared" si="124"/>
        <v/>
      </c>
      <c r="AA371" s="243"/>
    </row>
    <row r="372" spans="1:27">
      <c r="A372" s="265"/>
      <c r="B372" s="269" t="s">
        <v>936</v>
      </c>
      <c r="C372" s="269" t="s">
        <v>1161</v>
      </c>
      <c r="D372" s="280" t="str">
        <f>VLOOKUP(B372, 'Chem Props'!$1:$1048576,3,FALSE)</f>
        <v>No</v>
      </c>
      <c r="E372" s="598" t="str">
        <f t="shared" si="125"/>
        <v>No</v>
      </c>
      <c r="F372" s="7" t="str">
        <f t="shared" si="116"/>
        <v>No (not volatile)</v>
      </c>
      <c r="G372" s="270" t="str">
        <f t="shared" si="132"/>
        <v>No (not volatile)</v>
      </c>
      <c r="H372" s="76" t="str">
        <f t="shared" si="126"/>
        <v>--</v>
      </c>
      <c r="I372" s="271" t="str">
        <f t="shared" si="127"/>
        <v>--</v>
      </c>
      <c r="J372" s="272" t="str">
        <f t="shared" si="128"/>
        <v>--</v>
      </c>
      <c r="K372" s="272" t="str">
        <f t="shared" si="129"/>
        <v>--</v>
      </c>
      <c r="L372" s="273" t="str">
        <f t="shared" si="117"/>
        <v>--</v>
      </c>
      <c r="M372" s="7">
        <f t="shared" si="118"/>
        <v>6.1166362235710778</v>
      </c>
      <c r="N372" s="7">
        <f t="shared" si="134"/>
        <v>6.1054979999999999</v>
      </c>
      <c r="O372" s="326">
        <f t="shared" si="119"/>
        <v>25</v>
      </c>
      <c r="P372" s="224" t="str">
        <f t="shared" si="133"/>
        <v/>
      </c>
      <c r="Q372" s="224" t="str">
        <f t="shared" si="120"/>
        <v/>
      </c>
      <c r="R372" s="224"/>
      <c r="S372" s="271" t="str">
        <f t="shared" si="130"/>
        <v/>
      </c>
      <c r="T372" s="7" t="str">
        <f t="shared" si="131"/>
        <v/>
      </c>
      <c r="U372" s="7" t="str">
        <f t="shared" si="121"/>
        <v/>
      </c>
      <c r="V372" s="7" t="str">
        <f t="shared" si="122"/>
        <v/>
      </c>
      <c r="W372" s="7" t="str">
        <f>VLOOKUP(C372,'Tox Summary'!$N$3:$S$1048576,6,FALSE)</f>
        <v/>
      </c>
      <c r="X372" s="76" t="str">
        <f t="shared" si="123"/>
        <v/>
      </c>
      <c r="Y372" s="76" t="str">
        <f t="shared" si="124"/>
        <v/>
      </c>
      <c r="AA372" s="243"/>
    </row>
    <row r="373" spans="1:27">
      <c r="A373" s="265"/>
      <c r="B373" s="269" t="s">
        <v>141</v>
      </c>
      <c r="C373" s="269" t="s">
        <v>2310</v>
      </c>
      <c r="D373" s="280" t="str">
        <f>VLOOKUP(B373, 'Chem Props'!$1:$1048576,3,FALSE)</f>
        <v>No</v>
      </c>
      <c r="E373" s="598" t="str">
        <f t="shared" si="125"/>
        <v>No</v>
      </c>
      <c r="F373" s="7" t="str">
        <f t="shared" si="116"/>
        <v>No (not volatile)</v>
      </c>
      <c r="G373" s="270" t="str">
        <f t="shared" si="132"/>
        <v>No (not volatile)</v>
      </c>
      <c r="H373" s="76" t="str">
        <f t="shared" si="126"/>
        <v>--</v>
      </c>
      <c r="I373" s="271" t="str">
        <f t="shared" si="127"/>
        <v>--</v>
      </c>
      <c r="J373" s="272" t="str">
        <f t="shared" si="128"/>
        <v>--</v>
      </c>
      <c r="K373" s="272" t="str">
        <f t="shared" si="129"/>
        <v>--</v>
      </c>
      <c r="L373" s="273" t="str">
        <f t="shared" si="117"/>
        <v>--</v>
      </c>
      <c r="M373" s="7">
        <f t="shared" si="118"/>
        <v>4.9725882608048444</v>
      </c>
      <c r="N373" s="7">
        <f t="shared" si="134"/>
        <v>4.9672980000000004</v>
      </c>
      <c r="O373" s="326">
        <f t="shared" si="119"/>
        <v>25</v>
      </c>
      <c r="P373" s="224" t="str">
        <f t="shared" si="133"/>
        <v/>
      </c>
      <c r="Q373" s="224" t="str">
        <f t="shared" si="120"/>
        <v/>
      </c>
      <c r="R373" s="224"/>
      <c r="S373" s="271" t="str">
        <f t="shared" si="130"/>
        <v/>
      </c>
      <c r="T373" s="7" t="str">
        <f t="shared" si="131"/>
        <v/>
      </c>
      <c r="U373" s="7" t="str">
        <f t="shared" si="121"/>
        <v/>
      </c>
      <c r="V373" s="7" t="str">
        <f t="shared" si="122"/>
        <v/>
      </c>
      <c r="W373" s="7" t="str">
        <f>VLOOKUP(C373,'Tox Summary'!$N$3:$S$1048576,6,FALSE)</f>
        <v/>
      </c>
      <c r="X373" s="76" t="str">
        <f t="shared" si="123"/>
        <v/>
      </c>
      <c r="Y373" s="76" t="str">
        <f t="shared" si="124"/>
        <v/>
      </c>
      <c r="AA373" s="243"/>
    </row>
    <row r="374" spans="1:27">
      <c r="A374" s="265"/>
      <c r="B374" s="269" t="s">
        <v>937</v>
      </c>
      <c r="C374" s="269" t="s">
        <v>1162</v>
      </c>
      <c r="D374" s="280" t="str">
        <f>VLOOKUP(B374, 'Chem Props'!$1:$1048576,3,FALSE)</f>
        <v>No</v>
      </c>
      <c r="E374" s="598" t="str">
        <f t="shared" si="125"/>
        <v>No</v>
      </c>
      <c r="F374" s="7" t="str">
        <f t="shared" si="116"/>
        <v>No (not volatile)</v>
      </c>
      <c r="G374" s="270" t="str">
        <f t="shared" si="132"/>
        <v>No (not volatile)</v>
      </c>
      <c r="H374" s="76" t="str">
        <f t="shared" si="126"/>
        <v>--</v>
      </c>
      <c r="I374" s="271" t="str">
        <f t="shared" si="127"/>
        <v>--</v>
      </c>
      <c r="J374" s="272" t="str">
        <f t="shared" si="128"/>
        <v>--</v>
      </c>
      <c r="K374" s="272" t="str">
        <f t="shared" si="129"/>
        <v>--</v>
      </c>
      <c r="L374" s="273" t="str">
        <f t="shared" si="117"/>
        <v>--</v>
      </c>
      <c r="M374" s="7">
        <f t="shared" si="118"/>
        <v>0.84899588085113231</v>
      </c>
      <c r="N374" s="7">
        <f t="shared" si="134"/>
        <v>0.84896530000000003</v>
      </c>
      <c r="O374" s="326">
        <f t="shared" si="119"/>
        <v>25</v>
      </c>
      <c r="P374" s="224" t="str">
        <f t="shared" si="133"/>
        <v/>
      </c>
      <c r="Q374" s="224" t="str">
        <f t="shared" si="120"/>
        <v/>
      </c>
      <c r="R374" s="224"/>
      <c r="S374" s="271" t="str">
        <f t="shared" si="130"/>
        <v/>
      </c>
      <c r="T374" s="7" t="str">
        <f t="shared" si="131"/>
        <v/>
      </c>
      <c r="U374" s="7" t="str">
        <f t="shared" si="121"/>
        <v/>
      </c>
      <c r="V374" s="7" t="str">
        <f t="shared" si="122"/>
        <v/>
      </c>
      <c r="W374" s="7" t="str">
        <f>VLOOKUP(C374,'Tox Summary'!$N$3:$S$1048576,6,FALSE)</f>
        <v/>
      </c>
      <c r="X374" s="76" t="str">
        <f t="shared" si="123"/>
        <v/>
      </c>
      <c r="Y374" s="76" t="str">
        <f t="shared" si="124"/>
        <v/>
      </c>
      <c r="AA374" s="243"/>
    </row>
    <row r="375" spans="1:27">
      <c r="A375" s="265"/>
      <c r="B375" s="269" t="s">
        <v>938</v>
      </c>
      <c r="C375" s="269" t="s">
        <v>1163</v>
      </c>
      <c r="D375" s="280" t="str">
        <f>VLOOKUP(B375, 'Chem Props'!$1:$1048576,3,FALSE)</f>
        <v>No</v>
      </c>
      <c r="E375" s="598" t="str">
        <f t="shared" si="125"/>
        <v>No</v>
      </c>
      <c r="F375" s="7" t="str">
        <f t="shared" si="116"/>
        <v>No (not volatile)</v>
      </c>
      <c r="G375" s="270" t="str">
        <f t="shared" si="132"/>
        <v>No (not volatile)</v>
      </c>
      <c r="H375" s="76" t="str">
        <f t="shared" si="126"/>
        <v>--</v>
      </c>
      <c r="I375" s="271" t="str">
        <f t="shared" si="127"/>
        <v>--</v>
      </c>
      <c r="J375" s="272" t="str">
        <f t="shared" si="128"/>
        <v>--</v>
      </c>
      <c r="K375" s="272" t="str">
        <f t="shared" si="129"/>
        <v>--</v>
      </c>
      <c r="L375" s="273" t="str">
        <f t="shared" si="117"/>
        <v>--</v>
      </c>
      <c r="M375" s="7">
        <f t="shared" si="118"/>
        <v>2.7062052564559447</v>
      </c>
      <c r="N375" s="7">
        <f t="shared" si="134"/>
        <v>2.9639999999999996E-3</v>
      </c>
      <c r="O375" s="326">
        <f t="shared" si="119"/>
        <v>25</v>
      </c>
      <c r="P375" s="224" t="str">
        <f t="shared" si="133"/>
        <v/>
      </c>
      <c r="Q375" s="224" t="str">
        <f t="shared" si="120"/>
        <v/>
      </c>
      <c r="R375" s="224"/>
      <c r="S375" s="271" t="str">
        <f t="shared" si="130"/>
        <v/>
      </c>
      <c r="T375" s="7" t="str">
        <f t="shared" si="131"/>
        <v/>
      </c>
      <c r="U375" s="7" t="str">
        <f t="shared" si="121"/>
        <v/>
      </c>
      <c r="V375" s="7" t="str">
        <f t="shared" si="122"/>
        <v/>
      </c>
      <c r="W375" s="7" t="str">
        <f>VLOOKUP(C375,'Tox Summary'!$N$3:$S$1048576,6,FALSE)</f>
        <v/>
      </c>
      <c r="X375" s="76" t="str">
        <f t="shared" si="123"/>
        <v/>
      </c>
      <c r="Y375" s="76" t="str">
        <f t="shared" si="124"/>
        <v/>
      </c>
      <c r="AA375" s="243"/>
    </row>
    <row r="376" spans="1:27">
      <c r="A376" s="265"/>
      <c r="B376" s="344" t="s">
        <v>939</v>
      </c>
      <c r="C376" s="269" t="s">
        <v>1164</v>
      </c>
      <c r="D376" s="280" t="str">
        <f>VLOOKUP(B376, 'Chem Props'!$1:$1048576,3,FALSE)</f>
        <v>No</v>
      </c>
      <c r="E376" s="598" t="str">
        <f t="shared" si="125"/>
        <v>No</v>
      </c>
      <c r="F376" s="7" t="str">
        <f t="shared" si="116"/>
        <v>No (not volatile)</v>
      </c>
      <c r="G376" s="270" t="str">
        <f t="shared" si="132"/>
        <v>No (not volatile)</v>
      </c>
      <c r="H376" s="76" t="str">
        <f t="shared" si="126"/>
        <v>--</v>
      </c>
      <c r="I376" s="271" t="str">
        <f t="shared" si="127"/>
        <v>--</v>
      </c>
      <c r="J376" s="272" t="str">
        <f t="shared" si="128"/>
        <v>--</v>
      </c>
      <c r="K376" s="272" t="str">
        <f t="shared" si="129"/>
        <v>--</v>
      </c>
      <c r="L376" s="273" t="str">
        <f t="shared" si="117"/>
        <v>--</v>
      </c>
      <c r="M376" s="7">
        <f t="shared" si="118"/>
        <v>2.50533275493942</v>
      </c>
      <c r="N376" s="7">
        <f t="shared" si="134"/>
        <v>2.50528</v>
      </c>
      <c r="O376" s="326">
        <f t="shared" si="119"/>
        <v>25</v>
      </c>
      <c r="P376" s="224" t="str">
        <f t="shared" si="133"/>
        <v/>
      </c>
      <c r="Q376" s="224" t="str">
        <f t="shared" si="120"/>
        <v/>
      </c>
      <c r="R376" s="224"/>
      <c r="S376" s="271" t="str">
        <f t="shared" si="130"/>
        <v/>
      </c>
      <c r="T376" s="7" t="str">
        <f t="shared" si="131"/>
        <v/>
      </c>
      <c r="U376" s="7" t="str">
        <f t="shared" si="121"/>
        <v/>
      </c>
      <c r="V376" s="7" t="str">
        <f t="shared" si="122"/>
        <v/>
      </c>
      <c r="W376" s="7" t="str">
        <f>VLOOKUP(C376,'Tox Summary'!$N$3:$S$1048576,6,FALSE)</f>
        <v/>
      </c>
      <c r="X376" s="76" t="str">
        <f t="shared" si="123"/>
        <v/>
      </c>
      <c r="Y376" s="76" t="str">
        <f t="shared" si="124"/>
        <v/>
      </c>
      <c r="AA376" s="332"/>
    </row>
    <row r="377" spans="1:27">
      <c r="A377" s="265" t="s">
        <v>1413</v>
      </c>
      <c r="B377" s="344" t="s">
        <v>940</v>
      </c>
      <c r="C377" s="269" t="s">
        <v>1165</v>
      </c>
      <c r="D377" s="280" t="str">
        <f>VLOOKUP(B377, 'Chem Props'!$1:$1048576,3,FALSE)</f>
        <v>No</v>
      </c>
      <c r="E377" s="598" t="str">
        <f t="shared" si="125"/>
        <v>No</v>
      </c>
      <c r="F377" s="7" t="str">
        <f t="shared" si="116"/>
        <v>No (not volatile)</v>
      </c>
      <c r="G377" s="270" t="str">
        <f t="shared" si="132"/>
        <v>No (not volatile)</v>
      </c>
      <c r="H377" s="76" t="str">
        <f t="shared" si="126"/>
        <v>--</v>
      </c>
      <c r="I377" s="271" t="str">
        <f t="shared" si="127"/>
        <v>--</v>
      </c>
      <c r="J377" s="272" t="str">
        <f t="shared" si="128"/>
        <v>--</v>
      </c>
      <c r="K377" s="272" t="str">
        <f t="shared" si="129"/>
        <v>--</v>
      </c>
      <c r="L377" s="273" t="str">
        <f t="shared" si="117"/>
        <v>--</v>
      </c>
      <c r="M377" s="7">
        <f t="shared" si="118"/>
        <v>17.707260658170743</v>
      </c>
      <c r="N377" s="7">
        <f t="shared" si="134"/>
        <v>1.5390000000000002E-3</v>
      </c>
      <c r="O377" s="326">
        <f t="shared" si="119"/>
        <v>25</v>
      </c>
      <c r="P377" s="224" t="str">
        <f t="shared" si="133"/>
        <v/>
      </c>
      <c r="Q377" s="224" t="str">
        <f t="shared" si="120"/>
        <v/>
      </c>
      <c r="R377" s="224"/>
      <c r="S377" s="271" t="str">
        <f t="shared" si="130"/>
        <v/>
      </c>
      <c r="T377" s="7" t="str">
        <f t="shared" si="131"/>
        <v/>
      </c>
      <c r="U377" s="7" t="str">
        <f t="shared" si="121"/>
        <v/>
      </c>
      <c r="V377" s="7" t="str">
        <f t="shared" si="122"/>
        <v/>
      </c>
      <c r="W377" s="7" t="str">
        <f>VLOOKUP(C377,'Tox Summary'!$N$3:$S$1048576,6,FALSE)</f>
        <v/>
      </c>
      <c r="X377" s="76" t="str">
        <f t="shared" si="123"/>
        <v/>
      </c>
      <c r="Y377" s="76" t="str">
        <f t="shared" si="124"/>
        <v/>
      </c>
      <c r="AA377" s="332"/>
    </row>
    <row r="378" spans="1:27">
      <c r="A378" s="265" t="s">
        <v>1413</v>
      </c>
      <c r="B378" s="344" t="s">
        <v>941</v>
      </c>
      <c r="C378" s="269" t="s">
        <v>1166</v>
      </c>
      <c r="D378" s="280" t="str">
        <f>VLOOKUP(B378, 'Chem Props'!$1:$1048576,3,FALSE)</f>
        <v>No</v>
      </c>
      <c r="E378" s="598" t="str">
        <f t="shared" si="125"/>
        <v>No</v>
      </c>
      <c r="F378" s="7" t="str">
        <f t="shared" si="116"/>
        <v>No (not volatile)</v>
      </c>
      <c r="G378" s="270" t="str">
        <f t="shared" si="132"/>
        <v>No (not volatile)</v>
      </c>
      <c r="H378" s="76" t="str">
        <f t="shared" si="126"/>
        <v>--</v>
      </c>
      <c r="I378" s="271" t="str">
        <f t="shared" si="127"/>
        <v>--</v>
      </c>
      <c r="J378" s="272" t="str">
        <f t="shared" si="128"/>
        <v>--</v>
      </c>
      <c r="K378" s="272" t="str">
        <f t="shared" si="129"/>
        <v>--</v>
      </c>
      <c r="L378" s="273" t="str">
        <f t="shared" si="117"/>
        <v>--</v>
      </c>
      <c r="M378" s="7">
        <f t="shared" si="118"/>
        <v>4480.0947407811018</v>
      </c>
      <c r="N378" s="7">
        <f t="shared" si="134"/>
        <v>4480.78</v>
      </c>
      <c r="O378" s="326">
        <f t="shared" si="119"/>
        <v>25</v>
      </c>
      <c r="P378" s="224" t="str">
        <f t="shared" si="133"/>
        <v/>
      </c>
      <c r="Q378" s="224" t="str">
        <f t="shared" si="120"/>
        <v/>
      </c>
      <c r="R378" s="224"/>
      <c r="S378" s="271" t="str">
        <f t="shared" si="130"/>
        <v/>
      </c>
      <c r="T378" s="7" t="str">
        <f t="shared" si="131"/>
        <v/>
      </c>
      <c r="U378" s="7" t="str">
        <f t="shared" si="121"/>
        <v/>
      </c>
      <c r="V378" s="7" t="str">
        <f t="shared" si="122"/>
        <v/>
      </c>
      <c r="W378" s="7" t="str">
        <f>VLOOKUP(C378,'Tox Summary'!$N$3:$S$1048576,6,FALSE)</f>
        <v/>
      </c>
      <c r="X378" s="76" t="str">
        <f t="shared" si="123"/>
        <v/>
      </c>
      <c r="Y378" s="76" t="str">
        <f t="shared" si="124"/>
        <v/>
      </c>
      <c r="AA378" s="332"/>
    </row>
    <row r="379" spans="1:27">
      <c r="A379" s="265"/>
      <c r="B379" s="344" t="s">
        <v>942</v>
      </c>
      <c r="C379" s="269" t="s">
        <v>1405</v>
      </c>
      <c r="D379" s="280" t="str">
        <f>VLOOKUP(B379, 'Chem Props'!$1:$1048576,3,FALSE)</f>
        <v>Yes</v>
      </c>
      <c r="E379" s="598" t="str">
        <f t="shared" si="125"/>
        <v>Yes</v>
      </c>
      <c r="F379" s="7" t="str">
        <f t="shared" si="116"/>
        <v>Yes</v>
      </c>
      <c r="G379" s="270" t="str">
        <f t="shared" si="132"/>
        <v>Yes</v>
      </c>
      <c r="H379" s="76">
        <f t="shared" si="126"/>
        <v>0.21597633136094671</v>
      </c>
      <c r="I379" s="271" t="str">
        <f t="shared" si="127"/>
        <v>C</v>
      </c>
      <c r="J379" s="272">
        <f t="shared" si="128"/>
        <v>7.1992110453648905</v>
      </c>
      <c r="K379" s="272">
        <f t="shared" si="129"/>
        <v>15650.458794271501</v>
      </c>
      <c r="L379" s="273" t="str">
        <f t="shared" si="117"/>
        <v>--</v>
      </c>
      <c r="M379" s="7">
        <f t="shared" si="118"/>
        <v>6284927505.3794098</v>
      </c>
      <c r="N379" s="7">
        <f t="shared" si="134"/>
        <v>5520000</v>
      </c>
      <c r="O379" s="326">
        <f t="shared" si="119"/>
        <v>25</v>
      </c>
      <c r="P379" s="224">
        <f t="shared" si="133"/>
        <v>7</v>
      </c>
      <c r="Q379" s="224" t="str">
        <f t="shared" si="120"/>
        <v>N</v>
      </c>
      <c r="R379" s="224"/>
      <c r="S379" s="271">
        <f t="shared" si="130"/>
        <v>1.2999999999999999E-5</v>
      </c>
      <c r="T379" s="7" t="str">
        <f t="shared" si="131"/>
        <v>I</v>
      </c>
      <c r="U379" s="7">
        <f t="shared" si="121"/>
        <v>9.7999999999999997E-3</v>
      </c>
      <c r="V379" s="7" t="str">
        <f t="shared" si="122"/>
        <v>A</v>
      </c>
      <c r="W379" s="7" t="str">
        <f>VLOOKUP(C379,'Tox Summary'!$N$3:$S$1048576,6,FALSE)</f>
        <v/>
      </c>
      <c r="X379" s="76">
        <f t="shared" si="123"/>
        <v>0.21597633136094671</v>
      </c>
      <c r="Y379" s="76">
        <f t="shared" si="124"/>
        <v>10.220000000000001</v>
      </c>
      <c r="AA379" s="332"/>
    </row>
    <row r="380" spans="1:27">
      <c r="A380" s="265"/>
      <c r="B380" s="269" t="s">
        <v>943</v>
      </c>
      <c r="C380" s="269" t="s">
        <v>1167</v>
      </c>
      <c r="D380" s="280" t="str">
        <f>VLOOKUP(B380, 'Chem Props'!$1:$1048576,3,FALSE)</f>
        <v>Yes</v>
      </c>
      <c r="E380" s="598" t="str">
        <f t="shared" si="125"/>
        <v>Yes</v>
      </c>
      <c r="F380" s="7" t="str">
        <f t="shared" si="116"/>
        <v>Yes</v>
      </c>
      <c r="G380" s="270" t="str">
        <f t="shared" si="132"/>
        <v>Yes</v>
      </c>
      <c r="H380" s="76">
        <f t="shared" si="126"/>
        <v>0.31285714285714278</v>
      </c>
      <c r="I380" s="271" t="str">
        <f t="shared" si="127"/>
        <v>NC</v>
      </c>
      <c r="J380" s="272">
        <f t="shared" si="128"/>
        <v>10.428571428571427</v>
      </c>
      <c r="K380" s="272">
        <f t="shared" si="129"/>
        <v>45823.089396871881</v>
      </c>
      <c r="L380" s="273" t="str">
        <f t="shared" si="117"/>
        <v>--</v>
      </c>
      <c r="M380" s="7">
        <f t="shared" si="118"/>
        <v>105478528.92970759</v>
      </c>
      <c r="N380" s="7">
        <f t="shared" si="134"/>
        <v>6827500.0000000009</v>
      </c>
      <c r="O380" s="326">
        <f t="shared" si="119"/>
        <v>25</v>
      </c>
      <c r="P380" s="224">
        <f t="shared" si="133"/>
        <v>18</v>
      </c>
      <c r="Q380" s="224" t="str">
        <f t="shared" si="120"/>
        <v>N</v>
      </c>
      <c r="R380" s="224"/>
      <c r="S380" s="271" t="str">
        <f t="shared" si="130"/>
        <v/>
      </c>
      <c r="T380" s="7" t="str">
        <f t="shared" si="131"/>
        <v/>
      </c>
      <c r="U380" s="7">
        <f t="shared" si="121"/>
        <v>2.9999999999999997E-4</v>
      </c>
      <c r="V380" s="7" t="str">
        <f t="shared" si="122"/>
        <v>X</v>
      </c>
      <c r="W380" s="7" t="str">
        <f>VLOOKUP(C380,'Tox Summary'!$N$3:$S$1048576,6,FALSE)</f>
        <v/>
      </c>
      <c r="X380" s="76" t="str">
        <f t="shared" si="123"/>
        <v/>
      </c>
      <c r="Y380" s="76">
        <f t="shared" si="124"/>
        <v>0.31285714285714278</v>
      </c>
      <c r="AA380" s="243"/>
    </row>
    <row r="381" spans="1:27">
      <c r="A381" s="265"/>
      <c r="B381" s="344" t="s">
        <v>944</v>
      </c>
      <c r="C381" s="269" t="s">
        <v>1168</v>
      </c>
      <c r="D381" s="280" t="str">
        <f>VLOOKUP(B381, 'Chem Props'!$1:$1048576,3,FALSE)</f>
        <v>No</v>
      </c>
      <c r="E381" s="598" t="str">
        <f t="shared" si="125"/>
        <v>No</v>
      </c>
      <c r="F381" s="7" t="str">
        <f t="shared" si="116"/>
        <v>No (not volatile)</v>
      </c>
      <c r="G381" s="270" t="str">
        <f t="shared" si="132"/>
        <v>No (not volatile)</v>
      </c>
      <c r="H381" s="76" t="str">
        <f t="shared" si="126"/>
        <v>--</v>
      </c>
      <c r="I381" s="271" t="str">
        <f t="shared" si="127"/>
        <v>--</v>
      </c>
      <c r="J381" s="272" t="str">
        <f t="shared" si="128"/>
        <v>--</v>
      </c>
      <c r="K381" s="272" t="str">
        <f t="shared" si="129"/>
        <v>--</v>
      </c>
      <c r="L381" s="273" t="str">
        <f t="shared" si="117"/>
        <v>--</v>
      </c>
      <c r="M381" s="7">
        <f t="shared" si="118"/>
        <v>1.4290671813626367E-3</v>
      </c>
      <c r="N381" s="7">
        <f t="shared" si="134"/>
        <v>0.14296799999999998</v>
      </c>
      <c r="O381" s="326">
        <f t="shared" si="119"/>
        <v>25</v>
      </c>
      <c r="P381" s="224" t="str">
        <f t="shared" si="133"/>
        <v/>
      </c>
      <c r="Q381" s="224" t="str">
        <f t="shared" si="120"/>
        <v/>
      </c>
      <c r="R381" s="224"/>
      <c r="S381" s="271" t="str">
        <f t="shared" si="130"/>
        <v/>
      </c>
      <c r="T381" s="7" t="str">
        <f t="shared" si="131"/>
        <v/>
      </c>
      <c r="U381" s="7" t="str">
        <f t="shared" si="121"/>
        <v/>
      </c>
      <c r="V381" s="7" t="str">
        <f t="shared" si="122"/>
        <v/>
      </c>
      <c r="W381" s="7" t="str">
        <f>VLOOKUP(C381,'Tox Summary'!$N$3:$S$1048576,6,FALSE)</f>
        <v/>
      </c>
      <c r="X381" s="76" t="str">
        <f t="shared" si="123"/>
        <v/>
      </c>
      <c r="Y381" s="76" t="str">
        <f t="shared" si="124"/>
        <v/>
      </c>
      <c r="AA381" s="332"/>
    </row>
    <row r="382" spans="1:27">
      <c r="A382" s="265" t="s">
        <v>478</v>
      </c>
      <c r="B382" s="269" t="s">
        <v>946</v>
      </c>
      <c r="C382" s="269" t="s">
        <v>2333</v>
      </c>
      <c r="D382" s="280" t="str">
        <f>VLOOKUP(B382, 'Chem Props'!$1:$1048576,3,FALSE)</f>
        <v>Yes</v>
      </c>
      <c r="E382" s="598" t="str">
        <f t="shared" si="125"/>
        <v>No</v>
      </c>
      <c r="F382" s="7" t="str">
        <f t="shared" si="116"/>
        <v>No Inhal. Tox. Info</v>
      </c>
      <c r="G382" s="270" t="str">
        <f t="shared" si="132"/>
        <v>No Inhal. Tox. Info</v>
      </c>
      <c r="H382" s="76" t="str">
        <f t="shared" si="126"/>
        <v>--</v>
      </c>
      <c r="I382" s="271" t="str">
        <f t="shared" si="127"/>
        <v>--</v>
      </c>
      <c r="J382" s="272" t="str">
        <f t="shared" si="128"/>
        <v>--</v>
      </c>
      <c r="K382" s="272" t="str">
        <f t="shared" si="129"/>
        <v>--</v>
      </c>
      <c r="L382" s="273" t="str">
        <f t="shared" si="117"/>
        <v>--</v>
      </c>
      <c r="M382" s="7">
        <f t="shared" si="118"/>
        <v>2197852134.9511247</v>
      </c>
      <c r="N382" s="7">
        <f t="shared" si="134"/>
        <v>2207686000</v>
      </c>
      <c r="O382" s="326">
        <f t="shared" si="119"/>
        <v>25</v>
      </c>
      <c r="P382" s="224">
        <f t="shared" si="133"/>
        <v>2.2999999999999998</v>
      </c>
      <c r="Q382" s="224" t="str">
        <f t="shared" si="120"/>
        <v>M</v>
      </c>
      <c r="R382" s="224"/>
      <c r="S382" s="271" t="str">
        <f t="shared" si="130"/>
        <v/>
      </c>
      <c r="T382" s="7" t="str">
        <f t="shared" si="131"/>
        <v/>
      </c>
      <c r="U382" s="7" t="str">
        <f t="shared" si="121"/>
        <v/>
      </c>
      <c r="V382" s="7" t="str">
        <f t="shared" si="122"/>
        <v/>
      </c>
      <c r="W382" s="7" t="str">
        <f>VLOOKUP(C382,'Tox Summary'!$N$3:$S$1048576,6,FALSE)</f>
        <v/>
      </c>
      <c r="X382" s="76" t="str">
        <f t="shared" si="123"/>
        <v/>
      </c>
      <c r="Y382" s="76" t="str">
        <f t="shared" si="124"/>
        <v/>
      </c>
      <c r="AA382" s="243"/>
    </row>
    <row r="383" spans="1:27">
      <c r="A383" s="265"/>
      <c r="B383" s="344" t="s">
        <v>947</v>
      </c>
      <c r="C383" s="269" t="s">
        <v>1170</v>
      </c>
      <c r="D383" s="280" t="str">
        <f>VLOOKUP(B383, 'Chem Props'!$1:$1048576,3,FALSE)</f>
        <v>No</v>
      </c>
      <c r="E383" s="598" t="str">
        <f t="shared" si="125"/>
        <v>No</v>
      </c>
      <c r="F383" s="7" t="str">
        <f t="shared" si="116"/>
        <v>No (not volatile)</v>
      </c>
      <c r="G383" s="270" t="str">
        <f t="shared" si="132"/>
        <v>No (not volatile)</v>
      </c>
      <c r="H383" s="76" t="str">
        <f t="shared" si="126"/>
        <v>--</v>
      </c>
      <c r="I383" s="271" t="str">
        <f t="shared" si="127"/>
        <v>--</v>
      </c>
      <c r="J383" s="272" t="str">
        <f t="shared" si="128"/>
        <v>--</v>
      </c>
      <c r="K383" s="272" t="str">
        <f t="shared" si="129"/>
        <v>--</v>
      </c>
      <c r="L383" s="273" t="str">
        <f t="shared" si="117"/>
        <v>--</v>
      </c>
      <c r="M383" s="7">
        <f t="shared" si="118"/>
        <v>31.500524057292534</v>
      </c>
      <c r="N383" s="7">
        <f t="shared" si="134"/>
        <v>5.3311999999999998E-2</v>
      </c>
      <c r="O383" s="326">
        <f t="shared" si="119"/>
        <v>25</v>
      </c>
      <c r="P383" s="224" t="str">
        <f t="shared" si="133"/>
        <v/>
      </c>
      <c r="Q383" s="224" t="str">
        <f t="shared" si="120"/>
        <v/>
      </c>
      <c r="R383" s="224"/>
      <c r="S383" s="271" t="str">
        <f t="shared" si="130"/>
        <v/>
      </c>
      <c r="T383" s="7" t="str">
        <f t="shared" si="131"/>
        <v/>
      </c>
      <c r="U383" s="7" t="str">
        <f t="shared" si="121"/>
        <v/>
      </c>
      <c r="V383" s="7" t="str">
        <f t="shared" si="122"/>
        <v/>
      </c>
      <c r="W383" s="7" t="str">
        <f>VLOOKUP(C383,'Tox Summary'!$N$3:$S$1048576,6,FALSE)</f>
        <v/>
      </c>
      <c r="X383" s="76" t="str">
        <f t="shared" si="123"/>
        <v/>
      </c>
      <c r="Y383" s="76" t="str">
        <f t="shared" si="124"/>
        <v/>
      </c>
      <c r="AA383" s="332"/>
    </row>
    <row r="384" spans="1:27">
      <c r="A384" s="265" t="s">
        <v>1413</v>
      </c>
      <c r="B384" s="344" t="s">
        <v>948</v>
      </c>
      <c r="C384" s="269" t="s">
        <v>1171</v>
      </c>
      <c r="D384" s="280" t="str">
        <f>VLOOKUP(B384, 'Chem Props'!$1:$1048576,3,FALSE)</f>
        <v>Yes</v>
      </c>
      <c r="E384" s="598" t="str">
        <f t="shared" si="125"/>
        <v>Yes</v>
      </c>
      <c r="F384" s="7" t="str">
        <f t="shared" si="116"/>
        <v>Yes</v>
      </c>
      <c r="G384" s="270" t="str">
        <f t="shared" si="132"/>
        <v>Yes</v>
      </c>
      <c r="H384" s="76">
        <f t="shared" si="126"/>
        <v>52.142857142857146</v>
      </c>
      <c r="I384" s="271" t="str">
        <f t="shared" si="127"/>
        <v>NC</v>
      </c>
      <c r="J384" s="272">
        <f t="shared" si="128"/>
        <v>1738.0952380952383</v>
      </c>
      <c r="K384" s="272">
        <f t="shared" si="129"/>
        <v>338370.26049874845</v>
      </c>
      <c r="L384" s="273" t="str">
        <f t="shared" si="117"/>
        <v>--</v>
      </c>
      <c r="M384" s="7">
        <f t="shared" si="118"/>
        <v>11426298.860293385</v>
      </c>
      <c r="N384" s="7">
        <f t="shared" si="134"/>
        <v>11418810</v>
      </c>
      <c r="O384" s="326">
        <f t="shared" si="119"/>
        <v>25</v>
      </c>
      <c r="P384" s="224">
        <f t="shared" si="133"/>
        <v>2.1</v>
      </c>
      <c r="Q384" s="224" t="str">
        <f t="shared" si="120"/>
        <v>N</v>
      </c>
      <c r="R384" s="224"/>
      <c r="S384" s="271" t="str">
        <f t="shared" si="130"/>
        <v/>
      </c>
      <c r="T384" s="7" t="str">
        <f t="shared" si="131"/>
        <v/>
      </c>
      <c r="U384" s="7">
        <f t="shared" si="121"/>
        <v>0.05</v>
      </c>
      <c r="V384" s="7" t="str">
        <f t="shared" si="122"/>
        <v>H</v>
      </c>
      <c r="W384" s="7" t="str">
        <f>VLOOKUP(C384,'Tox Summary'!$N$3:$S$1048576,6,FALSE)</f>
        <v/>
      </c>
      <c r="X384" s="76" t="str">
        <f t="shared" si="123"/>
        <v/>
      </c>
      <c r="Y384" s="76">
        <f t="shared" si="124"/>
        <v>52.142857142857146</v>
      </c>
      <c r="AA384" s="332"/>
    </row>
    <row r="385" spans="1:27">
      <c r="A385" s="265" t="s">
        <v>1413</v>
      </c>
      <c r="B385" s="269" t="s">
        <v>949</v>
      </c>
      <c r="C385" s="269" t="s">
        <v>1172</v>
      </c>
      <c r="D385" s="280" t="str">
        <f>VLOOKUP(B385, 'Chem Props'!$1:$1048576,3,FALSE)</f>
        <v>No</v>
      </c>
      <c r="E385" s="598" t="str">
        <f t="shared" si="125"/>
        <v>Yes</v>
      </c>
      <c r="F385" s="7" t="str">
        <f t="shared" si="116"/>
        <v>No (not volatile)</v>
      </c>
      <c r="G385" s="270" t="str">
        <f t="shared" si="132"/>
        <v>No (not volatile)</v>
      </c>
      <c r="H385" s="76">
        <f t="shared" si="126"/>
        <v>6.5295169946332741E-3</v>
      </c>
      <c r="I385" s="271" t="str">
        <f t="shared" si="127"/>
        <v>C</v>
      </c>
      <c r="J385" s="272" t="str">
        <f t="shared" si="128"/>
        <v>NVT</v>
      </c>
      <c r="K385" s="272" t="str">
        <f t="shared" si="129"/>
        <v>NVT</v>
      </c>
      <c r="L385" s="273" t="str">
        <f t="shared" si="117"/>
        <v>--</v>
      </c>
      <c r="M385" s="7">
        <f t="shared" si="118"/>
        <v>0.12018130931848227</v>
      </c>
      <c r="N385" s="7">
        <f t="shared" si="134"/>
        <v>2.2864216099999999E-4</v>
      </c>
      <c r="O385" s="326">
        <f t="shared" si="119"/>
        <v>25</v>
      </c>
      <c r="P385" s="224" t="str">
        <f t="shared" si="133"/>
        <v/>
      </c>
      <c r="Q385" s="224" t="str">
        <f t="shared" si="120"/>
        <v/>
      </c>
      <c r="R385" s="224"/>
      <c r="S385" s="271">
        <f t="shared" si="130"/>
        <v>4.2999999999999999E-4</v>
      </c>
      <c r="T385" s="7" t="str">
        <f t="shared" si="131"/>
        <v>CA</v>
      </c>
      <c r="U385" s="7" t="str">
        <f t="shared" si="121"/>
        <v/>
      </c>
      <c r="V385" s="7" t="str">
        <f t="shared" si="122"/>
        <v/>
      </c>
      <c r="W385" s="7" t="str">
        <f>VLOOKUP(C385,'Tox Summary'!$N$3:$S$1048576,6,FALSE)</f>
        <v/>
      </c>
      <c r="X385" s="76">
        <f t="shared" si="123"/>
        <v>6.5295169946332741E-3</v>
      </c>
      <c r="Y385" s="76" t="str">
        <f t="shared" si="124"/>
        <v/>
      </c>
      <c r="AA385" s="243"/>
    </row>
    <row r="386" spans="1:27">
      <c r="A386" s="265" t="s">
        <v>1413</v>
      </c>
      <c r="B386" s="344" t="s">
        <v>950</v>
      </c>
      <c r="C386" s="269" t="s">
        <v>1406</v>
      </c>
      <c r="D386" s="280" t="str">
        <f>VLOOKUP(B386, 'Chem Props'!$1:$1048576,3,FALSE)</f>
        <v>No</v>
      </c>
      <c r="E386" s="598" t="str">
        <f t="shared" si="125"/>
        <v>Yes</v>
      </c>
      <c r="F386" s="7" t="str">
        <f t="shared" si="116"/>
        <v>No (not volatile)</v>
      </c>
      <c r="G386" s="270" t="str">
        <f t="shared" si="132"/>
        <v>No (not volatile)</v>
      </c>
      <c r="H386" s="76">
        <f t="shared" si="126"/>
        <v>0.32647584973166366</v>
      </c>
      <c r="I386" s="271" t="str">
        <f t="shared" si="127"/>
        <v>C</v>
      </c>
      <c r="J386" s="272">
        <f t="shared" si="128"/>
        <v>10.882528324388788</v>
      </c>
      <c r="K386" s="272" t="str">
        <f t="shared" si="129"/>
        <v>NVT</v>
      </c>
      <c r="L386" s="273" t="str">
        <f t="shared" si="117"/>
        <v>--</v>
      </c>
      <c r="M386" s="7">
        <f t="shared" si="118"/>
        <v>1131.9388874534145</v>
      </c>
      <c r="N386" s="7">
        <f t="shared" si="134"/>
        <v>8.4503999999999996E-2</v>
      </c>
      <c r="O386" s="326">
        <f t="shared" si="119"/>
        <v>25</v>
      </c>
      <c r="P386" s="224" t="str">
        <f t="shared" si="133"/>
        <v/>
      </c>
      <c r="Q386" s="224" t="str">
        <f t="shared" si="120"/>
        <v/>
      </c>
      <c r="R386" s="224"/>
      <c r="S386" s="271">
        <f t="shared" si="130"/>
        <v>8.6000000000000007E-6</v>
      </c>
      <c r="T386" s="7" t="str">
        <f t="shared" si="131"/>
        <v>CA</v>
      </c>
      <c r="U386" s="7" t="str">
        <f t="shared" si="121"/>
        <v/>
      </c>
      <c r="V386" s="7" t="str">
        <f t="shared" si="122"/>
        <v/>
      </c>
      <c r="W386" s="7" t="str">
        <f>VLOOKUP(C386,'Tox Summary'!$N$3:$S$1048576,6,FALSE)</f>
        <v/>
      </c>
      <c r="X386" s="76">
        <f t="shared" si="123"/>
        <v>0.32647584973166366</v>
      </c>
      <c r="Y386" s="76" t="str">
        <f t="shared" si="124"/>
        <v/>
      </c>
      <c r="AA386" s="332"/>
    </row>
    <row r="387" spans="1:27">
      <c r="A387" s="265"/>
      <c r="B387" s="269" t="s">
        <v>951</v>
      </c>
      <c r="C387" s="269" t="s">
        <v>1173</v>
      </c>
      <c r="D387" s="280" t="str">
        <f>VLOOKUP(B387, 'Chem Props'!$1:$1048576,3,FALSE)</f>
        <v>No</v>
      </c>
      <c r="E387" s="598" t="str">
        <f t="shared" si="125"/>
        <v>No</v>
      </c>
      <c r="F387" s="7" t="str">
        <f t="shared" si="116"/>
        <v>No (not volatile)</v>
      </c>
      <c r="G387" s="270" t="str">
        <f t="shared" si="132"/>
        <v>No (not volatile)</v>
      </c>
      <c r="H387" s="76" t="str">
        <f t="shared" si="126"/>
        <v>--</v>
      </c>
      <c r="I387" s="271" t="str">
        <f t="shared" si="127"/>
        <v>--</v>
      </c>
      <c r="J387" s="272" t="str">
        <f t="shared" si="128"/>
        <v>--</v>
      </c>
      <c r="K387" s="272" t="str">
        <f t="shared" si="129"/>
        <v>--</v>
      </c>
      <c r="L387" s="273" t="str">
        <f t="shared" si="117"/>
        <v>--</v>
      </c>
      <c r="M387" s="7">
        <f t="shared" si="118"/>
        <v>9.7244270546758139E-5</v>
      </c>
      <c r="N387" s="7">
        <f t="shared" si="134"/>
        <v>2.4755900000000004</v>
      </c>
      <c r="O387" s="326">
        <f t="shared" si="119"/>
        <v>25</v>
      </c>
      <c r="P387" s="224" t="str">
        <f t="shared" si="133"/>
        <v/>
      </c>
      <c r="Q387" s="224" t="str">
        <f t="shared" si="120"/>
        <v/>
      </c>
      <c r="R387" s="224"/>
      <c r="S387" s="271" t="str">
        <f t="shared" si="130"/>
        <v/>
      </c>
      <c r="T387" s="7" t="str">
        <f t="shared" si="131"/>
        <v/>
      </c>
      <c r="U387" s="7" t="str">
        <f t="shared" si="121"/>
        <v/>
      </c>
      <c r="V387" s="7" t="str">
        <f t="shared" si="122"/>
        <v/>
      </c>
      <c r="W387" s="7" t="str">
        <f>VLOOKUP(C387,'Tox Summary'!$N$3:$S$1048576,6,FALSE)</f>
        <v/>
      </c>
      <c r="X387" s="76" t="str">
        <f t="shared" si="123"/>
        <v/>
      </c>
      <c r="Y387" s="76" t="str">
        <f t="shared" si="124"/>
        <v/>
      </c>
      <c r="AA387" s="243"/>
    </row>
    <row r="388" spans="1:27">
      <c r="A388" s="265"/>
      <c r="B388" s="344" t="s">
        <v>952</v>
      </c>
      <c r="C388" s="269" t="s">
        <v>587</v>
      </c>
      <c r="D388" s="280" t="str">
        <f>VLOOKUP(B388, 'Chem Props'!$1:$1048576,3,FALSE)</f>
        <v>No</v>
      </c>
      <c r="E388" s="598" t="str">
        <f t="shared" si="125"/>
        <v>Yes</v>
      </c>
      <c r="F388" s="7" t="str">
        <f t="shared" si="116"/>
        <v>No (not volatile)</v>
      </c>
      <c r="G388" s="270" t="str">
        <f t="shared" si="132"/>
        <v>No (not volatile)</v>
      </c>
      <c r="H388" s="76">
        <f t="shared" si="126"/>
        <v>8.3428571428571421E-2</v>
      </c>
      <c r="I388" s="271" t="str">
        <f t="shared" si="127"/>
        <v>NC</v>
      </c>
      <c r="J388" s="272">
        <f t="shared" si="128"/>
        <v>2.7809523809523808</v>
      </c>
      <c r="K388" s="272">
        <f t="shared" si="129"/>
        <v>61840.168577993791</v>
      </c>
      <c r="L388" s="273" t="str">
        <f t="shared" si="117"/>
        <v>--</v>
      </c>
      <c r="M388" s="7">
        <f t="shared" si="118"/>
        <v>3232401.3712807251</v>
      </c>
      <c r="N388" s="7">
        <f t="shared" si="134"/>
        <v>302198.39999999997</v>
      </c>
      <c r="O388" s="326">
        <f t="shared" si="119"/>
        <v>25</v>
      </c>
      <c r="P388" s="224" t="str">
        <f t="shared" si="133"/>
        <v/>
      </c>
      <c r="Q388" s="224" t="str">
        <f t="shared" si="120"/>
        <v/>
      </c>
      <c r="R388" s="224"/>
      <c r="S388" s="271" t="str">
        <f t="shared" si="130"/>
        <v/>
      </c>
      <c r="T388" s="7" t="str">
        <f t="shared" si="131"/>
        <v/>
      </c>
      <c r="U388" s="7">
        <f t="shared" si="121"/>
        <v>8.0000000000000007E-5</v>
      </c>
      <c r="V388" s="7" t="str">
        <f t="shared" si="122"/>
        <v>CA</v>
      </c>
      <c r="W388" s="7" t="str">
        <f>VLOOKUP(C388,'Tox Summary'!$N$3:$S$1048576,6,FALSE)</f>
        <v/>
      </c>
      <c r="X388" s="76" t="str">
        <f t="shared" si="123"/>
        <v/>
      </c>
      <c r="Y388" s="76">
        <f t="shared" si="124"/>
        <v>8.3428571428571421E-2</v>
      </c>
      <c r="AA388" s="332"/>
    </row>
    <row r="389" spans="1:27">
      <c r="A389" s="265"/>
      <c r="B389" s="269" t="s">
        <v>953</v>
      </c>
      <c r="C389" s="269" t="s">
        <v>1174</v>
      </c>
      <c r="D389" s="280" t="str">
        <f>VLOOKUP(B389, 'Chem Props'!$1:$1048576,3,FALSE)</f>
        <v>Yes</v>
      </c>
      <c r="E389" s="598" t="str">
        <f t="shared" si="125"/>
        <v>Yes</v>
      </c>
      <c r="F389" s="7" t="str">
        <f t="shared" si="116"/>
        <v>Yes</v>
      </c>
      <c r="G389" s="270" t="str">
        <f t="shared" si="132"/>
        <v>Yes</v>
      </c>
      <c r="H389" s="76">
        <f t="shared" si="126"/>
        <v>1.0428571428571429</v>
      </c>
      <c r="I389" s="271" t="str">
        <f t="shared" si="127"/>
        <v>NC</v>
      </c>
      <c r="J389" s="272">
        <f t="shared" si="128"/>
        <v>34.761904761904766</v>
      </c>
      <c r="K389" s="272">
        <f t="shared" si="129"/>
        <v>49897.470950102528</v>
      </c>
      <c r="L389" s="273" t="str">
        <f t="shared" si="117"/>
        <v>--</v>
      </c>
      <c r="M389" s="7">
        <f t="shared" si="118"/>
        <v>175658737.69185024</v>
      </c>
      <c r="N389" s="7">
        <f t="shared" si="134"/>
        <v>20900000</v>
      </c>
      <c r="O389" s="326">
        <f t="shared" si="119"/>
        <v>25</v>
      </c>
      <c r="P389" s="224" t="str">
        <f t="shared" si="133"/>
        <v/>
      </c>
      <c r="Q389" s="224" t="str">
        <f t="shared" si="120"/>
        <v/>
      </c>
      <c r="R389" s="224"/>
      <c r="S389" s="271" t="str">
        <f t="shared" si="130"/>
        <v/>
      </c>
      <c r="T389" s="7" t="str">
        <f t="shared" si="131"/>
        <v/>
      </c>
      <c r="U389" s="7">
        <f t="shared" si="121"/>
        <v>1E-3</v>
      </c>
      <c r="V389" s="7" t="str">
        <f t="shared" si="122"/>
        <v>H</v>
      </c>
      <c r="W389" s="7" t="str">
        <f>VLOOKUP(C389,'Tox Summary'!$N$3:$S$1048576,6,FALSE)</f>
        <v/>
      </c>
      <c r="X389" s="76" t="str">
        <f t="shared" si="123"/>
        <v/>
      </c>
      <c r="Y389" s="76">
        <f t="shared" si="124"/>
        <v>1.0428571428571429</v>
      </c>
      <c r="AA389" s="243"/>
    </row>
    <row r="390" spans="1:27">
      <c r="A390" s="265"/>
      <c r="B390" s="344" t="s">
        <v>954</v>
      </c>
      <c r="C390" s="269" t="s">
        <v>1175</v>
      </c>
      <c r="D390" s="280" t="str">
        <f>VLOOKUP(B390, 'Chem Props'!$1:$1048576,3,FALSE)</f>
        <v>No</v>
      </c>
      <c r="E390" s="598" t="str">
        <f t="shared" si="125"/>
        <v>No</v>
      </c>
      <c r="F390" s="7" t="str">
        <f t="shared" si="116"/>
        <v>No (not volatile)</v>
      </c>
      <c r="G390" s="270" t="str">
        <f t="shared" si="132"/>
        <v>No (not volatile)</v>
      </c>
      <c r="H390" s="76" t="str">
        <f t="shared" si="126"/>
        <v>--</v>
      </c>
      <c r="I390" s="271" t="str">
        <f t="shared" si="127"/>
        <v>--</v>
      </c>
      <c r="J390" s="272" t="str">
        <f t="shared" si="128"/>
        <v>--</v>
      </c>
      <c r="K390" s="272" t="str">
        <f t="shared" si="129"/>
        <v>--</v>
      </c>
      <c r="L390" s="273" t="str">
        <f t="shared" si="117"/>
        <v>No (700)</v>
      </c>
      <c r="M390" s="7">
        <f t="shared" si="118"/>
        <v>0.89155023612595474</v>
      </c>
      <c r="N390" s="7">
        <f t="shared" si="134"/>
        <v>0.90142500000000003</v>
      </c>
      <c r="O390" s="326">
        <f t="shared" si="119"/>
        <v>25</v>
      </c>
      <c r="P390" s="224" t="str">
        <f t="shared" si="133"/>
        <v/>
      </c>
      <c r="Q390" s="224" t="str">
        <f t="shared" si="120"/>
        <v/>
      </c>
      <c r="R390" s="224"/>
      <c r="S390" s="271" t="str">
        <f t="shared" si="130"/>
        <v/>
      </c>
      <c r="T390" s="7" t="str">
        <f t="shared" si="131"/>
        <v/>
      </c>
      <c r="U390" s="7" t="str">
        <f t="shared" si="121"/>
        <v/>
      </c>
      <c r="V390" s="7" t="str">
        <f t="shared" si="122"/>
        <v/>
      </c>
      <c r="W390" s="7" t="str">
        <f>VLOOKUP(C390,'Tox Summary'!$N$3:$S$1048576,6,FALSE)</f>
        <v/>
      </c>
      <c r="X390" s="76" t="str">
        <f t="shared" si="123"/>
        <v/>
      </c>
      <c r="Y390" s="76" t="str">
        <f t="shared" si="124"/>
        <v/>
      </c>
      <c r="AA390" s="332"/>
    </row>
    <row r="391" spans="1:27">
      <c r="A391" s="265" t="s">
        <v>1413</v>
      </c>
      <c r="B391" s="269" t="s">
        <v>2081</v>
      </c>
      <c r="C391" s="269" t="s">
        <v>2080</v>
      </c>
      <c r="D391" s="280" t="str">
        <f>VLOOKUP(B391, 'Chem Props'!$1:$1048576,3,FALSE)</f>
        <v>Yes</v>
      </c>
      <c r="E391" s="598" t="str">
        <f t="shared" si="125"/>
        <v>No</v>
      </c>
      <c r="F391" s="7" t="str">
        <f t="shared" si="116"/>
        <v>No Inhal. Tox. Info</v>
      </c>
      <c r="G391" s="270" t="str">
        <f t="shared" si="132"/>
        <v>No Inhal. Tox. Info</v>
      </c>
      <c r="H391" s="76" t="str">
        <f t="shared" si="126"/>
        <v>--</v>
      </c>
      <c r="I391" s="271" t="str">
        <f t="shared" si="127"/>
        <v>--</v>
      </c>
      <c r="J391" s="272" t="str">
        <f t="shared" si="128"/>
        <v>--</v>
      </c>
      <c r="K391" s="272" t="str">
        <f t="shared" si="129"/>
        <v>--</v>
      </c>
      <c r="L391" s="273" t="str">
        <f t="shared" si="117"/>
        <v>--</v>
      </c>
      <c r="M391" s="7">
        <f t="shared" si="118"/>
        <v>7024570.6968381507</v>
      </c>
      <c r="N391" s="7">
        <f t="shared" si="134"/>
        <v>1.7603280000000001</v>
      </c>
      <c r="O391" s="326">
        <f t="shared" si="119"/>
        <v>25</v>
      </c>
      <c r="P391" s="224" t="str">
        <f t="shared" si="133"/>
        <v/>
      </c>
      <c r="Q391" s="224" t="str">
        <f t="shared" si="120"/>
        <v/>
      </c>
      <c r="R391" s="224"/>
      <c r="S391" s="271" t="str">
        <f t="shared" si="130"/>
        <v/>
      </c>
      <c r="T391" s="7" t="str">
        <f t="shared" si="131"/>
        <v/>
      </c>
      <c r="U391" s="7" t="str">
        <f t="shared" si="121"/>
        <v/>
      </c>
      <c r="V391" s="7" t="str">
        <f t="shared" si="122"/>
        <v/>
      </c>
      <c r="W391" s="7" t="str">
        <f>VLOOKUP(C391,'Tox Summary'!$N$3:$S$1048576,6,FALSE)</f>
        <v/>
      </c>
      <c r="X391" s="76" t="str">
        <f t="shared" si="123"/>
        <v/>
      </c>
      <c r="Y391" s="76" t="str">
        <f t="shared" si="124"/>
        <v/>
      </c>
      <c r="AA391" s="243"/>
    </row>
    <row r="392" spans="1:27">
      <c r="A392" s="265"/>
      <c r="B392" s="344" t="s">
        <v>2083</v>
      </c>
      <c r="C392" s="269" t="s">
        <v>2082</v>
      </c>
      <c r="D392" s="280" t="str">
        <f>VLOOKUP(B392, 'Chem Props'!$1:$1048576,3,FALSE)</f>
        <v>No</v>
      </c>
      <c r="E392" s="598" t="str">
        <f t="shared" si="125"/>
        <v>No</v>
      </c>
      <c r="F392" s="7" t="str">
        <f t="shared" si="116"/>
        <v>No (not volatile)</v>
      </c>
      <c r="G392" s="270" t="str">
        <f t="shared" si="132"/>
        <v>No (not volatile)</v>
      </c>
      <c r="H392" s="76" t="str">
        <f t="shared" si="126"/>
        <v>--</v>
      </c>
      <c r="I392" s="271" t="str">
        <f t="shared" si="127"/>
        <v>--</v>
      </c>
      <c r="J392" s="272" t="str">
        <f t="shared" si="128"/>
        <v>--</v>
      </c>
      <c r="K392" s="272" t="str">
        <f t="shared" si="129"/>
        <v>--</v>
      </c>
      <c r="L392" s="273" t="str">
        <f t="shared" si="117"/>
        <v>--</v>
      </c>
      <c r="M392" s="7">
        <f t="shared" si="118"/>
        <v>9.0472112020591098</v>
      </c>
      <c r="N392" s="7">
        <f t="shared" si="134"/>
        <v>8.8720000000000004E-5</v>
      </c>
      <c r="O392" s="326">
        <f t="shared" si="119"/>
        <v>25</v>
      </c>
      <c r="P392" s="224" t="str">
        <f t="shared" si="133"/>
        <v/>
      </c>
      <c r="Q392" s="224" t="str">
        <f t="shared" si="120"/>
        <v/>
      </c>
      <c r="R392" s="224"/>
      <c r="S392" s="271" t="str">
        <f t="shared" si="130"/>
        <v/>
      </c>
      <c r="T392" s="7" t="str">
        <f t="shared" si="131"/>
        <v/>
      </c>
      <c r="U392" s="7" t="str">
        <f t="shared" si="121"/>
        <v/>
      </c>
      <c r="V392" s="7" t="str">
        <f t="shared" si="122"/>
        <v/>
      </c>
      <c r="W392" s="7" t="str">
        <f>VLOOKUP(C392,'Tox Summary'!$N$3:$S$1048576,6,FALSE)</f>
        <v/>
      </c>
      <c r="X392" s="76" t="str">
        <f t="shared" si="123"/>
        <v/>
      </c>
      <c r="Y392" s="76" t="str">
        <f t="shared" si="124"/>
        <v/>
      </c>
      <c r="AA392" s="332"/>
    </row>
    <row r="393" spans="1:27">
      <c r="A393" s="98"/>
      <c r="B393" s="509" t="s">
        <v>2448</v>
      </c>
      <c r="C393" s="509" t="s">
        <v>2447</v>
      </c>
      <c r="D393" s="280" t="str">
        <f>VLOOKUP(B393, 'Chem Props'!$1:$1048576,3,FALSE)</f>
        <v>No</v>
      </c>
      <c r="E393" s="598" t="str">
        <f t="shared" si="125"/>
        <v>No</v>
      </c>
      <c r="F393" s="7" t="str">
        <f t="shared" si="116"/>
        <v>No (not volatile)</v>
      </c>
      <c r="G393" s="270" t="str">
        <f t="shared" si="132"/>
        <v>No (not volatile)</v>
      </c>
      <c r="H393" s="76" t="str">
        <f t="shared" si="126"/>
        <v>--</v>
      </c>
      <c r="I393" s="271" t="str">
        <f t="shared" si="127"/>
        <v>--</v>
      </c>
      <c r="J393" s="272" t="str">
        <f t="shared" si="128"/>
        <v>--</v>
      </c>
      <c r="K393" s="272" t="str">
        <f t="shared" si="129"/>
        <v>--</v>
      </c>
      <c r="L393" s="273" t="str">
        <f t="shared" si="117"/>
        <v>--</v>
      </c>
      <c r="M393" s="7">
        <f t="shared" si="118"/>
        <v>0.82132385189249824</v>
      </c>
      <c r="N393" s="7">
        <f t="shared" si="134"/>
        <v>3.663E-5</v>
      </c>
      <c r="O393" s="326">
        <f t="shared" si="119"/>
        <v>25</v>
      </c>
      <c r="P393" s="224"/>
      <c r="Q393" s="224" t="str">
        <f t="shared" si="120"/>
        <v/>
      </c>
      <c r="R393" s="224"/>
      <c r="S393" s="271" t="str">
        <f t="shared" si="130"/>
        <v/>
      </c>
      <c r="T393" s="7" t="str">
        <f t="shared" si="131"/>
        <v/>
      </c>
      <c r="U393" s="7" t="str">
        <f t="shared" si="121"/>
        <v/>
      </c>
      <c r="V393" s="7" t="str">
        <f t="shared" si="122"/>
        <v/>
      </c>
      <c r="W393" s="7" t="str">
        <f>VLOOKUP(C393,'Tox Summary'!$N$3:$S$1048576,6,FALSE)</f>
        <v/>
      </c>
      <c r="X393" s="76" t="str">
        <f t="shared" si="123"/>
        <v/>
      </c>
      <c r="Y393" s="76" t="str">
        <f t="shared" si="124"/>
        <v/>
      </c>
      <c r="Z393" s="243"/>
      <c r="AA393" s="243"/>
    </row>
    <row r="394" spans="1:27">
      <c r="A394" s="265" t="s">
        <v>1413</v>
      </c>
      <c r="B394" s="269" t="s">
        <v>957</v>
      </c>
      <c r="C394" s="269" t="s">
        <v>1176</v>
      </c>
      <c r="D394" s="280" t="str">
        <f>VLOOKUP(B394, 'Chem Props'!$1:$1048576,3,FALSE)</f>
        <v>No</v>
      </c>
      <c r="E394" s="598" t="str">
        <f t="shared" si="125"/>
        <v>No</v>
      </c>
      <c r="F394" s="7" t="str">
        <f t="shared" si="116"/>
        <v>No (not volatile)</v>
      </c>
      <c r="G394" s="270" t="str">
        <f t="shared" si="132"/>
        <v>No (not volatile)</v>
      </c>
      <c r="H394" s="76" t="str">
        <f t="shared" si="126"/>
        <v>--</v>
      </c>
      <c r="I394" s="271" t="str">
        <f t="shared" si="127"/>
        <v>--</v>
      </c>
      <c r="J394" s="272" t="str">
        <f t="shared" si="128"/>
        <v>--</v>
      </c>
      <c r="K394" s="272" t="str">
        <f t="shared" si="129"/>
        <v>--</v>
      </c>
      <c r="L394" s="273" t="str">
        <f t="shared" si="117"/>
        <v>--</v>
      </c>
      <c r="M394" s="7">
        <f t="shared" si="118"/>
        <v>121.3054501829112</v>
      </c>
      <c r="N394" s="7">
        <f t="shared" si="134"/>
        <v>120.89999999999999</v>
      </c>
      <c r="O394" s="326">
        <f t="shared" si="119"/>
        <v>25</v>
      </c>
      <c r="P394" s="224" t="str">
        <f>IF(VLOOKUP(B394,AllChemProps,32,FALSE)&gt;0,VLOOKUP(B394,AllChemProps,32,FALSE),"")</f>
        <v/>
      </c>
      <c r="Q394" s="224" t="str">
        <f t="shared" si="120"/>
        <v/>
      </c>
      <c r="R394" s="224"/>
      <c r="S394" s="271" t="str">
        <f t="shared" si="130"/>
        <v/>
      </c>
      <c r="T394" s="7" t="str">
        <f t="shared" si="131"/>
        <v/>
      </c>
      <c r="U394" s="7" t="str">
        <f t="shared" si="121"/>
        <v/>
      </c>
      <c r="V394" s="7" t="str">
        <f t="shared" si="122"/>
        <v/>
      </c>
      <c r="W394" s="7" t="str">
        <f>VLOOKUP(C394,'Tox Summary'!$N$3:$S$1048576,6,FALSE)</f>
        <v/>
      </c>
      <c r="X394" s="76" t="str">
        <f t="shared" si="123"/>
        <v/>
      </c>
      <c r="Y394" s="76" t="str">
        <f t="shared" si="124"/>
        <v/>
      </c>
      <c r="AA394" s="243"/>
    </row>
    <row r="395" spans="1:27">
      <c r="A395" s="265"/>
      <c r="B395" s="269" t="s">
        <v>959</v>
      </c>
      <c r="C395" s="269" t="s">
        <v>382</v>
      </c>
      <c r="D395" s="280" t="str">
        <f>VLOOKUP(B395, 'Chem Props'!$1:$1048576,3,FALSE)</f>
        <v>Yes</v>
      </c>
      <c r="E395" s="598" t="str">
        <f t="shared" si="125"/>
        <v>Yes</v>
      </c>
      <c r="F395" s="7" t="str">
        <f t="shared" si="116"/>
        <v>Yes</v>
      </c>
      <c r="G395" s="270" t="str">
        <f t="shared" si="132"/>
        <v>Yes</v>
      </c>
      <c r="H395" s="76">
        <f t="shared" si="126"/>
        <v>2.1597633136094677E-3</v>
      </c>
      <c r="I395" s="271" t="str">
        <f t="shared" si="127"/>
        <v>C</v>
      </c>
      <c r="J395" s="272">
        <f t="shared" si="128"/>
        <v>7.1992110453648922E-2</v>
      </c>
      <c r="K395" s="272">
        <f t="shared" si="129"/>
        <v>0.17968678771418911</v>
      </c>
      <c r="L395" s="273" t="str">
        <f t="shared" si="117"/>
        <v>Yes (0.4)</v>
      </c>
      <c r="M395" s="7">
        <f t="shared" si="118"/>
        <v>8035.158342832071</v>
      </c>
      <c r="N395" s="7">
        <f t="shared" si="134"/>
        <v>2163.5280000000002</v>
      </c>
      <c r="O395" s="326">
        <f t="shared" si="119"/>
        <v>25</v>
      </c>
      <c r="P395" s="224" t="str">
        <f>IF(VLOOKUP(B395,AllChemProps,32,FALSE)&gt;0,VLOOKUP(B395,AllChemProps,32,FALSE),"")</f>
        <v/>
      </c>
      <c r="Q395" s="224" t="str">
        <f t="shared" si="120"/>
        <v/>
      </c>
      <c r="R395" s="224"/>
      <c r="S395" s="271">
        <f t="shared" si="130"/>
        <v>1.2999999999999999E-3</v>
      </c>
      <c r="T395" s="7" t="str">
        <f t="shared" si="131"/>
        <v>I</v>
      </c>
      <c r="U395" s="7" t="str">
        <f t="shared" si="121"/>
        <v/>
      </c>
      <c r="V395" s="7" t="str">
        <f t="shared" si="122"/>
        <v/>
      </c>
      <c r="W395" s="7" t="str">
        <f>VLOOKUP(C395,'Tox Summary'!$N$3:$S$1048576,6,FALSE)</f>
        <v/>
      </c>
      <c r="X395" s="76">
        <f t="shared" si="123"/>
        <v>2.1597633136094677E-3</v>
      </c>
      <c r="Y395" s="76" t="str">
        <f t="shared" si="124"/>
        <v/>
      </c>
      <c r="AA395" s="243"/>
    </row>
    <row r="396" spans="1:27">
      <c r="A396" s="265"/>
      <c r="B396" s="269" t="s">
        <v>1</v>
      </c>
      <c r="C396" s="269" t="s">
        <v>1177</v>
      </c>
      <c r="D396" s="280" t="str">
        <f>VLOOKUP(B396, 'Chem Props'!$1:$1048576,3,FALSE)</f>
        <v>Yes</v>
      </c>
      <c r="E396" s="598" t="str">
        <f t="shared" si="125"/>
        <v>Yes</v>
      </c>
      <c r="F396" s="7" t="str">
        <f t="shared" si="116"/>
        <v>Yes</v>
      </c>
      <c r="G396" s="270" t="str">
        <f t="shared" si="132"/>
        <v>Yes</v>
      </c>
      <c r="H396" s="76">
        <f t="shared" si="126"/>
        <v>1.0798816568047338E-3</v>
      </c>
      <c r="I396" s="271" t="str">
        <f t="shared" si="127"/>
        <v>C</v>
      </c>
      <c r="J396" s="272">
        <f t="shared" si="128"/>
        <v>3.5996055226824461E-2</v>
      </c>
      <c r="K396" s="272">
        <f t="shared" si="129"/>
        <v>1.2578703049560092</v>
      </c>
      <c r="L396" s="273" t="str">
        <f t="shared" si="117"/>
        <v>No (0.2)</v>
      </c>
      <c r="M396" s="7">
        <f t="shared" si="118"/>
        <v>408.50231033437757</v>
      </c>
      <c r="N396" s="7">
        <f t="shared" si="134"/>
        <v>171.7</v>
      </c>
      <c r="O396" s="326">
        <f t="shared" si="119"/>
        <v>25</v>
      </c>
      <c r="P396" s="224" t="str">
        <f>IF(VLOOKUP(B396,AllChemProps,32,FALSE)&gt;0,VLOOKUP(B396,AllChemProps,32,FALSE),"")</f>
        <v/>
      </c>
      <c r="Q396" s="224" t="str">
        <f t="shared" si="120"/>
        <v/>
      </c>
      <c r="R396" s="224"/>
      <c r="S396" s="271">
        <f t="shared" si="130"/>
        <v>2.5999999999999999E-3</v>
      </c>
      <c r="T396" s="7" t="str">
        <f t="shared" si="131"/>
        <v>I</v>
      </c>
      <c r="U396" s="7" t="str">
        <f t="shared" si="121"/>
        <v/>
      </c>
      <c r="V396" s="7" t="str">
        <f t="shared" si="122"/>
        <v/>
      </c>
      <c r="W396" s="7" t="str">
        <f>VLOOKUP(C396,'Tox Summary'!$N$3:$S$1048576,6,FALSE)</f>
        <v/>
      </c>
      <c r="X396" s="76">
        <f t="shared" si="123"/>
        <v>1.0798816568047338E-3</v>
      </c>
      <c r="Y396" s="76" t="str">
        <f t="shared" si="124"/>
        <v/>
      </c>
      <c r="AA396" s="243"/>
    </row>
    <row r="397" spans="1:27">
      <c r="A397" s="265" t="s">
        <v>1413</v>
      </c>
      <c r="B397" s="274" t="s">
        <v>188</v>
      </c>
      <c r="C397" s="269" t="s">
        <v>2237</v>
      </c>
      <c r="D397" s="280" t="str">
        <f>VLOOKUP(B397, 'Chem Props'!$1:$1048576,3,FALSE)</f>
        <v>Yes</v>
      </c>
      <c r="E397" s="598" t="str">
        <f t="shared" si="125"/>
        <v>Yes</v>
      </c>
      <c r="F397" s="7" t="str">
        <f t="shared" si="116"/>
        <v>Yes</v>
      </c>
      <c r="G397" s="270" t="str">
        <f t="shared" si="132"/>
        <v>Yes</v>
      </c>
      <c r="H397" s="76">
        <f t="shared" si="126"/>
        <v>2.5524475524475523E-3</v>
      </c>
      <c r="I397" s="271" t="str">
        <f t="shared" si="127"/>
        <v>C</v>
      </c>
      <c r="J397" s="272">
        <f t="shared" si="128"/>
        <v>8.5081585081585087E-2</v>
      </c>
      <c r="K397" s="272" t="str">
        <f t="shared" si="129"/>
        <v>NVT</v>
      </c>
      <c r="L397" s="273" t="str">
        <f t="shared" si="117"/>
        <v>--</v>
      </c>
      <c r="M397" s="7">
        <f t="shared" si="118"/>
        <v>2.7653895397871415</v>
      </c>
      <c r="N397" s="7">
        <f t="shared" si="134"/>
        <v>1.5608184000000001</v>
      </c>
      <c r="O397" s="326">
        <f t="shared" si="119"/>
        <v>25</v>
      </c>
      <c r="P397" s="224" t="str">
        <f>IF(VLOOKUP(B397,AllChemProps,32,FALSE)&gt;0,VLOOKUP(B397,AllChemProps,32,FALSE),"")</f>
        <v/>
      </c>
      <c r="Q397" s="224" t="str">
        <f t="shared" si="120"/>
        <v/>
      </c>
      <c r="R397" s="224"/>
      <c r="S397" s="271">
        <f t="shared" si="130"/>
        <v>1.1000000000000001E-3</v>
      </c>
      <c r="T397" s="7" t="str">
        <f t="shared" si="131"/>
        <v>E</v>
      </c>
      <c r="U397" s="7">
        <f t="shared" si="121"/>
        <v>1.2999999999999999E-3</v>
      </c>
      <c r="V397" s="7" t="str">
        <f t="shared" si="122"/>
        <v>E</v>
      </c>
      <c r="W397" s="7" t="str">
        <f>VLOOKUP(C397,'Tox Summary'!$N$3:$S$1048576,6,FALSE)</f>
        <v/>
      </c>
      <c r="X397" s="76">
        <f t="shared" si="123"/>
        <v>2.5524475524475523E-3</v>
      </c>
      <c r="Y397" s="76">
        <f t="shared" si="124"/>
        <v>1.3557142857142854</v>
      </c>
      <c r="AA397" s="243"/>
    </row>
    <row r="398" spans="1:27">
      <c r="A398" s="265"/>
      <c r="B398" s="96" t="s">
        <v>2503</v>
      </c>
      <c r="C398" s="96" t="s">
        <v>2502</v>
      </c>
      <c r="D398" s="280" t="str">
        <f>VLOOKUP(B398, 'Chem Props'!$1:$1048576,3,FALSE)</f>
        <v>Yes</v>
      </c>
      <c r="E398" s="598" t="str">
        <f t="shared" si="125"/>
        <v>Yes</v>
      </c>
      <c r="F398" s="7" t="str">
        <f t="shared" si="116"/>
        <v>Yes</v>
      </c>
      <c r="G398" s="270" t="str">
        <f t="shared" si="132"/>
        <v>Yes</v>
      </c>
      <c r="H398" s="76">
        <f t="shared" si="126"/>
        <v>3.1285714285714286</v>
      </c>
      <c r="I398" s="271" t="str">
        <f t="shared" si="127"/>
        <v>NC</v>
      </c>
      <c r="J398" s="272">
        <f t="shared" si="128"/>
        <v>104.28571428571429</v>
      </c>
      <c r="K398" s="272">
        <f t="shared" si="129"/>
        <v>283.42616942414008</v>
      </c>
      <c r="L398" s="273" t="str">
        <f t="shared" si="117"/>
        <v>--</v>
      </c>
      <c r="M398" s="7">
        <f t="shared" si="118"/>
        <v>21628376.819560558</v>
      </c>
      <c r="N398" s="7">
        <f t="shared" si="134"/>
        <v>13798000</v>
      </c>
      <c r="O398" s="326">
        <f t="shared" si="119"/>
        <v>25</v>
      </c>
      <c r="P398" s="224" t="str">
        <f>IF(VLOOKUP(B398,AllChemProps,32,FALSE)&gt;0,VLOOKUP(B398,AllChemProps,32,FALSE),"")</f>
        <v/>
      </c>
      <c r="Q398" s="224" t="str">
        <f t="shared" si="120"/>
        <v/>
      </c>
      <c r="R398" s="224"/>
      <c r="S398" s="271" t="str">
        <f t="shared" si="130"/>
        <v/>
      </c>
      <c r="T398" s="7" t="str">
        <f t="shared" si="131"/>
        <v/>
      </c>
      <c r="U398" s="7">
        <f t="shared" si="121"/>
        <v>3.0000000000000001E-3</v>
      </c>
      <c r="V398" s="7" t="str">
        <f t="shared" si="122"/>
        <v>X</v>
      </c>
      <c r="W398" s="7" t="str">
        <f>VLOOKUP(C398,'Tox Summary'!$N$3:$S$1048576,6,FALSE)</f>
        <v/>
      </c>
      <c r="X398" s="76" t="str">
        <f t="shared" si="123"/>
        <v/>
      </c>
      <c r="Y398" s="76">
        <f t="shared" si="124"/>
        <v>3.1285714285714286</v>
      </c>
      <c r="AA398" s="332"/>
    </row>
    <row r="399" spans="1:27">
      <c r="A399" s="98"/>
      <c r="B399" s="509" t="s">
        <v>2450</v>
      </c>
      <c r="C399" s="509" t="s">
        <v>2449</v>
      </c>
      <c r="D399" s="280" t="str">
        <f>VLOOKUP(B399, 'Chem Props'!$1:$1048576,3,FALSE)</f>
        <v>Yes</v>
      </c>
      <c r="E399" s="598" t="str">
        <f t="shared" si="125"/>
        <v>Yes</v>
      </c>
      <c r="F399" s="7" t="str">
        <f t="shared" si="116"/>
        <v>Yes</v>
      </c>
      <c r="G399" s="270" t="str">
        <f t="shared" si="132"/>
        <v>Yes</v>
      </c>
      <c r="H399" s="76">
        <f t="shared" si="126"/>
        <v>417.14285714285717</v>
      </c>
      <c r="I399" s="271" t="str">
        <f t="shared" si="127"/>
        <v>NC</v>
      </c>
      <c r="J399" s="272">
        <f t="shared" si="128"/>
        <v>13904.761904761906</v>
      </c>
      <c r="K399" s="272">
        <f t="shared" si="129"/>
        <v>5.1016571312763812</v>
      </c>
      <c r="L399" s="273" t="str">
        <f t="shared" si="117"/>
        <v>--</v>
      </c>
      <c r="M399" s="7">
        <f t="shared" si="118"/>
        <v>248040206.83742684</v>
      </c>
      <c r="N399" s="7">
        <f t="shared" si="134"/>
        <v>278004906.59999996</v>
      </c>
      <c r="O399" s="326">
        <f t="shared" si="119"/>
        <v>25</v>
      </c>
      <c r="P399" s="224"/>
      <c r="Q399" s="224" t="str">
        <f t="shared" si="120"/>
        <v/>
      </c>
      <c r="R399" s="224"/>
      <c r="S399" s="271" t="str">
        <f t="shared" si="130"/>
        <v/>
      </c>
      <c r="T399" s="7" t="str">
        <f t="shared" si="131"/>
        <v/>
      </c>
      <c r="U399" s="7">
        <f t="shared" si="121"/>
        <v>0.4</v>
      </c>
      <c r="V399" s="7" t="str">
        <f t="shared" si="122"/>
        <v>P</v>
      </c>
      <c r="W399" s="7" t="str">
        <f>VLOOKUP(C399,'Tox Summary'!$N$3:$S$1048576,6,FALSE)</f>
        <v/>
      </c>
      <c r="X399" s="76" t="str">
        <f t="shared" si="123"/>
        <v/>
      </c>
      <c r="Y399" s="76">
        <f t="shared" si="124"/>
        <v>417.14285714285717</v>
      </c>
      <c r="Z399" s="243"/>
      <c r="AA399" s="243"/>
    </row>
    <row r="400" spans="1:27">
      <c r="A400" s="265"/>
      <c r="B400" s="344" t="s">
        <v>2</v>
      </c>
      <c r="C400" s="269" t="s">
        <v>1178</v>
      </c>
      <c r="D400" s="280" t="str">
        <f>VLOOKUP(B400, 'Chem Props'!$1:$1048576,3,FALSE)</f>
        <v>Yes</v>
      </c>
      <c r="E400" s="598" t="str">
        <f t="shared" si="125"/>
        <v>No</v>
      </c>
      <c r="F400" s="7" t="str">
        <f t="shared" si="116"/>
        <v>No Inhal. Tox. Info</v>
      </c>
      <c r="G400" s="270" t="str">
        <f t="shared" si="132"/>
        <v>No Inhal. Tox. Info</v>
      </c>
      <c r="H400" s="76" t="str">
        <f t="shared" si="126"/>
        <v>--</v>
      </c>
      <c r="I400" s="271" t="str">
        <f t="shared" si="127"/>
        <v>--</v>
      </c>
      <c r="J400" s="272" t="str">
        <f t="shared" si="128"/>
        <v>--</v>
      </c>
      <c r="K400" s="272" t="str">
        <f t="shared" si="129"/>
        <v>--</v>
      </c>
      <c r="L400" s="273" t="str">
        <f t="shared" si="117"/>
        <v>--</v>
      </c>
      <c r="M400" s="7">
        <f t="shared" si="118"/>
        <v>0.48370261728652275</v>
      </c>
      <c r="N400" s="7">
        <f t="shared" si="134"/>
        <v>0.183808</v>
      </c>
      <c r="O400" s="326">
        <f t="shared" si="119"/>
        <v>25</v>
      </c>
      <c r="P400" s="224" t="str">
        <f t="shared" ref="P400:P431" si="135">IF(VLOOKUP(B400,AllChemProps,32,FALSE)&gt;0,VLOOKUP(B400,AllChemProps,32,FALSE),"")</f>
        <v/>
      </c>
      <c r="Q400" s="224" t="str">
        <f t="shared" si="120"/>
        <v/>
      </c>
      <c r="R400" s="224"/>
      <c r="S400" s="271" t="str">
        <f t="shared" si="130"/>
        <v/>
      </c>
      <c r="T400" s="7" t="str">
        <f t="shared" si="131"/>
        <v/>
      </c>
      <c r="U400" s="7" t="str">
        <f t="shared" si="121"/>
        <v/>
      </c>
      <c r="V400" s="7" t="str">
        <f t="shared" si="122"/>
        <v/>
      </c>
      <c r="W400" s="7" t="str">
        <f>VLOOKUP(C400,'Tox Summary'!$N$3:$S$1048576,6,FALSE)</f>
        <v/>
      </c>
      <c r="X400" s="76" t="str">
        <f t="shared" si="123"/>
        <v/>
      </c>
      <c r="Y400" s="76" t="str">
        <f t="shared" si="124"/>
        <v/>
      </c>
      <c r="AA400" s="332"/>
    </row>
    <row r="401" spans="1:27">
      <c r="A401" s="265" t="s">
        <v>1413</v>
      </c>
      <c r="B401" s="344" t="s">
        <v>3</v>
      </c>
      <c r="C401" s="269" t="s">
        <v>535</v>
      </c>
      <c r="D401" s="280" t="str">
        <f>VLOOKUP(B401, 'Chem Props'!$1:$1048576,3,FALSE)</f>
        <v>No</v>
      </c>
      <c r="E401" s="598" t="str">
        <f t="shared" si="125"/>
        <v>No</v>
      </c>
      <c r="F401" s="7" t="str">
        <f t="shared" si="116"/>
        <v>No (not volatile)</v>
      </c>
      <c r="G401" s="270" t="str">
        <f t="shared" si="132"/>
        <v>No (not volatile)</v>
      </c>
      <c r="H401" s="76" t="str">
        <f t="shared" si="126"/>
        <v>--</v>
      </c>
      <c r="I401" s="271" t="str">
        <f t="shared" si="127"/>
        <v>--</v>
      </c>
      <c r="J401" s="272" t="str">
        <f t="shared" si="128"/>
        <v>--</v>
      </c>
      <c r="K401" s="272" t="str">
        <f t="shared" si="129"/>
        <v>--</v>
      </c>
      <c r="L401" s="273" t="str">
        <f t="shared" si="117"/>
        <v>--</v>
      </c>
      <c r="M401" s="7">
        <f t="shared" si="118"/>
        <v>200.85660898406644</v>
      </c>
      <c r="N401" s="7"/>
      <c r="O401" s="326">
        <f t="shared" si="119"/>
        <v>25</v>
      </c>
      <c r="P401" s="224" t="str">
        <f t="shared" si="135"/>
        <v/>
      </c>
      <c r="Q401" s="224" t="str">
        <f t="shared" si="120"/>
        <v/>
      </c>
      <c r="R401" s="224"/>
      <c r="S401" s="271" t="str">
        <f t="shared" si="130"/>
        <v/>
      </c>
      <c r="T401" s="7" t="str">
        <f t="shared" si="131"/>
        <v/>
      </c>
      <c r="U401" s="7" t="str">
        <f t="shared" si="121"/>
        <v/>
      </c>
      <c r="V401" s="7" t="str">
        <f t="shared" si="122"/>
        <v/>
      </c>
      <c r="W401" s="7" t="str">
        <f>VLOOKUP(C401,'Tox Summary'!$N$3:$S$1048576,6,FALSE)</f>
        <v/>
      </c>
      <c r="X401" s="76" t="str">
        <f t="shared" si="123"/>
        <v/>
      </c>
      <c r="Y401" s="76" t="str">
        <f t="shared" si="124"/>
        <v/>
      </c>
      <c r="AA401" s="332"/>
    </row>
    <row r="402" spans="1:27">
      <c r="A402" s="265"/>
      <c r="B402" s="344" t="s">
        <v>4</v>
      </c>
      <c r="C402" s="269" t="s">
        <v>383</v>
      </c>
      <c r="D402" s="280" t="str">
        <f>VLOOKUP(B402, 'Chem Props'!$1:$1048576,3,FALSE)</f>
        <v>Yes</v>
      </c>
      <c r="E402" s="598" t="str">
        <f t="shared" si="125"/>
        <v>Yes</v>
      </c>
      <c r="F402" s="7" t="str">
        <f t="shared" ref="F402:F465" si="136">IF(LEFT(D402,2)="No","No (not volatile)",IF(D402="unknown","unknown",IF(H402="NVT","No",IF(AND(X402="",Y402=""),"No Inhal. Tox. Info",IF(MIN(X402:Y402)&gt;=M402,"No",IF(M402&gt;H402,"Yes","No"))))))</f>
        <v>Yes</v>
      </c>
      <c r="G402" s="270" t="str">
        <f t="shared" si="132"/>
        <v>Yes</v>
      </c>
      <c r="H402" s="76">
        <f t="shared" si="126"/>
        <v>6.1036789297658862E-3</v>
      </c>
      <c r="I402" s="271" t="str">
        <f t="shared" si="127"/>
        <v>C</v>
      </c>
      <c r="J402" s="272">
        <f t="shared" si="128"/>
        <v>0.20345596432552954</v>
      </c>
      <c r="K402" s="272">
        <f t="shared" si="129"/>
        <v>8.7821202076595606E-2</v>
      </c>
      <c r="L402" s="273" t="str">
        <f t="shared" ref="L402:L465" si="137">IF(INDEX(MCL,MATCH(C402,ChemNameChem,0))="","--",IF(K402&lt;INDEX(MCL,MATCH(C402,ChemNameChem,0)),"Yes ("&amp;(INDEX(MCL,MATCH(C402,ChemNameChem,0)))&amp;")","No ("&amp;(INDEX(MCL,MATCH(C402,ChemNameChem,0)))&amp;")"))</f>
        <v>Yes (1)</v>
      </c>
      <c r="M402" s="7">
        <f t="shared" ref="M402:M465" si="138">IF(INDEX(_VP25,MATCH(B402,CASNoChem,0))="No VP","No VP",IF(INDEX(MW,MATCH(B402,CASNoChem,0))="No MW","No MW",INDEX(MW,MATCH(B402,CASNoChem,0))*INDEX(_VP25,MATCH(B402,CASNoChem,0))*53808.7856452378))</f>
        <v>275.82598756891474</v>
      </c>
      <c r="N402" s="7">
        <f t="shared" ref="N402:N425" si="139">IF(INDEX(HLC,MATCH(C402,ChemNameChem,0))="","No HLC",IF(INDEX(Sol,MATCH(C402,ChemNameChem,0))="No S","No S",INDEX(HLC,MATCH(C402,ChemNameChem,0))*INDEX(Sol,MATCH(C402,ChemNameChem,0))*1000000))</f>
        <v>430.90744000000001</v>
      </c>
      <c r="O402" s="326">
        <f t="shared" ref="O402:O465" si="140">IF(INDEX(HTgw,MATCH(B402,CASNoChem,0),1)="",25,Tgw)</f>
        <v>25</v>
      </c>
      <c r="P402" s="224" t="str">
        <f t="shared" si="135"/>
        <v/>
      </c>
      <c r="Q402" s="224" t="str">
        <f t="shared" ref="Q402:Q465" si="141">IF(INDEX(LELsource,MATCH(B402,CASNoChem,0),1)="","",INDEX(LELsource,MATCH(B402,CASNoChem,0),1))</f>
        <v/>
      </c>
      <c r="R402" s="224"/>
      <c r="S402" s="271">
        <f t="shared" si="130"/>
        <v>4.6000000000000001E-4</v>
      </c>
      <c r="T402" s="7" t="str">
        <f t="shared" si="131"/>
        <v>I</v>
      </c>
      <c r="U402" s="7" t="str">
        <f t="shared" ref="U402:U465" si="142">IF(INDEX(RFC,MATCH(B402,CASNoTox,0))=" ","",INDEX(RFC,MATCH(B402,CASNoTox,0)))</f>
        <v/>
      </c>
      <c r="V402" s="7" t="str">
        <f t="shared" ref="V402:V465" si="143">IF(INDEX(RFCSource,MATCH(B402,CASNoTox,0))="","",SUBSTITUTE(INDEX(RFCSource,MATCH(B402,CASNoTox,0)),"C","CA"))</f>
        <v/>
      </c>
      <c r="W402" s="7" t="str">
        <f>VLOOKUP(C402,'Tox Summary'!$N$3:$S$1048576,6,FALSE)</f>
        <v/>
      </c>
      <c r="X402" s="76">
        <f t="shared" ref="X402:X465" si="144">IF(S402="","",IF(W402&lt;&gt;"TCE",TCR/(IF(AND(W402="VC",Scenario="Residential"),S402,0)+(EF*IF(W402="Mut",MMOAAF,ED)*ET*S402/(Atc*365*24))), 1/((EF*MMOAAF*ET*mIURTCE/(TCR*Atc*365*24))+EF*ED*ET*IURTCE/(TCR*Atc*365*24))))</f>
        <v>6.1036789297658862E-3</v>
      </c>
      <c r="Y402" s="76" t="str">
        <f t="shared" ref="Y402:Y465" si="145">IF(U402="","",THQ*Atnc*365*24*U402*1000/(EF*ED*ET))</f>
        <v/>
      </c>
      <c r="AA402" s="332"/>
    </row>
    <row r="403" spans="1:27">
      <c r="A403" s="265" t="s">
        <v>1413</v>
      </c>
      <c r="B403" s="344" t="s">
        <v>191</v>
      </c>
      <c r="C403" s="269" t="s">
        <v>2238</v>
      </c>
      <c r="D403" s="280" t="str">
        <f>VLOOKUP(B403, 'Chem Props'!$1:$1048576,3,FALSE)</f>
        <v>Yes</v>
      </c>
      <c r="E403" s="598" t="str">
        <f t="shared" ref="E403:E466" si="146">IF(OR(ISNUMBER(S403),ISNUMBER(U403)),"Yes","No")</f>
        <v>Yes</v>
      </c>
      <c r="F403" s="7" t="str">
        <f t="shared" si="136"/>
        <v>Yes</v>
      </c>
      <c r="G403" s="270" t="str">
        <f t="shared" si="132"/>
        <v>Yes</v>
      </c>
      <c r="H403" s="76">
        <f t="shared" si="126"/>
        <v>2.5524475524475523E-3</v>
      </c>
      <c r="I403" s="271" t="str">
        <f t="shared" si="127"/>
        <v>C</v>
      </c>
      <c r="J403" s="272">
        <f t="shared" si="128"/>
        <v>8.5081585081585087E-2</v>
      </c>
      <c r="K403" s="272">
        <f t="shared" si="129"/>
        <v>0.4365919560144968</v>
      </c>
      <c r="L403" s="273" t="str">
        <f t="shared" si="137"/>
        <v>--</v>
      </c>
      <c r="M403" s="7">
        <f t="shared" si="138"/>
        <v>31.263808447481999</v>
      </c>
      <c r="N403" s="7">
        <f t="shared" si="139"/>
        <v>31.160778999999998</v>
      </c>
      <c r="O403" s="326">
        <f t="shared" si="140"/>
        <v>25</v>
      </c>
      <c r="P403" s="224" t="str">
        <f t="shared" si="135"/>
        <v/>
      </c>
      <c r="Q403" s="224" t="str">
        <f t="shared" si="141"/>
        <v/>
      </c>
      <c r="R403" s="224"/>
      <c r="S403" s="271">
        <f t="shared" si="130"/>
        <v>1.1000000000000001E-3</v>
      </c>
      <c r="T403" s="7" t="str">
        <f t="shared" si="131"/>
        <v>E</v>
      </c>
      <c r="U403" s="7">
        <f t="shared" si="142"/>
        <v>1.2999999999999999E-3</v>
      </c>
      <c r="V403" s="7" t="str">
        <f t="shared" si="143"/>
        <v>E</v>
      </c>
      <c r="W403" s="7" t="str">
        <f>VLOOKUP(C403,'Tox Summary'!$N$3:$S$1048576,6,FALSE)</f>
        <v/>
      </c>
      <c r="X403" s="76">
        <f t="shared" si="144"/>
        <v>2.5524475524475523E-3</v>
      </c>
      <c r="Y403" s="76">
        <f t="shared" si="145"/>
        <v>1.3557142857142854</v>
      </c>
      <c r="AA403" s="332"/>
    </row>
    <row r="404" spans="1:27">
      <c r="A404" s="265"/>
      <c r="B404" s="344" t="s">
        <v>190</v>
      </c>
      <c r="C404" s="269" t="s">
        <v>2239</v>
      </c>
      <c r="D404" s="280" t="str">
        <f>VLOOKUP(B404, 'Chem Props'!$1:$1048576,3,FALSE)</f>
        <v>Yes</v>
      </c>
      <c r="E404" s="598" t="str">
        <f t="shared" si="146"/>
        <v>Yes</v>
      </c>
      <c r="F404" s="7" t="str">
        <f t="shared" si="136"/>
        <v>Yes</v>
      </c>
      <c r="G404" s="270" t="str">
        <f t="shared" si="132"/>
        <v>Yes</v>
      </c>
      <c r="H404" s="76">
        <f t="shared" si="126"/>
        <v>2.5524475524475523E-3</v>
      </c>
      <c r="I404" s="271" t="str">
        <f t="shared" si="127"/>
        <v>C</v>
      </c>
      <c r="J404" s="272">
        <f t="shared" si="128"/>
        <v>8.5081585081585087E-2</v>
      </c>
      <c r="K404" s="272">
        <f t="shared" si="129"/>
        <v>0.38538562794575837</v>
      </c>
      <c r="L404" s="273" t="str">
        <f t="shared" si="137"/>
        <v>--</v>
      </c>
      <c r="M404" s="7">
        <f t="shared" si="138"/>
        <v>11.282156961482634</v>
      </c>
      <c r="N404" s="7">
        <f t="shared" si="139"/>
        <v>10.907583389999999</v>
      </c>
      <c r="O404" s="326">
        <f t="shared" si="140"/>
        <v>25</v>
      </c>
      <c r="P404" s="224" t="str">
        <f t="shared" si="135"/>
        <v/>
      </c>
      <c r="Q404" s="224" t="str">
        <f t="shared" si="141"/>
        <v/>
      </c>
      <c r="R404" s="224"/>
      <c r="S404" s="271">
        <f t="shared" si="130"/>
        <v>1.1000000000000001E-3</v>
      </c>
      <c r="T404" s="7" t="str">
        <f t="shared" si="131"/>
        <v>E</v>
      </c>
      <c r="U404" s="7">
        <f t="shared" si="142"/>
        <v>1.2999999999999999E-3</v>
      </c>
      <c r="V404" s="7" t="str">
        <f t="shared" si="143"/>
        <v>E</v>
      </c>
      <c r="W404" s="7" t="str">
        <f>VLOOKUP(C404,'Tox Summary'!$N$3:$S$1048576,6,FALSE)</f>
        <v/>
      </c>
      <c r="X404" s="76">
        <f t="shared" si="144"/>
        <v>2.5524475524475523E-3</v>
      </c>
      <c r="Y404" s="76">
        <f t="shared" si="145"/>
        <v>1.3557142857142854</v>
      </c>
      <c r="AA404" s="332"/>
    </row>
    <row r="405" spans="1:27">
      <c r="A405" s="265"/>
      <c r="B405" s="344" t="s">
        <v>189</v>
      </c>
      <c r="C405" s="269" t="s">
        <v>2240</v>
      </c>
      <c r="D405" s="280" t="str">
        <f>VLOOKUP(B405, 'Chem Props'!$1:$1048576,3,FALSE)</f>
        <v>Yes</v>
      </c>
      <c r="E405" s="598" t="str">
        <f t="shared" si="146"/>
        <v>Yes</v>
      </c>
      <c r="F405" s="7" t="str">
        <f t="shared" si="136"/>
        <v>Yes</v>
      </c>
      <c r="G405" s="270" t="str">
        <f t="shared" si="132"/>
        <v>Yes</v>
      </c>
      <c r="H405" s="76">
        <f t="shared" si="126"/>
        <v>2.5524475524475523E-3</v>
      </c>
      <c r="I405" s="271" t="str">
        <f t="shared" si="127"/>
        <v>C</v>
      </c>
      <c r="J405" s="272">
        <f t="shared" si="128"/>
        <v>8.5081585081585087E-2</v>
      </c>
      <c r="K405" s="272">
        <f t="shared" si="129"/>
        <v>0.91142565700680311</v>
      </c>
      <c r="L405" s="273" t="str">
        <f t="shared" si="137"/>
        <v>--</v>
      </c>
      <c r="M405" s="7">
        <f t="shared" si="138"/>
        <v>11.282156961482634</v>
      </c>
      <c r="N405" s="7">
        <f t="shared" si="139"/>
        <v>6.2311125000000001</v>
      </c>
      <c r="O405" s="326">
        <f t="shared" si="140"/>
        <v>25</v>
      </c>
      <c r="P405" s="224" t="str">
        <f t="shared" si="135"/>
        <v/>
      </c>
      <c r="Q405" s="224" t="str">
        <f t="shared" si="141"/>
        <v/>
      </c>
      <c r="R405" s="224"/>
      <c r="S405" s="271">
        <f t="shared" si="130"/>
        <v>1.1000000000000001E-3</v>
      </c>
      <c r="T405" s="7" t="str">
        <f t="shared" si="131"/>
        <v>E</v>
      </c>
      <c r="U405" s="7">
        <f t="shared" si="142"/>
        <v>1.2999999999999999E-3</v>
      </c>
      <c r="V405" s="7" t="str">
        <f t="shared" si="143"/>
        <v>E</v>
      </c>
      <c r="W405" s="7" t="str">
        <f>VLOOKUP(C405,'Tox Summary'!$N$3:$S$1048576,6,FALSE)</f>
        <v/>
      </c>
      <c r="X405" s="76">
        <f t="shared" si="144"/>
        <v>2.5524475524475523E-3</v>
      </c>
      <c r="Y405" s="76">
        <f t="shared" si="145"/>
        <v>1.3557142857142854</v>
      </c>
      <c r="AA405" s="332"/>
    </row>
    <row r="406" spans="1:27">
      <c r="A406" s="265"/>
      <c r="B406" s="344" t="s">
        <v>192</v>
      </c>
      <c r="C406" s="269" t="s">
        <v>2241</v>
      </c>
      <c r="D406" s="280" t="str">
        <f>VLOOKUP(B406, 'Chem Props'!$1:$1048576,3,FALSE)</f>
        <v>Yes</v>
      </c>
      <c r="E406" s="598" t="str">
        <f t="shared" si="146"/>
        <v>Yes</v>
      </c>
      <c r="F406" s="7" t="str">
        <f t="shared" si="136"/>
        <v>Yes</v>
      </c>
      <c r="G406" s="270" t="str">
        <f t="shared" si="132"/>
        <v>Yes</v>
      </c>
      <c r="H406" s="76">
        <f t="shared" si="126"/>
        <v>2.5524475524475519E-6</v>
      </c>
      <c r="I406" s="271" t="str">
        <f t="shared" si="127"/>
        <v>C</v>
      </c>
      <c r="J406" s="272">
        <f t="shared" si="128"/>
        <v>8.5081585081585063E-5</v>
      </c>
      <c r="K406" s="272">
        <f t="shared" si="129"/>
        <v>9.1142565700680302E-4</v>
      </c>
      <c r="L406" s="273" t="str">
        <f t="shared" si="137"/>
        <v>--</v>
      </c>
      <c r="M406" s="7">
        <f t="shared" si="138"/>
        <v>11.282156961482634</v>
      </c>
      <c r="N406" s="7">
        <f t="shared" si="139"/>
        <v>1.4282550000000003</v>
      </c>
      <c r="O406" s="326">
        <f t="shared" si="140"/>
        <v>25</v>
      </c>
      <c r="P406" s="224" t="str">
        <f t="shared" si="135"/>
        <v/>
      </c>
      <c r="Q406" s="224" t="str">
        <f t="shared" si="141"/>
        <v/>
      </c>
      <c r="R406" s="224"/>
      <c r="S406" s="271">
        <f t="shared" si="130"/>
        <v>1.1000000000000001</v>
      </c>
      <c r="T406" s="7" t="str">
        <f t="shared" si="131"/>
        <v>E</v>
      </c>
      <c r="U406" s="7">
        <f t="shared" si="142"/>
        <v>1.3E-6</v>
      </c>
      <c r="V406" s="7" t="str">
        <f t="shared" si="143"/>
        <v>E</v>
      </c>
      <c r="W406" s="7" t="str">
        <f>VLOOKUP(C406,'Tox Summary'!$N$3:$S$1048576,6,FALSE)</f>
        <v/>
      </c>
      <c r="X406" s="76">
        <f t="shared" si="144"/>
        <v>2.5524475524475519E-6</v>
      </c>
      <c r="Y406" s="76">
        <f t="shared" si="145"/>
        <v>1.3557142857142858E-3</v>
      </c>
      <c r="AA406" s="332"/>
    </row>
    <row r="407" spans="1:27">
      <c r="A407" s="265" t="s">
        <v>1413</v>
      </c>
      <c r="B407" s="344" t="s">
        <v>5</v>
      </c>
      <c r="C407" s="269" t="s">
        <v>1179</v>
      </c>
      <c r="D407" s="280" t="str">
        <f>VLOOKUP(B407, 'Chem Props'!$1:$1048576,3,FALSE)</f>
        <v>Yes</v>
      </c>
      <c r="E407" s="598" t="str">
        <f t="shared" si="146"/>
        <v>Yes</v>
      </c>
      <c r="F407" s="7" t="str">
        <f t="shared" si="136"/>
        <v>Yes</v>
      </c>
      <c r="G407" s="270" t="str">
        <f t="shared" si="132"/>
        <v>Yes</v>
      </c>
      <c r="H407" s="76">
        <f t="shared" si="126"/>
        <v>0.12762237762237763</v>
      </c>
      <c r="I407" s="271" t="str">
        <f t="shared" si="127"/>
        <v>C</v>
      </c>
      <c r="J407" s="272">
        <f t="shared" si="128"/>
        <v>4.2540792540792545</v>
      </c>
      <c r="K407" s="272">
        <f t="shared" si="129"/>
        <v>0.30307214636097596</v>
      </c>
      <c r="L407" s="273" t="str">
        <f t="shared" si="137"/>
        <v>--</v>
      </c>
      <c r="M407" s="7">
        <f t="shared" si="138"/>
        <v>3086859.3678674856</v>
      </c>
      <c r="N407" s="7">
        <f t="shared" si="139"/>
        <v>1347506.2400000002</v>
      </c>
      <c r="O407" s="326">
        <f t="shared" si="140"/>
        <v>25</v>
      </c>
      <c r="P407" s="224" t="str">
        <f t="shared" si="135"/>
        <v/>
      </c>
      <c r="Q407" s="224" t="str">
        <f t="shared" si="141"/>
        <v/>
      </c>
      <c r="R407" s="224"/>
      <c r="S407" s="271">
        <f t="shared" si="130"/>
        <v>2.1999999999999999E-5</v>
      </c>
      <c r="T407" s="7" t="str">
        <f t="shared" si="131"/>
        <v>I</v>
      </c>
      <c r="U407" s="7" t="str">
        <f t="shared" si="142"/>
        <v/>
      </c>
      <c r="V407" s="7" t="str">
        <f t="shared" si="143"/>
        <v/>
      </c>
      <c r="W407" s="7" t="str">
        <f>VLOOKUP(C407,'Tox Summary'!$N$3:$S$1048576,6,FALSE)</f>
        <v/>
      </c>
      <c r="X407" s="76">
        <f t="shared" si="144"/>
        <v>0.12762237762237763</v>
      </c>
      <c r="Y407" s="76" t="str">
        <f t="shared" si="145"/>
        <v/>
      </c>
      <c r="AA407" s="332"/>
    </row>
    <row r="408" spans="1:27">
      <c r="A408" s="265"/>
      <c r="B408" s="344" t="s">
        <v>6</v>
      </c>
      <c r="C408" s="269" t="s">
        <v>1180</v>
      </c>
      <c r="D408" s="280" t="str">
        <f>VLOOKUP(B408, 'Chem Props'!$1:$1048576,3,FALSE)</f>
        <v>No</v>
      </c>
      <c r="E408" s="598" t="str">
        <f t="shared" si="146"/>
        <v>Yes</v>
      </c>
      <c r="F408" s="7" t="str">
        <f t="shared" si="136"/>
        <v>No (not volatile)</v>
      </c>
      <c r="G408" s="270" t="str">
        <f t="shared" si="132"/>
        <v>No (not volatile)</v>
      </c>
      <c r="H408" s="76">
        <f t="shared" si="126"/>
        <v>1.5598290598290599E-3</v>
      </c>
      <c r="I408" s="271" t="str">
        <f t="shared" si="127"/>
        <v>C</v>
      </c>
      <c r="J408" s="272">
        <f t="shared" si="128"/>
        <v>5.1994301994301995E-2</v>
      </c>
      <c r="K408" s="272">
        <f t="shared" si="129"/>
        <v>5.6948852129575025</v>
      </c>
      <c r="L408" s="273" t="str">
        <f t="shared" si="137"/>
        <v>--</v>
      </c>
      <c r="M408" s="7">
        <f t="shared" si="138"/>
        <v>550.85216134799873</v>
      </c>
      <c r="N408" s="7">
        <f t="shared" si="139"/>
        <v>547.79999999999995</v>
      </c>
      <c r="O408" s="326">
        <f t="shared" si="140"/>
        <v>25</v>
      </c>
      <c r="P408" s="224" t="str">
        <f t="shared" si="135"/>
        <v/>
      </c>
      <c r="Q408" s="224" t="str">
        <f t="shared" si="141"/>
        <v/>
      </c>
      <c r="R408" s="224"/>
      <c r="S408" s="271">
        <f t="shared" si="130"/>
        <v>1.8E-3</v>
      </c>
      <c r="T408" s="7" t="str">
        <f t="shared" si="131"/>
        <v>I</v>
      </c>
      <c r="U408" s="7" t="str">
        <f t="shared" si="142"/>
        <v/>
      </c>
      <c r="V408" s="7" t="str">
        <f t="shared" si="143"/>
        <v/>
      </c>
      <c r="W408" s="7" t="str">
        <f>VLOOKUP(C408,'Tox Summary'!$N$3:$S$1048576,6,FALSE)</f>
        <v/>
      </c>
      <c r="X408" s="76">
        <f t="shared" si="144"/>
        <v>1.5598290598290599E-3</v>
      </c>
      <c r="Y408" s="76" t="str">
        <f t="shared" si="145"/>
        <v/>
      </c>
      <c r="AA408" s="332"/>
    </row>
    <row r="409" spans="1:27">
      <c r="A409" s="265"/>
      <c r="B409" s="344" t="s">
        <v>7</v>
      </c>
      <c r="C409" s="269" t="s">
        <v>1181</v>
      </c>
      <c r="D409" s="280" t="str">
        <f>VLOOKUP(B409, 'Chem Props'!$1:$1048576,3,FALSE)</f>
        <v>No</v>
      </c>
      <c r="E409" s="598" t="str">
        <f t="shared" si="146"/>
        <v>Yes</v>
      </c>
      <c r="F409" s="7" t="str">
        <f t="shared" si="136"/>
        <v>No (not volatile)</v>
      </c>
      <c r="G409" s="270" t="str">
        <f t="shared" si="132"/>
        <v>No (not volatile)</v>
      </c>
      <c r="H409" s="76">
        <f t="shared" si="126"/>
        <v>5.2975326560232216E-3</v>
      </c>
      <c r="I409" s="271" t="str">
        <f t="shared" si="127"/>
        <v>C</v>
      </c>
      <c r="J409" s="272">
        <f t="shared" si="128"/>
        <v>0.17658442186744072</v>
      </c>
      <c r="K409" s="272" t="str">
        <f t="shared" si="129"/>
        <v>NVT</v>
      </c>
      <c r="L409" s="273" t="str">
        <f t="shared" si="137"/>
        <v>--</v>
      </c>
      <c r="M409" s="7">
        <f t="shared" si="138"/>
        <v>5.6337152865136231</v>
      </c>
      <c r="N409" s="7">
        <f t="shared" si="139"/>
        <v>4.32</v>
      </c>
      <c r="O409" s="326">
        <f t="shared" si="140"/>
        <v>25</v>
      </c>
      <c r="P409" s="224" t="str">
        <f t="shared" si="135"/>
        <v/>
      </c>
      <c r="Q409" s="224" t="str">
        <f t="shared" si="141"/>
        <v/>
      </c>
      <c r="R409" s="224"/>
      <c r="S409" s="271">
        <f t="shared" si="130"/>
        <v>5.2999999999999998E-4</v>
      </c>
      <c r="T409" s="7" t="str">
        <f t="shared" si="131"/>
        <v>I</v>
      </c>
      <c r="U409" s="7" t="str">
        <f t="shared" si="142"/>
        <v/>
      </c>
      <c r="V409" s="7" t="str">
        <f t="shared" si="143"/>
        <v/>
      </c>
      <c r="W409" s="7" t="str">
        <f>VLOOKUP(C409,'Tox Summary'!$N$3:$S$1048576,6,FALSE)</f>
        <v/>
      </c>
      <c r="X409" s="76">
        <f t="shared" si="144"/>
        <v>5.2975326560232216E-3</v>
      </c>
      <c r="Y409" s="76" t="str">
        <f t="shared" si="145"/>
        <v/>
      </c>
      <c r="AA409" s="332"/>
    </row>
    <row r="410" spans="1:27">
      <c r="A410" s="265"/>
      <c r="B410" s="269" t="s">
        <v>8</v>
      </c>
      <c r="C410" s="269" t="s">
        <v>1182</v>
      </c>
      <c r="D410" s="280" t="str">
        <f>VLOOKUP(B410, 'Chem Props'!$1:$1048576,3,FALSE)</f>
        <v>No</v>
      </c>
      <c r="E410" s="598" t="str">
        <f t="shared" si="146"/>
        <v>Yes</v>
      </c>
      <c r="F410" s="7" t="str">
        <f t="shared" si="136"/>
        <v>No (not volatile)</v>
      </c>
      <c r="G410" s="270" t="str">
        <f t="shared" si="132"/>
        <v>No (not volatile)</v>
      </c>
      <c r="H410" s="76">
        <f t="shared" si="126"/>
        <v>9.0570719602977665E-3</v>
      </c>
      <c r="I410" s="271" t="str">
        <f t="shared" si="127"/>
        <v>C</v>
      </c>
      <c r="J410" s="272">
        <f t="shared" si="128"/>
        <v>0.30190239867659224</v>
      </c>
      <c r="K410" s="272">
        <f t="shared" si="129"/>
        <v>43.108386293659052</v>
      </c>
      <c r="L410" s="273" t="str">
        <f t="shared" si="137"/>
        <v>No (0.2)</v>
      </c>
      <c r="M410" s="7">
        <f t="shared" si="138"/>
        <v>657.26678342658931</v>
      </c>
      <c r="N410" s="7">
        <f t="shared" si="139"/>
        <v>1533.73</v>
      </c>
      <c r="O410" s="326">
        <f t="shared" si="140"/>
        <v>25</v>
      </c>
      <c r="P410" s="224" t="str">
        <f t="shared" si="135"/>
        <v/>
      </c>
      <c r="Q410" s="224" t="str">
        <f t="shared" si="141"/>
        <v/>
      </c>
      <c r="R410" s="224"/>
      <c r="S410" s="271">
        <f t="shared" si="130"/>
        <v>3.1E-4</v>
      </c>
      <c r="T410" s="7" t="str">
        <f t="shared" si="131"/>
        <v>CA</v>
      </c>
      <c r="U410" s="7" t="str">
        <f t="shared" si="142"/>
        <v/>
      </c>
      <c r="V410" s="7" t="str">
        <f t="shared" si="143"/>
        <v/>
      </c>
      <c r="W410" s="7" t="str">
        <f>VLOOKUP(C410,'Tox Summary'!$N$3:$S$1048576,6,FALSE)</f>
        <v/>
      </c>
      <c r="X410" s="76">
        <f t="shared" si="144"/>
        <v>9.0570719602977665E-3</v>
      </c>
      <c r="Y410" s="76" t="str">
        <f t="shared" si="145"/>
        <v/>
      </c>
      <c r="AA410" s="243"/>
    </row>
    <row r="411" spans="1:27">
      <c r="A411" s="265"/>
      <c r="B411" s="344" t="s">
        <v>9</v>
      </c>
      <c r="C411" s="269" t="s">
        <v>1183</v>
      </c>
      <c r="D411" s="280" t="str">
        <f>VLOOKUP(B411, 'Chem Props'!$1:$1048576,3,FALSE)</f>
        <v>No</v>
      </c>
      <c r="E411" s="598" t="str">
        <f t="shared" si="146"/>
        <v>Yes</v>
      </c>
      <c r="F411" s="7" t="str">
        <f t="shared" si="136"/>
        <v>No (not volatile)</v>
      </c>
      <c r="G411" s="270" t="str">
        <f t="shared" si="132"/>
        <v>No (not volatile)</v>
      </c>
      <c r="H411" s="76">
        <f t="shared" si="126"/>
        <v>5.5052790346907989E-3</v>
      </c>
      <c r="I411" s="271" t="str">
        <f t="shared" si="127"/>
        <v>C</v>
      </c>
      <c r="J411" s="272">
        <f t="shared" si="128"/>
        <v>0.18350930115635997</v>
      </c>
      <c r="K411" s="272">
        <f t="shared" si="129"/>
        <v>26.20313676673393</v>
      </c>
      <c r="L411" s="273" t="str">
        <f t="shared" si="137"/>
        <v>--</v>
      </c>
      <c r="M411" s="7">
        <f t="shared" si="138"/>
        <v>550.85216134799873</v>
      </c>
      <c r="N411" s="7">
        <f t="shared" si="139"/>
        <v>1680.8000000000002</v>
      </c>
      <c r="O411" s="326">
        <f t="shared" si="140"/>
        <v>25</v>
      </c>
      <c r="P411" s="224" t="str">
        <f t="shared" si="135"/>
        <v/>
      </c>
      <c r="Q411" s="224" t="str">
        <f t="shared" si="141"/>
        <v/>
      </c>
      <c r="R411" s="224"/>
      <c r="S411" s="271">
        <f t="shared" si="130"/>
        <v>5.1000000000000004E-4</v>
      </c>
      <c r="T411" s="7" t="str">
        <f t="shared" si="131"/>
        <v>I</v>
      </c>
      <c r="U411" s="7" t="str">
        <f t="shared" si="142"/>
        <v/>
      </c>
      <c r="V411" s="7" t="str">
        <f t="shared" si="143"/>
        <v/>
      </c>
      <c r="W411" s="7" t="str">
        <f>VLOOKUP(C411,'Tox Summary'!$N$3:$S$1048576,6,FALSE)</f>
        <v/>
      </c>
      <c r="X411" s="76">
        <f t="shared" si="144"/>
        <v>5.5052790346907989E-3</v>
      </c>
      <c r="Y411" s="76" t="str">
        <f t="shared" si="145"/>
        <v/>
      </c>
      <c r="AA411" s="332"/>
    </row>
    <row r="412" spans="1:27">
      <c r="A412" s="265"/>
      <c r="B412" s="344" t="s">
        <v>10</v>
      </c>
      <c r="C412" s="269" t="s">
        <v>384</v>
      </c>
      <c r="D412" s="280" t="str">
        <f>VLOOKUP(B412, 'Chem Props'!$1:$1048576,3,FALSE)</f>
        <v>Yes</v>
      </c>
      <c r="E412" s="598" t="str">
        <f t="shared" si="146"/>
        <v>Yes</v>
      </c>
      <c r="F412" s="7" t="str">
        <f t="shared" si="136"/>
        <v>Yes</v>
      </c>
      <c r="G412" s="270" t="str">
        <f t="shared" si="132"/>
        <v>Yes</v>
      </c>
      <c r="H412" s="76">
        <f t="shared" si="126"/>
        <v>0.20857142857142857</v>
      </c>
      <c r="I412" s="271" t="str">
        <f t="shared" si="127"/>
        <v>NC</v>
      </c>
      <c r="J412" s="272">
        <f t="shared" si="128"/>
        <v>6.9523809523809526</v>
      </c>
      <c r="K412" s="272">
        <f t="shared" si="129"/>
        <v>0.18895026608985932</v>
      </c>
      <c r="L412" s="273" t="str">
        <f t="shared" si="137"/>
        <v>Yes (50)</v>
      </c>
      <c r="M412" s="7">
        <f t="shared" si="138"/>
        <v>880645.34762709076</v>
      </c>
      <c r="N412" s="7">
        <f t="shared" si="139"/>
        <v>1986917.4</v>
      </c>
      <c r="O412" s="326">
        <f t="shared" si="140"/>
        <v>25</v>
      </c>
      <c r="P412" s="224" t="str">
        <f t="shared" si="135"/>
        <v/>
      </c>
      <c r="Q412" s="224" t="str">
        <f t="shared" si="141"/>
        <v/>
      </c>
      <c r="R412" s="224"/>
      <c r="S412" s="271" t="str">
        <f t="shared" si="130"/>
        <v/>
      </c>
      <c r="T412" s="7" t="str">
        <f t="shared" si="131"/>
        <v/>
      </c>
      <c r="U412" s="7">
        <f t="shared" si="142"/>
        <v>2.0000000000000001E-4</v>
      </c>
      <c r="V412" s="7" t="str">
        <f t="shared" si="143"/>
        <v>I</v>
      </c>
      <c r="W412" s="7" t="str">
        <f>VLOOKUP(C412,'Tox Summary'!$N$3:$S$1048576,6,FALSE)</f>
        <v/>
      </c>
      <c r="X412" s="76" t="str">
        <f t="shared" si="144"/>
        <v/>
      </c>
      <c r="Y412" s="76">
        <f t="shared" si="145"/>
        <v>0.20857142857142857</v>
      </c>
      <c r="AA412" s="332"/>
    </row>
    <row r="413" spans="1:27">
      <c r="A413" s="265"/>
      <c r="B413" s="344" t="s">
        <v>2176</v>
      </c>
      <c r="C413" s="269" t="s">
        <v>2410</v>
      </c>
      <c r="D413" s="280" t="str">
        <f>VLOOKUP(B413, 'Chem Props'!$1:$1048576,3,FALSE)</f>
        <v>No</v>
      </c>
      <c r="E413" s="598" t="str">
        <f t="shared" si="146"/>
        <v>Yes</v>
      </c>
      <c r="F413" s="7" t="str">
        <f t="shared" si="136"/>
        <v>No (not volatile)</v>
      </c>
      <c r="G413" s="270" t="str">
        <f t="shared" si="132"/>
        <v>No (not volatile)</v>
      </c>
      <c r="H413" s="76">
        <f t="shared" si="126"/>
        <v>2.1597633136094676E-6</v>
      </c>
      <c r="I413" s="271" t="str">
        <f t="shared" si="127"/>
        <v>C</v>
      </c>
      <c r="J413" s="272">
        <f t="shared" si="128"/>
        <v>7.1992110453648924E-5</v>
      </c>
      <c r="K413" s="272" t="str">
        <f t="shared" si="129"/>
        <v>NVT</v>
      </c>
      <c r="L413" s="273" t="str">
        <f t="shared" si="137"/>
        <v>--</v>
      </c>
      <c r="M413" s="7">
        <f t="shared" si="138"/>
        <v>9.2541856198678047E-4</v>
      </c>
      <c r="N413" s="7">
        <f t="shared" si="139"/>
        <v>9.3199999999999989E-4</v>
      </c>
      <c r="O413" s="326">
        <f t="shared" si="140"/>
        <v>25</v>
      </c>
      <c r="P413" s="224" t="str">
        <f t="shared" si="135"/>
        <v/>
      </c>
      <c r="Q413" s="224" t="str">
        <f t="shared" si="141"/>
        <v/>
      </c>
      <c r="R413" s="224"/>
      <c r="S413" s="271">
        <f t="shared" si="130"/>
        <v>1.3</v>
      </c>
      <c r="T413" s="7" t="str">
        <f t="shared" si="131"/>
        <v>I</v>
      </c>
      <c r="U413" s="7" t="str">
        <f t="shared" si="142"/>
        <v/>
      </c>
      <c r="V413" s="7" t="str">
        <f t="shared" si="143"/>
        <v/>
      </c>
      <c r="W413" s="7" t="str">
        <f>VLOOKUP(C413,'Tox Summary'!$N$3:$S$1048576,6,FALSE)</f>
        <v/>
      </c>
      <c r="X413" s="76">
        <f t="shared" si="144"/>
        <v>2.1597633136094676E-6</v>
      </c>
      <c r="Y413" s="76" t="str">
        <f t="shared" si="145"/>
        <v/>
      </c>
      <c r="AA413" s="332"/>
    </row>
    <row r="414" spans="1:27">
      <c r="A414" s="265"/>
      <c r="B414" s="344" t="s">
        <v>11</v>
      </c>
      <c r="C414" s="269" t="s">
        <v>385</v>
      </c>
      <c r="D414" s="280" t="str">
        <f>VLOOKUP(B414, 'Chem Props'!$1:$1048576,3,FALSE)</f>
        <v>Yes</v>
      </c>
      <c r="E414" s="598" t="str">
        <f t="shared" si="146"/>
        <v>Yes</v>
      </c>
      <c r="F414" s="7" t="str">
        <f t="shared" si="136"/>
        <v>Yes</v>
      </c>
      <c r="G414" s="270" t="str">
        <f t="shared" si="132"/>
        <v>Yes</v>
      </c>
      <c r="H414" s="76">
        <f t="shared" si="126"/>
        <v>0.25524475524475526</v>
      </c>
      <c r="I414" s="271" t="str">
        <f t="shared" si="127"/>
        <v>C</v>
      </c>
      <c r="J414" s="272">
        <f t="shared" si="128"/>
        <v>8.5081585081585089</v>
      </c>
      <c r="K414" s="272">
        <f t="shared" si="129"/>
        <v>1.6049576146963394</v>
      </c>
      <c r="L414" s="273" t="str">
        <f t="shared" si="137"/>
        <v>--</v>
      </c>
      <c r="M414" s="7">
        <f t="shared" si="138"/>
        <v>2675125.3018672555</v>
      </c>
      <c r="N414" s="7">
        <f t="shared" si="139"/>
        <v>7951759.9999999991</v>
      </c>
      <c r="O414" s="326">
        <f t="shared" si="140"/>
        <v>25</v>
      </c>
      <c r="P414" s="224" t="str">
        <f t="shared" si="135"/>
        <v/>
      </c>
      <c r="Q414" s="224" t="str">
        <f t="shared" si="141"/>
        <v/>
      </c>
      <c r="R414" s="224"/>
      <c r="S414" s="271">
        <f t="shared" si="130"/>
        <v>1.1E-5</v>
      </c>
      <c r="T414" s="7" t="str">
        <f t="shared" si="131"/>
        <v>CA</v>
      </c>
      <c r="U414" s="7">
        <f t="shared" si="142"/>
        <v>0.03</v>
      </c>
      <c r="V414" s="7" t="str">
        <f t="shared" si="143"/>
        <v>I</v>
      </c>
      <c r="W414" s="7" t="str">
        <f>VLOOKUP(C414,'Tox Summary'!$N$3:$S$1048576,6,FALSE)</f>
        <v/>
      </c>
      <c r="X414" s="76">
        <f t="shared" si="144"/>
        <v>0.25524475524475526</v>
      </c>
      <c r="Y414" s="76">
        <f t="shared" si="145"/>
        <v>31.285714285714285</v>
      </c>
      <c r="AA414" s="332"/>
    </row>
    <row r="415" spans="1:27">
      <c r="A415" s="265"/>
      <c r="B415" s="344" t="s">
        <v>12</v>
      </c>
      <c r="C415" s="269" t="s">
        <v>1184</v>
      </c>
      <c r="D415" s="280" t="str">
        <f>VLOOKUP(B415, 'Chem Props'!$1:$1048576,3,FALSE)</f>
        <v>No</v>
      </c>
      <c r="E415" s="598" t="str">
        <f t="shared" si="146"/>
        <v>No</v>
      </c>
      <c r="F415" s="7" t="str">
        <f t="shared" si="136"/>
        <v>No (not volatile)</v>
      </c>
      <c r="G415" s="270" t="str">
        <f t="shared" si="132"/>
        <v>No (not volatile)</v>
      </c>
      <c r="H415" s="76" t="str">
        <f t="shared" si="126"/>
        <v>--</v>
      </c>
      <c r="I415" s="271" t="str">
        <f t="shared" si="127"/>
        <v>--</v>
      </c>
      <c r="J415" s="272" t="str">
        <f t="shared" si="128"/>
        <v>--</v>
      </c>
      <c r="K415" s="272" t="str">
        <f t="shared" si="129"/>
        <v>--</v>
      </c>
      <c r="L415" s="273" t="str">
        <f t="shared" si="137"/>
        <v>--</v>
      </c>
      <c r="M415" s="7">
        <f t="shared" si="138"/>
        <v>2.2552192955910826E-3</v>
      </c>
      <c r="N415" s="7">
        <f t="shared" si="139"/>
        <v>3.1360000000000003E-3</v>
      </c>
      <c r="O415" s="326">
        <f t="shared" si="140"/>
        <v>25</v>
      </c>
      <c r="P415" s="224" t="str">
        <f t="shared" si="135"/>
        <v/>
      </c>
      <c r="Q415" s="224" t="str">
        <f t="shared" si="141"/>
        <v/>
      </c>
      <c r="R415" s="224"/>
      <c r="S415" s="271" t="str">
        <f t="shared" si="130"/>
        <v/>
      </c>
      <c r="T415" s="7" t="str">
        <f t="shared" si="131"/>
        <v/>
      </c>
      <c r="U415" s="7" t="str">
        <f t="shared" si="142"/>
        <v/>
      </c>
      <c r="V415" s="7" t="str">
        <f t="shared" si="143"/>
        <v/>
      </c>
      <c r="W415" s="7" t="str">
        <f>VLOOKUP(C415,'Tox Summary'!$N$3:$S$1048576,6,FALSE)</f>
        <v/>
      </c>
      <c r="X415" s="76" t="str">
        <f t="shared" si="144"/>
        <v/>
      </c>
      <c r="Y415" s="76" t="str">
        <f t="shared" si="145"/>
        <v/>
      </c>
      <c r="AA415" s="332"/>
    </row>
    <row r="416" spans="1:27">
      <c r="A416" s="265"/>
      <c r="B416" s="344" t="s">
        <v>13</v>
      </c>
      <c r="C416" s="269" t="s">
        <v>1185</v>
      </c>
      <c r="D416" s="280" t="str">
        <f>VLOOKUP(B416, 'Chem Props'!$1:$1048576,3,FALSE)</f>
        <v>No</v>
      </c>
      <c r="E416" s="598" t="str">
        <f t="shared" si="146"/>
        <v>No</v>
      </c>
      <c r="F416" s="7" t="str">
        <f t="shared" si="136"/>
        <v>No (not volatile)</v>
      </c>
      <c r="G416" s="270" t="str">
        <f t="shared" si="132"/>
        <v>No (not volatile)</v>
      </c>
      <c r="H416" s="76" t="str">
        <f t="shared" si="126"/>
        <v>--</v>
      </c>
      <c r="I416" s="271" t="str">
        <f t="shared" si="127"/>
        <v>--</v>
      </c>
      <c r="J416" s="272" t="str">
        <f t="shared" si="128"/>
        <v>--</v>
      </c>
      <c r="K416" s="272" t="str">
        <f t="shared" si="129"/>
        <v>--</v>
      </c>
      <c r="L416" s="273" t="str">
        <f t="shared" si="137"/>
        <v>--</v>
      </c>
      <c r="M416" s="7">
        <f t="shared" si="138"/>
        <v>4.9003230616832906E-2</v>
      </c>
      <c r="N416" s="7">
        <f t="shared" si="139"/>
        <v>4.905549E-2</v>
      </c>
      <c r="O416" s="326">
        <f t="shared" si="140"/>
        <v>25</v>
      </c>
      <c r="P416" s="224" t="str">
        <f t="shared" si="135"/>
        <v/>
      </c>
      <c r="Q416" s="224" t="str">
        <f t="shared" si="141"/>
        <v/>
      </c>
      <c r="R416" s="224"/>
      <c r="S416" s="271" t="str">
        <f t="shared" si="130"/>
        <v/>
      </c>
      <c r="T416" s="7" t="str">
        <f t="shared" si="131"/>
        <v/>
      </c>
      <c r="U416" s="7" t="str">
        <f t="shared" si="142"/>
        <v/>
      </c>
      <c r="V416" s="7" t="str">
        <f t="shared" si="143"/>
        <v/>
      </c>
      <c r="W416" s="7" t="str">
        <f>VLOOKUP(C416,'Tox Summary'!$N$3:$S$1048576,6,FALSE)</f>
        <v/>
      </c>
      <c r="X416" s="76" t="str">
        <f t="shared" si="144"/>
        <v/>
      </c>
      <c r="Y416" s="76" t="str">
        <f t="shared" si="145"/>
        <v/>
      </c>
      <c r="AA416" s="332"/>
    </row>
    <row r="417" spans="1:27">
      <c r="A417" s="265"/>
      <c r="B417" s="344" t="s">
        <v>14</v>
      </c>
      <c r="C417" s="269" t="s">
        <v>1186</v>
      </c>
      <c r="D417" s="280" t="str">
        <f>VLOOKUP(B417, 'Chem Props'!$1:$1048576,3,FALSE)</f>
        <v>Yes</v>
      </c>
      <c r="E417" s="598" t="str">
        <f t="shared" si="146"/>
        <v>Yes</v>
      </c>
      <c r="F417" s="7" t="str">
        <f t="shared" si="136"/>
        <v>Yes</v>
      </c>
      <c r="G417" s="270" t="str">
        <f t="shared" si="132"/>
        <v>Yes</v>
      </c>
      <c r="H417" s="76">
        <f t="shared" si="126"/>
        <v>1.0428571428571428E-2</v>
      </c>
      <c r="I417" s="271" t="str">
        <f t="shared" si="127"/>
        <v>NC</v>
      </c>
      <c r="J417" s="272">
        <f t="shared" si="128"/>
        <v>0.34761904761904761</v>
      </c>
      <c r="K417" s="272">
        <f t="shared" si="129"/>
        <v>5.3141925339234755</v>
      </c>
      <c r="L417" s="273" t="str">
        <f t="shared" si="137"/>
        <v>--</v>
      </c>
      <c r="M417" s="7">
        <f t="shared" si="138"/>
        <v>271519.13236586988</v>
      </c>
      <c r="N417" s="7">
        <f t="shared" si="139"/>
        <v>229600.8</v>
      </c>
      <c r="O417" s="326">
        <f t="shared" si="140"/>
        <v>25</v>
      </c>
      <c r="P417" s="224" t="str">
        <f t="shared" si="135"/>
        <v/>
      </c>
      <c r="Q417" s="224" t="str">
        <f t="shared" si="141"/>
        <v/>
      </c>
      <c r="R417" s="224"/>
      <c r="S417" s="271" t="str">
        <f t="shared" si="130"/>
        <v/>
      </c>
      <c r="T417" s="7" t="str">
        <f t="shared" si="131"/>
        <v/>
      </c>
      <c r="U417" s="7">
        <f t="shared" si="142"/>
        <v>1.0000000000000001E-5</v>
      </c>
      <c r="V417" s="7" t="str">
        <f t="shared" si="143"/>
        <v>I</v>
      </c>
      <c r="W417" s="7" t="str">
        <f>VLOOKUP(C417,'Tox Summary'!$N$3:$S$1048576,6,FALSE)</f>
        <v/>
      </c>
      <c r="X417" s="76" t="str">
        <f t="shared" si="144"/>
        <v/>
      </c>
      <c r="Y417" s="76">
        <f t="shared" si="145"/>
        <v>1.0428571428571428E-2</v>
      </c>
      <c r="AA417" s="332"/>
    </row>
    <row r="418" spans="1:27">
      <c r="A418" s="265"/>
      <c r="B418" s="344" t="s">
        <v>1833</v>
      </c>
      <c r="C418" s="269" t="s">
        <v>1832</v>
      </c>
      <c r="D418" s="280" t="str">
        <f>VLOOKUP(B418, 'Chem Props'!$1:$1048576,3,FALSE)</f>
        <v>No</v>
      </c>
      <c r="E418" s="598" t="str">
        <f t="shared" si="146"/>
        <v>No</v>
      </c>
      <c r="F418" s="7" t="str">
        <f t="shared" si="136"/>
        <v>No (not volatile)</v>
      </c>
      <c r="G418" s="270" t="str">
        <f t="shared" si="132"/>
        <v>No (not volatile)</v>
      </c>
      <c r="H418" s="76" t="str">
        <f t="shared" si="126"/>
        <v>--</v>
      </c>
      <c r="I418" s="271" t="str">
        <f t="shared" si="127"/>
        <v>--</v>
      </c>
      <c r="J418" s="272" t="str">
        <f t="shared" si="128"/>
        <v>--</v>
      </c>
      <c r="K418" s="272" t="str">
        <f t="shared" si="129"/>
        <v>--</v>
      </c>
      <c r="L418" s="273" t="str">
        <f t="shared" si="137"/>
        <v>--</v>
      </c>
      <c r="M418" s="7">
        <f t="shared" si="138"/>
        <v>443556.5818308242</v>
      </c>
      <c r="N418" s="7">
        <f t="shared" si="139"/>
        <v>817660</v>
      </c>
      <c r="O418" s="326">
        <f t="shared" si="140"/>
        <v>25</v>
      </c>
      <c r="P418" s="224" t="str">
        <f t="shared" si="135"/>
        <v/>
      </c>
      <c r="Q418" s="224" t="str">
        <f t="shared" si="141"/>
        <v/>
      </c>
      <c r="R418" s="224"/>
      <c r="S418" s="271" t="str">
        <f t="shared" si="130"/>
        <v/>
      </c>
      <c r="T418" s="7" t="str">
        <f t="shared" si="131"/>
        <v/>
      </c>
      <c r="U418" s="7" t="str">
        <f t="shared" si="142"/>
        <v/>
      </c>
      <c r="V418" s="7" t="str">
        <f t="shared" si="143"/>
        <v/>
      </c>
      <c r="W418" s="7" t="str">
        <f>VLOOKUP(C418,'Tox Summary'!$N$3:$S$1048576,6,FALSE)</f>
        <v/>
      </c>
      <c r="X418" s="76" t="str">
        <f t="shared" si="144"/>
        <v/>
      </c>
      <c r="Y418" s="76" t="str">
        <f t="shared" si="145"/>
        <v/>
      </c>
      <c r="AA418" s="332"/>
    </row>
    <row r="419" spans="1:27">
      <c r="A419" s="265"/>
      <c r="B419" s="344" t="s">
        <v>15</v>
      </c>
      <c r="C419" s="269" t="s">
        <v>1187</v>
      </c>
      <c r="D419" s="280" t="str">
        <f>VLOOKUP(B419, 'Chem Props'!$1:$1048576,3,FALSE)</f>
        <v>Yes</v>
      </c>
      <c r="E419" s="598" t="str">
        <f t="shared" si="146"/>
        <v>Yes</v>
      </c>
      <c r="F419" s="7" t="str">
        <f t="shared" si="136"/>
        <v>Yes</v>
      </c>
      <c r="G419" s="270" t="str">
        <f t="shared" si="132"/>
        <v>Yes</v>
      </c>
      <c r="H419" s="76">
        <f t="shared" si="126"/>
        <v>730</v>
      </c>
      <c r="I419" s="271" t="str">
        <f t="shared" si="127"/>
        <v>NC</v>
      </c>
      <c r="J419" s="272">
        <f t="shared" si="128"/>
        <v>24333.333333333336</v>
      </c>
      <c r="K419" s="272">
        <f t="shared" si="129"/>
        <v>9.9198888798507685</v>
      </c>
      <c r="L419" s="273" t="str">
        <f t="shared" si="137"/>
        <v>--</v>
      </c>
      <c r="M419" s="7">
        <f t="shared" si="138"/>
        <v>701598302.98843133</v>
      </c>
      <c r="N419" s="7">
        <f t="shared" si="139"/>
        <v>699100573</v>
      </c>
      <c r="O419" s="326">
        <f t="shared" si="140"/>
        <v>25</v>
      </c>
      <c r="P419" s="224">
        <f t="shared" si="135"/>
        <v>1.1000000000000001</v>
      </c>
      <c r="Q419" s="224" t="str">
        <f t="shared" si="141"/>
        <v>N</v>
      </c>
      <c r="R419" s="224"/>
      <c r="S419" s="271" t="str">
        <f t="shared" si="130"/>
        <v/>
      </c>
      <c r="T419" s="7" t="str">
        <f t="shared" si="131"/>
        <v/>
      </c>
      <c r="U419" s="7">
        <f t="shared" si="142"/>
        <v>0.7</v>
      </c>
      <c r="V419" s="7" t="str">
        <f t="shared" si="143"/>
        <v>I</v>
      </c>
      <c r="W419" s="7" t="str">
        <f>VLOOKUP(C419,'Tox Summary'!$N$3:$S$1048576,6,FALSE)</f>
        <v/>
      </c>
      <c r="X419" s="76" t="str">
        <f t="shared" si="144"/>
        <v/>
      </c>
      <c r="Y419" s="76">
        <f t="shared" si="145"/>
        <v>730</v>
      </c>
      <c r="AA419" s="332"/>
    </row>
    <row r="420" spans="1:27">
      <c r="A420" s="265"/>
      <c r="B420" s="344" t="s">
        <v>16</v>
      </c>
      <c r="C420" s="269" t="s">
        <v>1188</v>
      </c>
      <c r="D420" s="280" t="str">
        <f>VLOOKUP(B420, 'Chem Props'!$1:$1048576,3,FALSE)</f>
        <v>No</v>
      </c>
      <c r="E420" s="598" t="str">
        <f t="shared" si="146"/>
        <v>No</v>
      </c>
      <c r="F420" s="7" t="str">
        <f t="shared" si="136"/>
        <v>No (not volatile)</v>
      </c>
      <c r="G420" s="270" t="str">
        <f t="shared" si="132"/>
        <v>No (not volatile)</v>
      </c>
      <c r="H420" s="76" t="str">
        <f t="shared" si="126"/>
        <v>--</v>
      </c>
      <c r="I420" s="271" t="str">
        <f t="shared" si="127"/>
        <v>--</v>
      </c>
      <c r="J420" s="272" t="str">
        <f t="shared" si="128"/>
        <v>--</v>
      </c>
      <c r="K420" s="272" t="str">
        <f t="shared" si="129"/>
        <v>--</v>
      </c>
      <c r="L420" s="273" t="str">
        <f t="shared" si="137"/>
        <v>--</v>
      </c>
      <c r="M420" s="7">
        <f t="shared" si="138"/>
        <v>2.5006298670740263</v>
      </c>
      <c r="N420" s="7">
        <f t="shared" si="139"/>
        <v>5.9320800000000009</v>
      </c>
      <c r="O420" s="326">
        <f t="shared" si="140"/>
        <v>25</v>
      </c>
      <c r="P420" s="224" t="str">
        <f t="shared" si="135"/>
        <v/>
      </c>
      <c r="Q420" s="224" t="str">
        <f t="shared" si="141"/>
        <v/>
      </c>
      <c r="R420" s="224"/>
      <c r="S420" s="271" t="str">
        <f t="shared" si="130"/>
        <v/>
      </c>
      <c r="T420" s="7" t="str">
        <f t="shared" si="131"/>
        <v/>
      </c>
      <c r="U420" s="7" t="str">
        <f t="shared" si="142"/>
        <v/>
      </c>
      <c r="V420" s="7" t="str">
        <f t="shared" si="143"/>
        <v/>
      </c>
      <c r="W420" s="7" t="str">
        <f>VLOOKUP(C420,'Tox Summary'!$N$3:$S$1048576,6,FALSE)</f>
        <v/>
      </c>
      <c r="X420" s="76" t="str">
        <f t="shared" si="144"/>
        <v/>
      </c>
      <c r="Y420" s="76" t="str">
        <f t="shared" si="145"/>
        <v/>
      </c>
      <c r="AA420" s="332"/>
    </row>
    <row r="421" spans="1:27">
      <c r="A421" s="265"/>
      <c r="B421" s="344" t="s">
        <v>17</v>
      </c>
      <c r="C421" s="269" t="s">
        <v>588</v>
      </c>
      <c r="D421" s="280" t="str">
        <f>VLOOKUP(B421, 'Chem Props'!$1:$1048576,3,FALSE)</f>
        <v>Yes</v>
      </c>
      <c r="E421" s="598" t="str">
        <f t="shared" si="146"/>
        <v>Yes</v>
      </c>
      <c r="F421" s="7" t="str">
        <f t="shared" si="136"/>
        <v>Yes</v>
      </c>
      <c r="G421" s="270" t="str">
        <f t="shared" si="132"/>
        <v>Yes</v>
      </c>
      <c r="H421" s="76">
        <f t="shared" ref="H421:H484" si="147">IF(ISNUMBER(M421),IF(AND(X421="",Y421=""),"--",IF(MIN(X421:Y421)&gt;=M421,"NVT",MIN(X421:Y421))),M421)</f>
        <v>31.285714285714285</v>
      </c>
      <c r="I421" s="271" t="str">
        <f t="shared" ref="I421:I484" si="148">IF(AND(S421="",U421=""),"--",IF(MIN(X421,Y421)=X421,"C","NC"))</f>
        <v>NC</v>
      </c>
      <c r="J421" s="272">
        <f t="shared" ref="J421:J484" si="149">IF(ISNUMBER(H421),IF(OR(H421="--",H421="NVT"),H421,IF(H421/Afss&gt;=M421,"NVT",H421/Afss)),H421)</f>
        <v>1042.8571428571429</v>
      </c>
      <c r="K421" s="272">
        <f t="shared" ref="K421:K446" si="150">IF(ISNUMBER(H421),IF(H421="--","--", IF(LEFT(N421,2)="No",N421,IF(H421*0.001/(INDEX(HLC,MATCH(C421,ChemNameChem,0))*AFgw)&gt;=1000*INDEX(PWCS,MATCH(C421,ChemNameChem,0)), "NVT", H421*0.001/(INDEX(HLC,MATCH(C421,ChemNameChem,0))*AFgw)))),H421)</f>
        <v>8210.827043989786</v>
      </c>
      <c r="L421" s="273" t="str">
        <f t="shared" si="137"/>
        <v>--</v>
      </c>
      <c r="M421" s="7">
        <f t="shared" si="138"/>
        <v>62518060.454633407</v>
      </c>
      <c r="N421" s="7">
        <f t="shared" si="139"/>
        <v>65537160</v>
      </c>
      <c r="O421" s="326">
        <f t="shared" si="140"/>
        <v>25</v>
      </c>
      <c r="P421" s="224" t="str">
        <f t="shared" si="135"/>
        <v/>
      </c>
      <c r="Q421" s="224" t="str">
        <f t="shared" si="141"/>
        <v/>
      </c>
      <c r="R421" s="224"/>
      <c r="S421" s="271" t="str">
        <f t="shared" ref="S421:S484" si="151">IF(INDEX(IUR,MATCH(B421,CASNoTox,0))=" ","",IF(W421="TCE","see note",INDEX(IUR,MATCH(B421,CASNoTox,0))))</f>
        <v/>
      </c>
      <c r="T421" s="7" t="str">
        <f t="shared" ref="T421:T484" si="152">IF(INDEX(IURSource,MATCH(B421,CASNoTox,0))="","",SUBSTITUTE(INDEX(IURSource,MATCH(B421,CASNoTox,0)),"C","CA"))</f>
        <v/>
      </c>
      <c r="U421" s="7">
        <f t="shared" si="142"/>
        <v>0.03</v>
      </c>
      <c r="V421" s="7" t="str">
        <f t="shared" si="143"/>
        <v>I</v>
      </c>
      <c r="W421" s="7" t="str">
        <f>VLOOKUP(C421,'Tox Summary'!$N$3:$S$1048576,6,FALSE)</f>
        <v/>
      </c>
      <c r="X421" s="76" t="str">
        <f t="shared" si="144"/>
        <v/>
      </c>
      <c r="Y421" s="76">
        <f t="shared" si="145"/>
        <v>31.285714285714285</v>
      </c>
      <c r="AA421" s="332"/>
    </row>
    <row r="422" spans="1:27">
      <c r="A422" s="265"/>
      <c r="B422" s="344" t="s">
        <v>18</v>
      </c>
      <c r="C422" s="269" t="s">
        <v>1189</v>
      </c>
      <c r="D422" s="280" t="str">
        <f>VLOOKUP(B422, 'Chem Props'!$1:$1048576,3,FALSE)</f>
        <v>No</v>
      </c>
      <c r="E422" s="598" t="str">
        <f t="shared" si="146"/>
        <v>No</v>
      </c>
      <c r="F422" s="7" t="str">
        <f t="shared" si="136"/>
        <v>No (not volatile)</v>
      </c>
      <c r="G422" s="270" t="str">
        <f t="shared" si="132"/>
        <v>No (not volatile)</v>
      </c>
      <c r="H422" s="76" t="str">
        <f t="shared" si="147"/>
        <v>--</v>
      </c>
      <c r="I422" s="271" t="str">
        <f t="shared" si="148"/>
        <v>--</v>
      </c>
      <c r="J422" s="272" t="str">
        <f t="shared" si="149"/>
        <v>--</v>
      </c>
      <c r="K422" s="272" t="str">
        <f t="shared" si="150"/>
        <v>--</v>
      </c>
      <c r="L422" s="273" t="str">
        <f t="shared" si="137"/>
        <v>--</v>
      </c>
      <c r="M422" s="7">
        <f t="shared" si="138"/>
        <v>3.0548323786514402</v>
      </c>
      <c r="N422" s="7">
        <f t="shared" si="139"/>
        <v>3.0491999999999999</v>
      </c>
      <c r="O422" s="326">
        <f t="shared" si="140"/>
        <v>25</v>
      </c>
      <c r="P422" s="224" t="str">
        <f t="shared" si="135"/>
        <v/>
      </c>
      <c r="Q422" s="224" t="str">
        <f t="shared" si="141"/>
        <v/>
      </c>
      <c r="R422" s="224"/>
      <c r="S422" s="271" t="str">
        <f t="shared" si="151"/>
        <v/>
      </c>
      <c r="T422" s="7" t="str">
        <f t="shared" si="152"/>
        <v/>
      </c>
      <c r="U422" s="7" t="str">
        <f t="shared" si="142"/>
        <v/>
      </c>
      <c r="V422" s="7" t="str">
        <f t="shared" si="143"/>
        <v/>
      </c>
      <c r="W422" s="7" t="str">
        <f>VLOOKUP(C422,'Tox Summary'!$N$3:$S$1048576,6,FALSE)</f>
        <v/>
      </c>
      <c r="X422" s="76" t="str">
        <f t="shared" si="144"/>
        <v/>
      </c>
      <c r="Y422" s="76" t="str">
        <f t="shared" si="145"/>
        <v/>
      </c>
      <c r="AA422" s="332"/>
    </row>
    <row r="423" spans="1:27">
      <c r="A423" s="265"/>
      <c r="B423" s="344" t="s">
        <v>248</v>
      </c>
      <c r="C423" s="269" t="s">
        <v>2311</v>
      </c>
      <c r="D423" s="280" t="str">
        <f>VLOOKUP(B423, 'Chem Props'!$1:$1048576,3,FALSE)</f>
        <v>No</v>
      </c>
      <c r="E423" s="598" t="str">
        <f t="shared" si="146"/>
        <v>No</v>
      </c>
      <c r="F423" s="7" t="str">
        <f t="shared" si="136"/>
        <v>No (not volatile)</v>
      </c>
      <c r="G423" s="270" t="str">
        <f t="shared" si="132"/>
        <v>No (not volatile)</v>
      </c>
      <c r="H423" s="76" t="str">
        <f t="shared" si="147"/>
        <v>--</v>
      </c>
      <c r="I423" s="271" t="str">
        <f t="shared" si="148"/>
        <v>--</v>
      </c>
      <c r="J423" s="272" t="str">
        <f t="shared" si="149"/>
        <v>--</v>
      </c>
      <c r="K423" s="272" t="str">
        <f t="shared" si="150"/>
        <v>--</v>
      </c>
      <c r="L423" s="273" t="str">
        <f t="shared" si="137"/>
        <v>--</v>
      </c>
      <c r="M423" s="7">
        <f t="shared" si="138"/>
        <v>0.48420885034187316</v>
      </c>
      <c r="N423" s="7">
        <f t="shared" si="139"/>
        <v>0.48446499999999998</v>
      </c>
      <c r="O423" s="326">
        <f t="shared" si="140"/>
        <v>25</v>
      </c>
      <c r="P423" s="224" t="str">
        <f t="shared" si="135"/>
        <v/>
      </c>
      <c r="Q423" s="224" t="str">
        <f t="shared" si="141"/>
        <v/>
      </c>
      <c r="R423" s="224"/>
      <c r="S423" s="271" t="str">
        <f t="shared" si="151"/>
        <v/>
      </c>
      <c r="T423" s="7" t="str">
        <f t="shared" si="152"/>
        <v/>
      </c>
      <c r="U423" s="7" t="str">
        <f t="shared" si="142"/>
        <v/>
      </c>
      <c r="V423" s="7" t="str">
        <f t="shared" si="143"/>
        <v/>
      </c>
      <c r="W423" s="7" t="str">
        <f>VLOOKUP(C423,'Tox Summary'!$N$3:$S$1048576,6,FALSE)</f>
        <v/>
      </c>
      <c r="X423" s="76" t="str">
        <f t="shared" si="144"/>
        <v/>
      </c>
      <c r="Y423" s="76" t="str">
        <f t="shared" si="145"/>
        <v/>
      </c>
      <c r="AA423" s="332"/>
    </row>
    <row r="424" spans="1:27">
      <c r="A424" s="265"/>
      <c r="B424" s="344" t="s">
        <v>654</v>
      </c>
      <c r="C424" s="269" t="s">
        <v>2312</v>
      </c>
      <c r="D424" s="280" t="str">
        <f>VLOOKUP(B424, 'Chem Props'!$1:$1048576,3,FALSE)</f>
        <v>No</v>
      </c>
      <c r="E424" s="598" t="str">
        <f t="shared" si="146"/>
        <v>No</v>
      </c>
      <c r="F424" s="7" t="str">
        <f t="shared" si="136"/>
        <v>No (not volatile)</v>
      </c>
      <c r="G424" s="270" t="str">
        <f t="shared" si="132"/>
        <v>No (not volatile)</v>
      </c>
      <c r="H424" s="76" t="str">
        <f t="shared" si="147"/>
        <v>--</v>
      </c>
      <c r="I424" s="271" t="str">
        <f t="shared" si="148"/>
        <v>--</v>
      </c>
      <c r="J424" s="272" t="str">
        <f t="shared" si="149"/>
        <v>--</v>
      </c>
      <c r="K424" s="272" t="str">
        <f t="shared" si="150"/>
        <v>--</v>
      </c>
      <c r="L424" s="273" t="str">
        <f t="shared" si="137"/>
        <v>--</v>
      </c>
      <c r="M424" s="7">
        <f t="shared" si="138"/>
        <v>0.54014050019838689</v>
      </c>
      <c r="N424" s="7">
        <f t="shared" si="139"/>
        <v>0.5394000000000001</v>
      </c>
      <c r="O424" s="326">
        <f t="shared" si="140"/>
        <v>25</v>
      </c>
      <c r="P424" s="224" t="str">
        <f t="shared" si="135"/>
        <v/>
      </c>
      <c r="Q424" s="224" t="str">
        <f t="shared" si="141"/>
        <v/>
      </c>
      <c r="R424" s="224"/>
      <c r="S424" s="271" t="str">
        <f t="shared" si="151"/>
        <v/>
      </c>
      <c r="T424" s="7" t="str">
        <f t="shared" si="152"/>
        <v/>
      </c>
      <c r="U424" s="7" t="str">
        <f t="shared" si="142"/>
        <v/>
      </c>
      <c r="V424" s="7" t="str">
        <f t="shared" si="143"/>
        <v/>
      </c>
      <c r="W424" s="7" t="str">
        <f>VLOOKUP(C424,'Tox Summary'!$N$3:$S$1048576,6,FALSE)</f>
        <v/>
      </c>
      <c r="X424" s="76" t="str">
        <f t="shared" si="144"/>
        <v/>
      </c>
      <c r="Y424" s="76" t="str">
        <f t="shared" si="145"/>
        <v/>
      </c>
      <c r="AA424" s="332"/>
    </row>
    <row r="425" spans="1:27">
      <c r="A425" s="265"/>
      <c r="B425" s="344" t="s">
        <v>19</v>
      </c>
      <c r="C425" s="269" t="s">
        <v>1407</v>
      </c>
      <c r="D425" s="280" t="str">
        <f>VLOOKUP(B425, 'Chem Props'!$1:$1048576,3,FALSE)</f>
        <v>Yes</v>
      </c>
      <c r="E425" s="598" t="str">
        <f t="shared" si="146"/>
        <v>Yes</v>
      </c>
      <c r="F425" s="7" t="str">
        <f t="shared" si="136"/>
        <v>Yes</v>
      </c>
      <c r="G425" s="270" t="str">
        <f t="shared" si="132"/>
        <v>Yes</v>
      </c>
      <c r="H425" s="76">
        <f t="shared" si="147"/>
        <v>5.729984301412873E-4</v>
      </c>
      <c r="I425" s="271" t="str">
        <f t="shared" si="148"/>
        <v>C</v>
      </c>
      <c r="J425" s="272">
        <f t="shared" si="149"/>
        <v>1.9099947671376245E-2</v>
      </c>
      <c r="K425" s="272">
        <f t="shared" si="150"/>
        <v>22.91993720565149</v>
      </c>
      <c r="L425" s="273" t="str">
        <f t="shared" si="137"/>
        <v>--</v>
      </c>
      <c r="M425" s="7">
        <f t="shared" si="138"/>
        <v>24795470.467703659</v>
      </c>
      <c r="N425" s="7">
        <f t="shared" si="139"/>
        <v>25000000</v>
      </c>
      <c r="O425" s="326">
        <f t="shared" si="140"/>
        <v>25</v>
      </c>
      <c r="P425" s="224">
        <f t="shared" si="135"/>
        <v>2.9</v>
      </c>
      <c r="Q425" s="224" t="str">
        <f t="shared" si="141"/>
        <v>N</v>
      </c>
      <c r="R425" s="224"/>
      <c r="S425" s="271">
        <f t="shared" si="151"/>
        <v>4.8999999999999998E-3</v>
      </c>
      <c r="T425" s="7" t="str">
        <f t="shared" si="152"/>
        <v>I</v>
      </c>
      <c r="U425" s="7">
        <f t="shared" si="142"/>
        <v>3.0000000000000001E-5</v>
      </c>
      <c r="V425" s="7" t="str">
        <f t="shared" si="143"/>
        <v>P</v>
      </c>
      <c r="W425" s="7" t="str">
        <f>VLOOKUP(C425,'Tox Summary'!$N$3:$S$1048576,6,FALSE)</f>
        <v/>
      </c>
      <c r="X425" s="76">
        <f t="shared" si="144"/>
        <v>5.729984301412873E-4</v>
      </c>
      <c r="Y425" s="76">
        <f t="shared" si="145"/>
        <v>3.1285714285714285E-2</v>
      </c>
      <c r="AA425" s="332"/>
    </row>
    <row r="426" spans="1:27">
      <c r="A426" s="265"/>
      <c r="B426" s="344" t="s">
        <v>20</v>
      </c>
      <c r="C426" s="269" t="s">
        <v>1190</v>
      </c>
      <c r="D426" s="280" t="str">
        <f>VLOOKUP(B426, 'Chem Props'!$1:$1048576,3,FALSE)</f>
        <v>No</v>
      </c>
      <c r="E426" s="598" t="str">
        <f t="shared" si="146"/>
        <v>Yes</v>
      </c>
      <c r="F426" s="7" t="str">
        <f t="shared" si="136"/>
        <v>No (not volatile)</v>
      </c>
      <c r="G426" s="270" t="str">
        <f t="shared" si="132"/>
        <v>No (not volatile)</v>
      </c>
      <c r="H426" s="76" t="str">
        <f t="shared" si="147"/>
        <v>No VP</v>
      </c>
      <c r="I426" s="271" t="str">
        <f t="shared" si="148"/>
        <v>C</v>
      </c>
      <c r="J426" s="272" t="str">
        <f t="shared" si="149"/>
        <v>No VP</v>
      </c>
      <c r="K426" s="272" t="str">
        <f t="shared" si="150"/>
        <v>No VP</v>
      </c>
      <c r="L426" s="273" t="str">
        <f t="shared" si="137"/>
        <v>--</v>
      </c>
      <c r="M426" s="7" t="str">
        <f t="shared" si="138"/>
        <v>No VP</v>
      </c>
      <c r="N426" s="7"/>
      <c r="O426" s="326">
        <f t="shared" si="140"/>
        <v>25</v>
      </c>
      <c r="P426" s="224" t="str">
        <f t="shared" si="135"/>
        <v/>
      </c>
      <c r="Q426" s="224" t="str">
        <f t="shared" si="141"/>
        <v/>
      </c>
      <c r="R426" s="224"/>
      <c r="S426" s="271">
        <f t="shared" si="151"/>
        <v>4.8999999999999998E-3</v>
      </c>
      <c r="T426" s="7" t="str">
        <f t="shared" si="152"/>
        <v>I</v>
      </c>
      <c r="U426" s="7" t="str">
        <f t="shared" si="142"/>
        <v/>
      </c>
      <c r="V426" s="7" t="str">
        <f t="shared" si="143"/>
        <v/>
      </c>
      <c r="W426" s="7" t="str">
        <f>VLOOKUP(C426,'Tox Summary'!$N$3:$S$1048576,6,FALSE)</f>
        <v/>
      </c>
      <c r="X426" s="76">
        <f t="shared" si="144"/>
        <v>5.729984301412873E-4</v>
      </c>
      <c r="Y426" s="76" t="str">
        <f t="shared" si="145"/>
        <v/>
      </c>
      <c r="AA426" s="332"/>
    </row>
    <row r="427" spans="1:27">
      <c r="A427" s="265"/>
      <c r="B427" s="344" t="s">
        <v>21</v>
      </c>
      <c r="C427" s="269" t="s">
        <v>1191</v>
      </c>
      <c r="D427" s="280" t="str">
        <f>VLOOKUP(B427, 'Chem Props'!$1:$1048576,3,FALSE)</f>
        <v>Yes</v>
      </c>
      <c r="E427" s="598" t="str">
        <f t="shared" si="146"/>
        <v>Yes</v>
      </c>
      <c r="F427" s="7" t="str">
        <f t="shared" si="136"/>
        <v>Yes</v>
      </c>
      <c r="G427" s="270" t="str">
        <f t="shared" ref="G427:G490" si="153">IF(LEFT(D427,2)="No","No (not volatile)",IF(D427="unknown","unknown",IF(H427="NVT","No",IF(AND(X427="",Y427=""),"No Inhal. Tox. Info",IF(MIN(X427:Y427)&gt;=N427,"No",IF(N427&gt;H427,"Yes","No"))))))</f>
        <v>Yes</v>
      </c>
      <c r="H427" s="76">
        <f t="shared" si="147"/>
        <v>20.857142857142858</v>
      </c>
      <c r="I427" s="271" t="str">
        <f t="shared" si="148"/>
        <v>NC</v>
      </c>
      <c r="J427" s="272">
        <f t="shared" si="149"/>
        <v>695.2380952380953</v>
      </c>
      <c r="K427" s="272">
        <f t="shared" si="150"/>
        <v>2.5008123186534235E-7</v>
      </c>
      <c r="L427" s="273" t="str">
        <f t="shared" si="137"/>
        <v>--</v>
      </c>
      <c r="M427" s="7">
        <f t="shared" si="138"/>
        <v>61902886131.865669</v>
      </c>
      <c r="N427" s="7">
        <f t="shared" ref="N427:N435" si="154">IF(INDEX(HLC,MATCH(C427,ChemNameChem,0))="","No HLC",IF(INDEX(Sol,MATCH(C427,ChemNameChem,0))="No S","No S",INDEX(HLC,MATCH(C427,ChemNameChem,0))*INDEX(Sol,MATCH(C427,ChemNameChem,0))*1000000))</f>
        <v>5.6129190656E+19</v>
      </c>
      <c r="O427" s="326">
        <f t="shared" si="140"/>
        <v>25</v>
      </c>
      <c r="P427" s="224" t="str">
        <f t="shared" si="135"/>
        <v/>
      </c>
      <c r="Q427" s="224" t="str">
        <f t="shared" si="141"/>
        <v/>
      </c>
      <c r="R427" s="224"/>
      <c r="S427" s="271" t="str">
        <f t="shared" si="151"/>
        <v/>
      </c>
      <c r="T427" s="7" t="str">
        <f t="shared" si="152"/>
        <v/>
      </c>
      <c r="U427" s="7">
        <f t="shared" si="142"/>
        <v>0.02</v>
      </c>
      <c r="V427" s="7" t="str">
        <f t="shared" si="143"/>
        <v>I</v>
      </c>
      <c r="W427" s="7" t="str">
        <f>VLOOKUP(C427,'Tox Summary'!$N$3:$S$1048576,6,FALSE)</f>
        <v/>
      </c>
      <c r="X427" s="76" t="str">
        <f t="shared" si="144"/>
        <v/>
      </c>
      <c r="Y427" s="76">
        <f t="shared" si="145"/>
        <v>20.857142857142858</v>
      </c>
      <c r="AA427" s="332"/>
    </row>
    <row r="428" spans="1:27">
      <c r="A428" s="265"/>
      <c r="B428" s="344" t="s">
        <v>794</v>
      </c>
      <c r="C428" s="269" t="s">
        <v>2242</v>
      </c>
      <c r="D428" s="280" t="str">
        <f>VLOOKUP(B428, 'Chem Props'!$1:$1048576,3,FALSE)</f>
        <v>Yes</v>
      </c>
      <c r="E428" s="598" t="str">
        <f t="shared" si="146"/>
        <v>Yes</v>
      </c>
      <c r="F428" s="7" t="str">
        <f t="shared" si="136"/>
        <v>Yes</v>
      </c>
      <c r="G428" s="270" t="str">
        <f t="shared" si="153"/>
        <v>Yes</v>
      </c>
      <c r="H428" s="76">
        <f t="shared" si="147"/>
        <v>0.8342857142857143</v>
      </c>
      <c r="I428" s="271" t="str">
        <f t="shared" si="148"/>
        <v>NC</v>
      </c>
      <c r="J428" s="272">
        <f t="shared" si="149"/>
        <v>27.80952380952381</v>
      </c>
      <c r="K428" s="272">
        <f t="shared" si="150"/>
        <v>153.4346772879895</v>
      </c>
      <c r="L428" s="273" t="str">
        <f t="shared" si="137"/>
        <v>--</v>
      </c>
      <c r="M428" s="7">
        <f t="shared" si="138"/>
        <v>1078897867.0852771</v>
      </c>
      <c r="N428" s="7">
        <f t="shared" si="154"/>
        <v>5437400000.000001</v>
      </c>
      <c r="O428" s="326">
        <f t="shared" si="140"/>
        <v>25</v>
      </c>
      <c r="P428" s="224">
        <f t="shared" si="135"/>
        <v>5.6</v>
      </c>
      <c r="Q428" s="224" t="str">
        <f t="shared" si="141"/>
        <v>N</v>
      </c>
      <c r="R428" s="224"/>
      <c r="S428" s="271" t="str">
        <f t="shared" si="151"/>
        <v/>
      </c>
      <c r="T428" s="7" t="str">
        <f t="shared" si="152"/>
        <v/>
      </c>
      <c r="U428" s="7">
        <f t="shared" si="142"/>
        <v>8.0000000000000004E-4</v>
      </c>
      <c r="V428" s="7" t="str">
        <f t="shared" si="143"/>
        <v>I</v>
      </c>
      <c r="W428" s="7" t="str">
        <f>VLOOKUP(C428,'Tox Summary'!$N$3:$S$1048576,6,FALSE)</f>
        <v/>
      </c>
      <c r="X428" s="76" t="str">
        <f t="shared" si="144"/>
        <v/>
      </c>
      <c r="Y428" s="76">
        <f t="shared" si="145"/>
        <v>0.8342857142857143</v>
      </c>
      <c r="AA428" s="332"/>
    </row>
    <row r="429" spans="1:27">
      <c r="A429" s="265"/>
      <c r="B429" s="344" t="s">
        <v>22</v>
      </c>
      <c r="C429" s="269" t="s">
        <v>589</v>
      </c>
      <c r="D429" s="280" t="str">
        <f>VLOOKUP(B429, 'Chem Props'!$1:$1048576,3,FALSE)</f>
        <v>Yes</v>
      </c>
      <c r="E429" s="598" t="str">
        <f t="shared" si="146"/>
        <v>Yes</v>
      </c>
      <c r="F429" s="7" t="str">
        <f t="shared" si="136"/>
        <v>Yes</v>
      </c>
      <c r="G429" s="270" t="str">
        <f t="shared" si="153"/>
        <v>Yes</v>
      </c>
      <c r="H429" s="76">
        <f t="shared" si="147"/>
        <v>14.6</v>
      </c>
      <c r="I429" s="271" t="str">
        <f t="shared" si="148"/>
        <v>NC</v>
      </c>
      <c r="J429" s="272">
        <f t="shared" si="149"/>
        <v>486.66666666666669</v>
      </c>
      <c r="K429" s="272">
        <f t="shared" si="150"/>
        <v>3433.8397855026101</v>
      </c>
      <c r="L429" s="273" t="str">
        <f t="shared" si="137"/>
        <v>--</v>
      </c>
      <c r="M429" s="7">
        <f t="shared" si="138"/>
        <v>987364484.38540518</v>
      </c>
      <c r="N429" s="7">
        <f t="shared" si="154"/>
        <v>4251800000</v>
      </c>
      <c r="O429" s="326">
        <f t="shared" si="140"/>
        <v>25</v>
      </c>
      <c r="P429" s="224" t="str">
        <f t="shared" si="135"/>
        <v/>
      </c>
      <c r="Q429" s="224" t="str">
        <f t="shared" si="141"/>
        <v/>
      </c>
      <c r="R429" s="224"/>
      <c r="S429" s="271" t="str">
        <f t="shared" si="151"/>
        <v/>
      </c>
      <c r="T429" s="7" t="str">
        <f t="shared" si="152"/>
        <v/>
      </c>
      <c r="U429" s="7">
        <f t="shared" si="142"/>
        <v>1.4E-2</v>
      </c>
      <c r="V429" s="7" t="str">
        <f t="shared" si="143"/>
        <v>CA</v>
      </c>
      <c r="W429" s="7" t="str">
        <f>VLOOKUP(C429,'Tox Summary'!$N$3:$S$1048576,6,FALSE)</f>
        <v/>
      </c>
      <c r="X429" s="76" t="str">
        <f t="shared" si="144"/>
        <v/>
      </c>
      <c r="Y429" s="76">
        <f t="shared" si="145"/>
        <v>14.6</v>
      </c>
      <c r="AA429" s="332"/>
    </row>
    <row r="430" spans="1:27">
      <c r="A430" s="265"/>
      <c r="B430" s="344" t="s">
        <v>23</v>
      </c>
      <c r="C430" s="269" t="s">
        <v>1192</v>
      </c>
      <c r="D430" s="280" t="str">
        <f>VLOOKUP(B430, 'Chem Props'!$1:$1048576,3,FALSE)</f>
        <v>Yes</v>
      </c>
      <c r="E430" s="598" t="str">
        <f t="shared" si="146"/>
        <v>Yes</v>
      </c>
      <c r="F430" s="7" t="str">
        <f t="shared" si="136"/>
        <v>Yes</v>
      </c>
      <c r="G430" s="270" t="str">
        <f t="shared" si="153"/>
        <v>Yes</v>
      </c>
      <c r="H430" s="76">
        <f t="shared" si="147"/>
        <v>2.0857142857142859</v>
      </c>
      <c r="I430" s="271" t="str">
        <f t="shared" si="148"/>
        <v>NC</v>
      </c>
      <c r="J430" s="272">
        <f t="shared" si="149"/>
        <v>69.523809523809533</v>
      </c>
      <c r="K430" s="272">
        <f t="shared" si="150"/>
        <v>5.9591836734693882</v>
      </c>
      <c r="L430" s="273" t="str">
        <f t="shared" si="137"/>
        <v>--</v>
      </c>
      <c r="M430" s="7">
        <f t="shared" si="138"/>
        <v>28680685407.31097</v>
      </c>
      <c r="N430" s="7">
        <f t="shared" si="154"/>
        <v>1309000000</v>
      </c>
      <c r="O430" s="326">
        <f t="shared" si="140"/>
        <v>25</v>
      </c>
      <c r="P430" s="224">
        <f t="shared" si="135"/>
        <v>4</v>
      </c>
      <c r="Q430" s="224" t="str">
        <f t="shared" si="141"/>
        <v>N</v>
      </c>
      <c r="R430" s="224"/>
      <c r="S430" s="271" t="str">
        <f t="shared" si="151"/>
        <v/>
      </c>
      <c r="T430" s="7" t="str">
        <f t="shared" si="152"/>
        <v/>
      </c>
      <c r="U430" s="7">
        <f t="shared" si="142"/>
        <v>2E-3</v>
      </c>
      <c r="V430" s="7" t="str">
        <f t="shared" si="143"/>
        <v>I</v>
      </c>
      <c r="W430" s="7" t="str">
        <f>VLOOKUP(C430,'Tox Summary'!$N$3:$S$1048576,6,FALSE)</f>
        <v/>
      </c>
      <c r="X430" s="76" t="str">
        <f t="shared" si="144"/>
        <v/>
      </c>
      <c r="Y430" s="76">
        <f t="shared" si="145"/>
        <v>2.0857142857142859</v>
      </c>
      <c r="AA430" s="332"/>
    </row>
    <row r="431" spans="1:27">
      <c r="A431" s="265"/>
      <c r="B431" s="344" t="s">
        <v>24</v>
      </c>
      <c r="C431" s="269" t="s">
        <v>534</v>
      </c>
      <c r="D431" s="280" t="str">
        <f>VLOOKUP(B431, 'Chem Props'!$1:$1048576,3,FALSE)</f>
        <v>No</v>
      </c>
      <c r="E431" s="598" t="str">
        <f t="shared" si="146"/>
        <v>No</v>
      </c>
      <c r="F431" s="7" t="str">
        <f t="shared" si="136"/>
        <v>No (not volatile)</v>
      </c>
      <c r="G431" s="270" t="str">
        <f t="shared" si="153"/>
        <v>No (not volatile)</v>
      </c>
      <c r="H431" s="76" t="str">
        <f t="shared" si="147"/>
        <v>--</v>
      </c>
      <c r="I431" s="271" t="str">
        <f t="shared" si="148"/>
        <v>--</v>
      </c>
      <c r="J431" s="272" t="str">
        <f t="shared" si="149"/>
        <v>--</v>
      </c>
      <c r="K431" s="272" t="str">
        <f t="shared" si="150"/>
        <v>--</v>
      </c>
      <c r="L431" s="273" t="str">
        <f t="shared" si="137"/>
        <v>--</v>
      </c>
      <c r="M431" s="7">
        <f t="shared" si="138"/>
        <v>142.19724929753122</v>
      </c>
      <c r="N431" s="7">
        <f t="shared" si="154"/>
        <v>139.23360000000002</v>
      </c>
      <c r="O431" s="326">
        <f t="shared" si="140"/>
        <v>25</v>
      </c>
      <c r="P431" s="224" t="str">
        <f t="shared" si="135"/>
        <v/>
      </c>
      <c r="Q431" s="224" t="str">
        <f t="shared" si="141"/>
        <v/>
      </c>
      <c r="R431" s="224"/>
      <c r="S431" s="271" t="str">
        <f t="shared" si="151"/>
        <v/>
      </c>
      <c r="T431" s="7" t="str">
        <f t="shared" si="152"/>
        <v/>
      </c>
      <c r="U431" s="7" t="str">
        <f t="shared" si="142"/>
        <v/>
      </c>
      <c r="V431" s="7" t="str">
        <f t="shared" si="143"/>
        <v/>
      </c>
      <c r="W431" s="7" t="str">
        <f>VLOOKUP(C431,'Tox Summary'!$N$3:$S$1048576,6,FALSE)</f>
        <v/>
      </c>
      <c r="X431" s="76" t="str">
        <f t="shared" si="144"/>
        <v/>
      </c>
      <c r="Y431" s="76" t="str">
        <f t="shared" si="145"/>
        <v/>
      </c>
      <c r="AA431" s="332"/>
    </row>
    <row r="432" spans="1:27">
      <c r="A432" s="265"/>
      <c r="B432" s="344" t="s">
        <v>25</v>
      </c>
      <c r="C432" s="269" t="s">
        <v>1193</v>
      </c>
      <c r="D432" s="280" t="str">
        <f>VLOOKUP(B432, 'Chem Props'!$1:$1048576,3,FALSE)</f>
        <v>No</v>
      </c>
      <c r="E432" s="598" t="str">
        <f t="shared" si="146"/>
        <v>No</v>
      </c>
      <c r="F432" s="7" t="str">
        <f t="shared" si="136"/>
        <v>No (not volatile)</v>
      </c>
      <c r="G432" s="270" t="str">
        <f t="shared" si="153"/>
        <v>No (not volatile)</v>
      </c>
      <c r="H432" s="76" t="str">
        <f t="shared" si="147"/>
        <v>--</v>
      </c>
      <c r="I432" s="271" t="str">
        <f t="shared" si="148"/>
        <v>--</v>
      </c>
      <c r="J432" s="272" t="str">
        <f t="shared" si="149"/>
        <v>--</v>
      </c>
      <c r="K432" s="272" t="str">
        <f t="shared" si="150"/>
        <v>--</v>
      </c>
      <c r="L432" s="273" t="str">
        <f t="shared" si="137"/>
        <v>--</v>
      </c>
      <c r="M432" s="7">
        <f t="shared" si="138"/>
        <v>19.029805277030786</v>
      </c>
      <c r="N432" s="7">
        <f t="shared" si="154"/>
        <v>19.060200000000002</v>
      </c>
      <c r="O432" s="326">
        <f t="shared" si="140"/>
        <v>25</v>
      </c>
      <c r="P432" s="224" t="str">
        <f t="shared" ref="P432:P467" si="155">IF(VLOOKUP(B432,AllChemProps,32,FALSE)&gt;0,VLOOKUP(B432,AllChemProps,32,FALSE),"")</f>
        <v/>
      </c>
      <c r="Q432" s="224" t="str">
        <f t="shared" si="141"/>
        <v/>
      </c>
      <c r="R432" s="224"/>
      <c r="S432" s="271" t="str">
        <f t="shared" si="151"/>
        <v/>
      </c>
      <c r="T432" s="7" t="str">
        <f t="shared" si="152"/>
        <v/>
      </c>
      <c r="U432" s="7" t="str">
        <f t="shared" si="142"/>
        <v/>
      </c>
      <c r="V432" s="7" t="str">
        <f t="shared" si="143"/>
        <v/>
      </c>
      <c r="W432" s="7" t="str">
        <f>VLOOKUP(C432,'Tox Summary'!$N$3:$S$1048576,6,FALSE)</f>
        <v/>
      </c>
      <c r="X432" s="76" t="str">
        <f t="shared" si="144"/>
        <v/>
      </c>
      <c r="Y432" s="76" t="str">
        <f t="shared" si="145"/>
        <v/>
      </c>
      <c r="AA432" s="332"/>
    </row>
    <row r="433" spans="1:27">
      <c r="A433" s="265"/>
      <c r="B433" s="344" t="s">
        <v>26</v>
      </c>
      <c r="C433" s="269" t="s">
        <v>1194</v>
      </c>
      <c r="D433" s="280" t="str">
        <f>VLOOKUP(B433, 'Chem Props'!$1:$1048576,3,FALSE)</f>
        <v>No</v>
      </c>
      <c r="E433" s="598" t="str">
        <f t="shared" si="146"/>
        <v>No</v>
      </c>
      <c r="F433" s="7" t="str">
        <f t="shared" si="136"/>
        <v>No (not volatile)</v>
      </c>
      <c r="G433" s="270" t="str">
        <f t="shared" si="153"/>
        <v>No (not volatile)</v>
      </c>
      <c r="H433" s="76" t="str">
        <f t="shared" si="147"/>
        <v>--</v>
      </c>
      <c r="I433" s="271" t="str">
        <f t="shared" si="148"/>
        <v>--</v>
      </c>
      <c r="J433" s="272" t="str">
        <f t="shared" si="149"/>
        <v>--</v>
      </c>
      <c r="K433" s="272" t="str">
        <f t="shared" si="150"/>
        <v>--</v>
      </c>
      <c r="L433" s="273" t="str">
        <f t="shared" si="137"/>
        <v>--</v>
      </c>
      <c r="M433" s="7">
        <f t="shared" si="138"/>
        <v>1.7255412142471986E-6</v>
      </c>
      <c r="N433" s="7">
        <f t="shared" si="154"/>
        <v>2.5425000000000001E-8</v>
      </c>
      <c r="O433" s="326">
        <f t="shared" si="140"/>
        <v>25</v>
      </c>
      <c r="P433" s="224" t="str">
        <f t="shared" si="155"/>
        <v/>
      </c>
      <c r="Q433" s="224" t="str">
        <f t="shared" si="141"/>
        <v/>
      </c>
      <c r="R433" s="224"/>
      <c r="S433" s="271" t="str">
        <f t="shared" si="151"/>
        <v/>
      </c>
      <c r="T433" s="7" t="str">
        <f t="shared" si="152"/>
        <v/>
      </c>
      <c r="U433" s="7" t="str">
        <f t="shared" si="142"/>
        <v/>
      </c>
      <c r="V433" s="7" t="str">
        <f t="shared" si="143"/>
        <v/>
      </c>
      <c r="W433" s="7" t="str">
        <f>VLOOKUP(C433,'Tox Summary'!$N$3:$S$1048576,6,FALSE)</f>
        <v/>
      </c>
      <c r="X433" s="76" t="str">
        <f t="shared" si="144"/>
        <v/>
      </c>
      <c r="Y433" s="76" t="str">
        <f t="shared" si="145"/>
        <v/>
      </c>
      <c r="AA433" s="332"/>
    </row>
    <row r="434" spans="1:27">
      <c r="A434" s="265"/>
      <c r="B434" s="344" t="s">
        <v>239</v>
      </c>
      <c r="C434" s="269" t="s">
        <v>2313</v>
      </c>
      <c r="D434" s="280" t="str">
        <f>VLOOKUP(B434, 'Chem Props'!$1:$1048576,3,FALSE)</f>
        <v>No</v>
      </c>
      <c r="E434" s="598" t="str">
        <f t="shared" si="146"/>
        <v>No</v>
      </c>
      <c r="F434" s="7" t="str">
        <f t="shared" si="136"/>
        <v>No (not volatile)</v>
      </c>
      <c r="G434" s="270" t="str">
        <f t="shared" si="153"/>
        <v>No (not volatile)</v>
      </c>
      <c r="H434" s="76" t="str">
        <f t="shared" si="147"/>
        <v>--</v>
      </c>
      <c r="I434" s="271" t="str">
        <f t="shared" si="148"/>
        <v>--</v>
      </c>
      <c r="J434" s="272" t="str">
        <f t="shared" si="149"/>
        <v>--</v>
      </c>
      <c r="K434" s="272" t="str">
        <f t="shared" si="150"/>
        <v>--</v>
      </c>
      <c r="L434" s="273" t="str">
        <f t="shared" si="137"/>
        <v>--</v>
      </c>
      <c r="M434" s="7">
        <f t="shared" si="138"/>
        <v>3.3473423182975174E-4</v>
      </c>
      <c r="N434" s="7">
        <f t="shared" si="154"/>
        <v>5.9527999999999991E-6</v>
      </c>
      <c r="O434" s="326">
        <f t="shared" si="140"/>
        <v>25</v>
      </c>
      <c r="P434" s="224" t="str">
        <f t="shared" si="155"/>
        <v/>
      </c>
      <c r="Q434" s="224" t="str">
        <f t="shared" si="141"/>
        <v/>
      </c>
      <c r="R434" s="224"/>
      <c r="S434" s="271" t="str">
        <f t="shared" si="151"/>
        <v/>
      </c>
      <c r="T434" s="7" t="str">
        <f t="shared" si="152"/>
        <v/>
      </c>
      <c r="U434" s="7" t="str">
        <f t="shared" si="142"/>
        <v/>
      </c>
      <c r="V434" s="7" t="str">
        <f t="shared" si="143"/>
        <v/>
      </c>
      <c r="W434" s="7" t="str">
        <f>VLOOKUP(C434,'Tox Summary'!$N$3:$S$1048576,6,FALSE)</f>
        <v/>
      </c>
      <c r="X434" s="76" t="str">
        <f t="shared" si="144"/>
        <v/>
      </c>
      <c r="Y434" s="76" t="str">
        <f t="shared" si="145"/>
        <v/>
      </c>
      <c r="AA434" s="332"/>
    </row>
    <row r="435" spans="1:27">
      <c r="A435" s="265"/>
      <c r="B435" s="344" t="s">
        <v>214</v>
      </c>
      <c r="C435" s="269" t="s">
        <v>2357</v>
      </c>
      <c r="D435" s="280" t="str">
        <f>VLOOKUP(B435, 'Chem Props'!$1:$1048576,3,FALSE)</f>
        <v>No</v>
      </c>
      <c r="E435" s="598" t="str">
        <f t="shared" si="146"/>
        <v>Yes</v>
      </c>
      <c r="F435" s="7" t="str">
        <f t="shared" si="136"/>
        <v>No (not volatile)</v>
      </c>
      <c r="G435" s="270" t="str">
        <f t="shared" si="153"/>
        <v>No (not volatile)</v>
      </c>
      <c r="H435" s="76" t="str">
        <f t="shared" si="147"/>
        <v>NVT</v>
      </c>
      <c r="I435" s="271" t="str">
        <f t="shared" si="148"/>
        <v>C</v>
      </c>
      <c r="J435" s="272" t="str">
        <f t="shared" si="149"/>
        <v>NVT</v>
      </c>
      <c r="K435" s="272" t="str">
        <f t="shared" si="150"/>
        <v>NVT</v>
      </c>
      <c r="L435" s="273" t="str">
        <f t="shared" si="137"/>
        <v>--</v>
      </c>
      <c r="M435" s="7">
        <f t="shared" si="138"/>
        <v>1.8586899781506266E-3</v>
      </c>
      <c r="N435" s="7">
        <f t="shared" si="154"/>
        <v>2.6979999999999999E-3</v>
      </c>
      <c r="O435" s="326">
        <f t="shared" si="140"/>
        <v>25</v>
      </c>
      <c r="P435" s="224" t="str">
        <f t="shared" si="155"/>
        <v/>
      </c>
      <c r="Q435" s="224" t="str">
        <f t="shared" si="141"/>
        <v/>
      </c>
      <c r="R435" s="224"/>
      <c r="S435" s="271">
        <f t="shared" si="151"/>
        <v>6.0000000000000002E-5</v>
      </c>
      <c r="T435" s="7" t="str">
        <f t="shared" si="152"/>
        <v>E</v>
      </c>
      <c r="U435" s="7" t="str">
        <f t="shared" si="142"/>
        <v/>
      </c>
      <c r="V435" s="7" t="str">
        <f t="shared" si="143"/>
        <v/>
      </c>
      <c r="W435" s="7" t="str">
        <f>VLOOKUP(C435,'Tox Summary'!$N$3:$S$1048576,6,FALSE)</f>
        <v>Mut</v>
      </c>
      <c r="X435" s="76">
        <f t="shared" si="144"/>
        <v>1.6898148148148145E-2</v>
      </c>
      <c r="Y435" s="76" t="str">
        <f t="shared" si="145"/>
        <v/>
      </c>
      <c r="AA435" s="332"/>
    </row>
    <row r="436" spans="1:27">
      <c r="A436" s="265"/>
      <c r="B436" s="344" t="s">
        <v>27</v>
      </c>
      <c r="C436" s="269" t="s">
        <v>590</v>
      </c>
      <c r="D436" s="280" t="str">
        <f>VLOOKUP(B436, 'Chem Props'!$1:$1048576,3,FALSE)</f>
        <v>No</v>
      </c>
      <c r="E436" s="598" t="str">
        <f t="shared" si="146"/>
        <v>No</v>
      </c>
      <c r="F436" s="7" t="str">
        <f t="shared" si="136"/>
        <v>No (not volatile)</v>
      </c>
      <c r="G436" s="270" t="str">
        <f t="shared" si="153"/>
        <v>No (not volatile)</v>
      </c>
      <c r="H436" s="76" t="str">
        <f t="shared" si="147"/>
        <v>--</v>
      </c>
      <c r="I436" s="271" t="str">
        <f t="shared" si="148"/>
        <v>--</v>
      </c>
      <c r="J436" s="272" t="str">
        <f t="shared" si="149"/>
        <v>--</v>
      </c>
      <c r="K436" s="272" t="str">
        <f t="shared" si="150"/>
        <v>--</v>
      </c>
      <c r="L436" s="273" t="str">
        <f t="shared" si="137"/>
        <v>--</v>
      </c>
      <c r="M436" s="7">
        <f t="shared" si="138"/>
        <v>3182129.4371159486</v>
      </c>
      <c r="N436" s="7"/>
      <c r="O436" s="326">
        <f t="shared" si="140"/>
        <v>25</v>
      </c>
      <c r="P436" s="224" t="str">
        <f t="shared" si="155"/>
        <v/>
      </c>
      <c r="Q436" s="224" t="str">
        <f t="shared" si="141"/>
        <v/>
      </c>
      <c r="R436" s="224"/>
      <c r="S436" s="271" t="str">
        <f t="shared" si="151"/>
        <v/>
      </c>
      <c r="T436" s="7" t="str">
        <f t="shared" si="152"/>
        <v/>
      </c>
      <c r="U436" s="7" t="str">
        <f t="shared" si="142"/>
        <v/>
      </c>
      <c r="V436" s="7" t="str">
        <f t="shared" si="143"/>
        <v/>
      </c>
      <c r="W436" s="7" t="str">
        <f>VLOOKUP(C436,'Tox Summary'!$N$3:$S$1048576,6,FALSE)</f>
        <v/>
      </c>
      <c r="X436" s="76" t="str">
        <f t="shared" si="144"/>
        <v/>
      </c>
      <c r="Y436" s="76" t="str">
        <f t="shared" si="145"/>
        <v/>
      </c>
      <c r="AA436" s="332"/>
    </row>
    <row r="437" spans="1:27">
      <c r="A437" s="265"/>
      <c r="B437" s="269" t="s">
        <v>28</v>
      </c>
      <c r="C437" s="269" t="s">
        <v>1195</v>
      </c>
      <c r="D437" s="280" t="str">
        <f>VLOOKUP(B437, 'Chem Props'!$1:$1048576,3,FALSE)</f>
        <v>No</v>
      </c>
      <c r="E437" s="598" t="str">
        <f t="shared" si="146"/>
        <v>No</v>
      </c>
      <c r="F437" s="7" t="str">
        <f t="shared" si="136"/>
        <v>No (not volatile)</v>
      </c>
      <c r="G437" s="270" t="str">
        <f t="shared" si="153"/>
        <v>No (not volatile)</v>
      </c>
      <c r="H437" s="76" t="str">
        <f t="shared" si="147"/>
        <v>--</v>
      </c>
      <c r="I437" s="271" t="str">
        <f t="shared" si="148"/>
        <v>--</v>
      </c>
      <c r="J437" s="272" t="str">
        <f t="shared" si="149"/>
        <v>--</v>
      </c>
      <c r="K437" s="272" t="str">
        <f t="shared" si="150"/>
        <v>--</v>
      </c>
      <c r="L437" s="273" t="str">
        <f t="shared" si="137"/>
        <v>--</v>
      </c>
      <c r="M437" s="7">
        <f t="shared" si="138"/>
        <v>6.6622675336830611E-2</v>
      </c>
      <c r="N437" s="7">
        <f t="shared" ref="N437:N446" si="156">IF(INDEX(HLC,MATCH(C437,ChemNameChem,0))="","No HLC",IF(INDEX(Sol,MATCH(C437,ChemNameChem,0))="No S","No S",INDEX(HLC,MATCH(C437,ChemNameChem,0))*INDEX(Sol,MATCH(C437,ChemNameChem,0))*1000000))</f>
        <v>1.7730840000000001</v>
      </c>
      <c r="O437" s="326">
        <f t="shared" si="140"/>
        <v>25</v>
      </c>
      <c r="P437" s="224" t="str">
        <f t="shared" si="155"/>
        <v/>
      </c>
      <c r="Q437" s="224" t="str">
        <f t="shared" si="141"/>
        <v/>
      </c>
      <c r="R437" s="224"/>
      <c r="S437" s="271" t="str">
        <f t="shared" si="151"/>
        <v/>
      </c>
      <c r="T437" s="7" t="str">
        <f t="shared" si="152"/>
        <v/>
      </c>
      <c r="U437" s="7" t="str">
        <f t="shared" si="142"/>
        <v/>
      </c>
      <c r="V437" s="7" t="str">
        <f t="shared" si="143"/>
        <v/>
      </c>
      <c r="W437" s="7" t="str">
        <f>VLOOKUP(C437,'Tox Summary'!$N$3:$S$1048576,6,FALSE)</f>
        <v/>
      </c>
      <c r="X437" s="76" t="str">
        <f t="shared" si="144"/>
        <v/>
      </c>
      <c r="Y437" s="76" t="str">
        <f t="shared" si="145"/>
        <v/>
      </c>
      <c r="AA437" s="243"/>
    </row>
    <row r="438" spans="1:27">
      <c r="A438" s="265"/>
      <c r="B438" s="344" t="s">
        <v>29</v>
      </c>
      <c r="C438" s="269" t="s">
        <v>1196</v>
      </c>
      <c r="D438" s="280" t="str">
        <f>VLOOKUP(B438, 'Chem Props'!$1:$1048576,3,FALSE)</f>
        <v>No</v>
      </c>
      <c r="E438" s="598" t="str">
        <f t="shared" si="146"/>
        <v>No</v>
      </c>
      <c r="F438" s="7" t="str">
        <f t="shared" si="136"/>
        <v>No (not volatile)</v>
      </c>
      <c r="G438" s="270" t="str">
        <f t="shared" si="153"/>
        <v>No (not volatile)</v>
      </c>
      <c r="H438" s="76" t="str">
        <f t="shared" si="147"/>
        <v>--</v>
      </c>
      <c r="I438" s="271" t="str">
        <f t="shared" si="148"/>
        <v>--</v>
      </c>
      <c r="J438" s="272" t="str">
        <f t="shared" si="149"/>
        <v>--</v>
      </c>
      <c r="K438" s="272" t="str">
        <f t="shared" si="150"/>
        <v>--</v>
      </c>
      <c r="L438" s="273" t="str">
        <f t="shared" si="137"/>
        <v>--</v>
      </c>
      <c r="M438" s="7">
        <f t="shared" si="138"/>
        <v>0</v>
      </c>
      <c r="N438" s="7" t="str">
        <f t="shared" si="156"/>
        <v>No S</v>
      </c>
      <c r="O438" s="326">
        <f t="shared" si="140"/>
        <v>25</v>
      </c>
      <c r="P438" s="224" t="str">
        <f t="shared" si="155"/>
        <v/>
      </c>
      <c r="Q438" s="224" t="str">
        <f t="shared" si="141"/>
        <v/>
      </c>
      <c r="R438" s="224"/>
      <c r="S438" s="271" t="str">
        <f t="shared" si="151"/>
        <v/>
      </c>
      <c r="T438" s="7" t="str">
        <f t="shared" si="152"/>
        <v/>
      </c>
      <c r="U438" s="7" t="str">
        <f t="shared" si="142"/>
        <v/>
      </c>
      <c r="V438" s="7" t="str">
        <f t="shared" si="143"/>
        <v/>
      </c>
      <c r="W438" s="7" t="str">
        <f>VLOOKUP(C438,'Tox Summary'!$N$3:$S$1048576,6,FALSE)</f>
        <v/>
      </c>
      <c r="X438" s="76" t="str">
        <f t="shared" si="144"/>
        <v/>
      </c>
      <c r="Y438" s="76" t="str">
        <f t="shared" si="145"/>
        <v/>
      </c>
      <c r="AA438" s="332"/>
    </row>
    <row r="439" spans="1:27">
      <c r="A439" s="265"/>
      <c r="B439" s="344" t="s">
        <v>30</v>
      </c>
      <c r="C439" s="269" t="s">
        <v>1197</v>
      </c>
      <c r="D439" s="280" t="str">
        <f>VLOOKUP(B439, 'Chem Props'!$1:$1048576,3,FALSE)</f>
        <v>Yes</v>
      </c>
      <c r="E439" s="598" t="str">
        <f t="shared" si="146"/>
        <v>No</v>
      </c>
      <c r="F439" s="7" t="str">
        <f t="shared" si="136"/>
        <v>No Inhal. Tox. Info</v>
      </c>
      <c r="G439" s="270" t="str">
        <f t="shared" si="153"/>
        <v>No Inhal. Tox. Info</v>
      </c>
      <c r="H439" s="76" t="str">
        <f t="shared" si="147"/>
        <v>--</v>
      </c>
      <c r="I439" s="271" t="str">
        <f t="shared" si="148"/>
        <v>--</v>
      </c>
      <c r="J439" s="272" t="str">
        <f t="shared" si="149"/>
        <v>--</v>
      </c>
      <c r="K439" s="272" t="str">
        <f t="shared" si="150"/>
        <v>--</v>
      </c>
      <c r="L439" s="273" t="str">
        <f t="shared" si="137"/>
        <v>--</v>
      </c>
      <c r="M439" s="7">
        <f t="shared" si="138"/>
        <v>41680059.363901481</v>
      </c>
      <c r="N439" s="7">
        <f t="shared" si="156"/>
        <v>33983000.000000007</v>
      </c>
      <c r="O439" s="326">
        <f t="shared" si="140"/>
        <v>25</v>
      </c>
      <c r="P439" s="224" t="str">
        <f t="shared" si="155"/>
        <v/>
      </c>
      <c r="Q439" s="224" t="str">
        <f t="shared" si="141"/>
        <v/>
      </c>
      <c r="R439" s="224"/>
      <c r="S439" s="271" t="str">
        <f t="shared" si="151"/>
        <v/>
      </c>
      <c r="T439" s="7" t="str">
        <f t="shared" si="152"/>
        <v/>
      </c>
      <c r="U439" s="7" t="str">
        <f t="shared" si="142"/>
        <v/>
      </c>
      <c r="V439" s="7" t="str">
        <f t="shared" si="143"/>
        <v/>
      </c>
      <c r="W439" s="7" t="str">
        <f>VLOOKUP(C439,'Tox Summary'!$N$3:$S$1048576,6,FALSE)</f>
        <v/>
      </c>
      <c r="X439" s="76" t="str">
        <f t="shared" si="144"/>
        <v/>
      </c>
      <c r="Y439" s="76" t="str">
        <f t="shared" si="145"/>
        <v/>
      </c>
      <c r="AA439" s="332"/>
    </row>
    <row r="440" spans="1:27">
      <c r="A440" s="265"/>
      <c r="B440" s="344" t="s">
        <v>31</v>
      </c>
      <c r="C440" s="269" t="s">
        <v>386</v>
      </c>
      <c r="D440" s="280" t="str">
        <f>VLOOKUP(B440, 'Chem Props'!$1:$1048576,3,FALSE)</f>
        <v>No</v>
      </c>
      <c r="E440" s="598" t="str">
        <f t="shared" si="146"/>
        <v>Yes</v>
      </c>
      <c r="F440" s="7" t="str">
        <f t="shared" si="136"/>
        <v>No (not volatile)</v>
      </c>
      <c r="G440" s="270" t="str">
        <f t="shared" si="153"/>
        <v>No (not volatile)</v>
      </c>
      <c r="H440" s="76">
        <f t="shared" si="147"/>
        <v>2085.7142857142858</v>
      </c>
      <c r="I440" s="271" t="str">
        <f t="shared" si="148"/>
        <v>NC</v>
      </c>
      <c r="J440" s="272">
        <f t="shared" si="149"/>
        <v>69523.809523809527</v>
      </c>
      <c r="K440" s="272">
        <f t="shared" si="150"/>
        <v>7682188.8976585111</v>
      </c>
      <c r="L440" s="273" t="str">
        <f t="shared" si="137"/>
        <v>--</v>
      </c>
      <c r="M440" s="7">
        <f t="shared" si="138"/>
        <v>3257367.5716444026</v>
      </c>
      <c r="N440" s="7">
        <f t="shared" si="156"/>
        <v>3258000</v>
      </c>
      <c r="O440" s="326">
        <f t="shared" si="140"/>
        <v>25</v>
      </c>
      <c r="P440" s="224" t="str">
        <f t="shared" si="155"/>
        <v/>
      </c>
      <c r="Q440" s="224" t="str">
        <f t="shared" si="141"/>
        <v/>
      </c>
      <c r="R440" s="224"/>
      <c r="S440" s="271" t="str">
        <f t="shared" si="151"/>
        <v/>
      </c>
      <c r="T440" s="7" t="str">
        <f t="shared" si="152"/>
        <v/>
      </c>
      <c r="U440" s="7">
        <f t="shared" si="142"/>
        <v>2</v>
      </c>
      <c r="V440" s="7" t="str">
        <f t="shared" si="143"/>
        <v>CA</v>
      </c>
      <c r="W440" s="7" t="str">
        <f>VLOOKUP(C440,'Tox Summary'!$N$3:$S$1048576,6,FALSE)</f>
        <v/>
      </c>
      <c r="X440" s="76" t="str">
        <f t="shared" si="144"/>
        <v/>
      </c>
      <c r="Y440" s="76">
        <f t="shared" si="145"/>
        <v>2085.7142857142858</v>
      </c>
      <c r="AA440" s="332"/>
    </row>
    <row r="441" spans="1:27">
      <c r="A441" s="265"/>
      <c r="B441" s="269" t="s">
        <v>32</v>
      </c>
      <c r="C441" s="269" t="s">
        <v>1198</v>
      </c>
      <c r="D441" s="280" t="str">
        <f>VLOOKUP(B441, 'Chem Props'!$1:$1048576,3,FALSE)</f>
        <v>Yes</v>
      </c>
      <c r="E441" s="598" t="str">
        <f t="shared" si="146"/>
        <v>No</v>
      </c>
      <c r="F441" s="7" t="str">
        <f t="shared" si="136"/>
        <v>No Inhal. Tox. Info</v>
      </c>
      <c r="G441" s="270" t="str">
        <f t="shared" si="153"/>
        <v>No Inhal. Tox. Info</v>
      </c>
      <c r="H441" s="76" t="str">
        <f t="shared" si="147"/>
        <v>--</v>
      </c>
      <c r="I441" s="271" t="str">
        <f t="shared" si="148"/>
        <v>--</v>
      </c>
      <c r="J441" s="272" t="str">
        <f t="shared" si="149"/>
        <v>--</v>
      </c>
      <c r="K441" s="272" t="str">
        <f t="shared" si="150"/>
        <v>--</v>
      </c>
      <c r="L441" s="273" t="str">
        <f t="shared" si="137"/>
        <v>--</v>
      </c>
      <c r="M441" s="7">
        <f t="shared" si="138"/>
        <v>499.40472045201653</v>
      </c>
      <c r="N441" s="7">
        <f t="shared" si="156"/>
        <v>499.18</v>
      </c>
      <c r="O441" s="326">
        <f t="shared" si="140"/>
        <v>25</v>
      </c>
      <c r="P441" s="224" t="str">
        <f t="shared" si="155"/>
        <v/>
      </c>
      <c r="Q441" s="224" t="str">
        <f t="shared" si="141"/>
        <v/>
      </c>
      <c r="R441" s="224"/>
      <c r="S441" s="271" t="str">
        <f t="shared" si="151"/>
        <v/>
      </c>
      <c r="T441" s="7" t="str">
        <f t="shared" si="152"/>
        <v/>
      </c>
      <c r="U441" s="7" t="str">
        <f t="shared" si="142"/>
        <v/>
      </c>
      <c r="V441" s="7" t="str">
        <f t="shared" si="143"/>
        <v/>
      </c>
      <c r="W441" s="7" t="str">
        <f>VLOOKUP(C441,'Tox Summary'!$N$3:$S$1048576,6,FALSE)</f>
        <v/>
      </c>
      <c r="X441" s="76" t="str">
        <f t="shared" si="144"/>
        <v/>
      </c>
      <c r="Y441" s="76" t="str">
        <f t="shared" si="145"/>
        <v/>
      </c>
      <c r="AA441" s="243"/>
    </row>
    <row r="442" spans="1:27">
      <c r="A442" s="265"/>
      <c r="B442" s="344" t="s">
        <v>33</v>
      </c>
      <c r="C442" s="269" t="s">
        <v>591</v>
      </c>
      <c r="D442" s="280" t="str">
        <f>VLOOKUP(B442, 'Chem Props'!$1:$1048576,3,FALSE)</f>
        <v>Yes</v>
      </c>
      <c r="E442" s="598" t="str">
        <f t="shared" si="146"/>
        <v>Yes</v>
      </c>
      <c r="F442" s="7" t="str">
        <f t="shared" si="136"/>
        <v>Yes</v>
      </c>
      <c r="G442" s="270" t="str">
        <f t="shared" si="153"/>
        <v>Yes</v>
      </c>
      <c r="H442" s="76">
        <f t="shared" si="147"/>
        <v>208.57142857142858</v>
      </c>
      <c r="I442" s="271" t="str">
        <f t="shared" si="148"/>
        <v>NC</v>
      </c>
      <c r="J442" s="272">
        <f t="shared" si="149"/>
        <v>6952.3809523809532</v>
      </c>
      <c r="K442" s="272">
        <f t="shared" si="150"/>
        <v>629744.65148378187</v>
      </c>
      <c r="L442" s="273" t="str">
        <f t="shared" si="137"/>
        <v>--</v>
      </c>
      <c r="M442" s="7">
        <f t="shared" si="138"/>
        <v>146876770.15967068</v>
      </c>
      <c r="N442" s="7">
        <f t="shared" si="156"/>
        <v>331200000</v>
      </c>
      <c r="O442" s="326">
        <f t="shared" si="140"/>
        <v>25</v>
      </c>
      <c r="P442" s="224">
        <f t="shared" si="155"/>
        <v>2</v>
      </c>
      <c r="Q442" s="224" t="str">
        <f t="shared" si="141"/>
        <v>N</v>
      </c>
      <c r="R442" s="224"/>
      <c r="S442" s="271" t="str">
        <f t="shared" si="151"/>
        <v/>
      </c>
      <c r="T442" s="7" t="str">
        <f t="shared" si="152"/>
        <v/>
      </c>
      <c r="U442" s="7">
        <f t="shared" si="142"/>
        <v>0.2</v>
      </c>
      <c r="V442" s="7" t="str">
        <f t="shared" si="143"/>
        <v>P</v>
      </c>
      <c r="W442" s="7" t="str">
        <f>VLOOKUP(C442,'Tox Summary'!$N$3:$S$1048576,6,FALSE)</f>
        <v/>
      </c>
      <c r="X442" s="76" t="str">
        <f t="shared" si="144"/>
        <v/>
      </c>
      <c r="Y442" s="76">
        <f t="shared" si="145"/>
        <v>208.57142857142858</v>
      </c>
      <c r="AA442" s="332"/>
    </row>
    <row r="443" spans="1:27">
      <c r="A443" s="265"/>
      <c r="B443" s="269" t="s">
        <v>34</v>
      </c>
      <c r="C443" s="269" t="s">
        <v>1199</v>
      </c>
      <c r="D443" s="280" t="str">
        <f>VLOOKUP(B443, 'Chem Props'!$1:$1048576,3,FALSE)</f>
        <v>No</v>
      </c>
      <c r="E443" s="598" t="str">
        <f t="shared" si="146"/>
        <v>No</v>
      </c>
      <c r="F443" s="7" t="str">
        <f t="shared" si="136"/>
        <v>No (not volatile)</v>
      </c>
      <c r="G443" s="270" t="str">
        <f t="shared" si="153"/>
        <v>No (not volatile)</v>
      </c>
      <c r="H443" s="76" t="str">
        <f t="shared" si="147"/>
        <v>--</v>
      </c>
      <c r="I443" s="271" t="str">
        <f t="shared" si="148"/>
        <v>--</v>
      </c>
      <c r="J443" s="272" t="str">
        <f t="shared" si="149"/>
        <v>--</v>
      </c>
      <c r="K443" s="272" t="str">
        <f t="shared" si="150"/>
        <v>--</v>
      </c>
      <c r="L443" s="273" t="str">
        <f t="shared" si="137"/>
        <v>--</v>
      </c>
      <c r="M443" s="7">
        <f t="shared" si="138"/>
        <v>88428.820241527355</v>
      </c>
      <c r="N443" s="7">
        <f t="shared" si="156"/>
        <v>14182.1376</v>
      </c>
      <c r="O443" s="326">
        <f t="shared" si="140"/>
        <v>25</v>
      </c>
      <c r="P443" s="224" t="str">
        <f t="shared" si="155"/>
        <v/>
      </c>
      <c r="Q443" s="224" t="str">
        <f t="shared" si="141"/>
        <v/>
      </c>
      <c r="R443" s="224"/>
      <c r="S443" s="271" t="str">
        <f t="shared" si="151"/>
        <v/>
      </c>
      <c r="T443" s="7" t="str">
        <f t="shared" si="152"/>
        <v/>
      </c>
      <c r="U443" s="7" t="str">
        <f t="shared" si="142"/>
        <v/>
      </c>
      <c r="V443" s="7" t="str">
        <f t="shared" si="143"/>
        <v/>
      </c>
      <c r="W443" s="7" t="str">
        <f>VLOOKUP(C443,'Tox Summary'!$N$3:$S$1048576,6,FALSE)</f>
        <v/>
      </c>
      <c r="X443" s="76" t="str">
        <f t="shared" si="144"/>
        <v/>
      </c>
      <c r="Y443" s="76" t="str">
        <f t="shared" si="145"/>
        <v/>
      </c>
      <c r="AA443" s="243"/>
    </row>
    <row r="444" spans="1:27">
      <c r="A444" s="265"/>
      <c r="B444" s="344" t="s">
        <v>35</v>
      </c>
      <c r="C444" s="269" t="s">
        <v>1200</v>
      </c>
      <c r="D444" s="280" t="str">
        <f>VLOOKUP(B444, 'Chem Props'!$1:$1048576,3,FALSE)</f>
        <v>No</v>
      </c>
      <c r="E444" s="598" t="str">
        <f t="shared" si="146"/>
        <v>No</v>
      </c>
      <c r="F444" s="7" t="str">
        <f t="shared" si="136"/>
        <v>No (not volatile)</v>
      </c>
      <c r="G444" s="270" t="str">
        <f t="shared" si="153"/>
        <v>No (not volatile)</v>
      </c>
      <c r="H444" s="76" t="str">
        <f t="shared" si="147"/>
        <v>--</v>
      </c>
      <c r="I444" s="271" t="str">
        <f t="shared" si="148"/>
        <v>--</v>
      </c>
      <c r="J444" s="272" t="str">
        <f t="shared" si="149"/>
        <v>--</v>
      </c>
      <c r="K444" s="272" t="str">
        <f t="shared" si="150"/>
        <v>--</v>
      </c>
      <c r="L444" s="273" t="str">
        <f t="shared" si="137"/>
        <v>--</v>
      </c>
      <c r="M444" s="7">
        <f t="shared" si="138"/>
        <v>7.3869346639210173E-2</v>
      </c>
      <c r="N444" s="7">
        <f t="shared" si="156"/>
        <v>7.3729240000000001E-2</v>
      </c>
      <c r="O444" s="326">
        <f t="shared" si="140"/>
        <v>25</v>
      </c>
      <c r="P444" s="224" t="str">
        <f t="shared" si="155"/>
        <v/>
      </c>
      <c r="Q444" s="224" t="str">
        <f t="shared" si="141"/>
        <v/>
      </c>
      <c r="R444" s="224"/>
      <c r="S444" s="271" t="str">
        <f t="shared" si="151"/>
        <v/>
      </c>
      <c r="T444" s="7" t="str">
        <f t="shared" si="152"/>
        <v/>
      </c>
      <c r="U444" s="7" t="str">
        <f t="shared" si="142"/>
        <v/>
      </c>
      <c r="V444" s="7" t="str">
        <f t="shared" si="143"/>
        <v/>
      </c>
      <c r="W444" s="7" t="str">
        <f>VLOOKUP(C444,'Tox Summary'!$N$3:$S$1048576,6,FALSE)</f>
        <v/>
      </c>
      <c r="X444" s="76" t="str">
        <f t="shared" si="144"/>
        <v/>
      </c>
      <c r="Y444" s="76" t="str">
        <f t="shared" si="145"/>
        <v/>
      </c>
      <c r="AA444" s="332"/>
    </row>
    <row r="445" spans="1:27">
      <c r="A445" s="265"/>
      <c r="B445" s="344" t="s">
        <v>37</v>
      </c>
      <c r="C445" s="269" t="s">
        <v>1201</v>
      </c>
      <c r="D445" s="280" t="str">
        <f>VLOOKUP(B445, 'Chem Props'!$1:$1048576,3,FALSE)</f>
        <v>No</v>
      </c>
      <c r="E445" s="598" t="str">
        <f t="shared" si="146"/>
        <v>No</v>
      </c>
      <c r="F445" s="7" t="str">
        <f t="shared" si="136"/>
        <v>No (not volatile)</v>
      </c>
      <c r="G445" s="270" t="str">
        <f t="shared" si="153"/>
        <v>No (not volatile)</v>
      </c>
      <c r="H445" s="76" t="str">
        <f t="shared" si="147"/>
        <v>--</v>
      </c>
      <c r="I445" s="271" t="str">
        <f t="shared" si="148"/>
        <v>--</v>
      </c>
      <c r="J445" s="272" t="str">
        <f t="shared" si="149"/>
        <v>--</v>
      </c>
      <c r="K445" s="272" t="str">
        <f t="shared" si="150"/>
        <v>--</v>
      </c>
      <c r="L445" s="273" t="str">
        <f t="shared" si="137"/>
        <v>--</v>
      </c>
      <c r="M445" s="7">
        <f t="shared" si="138"/>
        <v>1.7393474724680535</v>
      </c>
      <c r="N445" s="7">
        <f t="shared" si="156"/>
        <v>1.9300000000000002</v>
      </c>
      <c r="O445" s="326">
        <f t="shared" si="140"/>
        <v>25</v>
      </c>
      <c r="P445" s="224" t="str">
        <f t="shared" si="155"/>
        <v/>
      </c>
      <c r="Q445" s="224" t="str">
        <f t="shared" si="141"/>
        <v/>
      </c>
      <c r="R445" s="224"/>
      <c r="S445" s="271" t="str">
        <f t="shared" si="151"/>
        <v/>
      </c>
      <c r="T445" s="7" t="str">
        <f t="shared" si="152"/>
        <v/>
      </c>
      <c r="U445" s="7" t="str">
        <f t="shared" si="142"/>
        <v/>
      </c>
      <c r="V445" s="7" t="str">
        <f t="shared" si="143"/>
        <v/>
      </c>
      <c r="W445" s="7" t="str">
        <f>VLOOKUP(C445,'Tox Summary'!$N$3:$S$1048576,6,FALSE)</f>
        <v/>
      </c>
      <c r="X445" s="76" t="str">
        <f t="shared" si="144"/>
        <v/>
      </c>
      <c r="Y445" s="76" t="str">
        <f t="shared" si="145"/>
        <v/>
      </c>
      <c r="AA445" s="332"/>
    </row>
    <row r="446" spans="1:27">
      <c r="A446" s="265"/>
      <c r="B446" s="96" t="s">
        <v>2506</v>
      </c>
      <c r="C446" s="96" t="s">
        <v>2505</v>
      </c>
      <c r="D446" s="280" t="str">
        <f>VLOOKUP(B446, 'Chem Props'!$1:$1048576,3,FALSE)</f>
        <v>No</v>
      </c>
      <c r="E446" s="598" t="str">
        <f t="shared" si="146"/>
        <v>No</v>
      </c>
      <c r="F446" s="7" t="str">
        <f t="shared" si="136"/>
        <v>No (not volatile)</v>
      </c>
      <c r="G446" s="270" t="str">
        <f t="shared" si="153"/>
        <v>No (not volatile)</v>
      </c>
      <c r="H446" s="76" t="str">
        <f t="shared" si="147"/>
        <v>--</v>
      </c>
      <c r="I446" s="271" t="str">
        <f t="shared" si="148"/>
        <v>--</v>
      </c>
      <c r="J446" s="272" t="str">
        <f t="shared" si="149"/>
        <v>--</v>
      </c>
      <c r="K446" s="272" t="str">
        <f t="shared" si="150"/>
        <v>--</v>
      </c>
      <c r="L446" s="273" t="str">
        <f t="shared" si="137"/>
        <v>--</v>
      </c>
      <c r="M446" s="7">
        <f t="shared" si="138"/>
        <v>454753.81884297717</v>
      </c>
      <c r="N446" s="7">
        <f t="shared" si="156"/>
        <v>186565920</v>
      </c>
      <c r="O446" s="326">
        <f t="shared" si="140"/>
        <v>25</v>
      </c>
      <c r="P446" s="224" t="str">
        <f t="shared" si="155"/>
        <v/>
      </c>
      <c r="Q446" s="224" t="str">
        <f t="shared" si="141"/>
        <v/>
      </c>
      <c r="R446" s="224"/>
      <c r="S446" s="271" t="str">
        <f t="shared" si="151"/>
        <v/>
      </c>
      <c r="T446" s="7" t="str">
        <f t="shared" si="152"/>
        <v/>
      </c>
      <c r="U446" s="7" t="str">
        <f t="shared" si="142"/>
        <v/>
      </c>
      <c r="V446" s="7" t="str">
        <f t="shared" si="143"/>
        <v/>
      </c>
      <c r="W446" s="7" t="str">
        <f>VLOOKUP(C446,'Tox Summary'!$N$3:$S$1048576,6,FALSE)</f>
        <v/>
      </c>
      <c r="X446" s="76" t="str">
        <f t="shared" si="144"/>
        <v/>
      </c>
      <c r="Y446" s="76" t="str">
        <f t="shared" si="145"/>
        <v/>
      </c>
      <c r="AA446" s="332"/>
    </row>
    <row r="447" spans="1:27">
      <c r="A447" s="265"/>
      <c r="B447" s="344" t="s">
        <v>38</v>
      </c>
      <c r="C447" s="269" t="s">
        <v>2372</v>
      </c>
      <c r="D447" s="280" t="str">
        <f>VLOOKUP(B447, 'Chem Props'!$1:$1048576,3,FALSE)</f>
        <v>No</v>
      </c>
      <c r="E447" s="598" t="str">
        <f t="shared" si="146"/>
        <v>Yes</v>
      </c>
      <c r="F447" s="7" t="str">
        <f t="shared" si="136"/>
        <v>No (not volatile)</v>
      </c>
      <c r="G447" s="270" t="str">
        <f t="shared" si="153"/>
        <v>No (not volatile)</v>
      </c>
      <c r="H447" s="76">
        <f t="shared" si="147"/>
        <v>0.23397435897435895</v>
      </c>
      <c r="I447" s="271" t="str">
        <f t="shared" si="148"/>
        <v>C</v>
      </c>
      <c r="J447" s="272">
        <f t="shared" si="149"/>
        <v>7.799145299145299</v>
      </c>
      <c r="K447" s="272"/>
      <c r="L447" s="273" t="str">
        <f t="shared" si="137"/>
        <v>--</v>
      </c>
      <c r="M447" s="7">
        <f t="shared" si="138"/>
        <v>12715.586421097531</v>
      </c>
      <c r="N447" s="7"/>
      <c r="O447" s="326">
        <f t="shared" si="140"/>
        <v>25</v>
      </c>
      <c r="P447" s="224" t="str">
        <f t="shared" si="155"/>
        <v/>
      </c>
      <c r="Q447" s="224" t="str">
        <f t="shared" si="141"/>
        <v/>
      </c>
      <c r="R447" s="224"/>
      <c r="S447" s="271">
        <f t="shared" si="151"/>
        <v>1.2E-5</v>
      </c>
      <c r="T447" s="7" t="str">
        <f t="shared" si="152"/>
        <v>CA</v>
      </c>
      <c r="U447" s="7" t="str">
        <f t="shared" si="142"/>
        <v/>
      </c>
      <c r="V447" s="7" t="str">
        <f t="shared" si="143"/>
        <v/>
      </c>
      <c r="W447" s="7" t="str">
        <f>VLOOKUP(C447,'Tox Summary'!$N$3:$S$1048576,6,FALSE)</f>
        <v/>
      </c>
      <c r="X447" s="76">
        <f t="shared" si="144"/>
        <v>0.23397435897435895</v>
      </c>
      <c r="Y447" s="76" t="str">
        <f t="shared" si="145"/>
        <v/>
      </c>
      <c r="AA447" s="332"/>
    </row>
    <row r="448" spans="1:27">
      <c r="A448" s="265"/>
      <c r="B448" s="344" t="s">
        <v>39</v>
      </c>
      <c r="C448" s="269" t="s">
        <v>2373</v>
      </c>
      <c r="D448" s="280" t="str">
        <f>VLOOKUP(B448, 'Chem Props'!$1:$1048576,3,FALSE)</f>
        <v>No</v>
      </c>
      <c r="E448" s="598" t="str">
        <f t="shared" si="146"/>
        <v>No</v>
      </c>
      <c r="F448" s="7" t="str">
        <f t="shared" si="136"/>
        <v>No (not volatile)</v>
      </c>
      <c r="G448" s="270" t="str">
        <f t="shared" si="153"/>
        <v>No (not volatile)</v>
      </c>
      <c r="H448" s="76" t="str">
        <f t="shared" si="147"/>
        <v>--</v>
      </c>
      <c r="I448" s="271" t="str">
        <f t="shared" si="148"/>
        <v>--</v>
      </c>
      <c r="J448" s="272" t="str">
        <f t="shared" si="149"/>
        <v>--</v>
      </c>
      <c r="K448" s="272" t="str">
        <f t="shared" ref="K448:K479" si="157">IF(ISNUMBER(H448),IF(H448="--","--", IF(LEFT(N448,2)="No",N448,IF(H448*0.001/(INDEX(HLC,MATCH(C448,ChemNameChem,0))*AFgw)&gt;=1000*INDEX(PWCS,MATCH(C448,ChemNameChem,0)), "NVT", H448*0.001/(INDEX(HLC,MATCH(C448,ChemNameChem,0))*AFgw)))),H448)</f>
        <v>--</v>
      </c>
      <c r="L448" s="273" t="str">
        <f t="shared" si="137"/>
        <v>No (15)</v>
      </c>
      <c r="M448" s="7">
        <f t="shared" si="138"/>
        <v>0</v>
      </c>
      <c r="N448" s="7" t="str">
        <f>IF(INDEX(HLC,MATCH(C448,ChemNameChem,0))="","No HLC",IF(INDEX(Sol,MATCH(C448,ChemNameChem,0))="No S","No S",INDEX(HLC,MATCH(C448,ChemNameChem,0))*INDEX(Sol,MATCH(C448,ChemNameChem,0))*1000000))</f>
        <v>No HLC</v>
      </c>
      <c r="O448" s="326">
        <f t="shared" si="140"/>
        <v>25</v>
      </c>
      <c r="P448" s="224" t="str">
        <f t="shared" si="155"/>
        <v/>
      </c>
      <c r="Q448" s="224" t="str">
        <f t="shared" si="141"/>
        <v/>
      </c>
      <c r="R448" s="224"/>
      <c r="S448" s="271" t="str">
        <f t="shared" si="151"/>
        <v/>
      </c>
      <c r="T448" s="7" t="str">
        <f t="shared" si="152"/>
        <v/>
      </c>
      <c r="U448" s="7" t="str">
        <f t="shared" si="142"/>
        <v/>
      </c>
      <c r="V448" s="7" t="str">
        <f t="shared" si="143"/>
        <v/>
      </c>
      <c r="W448" s="7" t="str">
        <f>VLOOKUP(C448,'Tox Summary'!$N$3:$S$1048576,6,FALSE)</f>
        <v/>
      </c>
      <c r="X448" s="76" t="str">
        <f t="shared" si="144"/>
        <v/>
      </c>
      <c r="Y448" s="76" t="str">
        <f t="shared" si="145"/>
        <v/>
      </c>
      <c r="AA448" s="332"/>
    </row>
    <row r="449" spans="1:27">
      <c r="A449" s="265"/>
      <c r="B449" s="269" t="s">
        <v>2116</v>
      </c>
      <c r="C449" s="269" t="s">
        <v>2371</v>
      </c>
      <c r="D449" s="280" t="str">
        <f>VLOOKUP(B449, 'Chem Props'!$1:$1048576,3,FALSE)</f>
        <v>No</v>
      </c>
      <c r="E449" s="598" t="str">
        <f t="shared" si="146"/>
        <v>Yes</v>
      </c>
      <c r="F449" s="7" t="str">
        <f t="shared" si="136"/>
        <v>No (not volatile)</v>
      </c>
      <c r="G449" s="270" t="str">
        <f t="shared" si="153"/>
        <v>No (not volatile)</v>
      </c>
      <c r="H449" s="76" t="str">
        <f t="shared" si="147"/>
        <v>No VP</v>
      </c>
      <c r="I449" s="271" t="str">
        <f t="shared" si="148"/>
        <v>C</v>
      </c>
      <c r="J449" s="272" t="str">
        <f t="shared" si="149"/>
        <v>No VP</v>
      </c>
      <c r="K449" s="272" t="str">
        <f t="shared" si="157"/>
        <v>No VP</v>
      </c>
      <c r="L449" s="273" t="str">
        <f t="shared" si="137"/>
        <v>--</v>
      </c>
      <c r="M449" s="7" t="str">
        <f t="shared" si="138"/>
        <v>No VP</v>
      </c>
      <c r="N449" s="7"/>
      <c r="O449" s="326">
        <f t="shared" si="140"/>
        <v>25</v>
      </c>
      <c r="P449" s="224" t="str">
        <f t="shared" si="155"/>
        <v/>
      </c>
      <c r="Q449" s="224" t="str">
        <f t="shared" si="141"/>
        <v/>
      </c>
      <c r="R449" s="224"/>
      <c r="S449" s="271">
        <f t="shared" si="151"/>
        <v>1.2E-5</v>
      </c>
      <c r="T449" s="7" t="str">
        <f t="shared" si="152"/>
        <v>CA</v>
      </c>
      <c r="U449" s="7" t="str">
        <f t="shared" si="142"/>
        <v/>
      </c>
      <c r="V449" s="7" t="str">
        <f t="shared" si="143"/>
        <v/>
      </c>
      <c r="W449" s="7" t="str">
        <f>VLOOKUP(C449,'Tox Summary'!$N$3:$S$1048576,6,FALSE)</f>
        <v/>
      </c>
      <c r="X449" s="76">
        <f t="shared" si="144"/>
        <v>0.23397435897435895</v>
      </c>
      <c r="Y449" s="76" t="str">
        <f t="shared" si="145"/>
        <v/>
      </c>
      <c r="AA449" s="243"/>
    </row>
    <row r="450" spans="1:27">
      <c r="A450" s="265"/>
      <c r="B450" s="269" t="s">
        <v>40</v>
      </c>
      <c r="C450" s="269" t="s">
        <v>2374</v>
      </c>
      <c r="D450" s="280" t="str">
        <f>VLOOKUP(B450, 'Chem Props'!$1:$1048576,3,FALSE)</f>
        <v>No</v>
      </c>
      <c r="E450" s="598" t="str">
        <f t="shared" si="146"/>
        <v>Yes</v>
      </c>
      <c r="F450" s="7" t="str">
        <f t="shared" si="136"/>
        <v>No (not volatile)</v>
      </c>
      <c r="G450" s="270" t="str">
        <f t="shared" si="153"/>
        <v>No (not volatile)</v>
      </c>
      <c r="H450" s="76" t="str">
        <f t="shared" si="147"/>
        <v>NVT</v>
      </c>
      <c r="I450" s="271" t="str">
        <f t="shared" si="148"/>
        <v>C</v>
      </c>
      <c r="J450" s="272" t="str">
        <f t="shared" si="149"/>
        <v>NVT</v>
      </c>
      <c r="K450" s="272" t="str">
        <f t="shared" si="157"/>
        <v>NVT</v>
      </c>
      <c r="L450" s="273" t="str">
        <f t="shared" si="137"/>
        <v>--</v>
      </c>
      <c r="M450" s="7">
        <f t="shared" si="138"/>
        <v>1.2918933050578023E-2</v>
      </c>
      <c r="N450" s="7"/>
      <c r="O450" s="326">
        <f t="shared" si="140"/>
        <v>25</v>
      </c>
      <c r="P450" s="224" t="str">
        <f t="shared" si="155"/>
        <v/>
      </c>
      <c r="Q450" s="224" t="str">
        <f t="shared" si="141"/>
        <v/>
      </c>
      <c r="R450" s="224"/>
      <c r="S450" s="271">
        <f t="shared" si="151"/>
        <v>1.2E-5</v>
      </c>
      <c r="T450" s="7" t="str">
        <f t="shared" si="152"/>
        <v>CA</v>
      </c>
      <c r="U450" s="7" t="str">
        <f t="shared" si="142"/>
        <v/>
      </c>
      <c r="V450" s="7" t="str">
        <f t="shared" si="143"/>
        <v/>
      </c>
      <c r="W450" s="7" t="str">
        <f>VLOOKUP(C450,'Tox Summary'!$N$3:$S$1048576,6,FALSE)</f>
        <v/>
      </c>
      <c r="X450" s="76">
        <f t="shared" si="144"/>
        <v>0.23397435897435895</v>
      </c>
      <c r="Y450" s="76" t="str">
        <f t="shared" si="145"/>
        <v/>
      </c>
      <c r="AA450" s="243"/>
    </row>
    <row r="451" spans="1:27">
      <c r="A451" s="265"/>
      <c r="B451" s="269" t="s">
        <v>2283</v>
      </c>
      <c r="C451" s="269" t="s">
        <v>2284</v>
      </c>
      <c r="D451" s="280" t="str">
        <f>VLOOKUP(B451, 'Chem Props'!$1:$1048576,3,FALSE)</f>
        <v>Yes</v>
      </c>
      <c r="E451" s="598" t="str">
        <f t="shared" si="146"/>
        <v>No</v>
      </c>
      <c r="F451" s="7" t="str">
        <f t="shared" si="136"/>
        <v>No Inhal. Tox. Info</v>
      </c>
      <c r="G451" s="270" t="str">
        <f t="shared" si="153"/>
        <v>No Inhal. Tox. Info</v>
      </c>
      <c r="H451" s="76" t="str">
        <f t="shared" si="147"/>
        <v>--</v>
      </c>
      <c r="I451" s="271" t="str">
        <f t="shared" si="148"/>
        <v>--</v>
      </c>
      <c r="J451" s="272" t="str">
        <f t="shared" si="149"/>
        <v>--</v>
      </c>
      <c r="K451" s="272" t="str">
        <f t="shared" si="157"/>
        <v>--</v>
      </c>
      <c r="L451" s="273" t="str">
        <f t="shared" si="137"/>
        <v>--</v>
      </c>
      <c r="M451" s="7">
        <f t="shared" si="138"/>
        <v>6470269.7151830047</v>
      </c>
      <c r="N451" s="7">
        <f>IF(INDEX(HLC,MATCH(C451,ChemNameChem,0))="","No HLC",IF(INDEX(Sol,MATCH(C451,ChemNameChem,0))="No S","No S",INDEX(HLC,MATCH(C451,ChemNameChem,0))*INDEX(Sol,MATCH(C451,ChemNameChem,0))*1000000))</f>
        <v>4455000</v>
      </c>
      <c r="O451" s="326">
        <f t="shared" si="140"/>
        <v>25</v>
      </c>
      <c r="P451" s="224" t="str">
        <f t="shared" si="155"/>
        <v/>
      </c>
      <c r="Q451" s="224" t="str">
        <f t="shared" si="141"/>
        <v/>
      </c>
      <c r="R451" s="224"/>
      <c r="S451" s="271" t="str">
        <f t="shared" si="151"/>
        <v/>
      </c>
      <c r="T451" s="7" t="str">
        <f t="shared" si="152"/>
        <v/>
      </c>
      <c r="U451" s="7" t="str">
        <f t="shared" si="142"/>
        <v/>
      </c>
      <c r="V451" s="7" t="str">
        <f t="shared" si="143"/>
        <v/>
      </c>
      <c r="W451" s="7" t="str">
        <f>VLOOKUP(C451,'Tox Summary'!$N$3:$S$1048576,6,FALSE)</f>
        <v/>
      </c>
      <c r="X451" s="76" t="str">
        <f t="shared" si="144"/>
        <v/>
      </c>
      <c r="Y451" s="76" t="str">
        <f t="shared" si="145"/>
        <v/>
      </c>
      <c r="AA451" s="243"/>
    </row>
    <row r="452" spans="1:27">
      <c r="A452" s="265"/>
      <c r="B452" s="269" t="s">
        <v>42</v>
      </c>
      <c r="C452" s="269" t="s">
        <v>1203</v>
      </c>
      <c r="D452" s="280" t="str">
        <f>VLOOKUP(B452, 'Chem Props'!$1:$1048576,3,FALSE)</f>
        <v>No</v>
      </c>
      <c r="E452" s="598" t="str">
        <f t="shared" si="146"/>
        <v>No</v>
      </c>
      <c r="F452" s="7" t="str">
        <f t="shared" si="136"/>
        <v>No (not volatile)</v>
      </c>
      <c r="G452" s="270" t="str">
        <f t="shared" si="153"/>
        <v>No (not volatile)</v>
      </c>
      <c r="H452" s="76" t="str">
        <f t="shared" si="147"/>
        <v>--</v>
      </c>
      <c r="I452" s="271" t="str">
        <f t="shared" si="148"/>
        <v>--</v>
      </c>
      <c r="J452" s="272" t="str">
        <f t="shared" si="149"/>
        <v>--</v>
      </c>
      <c r="K452" s="272" t="str">
        <f t="shared" si="157"/>
        <v>--</v>
      </c>
      <c r="L452" s="273" t="str">
        <f t="shared" si="137"/>
        <v>--</v>
      </c>
      <c r="M452" s="7">
        <f t="shared" si="138"/>
        <v>19.167388961047092</v>
      </c>
      <c r="N452" s="7">
        <f>IF(INDEX(HLC,MATCH(C452,ChemNameChem,0))="","No HLC",IF(INDEX(Sol,MATCH(C452,ChemNameChem,0))="No S","No S",INDEX(HLC,MATCH(C452,ChemNameChem,0))*INDEX(Sol,MATCH(C452,ChemNameChem,0))*1000000))</f>
        <v>19.164000000000001</v>
      </c>
      <c r="O452" s="326">
        <f t="shared" si="140"/>
        <v>25</v>
      </c>
      <c r="P452" s="224" t="str">
        <f t="shared" si="155"/>
        <v/>
      </c>
      <c r="Q452" s="224" t="str">
        <f t="shared" si="141"/>
        <v/>
      </c>
      <c r="R452" s="224"/>
      <c r="S452" s="271" t="str">
        <f t="shared" si="151"/>
        <v/>
      </c>
      <c r="T452" s="7" t="str">
        <f t="shared" si="152"/>
        <v/>
      </c>
      <c r="U452" s="7" t="str">
        <f t="shared" si="142"/>
        <v/>
      </c>
      <c r="V452" s="7" t="str">
        <f t="shared" si="143"/>
        <v/>
      </c>
      <c r="W452" s="7" t="str">
        <f>VLOOKUP(C452,'Tox Summary'!$N$3:$S$1048576,6,FALSE)</f>
        <v/>
      </c>
      <c r="X452" s="76" t="str">
        <f t="shared" si="144"/>
        <v/>
      </c>
      <c r="Y452" s="76" t="str">
        <f t="shared" si="145"/>
        <v/>
      </c>
      <c r="AA452" s="243"/>
    </row>
    <row r="453" spans="1:27">
      <c r="A453" s="265"/>
      <c r="B453" s="269" t="s">
        <v>43</v>
      </c>
      <c r="C453" s="269" t="s">
        <v>536</v>
      </c>
      <c r="D453" s="280" t="str">
        <f>VLOOKUP(B453, 'Chem Props'!$1:$1048576,3,FALSE)</f>
        <v>No</v>
      </c>
      <c r="E453" s="598" t="str">
        <f t="shared" si="146"/>
        <v>No</v>
      </c>
      <c r="F453" s="7" t="str">
        <f t="shared" si="136"/>
        <v>No (not volatile)</v>
      </c>
      <c r="G453" s="270" t="str">
        <f t="shared" si="153"/>
        <v>No (not volatile)</v>
      </c>
      <c r="H453" s="76" t="str">
        <f t="shared" si="147"/>
        <v>No VP</v>
      </c>
      <c r="I453" s="271" t="str">
        <f t="shared" si="148"/>
        <v>--</v>
      </c>
      <c r="J453" s="272" t="str">
        <f t="shared" si="149"/>
        <v>No VP</v>
      </c>
      <c r="K453" s="272" t="str">
        <f t="shared" si="157"/>
        <v>No VP</v>
      </c>
      <c r="L453" s="273" t="str">
        <f t="shared" si="137"/>
        <v>--</v>
      </c>
      <c r="M453" s="7" t="str">
        <f t="shared" si="138"/>
        <v>No VP</v>
      </c>
      <c r="N453" s="7" t="str">
        <f>IF(INDEX(HLC,MATCH(C453,ChemNameChem,0))="","No HLC",IF(INDEX(Sol,MATCH(C453,ChemNameChem,0))="No S","No S",INDEX(HLC,MATCH(C453,ChemNameChem,0))*INDEX(Sol,MATCH(C453,ChemNameChem,0))*1000000))</f>
        <v>No HLC</v>
      </c>
      <c r="O453" s="326">
        <f t="shared" si="140"/>
        <v>25</v>
      </c>
      <c r="P453" s="224" t="str">
        <f t="shared" si="155"/>
        <v/>
      </c>
      <c r="Q453" s="224" t="str">
        <f t="shared" si="141"/>
        <v/>
      </c>
      <c r="R453" s="224"/>
      <c r="S453" s="271" t="str">
        <f t="shared" si="151"/>
        <v/>
      </c>
      <c r="T453" s="7" t="str">
        <f t="shared" si="152"/>
        <v/>
      </c>
      <c r="U453" s="7" t="str">
        <f t="shared" si="142"/>
        <v/>
      </c>
      <c r="V453" s="7" t="str">
        <f t="shared" si="143"/>
        <v/>
      </c>
      <c r="W453" s="7" t="str">
        <f>VLOOKUP(C453,'Tox Summary'!$N$3:$S$1048576,6,FALSE)</f>
        <v/>
      </c>
      <c r="X453" s="76" t="str">
        <f t="shared" si="144"/>
        <v/>
      </c>
      <c r="Y453" s="76" t="str">
        <f t="shared" si="145"/>
        <v/>
      </c>
      <c r="AA453" s="243"/>
    </row>
    <row r="454" spans="1:27">
      <c r="A454" s="265"/>
      <c r="B454" s="269" t="s">
        <v>44</v>
      </c>
      <c r="C454" s="269" t="s">
        <v>2377</v>
      </c>
      <c r="D454" s="280" t="str">
        <f>VLOOKUP(B454, 'Chem Props'!$1:$1048576,3,FALSE)</f>
        <v>No</v>
      </c>
      <c r="E454" s="598" t="str">
        <f t="shared" si="146"/>
        <v>No</v>
      </c>
      <c r="F454" s="7" t="str">
        <f t="shared" si="136"/>
        <v>No (not volatile)</v>
      </c>
      <c r="G454" s="270" t="str">
        <f t="shared" si="153"/>
        <v>No (not volatile)</v>
      </c>
      <c r="H454" s="76" t="str">
        <f t="shared" si="147"/>
        <v>No VP</v>
      </c>
      <c r="I454" s="271" t="str">
        <f t="shared" si="148"/>
        <v>--</v>
      </c>
      <c r="J454" s="272" t="str">
        <f t="shared" si="149"/>
        <v>No VP</v>
      </c>
      <c r="K454" s="272" t="str">
        <f t="shared" si="157"/>
        <v>No VP</v>
      </c>
      <c r="L454" s="273" t="str">
        <f t="shared" si="137"/>
        <v>--</v>
      </c>
      <c r="M454" s="7" t="str">
        <f t="shared" si="138"/>
        <v>No VP</v>
      </c>
      <c r="N454" s="7"/>
      <c r="O454" s="326">
        <f t="shared" si="140"/>
        <v>25</v>
      </c>
      <c r="P454" s="224" t="str">
        <f t="shared" si="155"/>
        <v/>
      </c>
      <c r="Q454" s="224" t="str">
        <f t="shared" si="141"/>
        <v/>
      </c>
      <c r="R454" s="224"/>
      <c r="S454" s="271" t="str">
        <f t="shared" si="151"/>
        <v/>
      </c>
      <c r="T454" s="7" t="str">
        <f t="shared" si="152"/>
        <v/>
      </c>
      <c r="U454" s="7" t="str">
        <f t="shared" si="142"/>
        <v/>
      </c>
      <c r="V454" s="7" t="str">
        <f t="shared" si="143"/>
        <v/>
      </c>
      <c r="W454" s="7" t="str">
        <f>VLOOKUP(C454,'Tox Summary'!$N$3:$S$1048576,6,FALSE)</f>
        <v/>
      </c>
      <c r="X454" s="76" t="str">
        <f t="shared" si="144"/>
        <v/>
      </c>
      <c r="Y454" s="76" t="str">
        <f t="shared" si="145"/>
        <v/>
      </c>
      <c r="AA454" s="243"/>
    </row>
    <row r="455" spans="1:27">
      <c r="A455" s="265"/>
      <c r="B455" s="344" t="s">
        <v>49</v>
      </c>
      <c r="C455" s="269" t="s">
        <v>1204</v>
      </c>
      <c r="D455" s="280" t="str">
        <f>VLOOKUP(B455, 'Chem Props'!$1:$1048576,3,FALSE)</f>
        <v>No</v>
      </c>
      <c r="E455" s="598" t="str">
        <f t="shared" si="146"/>
        <v>No</v>
      </c>
      <c r="F455" s="7" t="str">
        <f t="shared" si="136"/>
        <v>No (not volatile)</v>
      </c>
      <c r="G455" s="270" t="str">
        <f t="shared" si="153"/>
        <v>No (not volatile)</v>
      </c>
      <c r="H455" s="76" t="str">
        <f t="shared" si="147"/>
        <v>--</v>
      </c>
      <c r="I455" s="271" t="str">
        <f t="shared" si="148"/>
        <v>--</v>
      </c>
      <c r="J455" s="272" t="str">
        <f t="shared" si="149"/>
        <v>--</v>
      </c>
      <c r="K455" s="272" t="str">
        <f t="shared" si="157"/>
        <v>--</v>
      </c>
      <c r="L455" s="273" t="str">
        <f t="shared" si="137"/>
        <v>--</v>
      </c>
      <c r="M455" s="7">
        <f t="shared" si="138"/>
        <v>60.083794039071364</v>
      </c>
      <c r="N455" s="7">
        <f t="shared" ref="N455:N499" si="158">IF(INDEX(HLC,MATCH(C455,ChemNameChem,0))="","No HLC",IF(INDEX(Sol,MATCH(C455,ChemNameChem,0))="No S","No S",INDEX(HLC,MATCH(C455,ChemNameChem,0))*INDEX(Sol,MATCH(C455,ChemNameChem,0))*1000000))</f>
        <v>28.588560000000001</v>
      </c>
      <c r="O455" s="326">
        <f t="shared" si="140"/>
        <v>25</v>
      </c>
      <c r="P455" s="224" t="str">
        <f t="shared" si="155"/>
        <v/>
      </c>
      <c r="Q455" s="224" t="str">
        <f t="shared" si="141"/>
        <v/>
      </c>
      <c r="R455" s="224"/>
      <c r="S455" s="271" t="str">
        <f t="shared" si="151"/>
        <v/>
      </c>
      <c r="T455" s="7" t="str">
        <f t="shared" si="152"/>
        <v/>
      </c>
      <c r="U455" s="7" t="str">
        <f t="shared" si="142"/>
        <v/>
      </c>
      <c r="V455" s="7" t="str">
        <f t="shared" si="143"/>
        <v/>
      </c>
      <c r="W455" s="7" t="str">
        <f>VLOOKUP(C455,'Tox Summary'!$N$3:$S$1048576,6,FALSE)</f>
        <v/>
      </c>
      <c r="X455" s="76" t="str">
        <f t="shared" si="144"/>
        <v/>
      </c>
      <c r="Y455" s="76" t="str">
        <f t="shared" si="145"/>
        <v/>
      </c>
      <c r="AA455" s="332"/>
    </row>
    <row r="456" spans="1:27">
      <c r="A456" s="265"/>
      <c r="B456" s="269" t="s">
        <v>50</v>
      </c>
      <c r="C456" s="269" t="s">
        <v>1205</v>
      </c>
      <c r="D456" s="280" t="str">
        <f>VLOOKUP(B456, 'Chem Props'!$1:$1048576,3,FALSE)</f>
        <v>No</v>
      </c>
      <c r="E456" s="598" t="str">
        <f t="shared" si="146"/>
        <v>Yes</v>
      </c>
      <c r="F456" s="7" t="str">
        <f t="shared" si="136"/>
        <v>No (not volatile)</v>
      </c>
      <c r="G456" s="270" t="str">
        <f t="shared" si="153"/>
        <v>No (not volatile)</v>
      </c>
      <c r="H456" s="76">
        <f t="shared" si="147"/>
        <v>0.73</v>
      </c>
      <c r="I456" s="271" t="str">
        <f t="shared" si="148"/>
        <v>NC</v>
      </c>
      <c r="J456" s="272">
        <f t="shared" si="149"/>
        <v>24.333333333333332</v>
      </c>
      <c r="K456" s="272">
        <f t="shared" si="157"/>
        <v>4542.626011200995</v>
      </c>
      <c r="L456" s="273" t="str">
        <f t="shared" si="137"/>
        <v>--</v>
      </c>
      <c r="M456" s="7">
        <f t="shared" si="138"/>
        <v>1319108.9278965932</v>
      </c>
      <c r="N456" s="7">
        <f t="shared" si="158"/>
        <v>26194100</v>
      </c>
      <c r="O456" s="326">
        <f t="shared" si="140"/>
        <v>25</v>
      </c>
      <c r="P456" s="224" t="str">
        <f t="shared" si="155"/>
        <v/>
      </c>
      <c r="Q456" s="224" t="str">
        <f t="shared" si="141"/>
        <v/>
      </c>
      <c r="R456" s="224"/>
      <c r="S456" s="271" t="str">
        <f t="shared" si="151"/>
        <v/>
      </c>
      <c r="T456" s="7" t="str">
        <f t="shared" si="152"/>
        <v/>
      </c>
      <c r="U456" s="7">
        <f t="shared" si="142"/>
        <v>6.9999999999999999E-4</v>
      </c>
      <c r="V456" s="7" t="str">
        <f t="shared" si="143"/>
        <v>CA</v>
      </c>
      <c r="W456" s="7" t="str">
        <f>VLOOKUP(C456,'Tox Summary'!$N$3:$S$1048576,6,FALSE)</f>
        <v/>
      </c>
      <c r="X456" s="76" t="str">
        <f t="shared" si="144"/>
        <v/>
      </c>
      <c r="Y456" s="76">
        <f t="shared" si="145"/>
        <v>0.73</v>
      </c>
      <c r="AA456" s="243"/>
    </row>
    <row r="457" spans="1:27">
      <c r="A457" s="265"/>
      <c r="B457" s="344" t="s">
        <v>51</v>
      </c>
      <c r="C457" s="269" t="s">
        <v>1206</v>
      </c>
      <c r="D457" s="280" t="str">
        <f>VLOOKUP(B457, 'Chem Props'!$1:$1048576,3,FALSE)</f>
        <v>No</v>
      </c>
      <c r="E457" s="598" t="str">
        <f t="shared" si="146"/>
        <v>No</v>
      </c>
      <c r="F457" s="7" t="str">
        <f t="shared" si="136"/>
        <v>No (not volatile)</v>
      </c>
      <c r="G457" s="270" t="str">
        <f t="shared" si="153"/>
        <v>No (not volatile)</v>
      </c>
      <c r="H457" s="76" t="str">
        <f t="shared" si="147"/>
        <v>--</v>
      </c>
      <c r="I457" s="271" t="str">
        <f t="shared" si="148"/>
        <v>--</v>
      </c>
      <c r="J457" s="272" t="str">
        <f t="shared" si="149"/>
        <v>--</v>
      </c>
      <c r="K457" s="272" t="str">
        <f t="shared" si="157"/>
        <v>--</v>
      </c>
      <c r="L457" s="273" t="str">
        <f t="shared" si="137"/>
        <v>--</v>
      </c>
      <c r="M457" s="7">
        <f t="shared" si="138"/>
        <v>16.707052188839935</v>
      </c>
      <c r="N457" s="7">
        <f t="shared" si="158"/>
        <v>4.8828838000000001</v>
      </c>
      <c r="O457" s="326">
        <f t="shared" si="140"/>
        <v>25</v>
      </c>
      <c r="P457" s="224" t="str">
        <f t="shared" si="155"/>
        <v/>
      </c>
      <c r="Q457" s="224" t="str">
        <f t="shared" si="141"/>
        <v/>
      </c>
      <c r="R457" s="224"/>
      <c r="S457" s="271" t="str">
        <f t="shared" si="151"/>
        <v/>
      </c>
      <c r="T457" s="7" t="str">
        <f t="shared" si="152"/>
        <v/>
      </c>
      <c r="U457" s="7" t="str">
        <f t="shared" si="142"/>
        <v/>
      </c>
      <c r="V457" s="7" t="str">
        <f t="shared" si="143"/>
        <v/>
      </c>
      <c r="W457" s="7" t="str">
        <f>VLOOKUP(C457,'Tox Summary'!$N$3:$S$1048576,6,FALSE)</f>
        <v/>
      </c>
      <c r="X457" s="76" t="str">
        <f t="shared" si="144"/>
        <v/>
      </c>
      <c r="Y457" s="76" t="str">
        <f t="shared" si="145"/>
        <v/>
      </c>
      <c r="AA457" s="332"/>
    </row>
    <row r="458" spans="1:27">
      <c r="A458" s="265"/>
      <c r="B458" s="344" t="s">
        <v>52</v>
      </c>
      <c r="C458" s="269" t="s">
        <v>1207</v>
      </c>
      <c r="D458" s="280" t="str">
        <f>VLOOKUP(B458, 'Chem Props'!$1:$1048576,3,FALSE)</f>
        <v>No</v>
      </c>
      <c r="E458" s="598" t="str">
        <f t="shared" si="146"/>
        <v>No</v>
      </c>
      <c r="F458" s="7" t="str">
        <f t="shared" si="136"/>
        <v>No (not volatile)</v>
      </c>
      <c r="G458" s="270" t="str">
        <f t="shared" si="153"/>
        <v>No (not volatile)</v>
      </c>
      <c r="H458" s="76" t="str">
        <f t="shared" si="147"/>
        <v>--</v>
      </c>
      <c r="I458" s="271" t="str">
        <f t="shared" si="148"/>
        <v>--</v>
      </c>
      <c r="J458" s="272" t="str">
        <f t="shared" si="149"/>
        <v>--</v>
      </c>
      <c r="K458" s="272" t="str">
        <f t="shared" si="157"/>
        <v>--</v>
      </c>
      <c r="L458" s="273" t="str">
        <f t="shared" si="137"/>
        <v>--</v>
      </c>
      <c r="M458" s="7">
        <f t="shared" si="138"/>
        <v>710953.96121626906</v>
      </c>
      <c r="N458" s="7">
        <f t="shared" si="158"/>
        <v>712308.1</v>
      </c>
      <c r="O458" s="326">
        <f t="shared" si="140"/>
        <v>25</v>
      </c>
      <c r="P458" s="224" t="str">
        <f t="shared" si="155"/>
        <v/>
      </c>
      <c r="Q458" s="224" t="str">
        <f t="shared" si="141"/>
        <v/>
      </c>
      <c r="R458" s="224"/>
      <c r="S458" s="271" t="str">
        <f t="shared" si="151"/>
        <v/>
      </c>
      <c r="T458" s="7" t="str">
        <f t="shared" si="152"/>
        <v/>
      </c>
      <c r="U458" s="7" t="str">
        <f t="shared" si="142"/>
        <v/>
      </c>
      <c r="V458" s="7" t="str">
        <f t="shared" si="143"/>
        <v/>
      </c>
      <c r="W458" s="7" t="str">
        <f>VLOOKUP(C458,'Tox Summary'!$N$3:$S$1048576,6,FALSE)</f>
        <v/>
      </c>
      <c r="X458" s="76" t="str">
        <f t="shared" si="144"/>
        <v/>
      </c>
      <c r="Y458" s="76" t="str">
        <f t="shared" si="145"/>
        <v/>
      </c>
      <c r="AA458" s="332"/>
    </row>
    <row r="459" spans="1:27">
      <c r="A459" s="265"/>
      <c r="B459" s="344" t="s">
        <v>53</v>
      </c>
      <c r="C459" s="269" t="s">
        <v>1208</v>
      </c>
      <c r="D459" s="280" t="str">
        <f>VLOOKUP(B459, 'Chem Props'!$1:$1048576,3,FALSE)</f>
        <v>No</v>
      </c>
      <c r="E459" s="598" t="str">
        <f t="shared" si="146"/>
        <v>No</v>
      </c>
      <c r="F459" s="7" t="str">
        <f t="shared" si="136"/>
        <v>No (not volatile)</v>
      </c>
      <c r="G459" s="270" t="str">
        <f t="shared" si="153"/>
        <v>No (not volatile)</v>
      </c>
      <c r="H459" s="76" t="str">
        <f t="shared" si="147"/>
        <v>--</v>
      </c>
      <c r="I459" s="271" t="str">
        <f t="shared" si="148"/>
        <v>--</v>
      </c>
      <c r="J459" s="272" t="str">
        <f t="shared" si="149"/>
        <v>--</v>
      </c>
      <c r="K459" s="272" t="str">
        <f t="shared" si="157"/>
        <v>--</v>
      </c>
      <c r="L459" s="273" t="str">
        <f t="shared" si="137"/>
        <v>--</v>
      </c>
      <c r="M459" s="7">
        <f t="shared" si="138"/>
        <v>3.8428060832888765E-3</v>
      </c>
      <c r="N459" s="7">
        <f t="shared" si="158"/>
        <v>3.8526800000000003E-3</v>
      </c>
      <c r="O459" s="326">
        <f t="shared" si="140"/>
        <v>25</v>
      </c>
      <c r="P459" s="224" t="str">
        <f t="shared" si="155"/>
        <v/>
      </c>
      <c r="Q459" s="224" t="str">
        <f t="shared" si="141"/>
        <v/>
      </c>
      <c r="R459" s="224"/>
      <c r="S459" s="271" t="str">
        <f t="shared" si="151"/>
        <v/>
      </c>
      <c r="T459" s="7" t="str">
        <f t="shared" si="152"/>
        <v/>
      </c>
      <c r="U459" s="7" t="str">
        <f t="shared" si="142"/>
        <v/>
      </c>
      <c r="V459" s="7" t="str">
        <f t="shared" si="143"/>
        <v/>
      </c>
      <c r="W459" s="7" t="str">
        <f>VLOOKUP(C459,'Tox Summary'!$N$3:$S$1048576,6,FALSE)</f>
        <v/>
      </c>
      <c r="X459" s="76" t="str">
        <f t="shared" si="144"/>
        <v/>
      </c>
      <c r="Y459" s="76" t="str">
        <f t="shared" si="145"/>
        <v/>
      </c>
      <c r="AA459" s="332"/>
    </row>
    <row r="460" spans="1:27">
      <c r="A460" s="265"/>
      <c r="B460" s="269" t="s">
        <v>54</v>
      </c>
      <c r="C460" s="269" t="s">
        <v>1209</v>
      </c>
      <c r="D460" s="280" t="str">
        <f>VLOOKUP(B460, 'Chem Props'!$1:$1048576,3,FALSE)</f>
        <v>No</v>
      </c>
      <c r="E460" s="598" t="str">
        <f t="shared" si="146"/>
        <v>No</v>
      </c>
      <c r="F460" s="7" t="str">
        <f t="shared" si="136"/>
        <v>No (not volatile)</v>
      </c>
      <c r="G460" s="270" t="str">
        <f t="shared" si="153"/>
        <v>No (not volatile)</v>
      </c>
      <c r="H460" s="76" t="str">
        <f t="shared" si="147"/>
        <v>--</v>
      </c>
      <c r="I460" s="271" t="str">
        <f t="shared" si="148"/>
        <v>--</v>
      </c>
      <c r="J460" s="272" t="str">
        <f t="shared" si="149"/>
        <v>--</v>
      </c>
      <c r="K460" s="272" t="str">
        <f t="shared" si="157"/>
        <v>--</v>
      </c>
      <c r="L460" s="273" t="str">
        <f t="shared" si="137"/>
        <v>--</v>
      </c>
      <c r="M460" s="7">
        <f t="shared" si="138"/>
        <v>1.1920125762025415</v>
      </c>
      <c r="N460" s="7">
        <f t="shared" si="158"/>
        <v>1.1921399999999998</v>
      </c>
      <c r="O460" s="326">
        <f t="shared" si="140"/>
        <v>25</v>
      </c>
      <c r="P460" s="224" t="str">
        <f t="shared" si="155"/>
        <v/>
      </c>
      <c r="Q460" s="224" t="str">
        <f t="shared" si="141"/>
        <v/>
      </c>
      <c r="R460" s="224"/>
      <c r="S460" s="271" t="str">
        <f t="shared" si="151"/>
        <v/>
      </c>
      <c r="T460" s="7" t="str">
        <f t="shared" si="152"/>
        <v/>
      </c>
      <c r="U460" s="7" t="str">
        <f t="shared" si="142"/>
        <v/>
      </c>
      <c r="V460" s="7" t="str">
        <f t="shared" si="143"/>
        <v/>
      </c>
      <c r="W460" s="7" t="str">
        <f>VLOOKUP(C460,'Tox Summary'!$N$3:$S$1048576,6,FALSE)</f>
        <v/>
      </c>
      <c r="X460" s="76" t="str">
        <f t="shared" si="144"/>
        <v/>
      </c>
      <c r="Y460" s="76" t="str">
        <f t="shared" si="145"/>
        <v/>
      </c>
      <c r="AA460" s="243"/>
    </row>
    <row r="461" spans="1:27">
      <c r="A461" s="265"/>
      <c r="B461" s="269" t="s">
        <v>55</v>
      </c>
      <c r="C461" s="269" t="s">
        <v>556</v>
      </c>
      <c r="D461" s="280" t="str">
        <f>VLOOKUP(B461, 'Chem Props'!$1:$1048576,3,FALSE)</f>
        <v>No</v>
      </c>
      <c r="E461" s="598" t="str">
        <f t="shared" si="146"/>
        <v>Yes</v>
      </c>
      <c r="F461" s="7" t="str">
        <f t="shared" si="136"/>
        <v>No (not volatile)</v>
      </c>
      <c r="G461" s="270" t="str">
        <f t="shared" si="153"/>
        <v>No (not volatile)</v>
      </c>
      <c r="H461" s="76" t="str">
        <f t="shared" si="147"/>
        <v>NVT</v>
      </c>
      <c r="I461" s="271" t="str">
        <f t="shared" si="148"/>
        <v>NC</v>
      </c>
      <c r="J461" s="272" t="str">
        <f t="shared" si="149"/>
        <v>NVT</v>
      </c>
      <c r="K461" s="272" t="str">
        <f t="shared" si="157"/>
        <v>NVT</v>
      </c>
      <c r="L461" s="273" t="str">
        <f t="shared" si="137"/>
        <v>--</v>
      </c>
      <c r="M461" s="7">
        <f t="shared" si="138"/>
        <v>0</v>
      </c>
      <c r="N461" s="7" t="str">
        <f t="shared" si="158"/>
        <v>No S</v>
      </c>
      <c r="O461" s="326">
        <f t="shared" si="140"/>
        <v>25</v>
      </c>
      <c r="P461" s="224" t="str">
        <f t="shared" si="155"/>
        <v/>
      </c>
      <c r="Q461" s="224" t="str">
        <f t="shared" si="141"/>
        <v/>
      </c>
      <c r="R461" s="224"/>
      <c r="S461" s="271" t="str">
        <f t="shared" si="151"/>
        <v/>
      </c>
      <c r="T461" s="7" t="str">
        <f t="shared" si="152"/>
        <v/>
      </c>
      <c r="U461" s="7">
        <f t="shared" si="142"/>
        <v>5.0000000000000002E-5</v>
      </c>
      <c r="V461" s="7" t="str">
        <f t="shared" si="143"/>
        <v>I</v>
      </c>
      <c r="W461" s="7" t="str">
        <f>VLOOKUP(C461,'Tox Summary'!$N$3:$S$1048576,6,FALSE)</f>
        <v/>
      </c>
      <c r="X461" s="76" t="str">
        <f t="shared" si="144"/>
        <v/>
      </c>
      <c r="Y461" s="76">
        <f t="shared" si="145"/>
        <v>5.2142857142857144E-2</v>
      </c>
      <c r="AA461" s="243"/>
    </row>
    <row r="462" spans="1:27">
      <c r="A462" s="265"/>
      <c r="B462" s="344" t="s">
        <v>55</v>
      </c>
      <c r="C462" s="269" t="s">
        <v>556</v>
      </c>
      <c r="D462" s="280" t="str">
        <f>VLOOKUP(B462, 'Chem Props'!$1:$1048576,3,FALSE)</f>
        <v>No</v>
      </c>
      <c r="E462" s="598" t="str">
        <f t="shared" si="146"/>
        <v>Yes</v>
      </c>
      <c r="F462" s="7" t="str">
        <f t="shared" si="136"/>
        <v>No (not volatile)</v>
      </c>
      <c r="G462" s="270" t="str">
        <f t="shared" si="153"/>
        <v>No (not volatile)</v>
      </c>
      <c r="H462" s="76" t="str">
        <f t="shared" si="147"/>
        <v>NVT</v>
      </c>
      <c r="I462" s="271" t="str">
        <f t="shared" si="148"/>
        <v>NC</v>
      </c>
      <c r="J462" s="272" t="str">
        <f t="shared" si="149"/>
        <v>NVT</v>
      </c>
      <c r="K462" s="272" t="str">
        <f t="shared" si="157"/>
        <v>NVT</v>
      </c>
      <c r="L462" s="273" t="str">
        <f t="shared" si="137"/>
        <v>--</v>
      </c>
      <c r="M462" s="7">
        <f t="shared" si="138"/>
        <v>0</v>
      </c>
      <c r="N462" s="7" t="str">
        <f t="shared" si="158"/>
        <v>No S</v>
      </c>
      <c r="O462" s="326">
        <f t="shared" si="140"/>
        <v>25</v>
      </c>
      <c r="P462" s="224" t="str">
        <f t="shared" si="155"/>
        <v/>
      </c>
      <c r="Q462" s="224" t="str">
        <f t="shared" si="141"/>
        <v/>
      </c>
      <c r="R462" s="224"/>
      <c r="S462" s="271" t="str">
        <f t="shared" si="151"/>
        <v/>
      </c>
      <c r="T462" s="7" t="str">
        <f t="shared" si="152"/>
        <v/>
      </c>
      <c r="U462" s="7">
        <f t="shared" si="142"/>
        <v>5.0000000000000002E-5</v>
      </c>
      <c r="V462" s="7" t="str">
        <f t="shared" si="143"/>
        <v>I</v>
      </c>
      <c r="W462" s="7" t="str">
        <f>VLOOKUP(C462,'Tox Summary'!$N$3:$S$1048576,6,FALSE)</f>
        <v/>
      </c>
      <c r="X462" s="76" t="str">
        <f t="shared" si="144"/>
        <v/>
      </c>
      <c r="Y462" s="76">
        <f t="shared" si="145"/>
        <v>5.2142857142857144E-2</v>
      </c>
      <c r="AA462" s="332"/>
    </row>
    <row r="463" spans="1:27">
      <c r="A463" s="265"/>
      <c r="B463" s="344" t="s">
        <v>46</v>
      </c>
      <c r="C463" s="269" t="s">
        <v>1210</v>
      </c>
      <c r="D463" s="280" t="str">
        <f>VLOOKUP(B463, 'Chem Props'!$1:$1048576,3,FALSE)</f>
        <v>No</v>
      </c>
      <c r="E463" s="598" t="str">
        <f t="shared" si="146"/>
        <v>No</v>
      </c>
      <c r="F463" s="7" t="str">
        <f t="shared" si="136"/>
        <v>No (not volatile)</v>
      </c>
      <c r="G463" s="270" t="str">
        <f t="shared" si="153"/>
        <v>No (not volatile)</v>
      </c>
      <c r="H463" s="76" t="str">
        <f t="shared" si="147"/>
        <v>--</v>
      </c>
      <c r="I463" s="271" t="str">
        <f t="shared" si="148"/>
        <v>--</v>
      </c>
      <c r="J463" s="272" t="str">
        <f t="shared" si="149"/>
        <v>--</v>
      </c>
      <c r="K463" s="272" t="str">
        <f t="shared" si="157"/>
        <v>--</v>
      </c>
      <c r="L463" s="273" t="str">
        <f t="shared" si="137"/>
        <v>--</v>
      </c>
      <c r="M463" s="7">
        <f t="shared" si="138"/>
        <v>63.691199599270881</v>
      </c>
      <c r="N463" s="7">
        <f t="shared" si="158"/>
        <v>34.25562</v>
      </c>
      <c r="O463" s="326">
        <f t="shared" si="140"/>
        <v>25</v>
      </c>
      <c r="P463" s="224" t="str">
        <f t="shared" si="155"/>
        <v/>
      </c>
      <c r="Q463" s="224" t="str">
        <f t="shared" si="141"/>
        <v/>
      </c>
      <c r="R463" s="224"/>
      <c r="S463" s="271" t="str">
        <f t="shared" si="151"/>
        <v/>
      </c>
      <c r="T463" s="7" t="str">
        <f t="shared" si="152"/>
        <v/>
      </c>
      <c r="U463" s="7" t="str">
        <f t="shared" si="142"/>
        <v/>
      </c>
      <c r="V463" s="7" t="str">
        <f t="shared" si="143"/>
        <v/>
      </c>
      <c r="W463" s="7" t="str">
        <f>VLOOKUP(C463,'Tox Summary'!$N$3:$S$1048576,6,FALSE)</f>
        <v/>
      </c>
      <c r="X463" s="76" t="str">
        <f t="shared" si="144"/>
        <v/>
      </c>
      <c r="Y463" s="76" t="str">
        <f t="shared" si="145"/>
        <v/>
      </c>
      <c r="AA463" s="332"/>
    </row>
    <row r="464" spans="1:27">
      <c r="A464" s="265"/>
      <c r="B464" s="344" t="s">
        <v>47</v>
      </c>
      <c r="C464" s="269" t="s">
        <v>1211</v>
      </c>
      <c r="D464" s="280" t="str">
        <f>VLOOKUP(B464, 'Chem Props'!$1:$1048576,3,FALSE)</f>
        <v>No</v>
      </c>
      <c r="E464" s="598" t="str">
        <f t="shared" si="146"/>
        <v>No</v>
      </c>
      <c r="F464" s="7" t="str">
        <f t="shared" si="136"/>
        <v>No (not volatile)</v>
      </c>
      <c r="G464" s="270" t="str">
        <f t="shared" si="153"/>
        <v>No (not volatile)</v>
      </c>
      <c r="H464" s="76" t="str">
        <f t="shared" si="147"/>
        <v>--</v>
      </c>
      <c r="I464" s="271" t="str">
        <f t="shared" si="148"/>
        <v>--</v>
      </c>
      <c r="J464" s="272" t="str">
        <f t="shared" si="149"/>
        <v>--</v>
      </c>
      <c r="K464" s="272" t="str">
        <f t="shared" si="157"/>
        <v>--</v>
      </c>
      <c r="L464" s="273" t="str">
        <f t="shared" si="137"/>
        <v>--</v>
      </c>
      <c r="M464" s="7">
        <f t="shared" si="138"/>
        <v>5.3280620128858409</v>
      </c>
      <c r="N464" s="7">
        <f t="shared" si="158"/>
        <v>5.31792</v>
      </c>
      <c r="O464" s="326">
        <f t="shared" si="140"/>
        <v>25</v>
      </c>
      <c r="P464" s="224" t="str">
        <f t="shared" si="155"/>
        <v/>
      </c>
      <c r="Q464" s="224" t="str">
        <f t="shared" si="141"/>
        <v/>
      </c>
      <c r="R464" s="224"/>
      <c r="S464" s="271" t="str">
        <f t="shared" si="151"/>
        <v/>
      </c>
      <c r="T464" s="7" t="str">
        <f t="shared" si="152"/>
        <v/>
      </c>
      <c r="U464" s="7" t="str">
        <f t="shared" si="142"/>
        <v/>
      </c>
      <c r="V464" s="7" t="str">
        <f t="shared" si="143"/>
        <v/>
      </c>
      <c r="W464" s="7" t="str">
        <f>VLOOKUP(C464,'Tox Summary'!$N$3:$S$1048576,6,FALSE)</f>
        <v/>
      </c>
      <c r="X464" s="76" t="str">
        <f t="shared" si="144"/>
        <v/>
      </c>
      <c r="Y464" s="76" t="str">
        <f t="shared" si="145"/>
        <v/>
      </c>
      <c r="AA464" s="332"/>
    </row>
    <row r="465" spans="1:27">
      <c r="A465" s="265"/>
      <c r="B465" s="344" t="s">
        <v>48</v>
      </c>
      <c r="C465" s="269" t="s">
        <v>1212</v>
      </c>
      <c r="D465" s="280" t="str">
        <f>VLOOKUP(B465, 'Chem Props'!$1:$1048576,3,FALSE)</f>
        <v>No</v>
      </c>
      <c r="E465" s="598" t="str">
        <f t="shared" si="146"/>
        <v>No</v>
      </c>
      <c r="F465" s="7" t="str">
        <f t="shared" si="136"/>
        <v>No (not volatile)</v>
      </c>
      <c r="G465" s="270" t="str">
        <f t="shared" si="153"/>
        <v>No (not volatile)</v>
      </c>
      <c r="H465" s="76" t="str">
        <f t="shared" si="147"/>
        <v>--</v>
      </c>
      <c r="I465" s="271" t="str">
        <f t="shared" si="148"/>
        <v>--</v>
      </c>
      <c r="J465" s="272" t="str">
        <f t="shared" si="149"/>
        <v>--</v>
      </c>
      <c r="K465" s="272" t="str">
        <f t="shared" si="157"/>
        <v>--</v>
      </c>
      <c r="L465" s="273" t="str">
        <f t="shared" si="137"/>
        <v>--</v>
      </c>
      <c r="M465" s="7">
        <f t="shared" si="138"/>
        <v>8.6625418790627204</v>
      </c>
      <c r="N465" s="7">
        <f t="shared" si="158"/>
        <v>461.32339999999999</v>
      </c>
      <c r="O465" s="326">
        <f t="shared" si="140"/>
        <v>25</v>
      </c>
      <c r="P465" s="224" t="str">
        <f t="shared" si="155"/>
        <v/>
      </c>
      <c r="Q465" s="224" t="str">
        <f t="shared" si="141"/>
        <v/>
      </c>
      <c r="R465" s="224"/>
      <c r="S465" s="271" t="str">
        <f t="shared" si="151"/>
        <v/>
      </c>
      <c r="T465" s="7" t="str">
        <f t="shared" si="152"/>
        <v/>
      </c>
      <c r="U465" s="7" t="str">
        <f t="shared" si="142"/>
        <v/>
      </c>
      <c r="V465" s="7" t="str">
        <f t="shared" si="143"/>
        <v/>
      </c>
      <c r="W465" s="7" t="str">
        <f>VLOOKUP(C465,'Tox Summary'!$N$3:$S$1048576,6,FALSE)</f>
        <v/>
      </c>
      <c r="X465" s="76" t="str">
        <f t="shared" si="144"/>
        <v/>
      </c>
      <c r="Y465" s="76" t="str">
        <f t="shared" si="145"/>
        <v/>
      </c>
      <c r="AA465" s="332"/>
    </row>
    <row r="466" spans="1:27">
      <c r="A466" s="265"/>
      <c r="B466" s="344" t="s">
        <v>56</v>
      </c>
      <c r="C466" s="269" t="s">
        <v>1213</v>
      </c>
      <c r="D466" s="280" t="str">
        <f>VLOOKUP(B466, 'Chem Props'!$1:$1048576,3,FALSE)</f>
        <v>No</v>
      </c>
      <c r="E466" s="598" t="str">
        <f t="shared" si="146"/>
        <v>No</v>
      </c>
      <c r="F466" s="7" t="str">
        <f t="shared" ref="F466:F529" si="159">IF(LEFT(D466,2)="No","No (not volatile)",IF(D466="unknown","unknown",IF(H466="NVT","No",IF(AND(X466="",Y466=""),"No Inhal. Tox. Info",IF(MIN(X466:Y466)&gt;=M466,"No",IF(M466&gt;H466,"Yes","No"))))))</f>
        <v>No (not volatile)</v>
      </c>
      <c r="G466" s="270" t="str">
        <f t="shared" si="153"/>
        <v>No (not volatile)</v>
      </c>
      <c r="H466" s="76" t="str">
        <f t="shared" si="147"/>
        <v>--</v>
      </c>
      <c r="I466" s="271" t="str">
        <f t="shared" si="148"/>
        <v>--</v>
      </c>
      <c r="J466" s="272" t="str">
        <f t="shared" si="149"/>
        <v>--</v>
      </c>
      <c r="K466" s="272" t="str">
        <f t="shared" si="157"/>
        <v>--</v>
      </c>
      <c r="L466" s="273" t="str">
        <f t="shared" ref="L466:L529" si="160">IF(INDEX(MCL,MATCH(C466,ChemNameChem,0))="","--",IF(K466&lt;INDEX(MCL,MATCH(C466,ChemNameChem,0)),"Yes ("&amp;(INDEX(MCL,MATCH(C466,ChemNameChem,0)))&amp;")","No ("&amp;(INDEX(MCL,MATCH(C466,ChemNameChem,0)))&amp;")"))</f>
        <v>--</v>
      </c>
      <c r="M466" s="7">
        <f t="shared" ref="M466:M529" si="161">IF(INDEX(_VP25,MATCH(B466,CASNoChem,0))="No VP","No VP",IF(INDEX(MW,MATCH(B466,CASNoChem,0))="No MW","No MW",INDEX(MW,MATCH(B466,CASNoChem,0))*INDEX(_VP25,MATCH(B466,CASNoChem,0))*53808.7856452378))</f>
        <v>460.83867236921913</v>
      </c>
      <c r="N466" s="7">
        <f t="shared" si="158"/>
        <v>0.27731069999999997</v>
      </c>
      <c r="O466" s="326">
        <f t="shared" ref="O466:O529" si="162">IF(INDEX(HTgw,MATCH(B466,CASNoChem,0),1)="",25,Tgw)</f>
        <v>25</v>
      </c>
      <c r="P466" s="224" t="str">
        <f t="shared" si="155"/>
        <v/>
      </c>
      <c r="Q466" s="224" t="str">
        <f t="shared" ref="Q466:Q529" si="163">IF(INDEX(LELsource,MATCH(B466,CASNoChem,0),1)="","",INDEX(LELsource,MATCH(B466,CASNoChem,0),1))</f>
        <v/>
      </c>
      <c r="R466" s="224"/>
      <c r="S466" s="271" t="str">
        <f t="shared" si="151"/>
        <v/>
      </c>
      <c r="T466" s="7" t="str">
        <f t="shared" si="152"/>
        <v/>
      </c>
      <c r="U466" s="7" t="str">
        <f t="shared" ref="U466:U529" si="164">IF(INDEX(RFC,MATCH(B466,CASNoTox,0))=" ","",INDEX(RFC,MATCH(B466,CASNoTox,0)))</f>
        <v/>
      </c>
      <c r="V466" s="7" t="str">
        <f t="shared" ref="V466:V529" si="165">IF(INDEX(RFCSource,MATCH(B466,CASNoTox,0))="","",SUBSTITUTE(INDEX(RFCSource,MATCH(B466,CASNoTox,0)),"C","CA"))</f>
        <v/>
      </c>
      <c r="W466" s="7" t="str">
        <f>VLOOKUP(C466,'Tox Summary'!$N$3:$S$1048576,6,FALSE)</f>
        <v/>
      </c>
      <c r="X466" s="76" t="str">
        <f t="shared" ref="X466:X529" si="166">IF(S466="","",IF(W466&lt;&gt;"TCE",TCR/(IF(AND(W466="VC",Scenario="Residential"),S466,0)+(EF*IF(W466="Mut",MMOAAF,ED)*ET*S466/(Atc*365*24))), 1/((EF*MMOAAF*ET*mIURTCE/(TCR*Atc*365*24))+EF*ED*ET*IURTCE/(TCR*Atc*365*24))))</f>
        <v/>
      </c>
      <c r="Y466" s="76" t="str">
        <f t="shared" ref="Y466:Y529" si="167">IF(U466="","",THQ*Atnc*365*24*U466*1000/(EF*ED*ET))</f>
        <v/>
      </c>
      <c r="AA466" s="332"/>
    </row>
    <row r="467" spans="1:27">
      <c r="A467" s="265"/>
      <c r="B467" s="344" t="s">
        <v>57</v>
      </c>
      <c r="C467" s="269" t="s">
        <v>1214</v>
      </c>
      <c r="D467" s="280" t="str">
        <f>VLOOKUP(B467, 'Chem Props'!$1:$1048576,3,FALSE)</f>
        <v>No</v>
      </c>
      <c r="E467" s="598" t="str">
        <f t="shared" ref="E467:E530" si="168">IF(OR(ISNUMBER(S467),ISNUMBER(U467)),"Yes","No")</f>
        <v>No</v>
      </c>
      <c r="F467" s="7" t="str">
        <f t="shared" si="159"/>
        <v>No (not volatile)</v>
      </c>
      <c r="G467" s="270" t="str">
        <f t="shared" si="153"/>
        <v>No (not volatile)</v>
      </c>
      <c r="H467" s="76" t="str">
        <f t="shared" si="147"/>
        <v>--</v>
      </c>
      <c r="I467" s="271" t="str">
        <f t="shared" si="148"/>
        <v>--</v>
      </c>
      <c r="J467" s="272" t="str">
        <f t="shared" si="149"/>
        <v>--</v>
      </c>
      <c r="K467" s="272" t="str">
        <f t="shared" si="157"/>
        <v>--</v>
      </c>
      <c r="L467" s="273" t="str">
        <f t="shared" si="160"/>
        <v>--</v>
      </c>
      <c r="M467" s="7">
        <f t="shared" si="161"/>
        <v>2.9878711115309367</v>
      </c>
      <c r="N467" s="7">
        <f t="shared" si="158"/>
        <v>88.1</v>
      </c>
      <c r="O467" s="326">
        <f t="shared" si="162"/>
        <v>25</v>
      </c>
      <c r="P467" s="224" t="str">
        <f t="shared" si="155"/>
        <v/>
      </c>
      <c r="Q467" s="224" t="str">
        <f t="shared" si="163"/>
        <v/>
      </c>
      <c r="R467" s="224"/>
      <c r="S467" s="271" t="str">
        <f t="shared" si="151"/>
        <v/>
      </c>
      <c r="T467" s="7" t="str">
        <f t="shared" si="152"/>
        <v/>
      </c>
      <c r="U467" s="7" t="str">
        <f t="shared" si="164"/>
        <v/>
      </c>
      <c r="V467" s="7" t="str">
        <f t="shared" si="165"/>
        <v/>
      </c>
      <c r="W467" s="7" t="str">
        <f>VLOOKUP(C467,'Tox Summary'!$N$3:$S$1048576,6,FALSE)</f>
        <v/>
      </c>
      <c r="X467" s="76" t="str">
        <f t="shared" si="166"/>
        <v/>
      </c>
      <c r="Y467" s="76" t="str">
        <f t="shared" si="167"/>
        <v/>
      </c>
      <c r="AA467" s="332"/>
    </row>
    <row r="468" spans="1:27">
      <c r="A468" s="98"/>
      <c r="B468" s="509" t="s">
        <v>2452</v>
      </c>
      <c r="C468" s="509" t="s">
        <v>2451</v>
      </c>
      <c r="D468" s="280" t="str">
        <f>VLOOKUP(B468, 'Chem Props'!$1:$1048576,3,FALSE)</f>
        <v>No</v>
      </c>
      <c r="E468" s="598" t="str">
        <f t="shared" si="168"/>
        <v>No</v>
      </c>
      <c r="F468" s="7" t="str">
        <f t="shared" si="159"/>
        <v>No (not volatile)</v>
      </c>
      <c r="G468" s="270" t="str">
        <f t="shared" si="153"/>
        <v>No (not volatile)</v>
      </c>
      <c r="H468" s="76" t="str">
        <f t="shared" si="147"/>
        <v>--</v>
      </c>
      <c r="I468" s="271" t="str">
        <f t="shared" si="148"/>
        <v>--</v>
      </c>
      <c r="J468" s="272" t="str">
        <f t="shared" si="149"/>
        <v>--</v>
      </c>
      <c r="K468" s="272" t="str">
        <f t="shared" si="157"/>
        <v>--</v>
      </c>
      <c r="L468" s="273" t="str">
        <f t="shared" si="160"/>
        <v>--</v>
      </c>
      <c r="M468" s="7">
        <f t="shared" si="161"/>
        <v>4175.7770012130341</v>
      </c>
      <c r="N468" s="7">
        <f t="shared" si="158"/>
        <v>178.07999999999998</v>
      </c>
      <c r="O468" s="326">
        <f t="shared" si="162"/>
        <v>25</v>
      </c>
      <c r="P468" s="224"/>
      <c r="Q468" s="224" t="str">
        <f t="shared" si="163"/>
        <v/>
      </c>
      <c r="R468" s="224"/>
      <c r="S468" s="271" t="str">
        <f t="shared" si="151"/>
        <v/>
      </c>
      <c r="T468" s="7" t="str">
        <f t="shared" si="152"/>
        <v/>
      </c>
      <c r="U468" s="7" t="str">
        <f t="shared" si="164"/>
        <v/>
      </c>
      <c r="V468" s="7" t="str">
        <f t="shared" si="165"/>
        <v/>
      </c>
      <c r="W468" s="7" t="str">
        <f>VLOOKUP(C468,'Tox Summary'!$N$3:$S$1048576,6,FALSE)</f>
        <v/>
      </c>
      <c r="X468" s="76" t="str">
        <f t="shared" si="166"/>
        <v/>
      </c>
      <c r="Y468" s="76" t="str">
        <f t="shared" si="167"/>
        <v/>
      </c>
      <c r="Z468" s="243"/>
      <c r="AA468" s="243"/>
    </row>
    <row r="469" spans="1:27">
      <c r="A469" s="265"/>
      <c r="B469" s="344" t="s">
        <v>58</v>
      </c>
      <c r="C469" s="269" t="s">
        <v>2359</v>
      </c>
      <c r="D469" s="280" t="str">
        <f>VLOOKUP(B469, 'Chem Props'!$1:$1048576,3,FALSE)</f>
        <v>No</v>
      </c>
      <c r="E469" s="598" t="str">
        <f t="shared" si="168"/>
        <v>Yes</v>
      </c>
      <c r="F469" s="7" t="str">
        <f t="shared" si="159"/>
        <v>No (not volatile)</v>
      </c>
      <c r="G469" s="270" t="str">
        <f t="shared" si="153"/>
        <v>No (not volatile)</v>
      </c>
      <c r="H469" s="76" t="str">
        <f t="shared" si="147"/>
        <v>No VP</v>
      </c>
      <c r="I469" s="271" t="str">
        <f t="shared" si="148"/>
        <v>NC</v>
      </c>
      <c r="J469" s="272" t="str">
        <f t="shared" si="149"/>
        <v>No VP</v>
      </c>
      <c r="K469" s="272" t="str">
        <f t="shared" si="157"/>
        <v>No VP</v>
      </c>
      <c r="L469" s="273" t="str">
        <f t="shared" si="160"/>
        <v>No (2)</v>
      </c>
      <c r="M469" s="7" t="str">
        <f t="shared" si="161"/>
        <v>No VP</v>
      </c>
      <c r="N469" s="7" t="str">
        <f t="shared" si="158"/>
        <v>No HLC</v>
      </c>
      <c r="O469" s="326">
        <f t="shared" si="162"/>
        <v>25</v>
      </c>
      <c r="P469" s="224" t="str">
        <f t="shared" ref="P469:P500" si="169">IF(VLOOKUP(B469,AllChemProps,32,FALSE)&gt;0,VLOOKUP(B469,AllChemProps,32,FALSE),"")</f>
        <v/>
      </c>
      <c r="Q469" s="224" t="str">
        <f t="shared" si="163"/>
        <v/>
      </c>
      <c r="R469" s="224"/>
      <c r="S469" s="271" t="str">
        <f t="shared" si="151"/>
        <v/>
      </c>
      <c r="T469" s="7" t="str">
        <f t="shared" si="152"/>
        <v/>
      </c>
      <c r="U469" s="7">
        <f t="shared" si="164"/>
        <v>2.9999999999999997E-4</v>
      </c>
      <c r="V469" s="7" t="str">
        <f t="shared" si="165"/>
        <v>S</v>
      </c>
      <c r="W469" s="7" t="str">
        <f>VLOOKUP(C469,'Tox Summary'!$N$3:$S$1048576,6,FALSE)</f>
        <v/>
      </c>
      <c r="X469" s="76" t="str">
        <f t="shared" si="166"/>
        <v/>
      </c>
      <c r="Y469" s="76">
        <f t="shared" si="167"/>
        <v>0.31285714285714278</v>
      </c>
      <c r="AA469" s="332"/>
    </row>
    <row r="470" spans="1:27">
      <c r="A470" s="265"/>
      <c r="B470" s="269" t="s">
        <v>59</v>
      </c>
      <c r="C470" s="269" t="s">
        <v>2243</v>
      </c>
      <c r="D470" s="280" t="str">
        <f>VLOOKUP(B470, 'Chem Props'!$1:$1048576,3,FALSE)</f>
        <v>Yes</v>
      </c>
      <c r="E470" s="598" t="str">
        <f t="shared" si="168"/>
        <v>Yes</v>
      </c>
      <c r="F470" s="7" t="str">
        <f t="shared" si="159"/>
        <v>Yes</v>
      </c>
      <c r="G470" s="270" t="str">
        <f t="shared" si="153"/>
        <v>Yes</v>
      </c>
      <c r="H470" s="76">
        <f t="shared" si="147"/>
        <v>0.31285714285714278</v>
      </c>
      <c r="I470" s="271" t="str">
        <f t="shared" si="148"/>
        <v>NC</v>
      </c>
      <c r="J470" s="272">
        <f t="shared" si="149"/>
        <v>10.428571428571427</v>
      </c>
      <c r="K470" s="272">
        <f t="shared" si="157"/>
        <v>0.88879870129870109</v>
      </c>
      <c r="L470" s="273" t="str">
        <f t="shared" si="160"/>
        <v>Yes (2)</v>
      </c>
      <c r="M470" s="7">
        <f t="shared" si="161"/>
        <v>21133.681444028214</v>
      </c>
      <c r="N470" s="7">
        <f t="shared" si="158"/>
        <v>21119.999999999996</v>
      </c>
      <c r="O470" s="326">
        <f t="shared" si="162"/>
        <v>25</v>
      </c>
      <c r="P470" s="224" t="str">
        <f t="shared" si="169"/>
        <v/>
      </c>
      <c r="Q470" s="224" t="str">
        <f t="shared" si="163"/>
        <v/>
      </c>
      <c r="R470" s="224"/>
      <c r="S470" s="271" t="str">
        <f t="shared" si="151"/>
        <v/>
      </c>
      <c r="T470" s="7" t="str">
        <f t="shared" si="152"/>
        <v/>
      </c>
      <c r="U470" s="7">
        <f t="shared" si="164"/>
        <v>2.9999999999999997E-4</v>
      </c>
      <c r="V470" s="7" t="str">
        <f t="shared" si="165"/>
        <v>I</v>
      </c>
      <c r="W470" s="7" t="str">
        <f>VLOOKUP(C470,'Tox Summary'!$N$3:$S$1048576,6,FALSE)</f>
        <v/>
      </c>
      <c r="X470" s="76" t="str">
        <f t="shared" si="166"/>
        <v/>
      </c>
      <c r="Y470" s="76">
        <f t="shared" si="167"/>
        <v>0.31285714285714278</v>
      </c>
      <c r="AA470" s="243"/>
    </row>
    <row r="471" spans="1:27">
      <c r="A471" s="265"/>
      <c r="B471" s="344" t="s">
        <v>62</v>
      </c>
      <c r="C471" s="269" t="s">
        <v>1216</v>
      </c>
      <c r="D471" s="280" t="str">
        <f>VLOOKUP(B471, 'Chem Props'!$1:$1048576,3,FALSE)</f>
        <v>Yes</v>
      </c>
      <c r="E471" s="598" t="str">
        <f t="shared" si="168"/>
        <v>No</v>
      </c>
      <c r="F471" s="7" t="str">
        <f t="shared" si="159"/>
        <v>No Inhal. Tox. Info</v>
      </c>
      <c r="G471" s="270" t="str">
        <f t="shared" si="153"/>
        <v>No Inhal. Tox. Info</v>
      </c>
      <c r="H471" s="76" t="str">
        <f t="shared" si="147"/>
        <v>--</v>
      </c>
      <c r="I471" s="271" t="str">
        <f t="shared" si="148"/>
        <v>--</v>
      </c>
      <c r="J471" s="272" t="str">
        <f t="shared" si="149"/>
        <v>--</v>
      </c>
      <c r="K471" s="272" t="str">
        <f t="shared" si="157"/>
        <v>--</v>
      </c>
      <c r="L471" s="273" t="str">
        <f t="shared" si="160"/>
        <v>--</v>
      </c>
      <c r="M471" s="7">
        <f t="shared" si="161"/>
        <v>321.24921205919873</v>
      </c>
      <c r="N471" s="7">
        <f t="shared" si="158"/>
        <v>3.2480000000000002</v>
      </c>
      <c r="O471" s="326">
        <f t="shared" si="162"/>
        <v>25</v>
      </c>
      <c r="P471" s="224" t="str">
        <f t="shared" si="169"/>
        <v/>
      </c>
      <c r="Q471" s="224" t="str">
        <f t="shared" si="163"/>
        <v/>
      </c>
      <c r="R471" s="224"/>
      <c r="S471" s="271" t="str">
        <f t="shared" si="151"/>
        <v/>
      </c>
      <c r="T471" s="7" t="str">
        <f t="shared" si="152"/>
        <v/>
      </c>
      <c r="U471" s="7" t="str">
        <f t="shared" si="164"/>
        <v/>
      </c>
      <c r="V471" s="7" t="str">
        <f t="shared" si="165"/>
        <v/>
      </c>
      <c r="W471" s="7" t="str">
        <f>VLOOKUP(C471,'Tox Summary'!$N$3:$S$1048576,6,FALSE)</f>
        <v/>
      </c>
      <c r="X471" s="76" t="str">
        <f t="shared" si="166"/>
        <v/>
      </c>
      <c r="Y471" s="76" t="str">
        <f t="shared" si="167"/>
        <v/>
      </c>
      <c r="AA471" s="332"/>
    </row>
    <row r="472" spans="1:27">
      <c r="A472" s="265"/>
      <c r="B472" s="344" t="s">
        <v>63</v>
      </c>
      <c r="C472" s="269" t="s">
        <v>1217</v>
      </c>
      <c r="D472" s="280" t="str">
        <f>VLOOKUP(B472, 'Chem Props'!$1:$1048576,3,FALSE)</f>
        <v>No</v>
      </c>
      <c r="E472" s="598" t="str">
        <f t="shared" si="168"/>
        <v>No</v>
      </c>
      <c r="F472" s="7" t="str">
        <f t="shared" si="159"/>
        <v>No (not volatile)</v>
      </c>
      <c r="G472" s="270" t="str">
        <f t="shared" si="153"/>
        <v>No (not volatile)</v>
      </c>
      <c r="H472" s="76" t="str">
        <f t="shared" si="147"/>
        <v>--</v>
      </c>
      <c r="I472" s="271" t="str">
        <f t="shared" si="148"/>
        <v>--</v>
      </c>
      <c r="J472" s="272" t="str">
        <f t="shared" si="149"/>
        <v>--</v>
      </c>
      <c r="K472" s="272" t="str">
        <f t="shared" si="157"/>
        <v>--</v>
      </c>
      <c r="L472" s="273" t="str">
        <f t="shared" si="160"/>
        <v>--</v>
      </c>
      <c r="M472" s="7">
        <f t="shared" si="161"/>
        <v>89.69402621840382</v>
      </c>
      <c r="N472" s="7">
        <f t="shared" si="158"/>
        <v>27.6</v>
      </c>
      <c r="O472" s="326">
        <f t="shared" si="162"/>
        <v>25</v>
      </c>
      <c r="P472" s="224" t="str">
        <f t="shared" si="169"/>
        <v/>
      </c>
      <c r="Q472" s="224" t="str">
        <f t="shared" si="163"/>
        <v/>
      </c>
      <c r="R472" s="224"/>
      <c r="S472" s="271" t="str">
        <f t="shared" si="151"/>
        <v/>
      </c>
      <c r="T472" s="7" t="str">
        <f t="shared" si="152"/>
        <v/>
      </c>
      <c r="U472" s="7" t="str">
        <f t="shared" si="164"/>
        <v/>
      </c>
      <c r="V472" s="7" t="str">
        <f t="shared" si="165"/>
        <v/>
      </c>
      <c r="W472" s="7" t="str">
        <f>VLOOKUP(C472,'Tox Summary'!$N$3:$S$1048576,6,FALSE)</f>
        <v/>
      </c>
      <c r="X472" s="76" t="str">
        <f t="shared" si="166"/>
        <v/>
      </c>
      <c r="Y472" s="76" t="str">
        <f t="shared" si="167"/>
        <v/>
      </c>
      <c r="AA472" s="332"/>
    </row>
    <row r="473" spans="1:27">
      <c r="A473" s="265"/>
      <c r="B473" s="344" t="s">
        <v>64</v>
      </c>
      <c r="C473" s="269" t="s">
        <v>1218</v>
      </c>
      <c r="D473" s="280" t="str">
        <f>VLOOKUP(B473, 'Chem Props'!$1:$1048576,3,FALSE)</f>
        <v>No</v>
      </c>
      <c r="E473" s="598" t="str">
        <f t="shared" si="168"/>
        <v>No</v>
      </c>
      <c r="F473" s="7" t="str">
        <f t="shared" si="159"/>
        <v>No (not volatile)</v>
      </c>
      <c r="G473" s="270" t="str">
        <f t="shared" si="153"/>
        <v>No (not volatile)</v>
      </c>
      <c r="H473" s="76" t="str">
        <f t="shared" si="147"/>
        <v>--</v>
      </c>
      <c r="I473" s="271" t="str">
        <f t="shared" si="148"/>
        <v>--</v>
      </c>
      <c r="J473" s="272" t="str">
        <f t="shared" si="149"/>
        <v>--</v>
      </c>
      <c r="K473" s="272" t="str">
        <f t="shared" si="157"/>
        <v>--</v>
      </c>
      <c r="L473" s="273" t="str">
        <f t="shared" si="160"/>
        <v>--</v>
      </c>
      <c r="M473" s="7">
        <f t="shared" si="161"/>
        <v>84.47391754363089</v>
      </c>
      <c r="N473" s="7">
        <f t="shared" si="158"/>
        <v>1013.124</v>
      </c>
      <c r="O473" s="326">
        <f t="shared" si="162"/>
        <v>25</v>
      </c>
      <c r="P473" s="224" t="str">
        <f t="shared" si="169"/>
        <v/>
      </c>
      <c r="Q473" s="224" t="str">
        <f t="shared" si="163"/>
        <v/>
      </c>
      <c r="R473" s="224"/>
      <c r="S473" s="271" t="str">
        <f t="shared" si="151"/>
        <v/>
      </c>
      <c r="T473" s="7" t="str">
        <f t="shared" si="152"/>
        <v/>
      </c>
      <c r="U473" s="7" t="str">
        <f t="shared" si="164"/>
        <v/>
      </c>
      <c r="V473" s="7" t="str">
        <f t="shared" si="165"/>
        <v/>
      </c>
      <c r="W473" s="7" t="str">
        <f>VLOOKUP(C473,'Tox Summary'!$N$3:$S$1048576,6,FALSE)</f>
        <v/>
      </c>
      <c r="X473" s="76" t="str">
        <f t="shared" si="166"/>
        <v/>
      </c>
      <c r="Y473" s="76" t="str">
        <f t="shared" si="167"/>
        <v/>
      </c>
      <c r="AA473" s="332"/>
    </row>
    <row r="474" spans="1:27">
      <c r="A474" s="265"/>
      <c r="B474" s="344" t="s">
        <v>65</v>
      </c>
      <c r="C474" s="269" t="s">
        <v>1441</v>
      </c>
      <c r="D474" s="280" t="str">
        <f>VLOOKUP(B474, 'Chem Props'!$1:$1048576,3,FALSE)</f>
        <v>Yes</v>
      </c>
      <c r="E474" s="598" t="str">
        <f t="shared" si="168"/>
        <v>Yes</v>
      </c>
      <c r="F474" s="7" t="str">
        <f t="shared" si="159"/>
        <v>Yes</v>
      </c>
      <c r="G474" s="270" t="str">
        <f t="shared" si="153"/>
        <v>Yes</v>
      </c>
      <c r="H474" s="76">
        <f t="shared" si="147"/>
        <v>31.285714285714285</v>
      </c>
      <c r="I474" s="271" t="str">
        <f t="shared" si="148"/>
        <v>NC</v>
      </c>
      <c r="J474" s="272">
        <f t="shared" si="149"/>
        <v>1042.8571428571429</v>
      </c>
      <c r="K474" s="272">
        <f t="shared" si="157"/>
        <v>3098.1782994537866</v>
      </c>
      <c r="L474" s="273" t="str">
        <f t="shared" si="160"/>
        <v>--</v>
      </c>
      <c r="M474" s="7">
        <f t="shared" si="161"/>
        <v>257038068.92599496</v>
      </c>
      <c r="N474" s="7">
        <f t="shared" si="158"/>
        <v>256491740</v>
      </c>
      <c r="O474" s="326">
        <f t="shared" si="162"/>
        <v>25</v>
      </c>
      <c r="P474" s="224">
        <f t="shared" si="169"/>
        <v>2</v>
      </c>
      <c r="Q474" s="224" t="str">
        <f t="shared" si="163"/>
        <v>N</v>
      </c>
      <c r="R474" s="224"/>
      <c r="S474" s="271" t="str">
        <f t="shared" si="151"/>
        <v/>
      </c>
      <c r="T474" s="7" t="str">
        <f t="shared" si="152"/>
        <v/>
      </c>
      <c r="U474" s="7">
        <f t="shared" si="164"/>
        <v>0.03</v>
      </c>
      <c r="V474" s="7" t="str">
        <f t="shared" si="165"/>
        <v>P</v>
      </c>
      <c r="W474" s="7" t="str">
        <f>VLOOKUP(C474,'Tox Summary'!$N$3:$S$1048576,6,FALSE)</f>
        <v/>
      </c>
      <c r="X474" s="76" t="str">
        <f t="shared" si="166"/>
        <v/>
      </c>
      <c r="Y474" s="76">
        <f t="shared" si="167"/>
        <v>31.285714285714285</v>
      </c>
      <c r="AA474" s="332"/>
    </row>
    <row r="475" spans="1:27">
      <c r="A475" s="265"/>
      <c r="B475" s="344" t="s">
        <v>66</v>
      </c>
      <c r="C475" s="269" t="s">
        <v>1219</v>
      </c>
      <c r="D475" s="280" t="str">
        <f>VLOOKUP(B475, 'Chem Props'!$1:$1048576,3,FALSE)</f>
        <v>No</v>
      </c>
      <c r="E475" s="598" t="str">
        <f t="shared" si="168"/>
        <v>No</v>
      </c>
      <c r="F475" s="7" t="str">
        <f t="shared" si="159"/>
        <v>No (not volatile)</v>
      </c>
      <c r="G475" s="270" t="str">
        <f t="shared" si="153"/>
        <v>No (not volatile)</v>
      </c>
      <c r="H475" s="76" t="str">
        <f t="shared" si="147"/>
        <v>--</v>
      </c>
      <c r="I475" s="271" t="str">
        <f t="shared" si="148"/>
        <v>--</v>
      </c>
      <c r="J475" s="272" t="str">
        <f t="shared" si="149"/>
        <v>--</v>
      </c>
      <c r="K475" s="272" t="str">
        <f t="shared" si="157"/>
        <v>--</v>
      </c>
      <c r="L475" s="273" t="str">
        <f t="shared" si="160"/>
        <v>--</v>
      </c>
      <c r="M475" s="7">
        <f t="shared" si="161"/>
        <v>268.06939730936807</v>
      </c>
      <c r="N475" s="7">
        <f t="shared" si="158"/>
        <v>35495</v>
      </c>
      <c r="O475" s="326">
        <f t="shared" si="162"/>
        <v>25</v>
      </c>
      <c r="P475" s="224" t="str">
        <f t="shared" si="169"/>
        <v/>
      </c>
      <c r="Q475" s="224" t="str">
        <f t="shared" si="163"/>
        <v/>
      </c>
      <c r="R475" s="224"/>
      <c r="S475" s="271" t="str">
        <f t="shared" si="151"/>
        <v/>
      </c>
      <c r="T475" s="7" t="str">
        <f t="shared" si="152"/>
        <v/>
      </c>
      <c r="U475" s="7" t="str">
        <f t="shared" si="164"/>
        <v/>
      </c>
      <c r="V475" s="7" t="str">
        <f t="shared" si="165"/>
        <v/>
      </c>
      <c r="W475" s="7" t="str">
        <f>VLOOKUP(C475,'Tox Summary'!$N$3:$S$1048576,6,FALSE)</f>
        <v/>
      </c>
      <c r="X475" s="76" t="str">
        <f t="shared" si="166"/>
        <v/>
      </c>
      <c r="Y475" s="76" t="str">
        <f t="shared" si="167"/>
        <v/>
      </c>
      <c r="AA475" s="332"/>
    </row>
    <row r="476" spans="1:27">
      <c r="A476" s="265"/>
      <c r="B476" s="344" t="s">
        <v>67</v>
      </c>
      <c r="C476" s="269" t="s">
        <v>1220</v>
      </c>
      <c r="D476" s="280" t="str">
        <f>VLOOKUP(B476, 'Chem Props'!$1:$1048576,3,FALSE)</f>
        <v>Yes</v>
      </c>
      <c r="E476" s="598" t="str">
        <f t="shared" si="168"/>
        <v>Yes</v>
      </c>
      <c r="F476" s="7" t="str">
        <f t="shared" si="159"/>
        <v>Yes</v>
      </c>
      <c r="G476" s="270" t="str">
        <f t="shared" si="153"/>
        <v>Yes</v>
      </c>
      <c r="H476" s="76">
        <f t="shared" si="147"/>
        <v>20857.142857142859</v>
      </c>
      <c r="I476" s="271" t="str">
        <f t="shared" si="148"/>
        <v>NC</v>
      </c>
      <c r="J476" s="272">
        <f t="shared" si="149"/>
        <v>695238.09523809527</v>
      </c>
      <c r="K476" s="272">
        <f t="shared" si="157"/>
        <v>112135176.65130569</v>
      </c>
      <c r="L476" s="273" t="str">
        <f t="shared" si="160"/>
        <v>--</v>
      </c>
      <c r="M476" s="7">
        <f t="shared" si="161"/>
        <v>218965920.92487812</v>
      </c>
      <c r="N476" s="7">
        <f t="shared" si="158"/>
        <v>186000000</v>
      </c>
      <c r="O476" s="326">
        <f t="shared" si="162"/>
        <v>25</v>
      </c>
      <c r="P476" s="224">
        <f t="shared" si="169"/>
        <v>6</v>
      </c>
      <c r="Q476" s="224" t="str">
        <f t="shared" si="163"/>
        <v>N</v>
      </c>
      <c r="R476" s="224"/>
      <c r="S476" s="271" t="str">
        <f t="shared" si="151"/>
        <v/>
      </c>
      <c r="T476" s="7" t="str">
        <f t="shared" si="152"/>
        <v/>
      </c>
      <c r="U476" s="7">
        <f t="shared" si="164"/>
        <v>20</v>
      </c>
      <c r="V476" s="7" t="str">
        <f t="shared" si="165"/>
        <v>I</v>
      </c>
      <c r="W476" s="7" t="str">
        <f>VLOOKUP(C476,'Tox Summary'!$N$3:$S$1048576,6,FALSE)</f>
        <v/>
      </c>
      <c r="X476" s="76" t="str">
        <f t="shared" si="166"/>
        <v/>
      </c>
      <c r="Y476" s="76">
        <f t="shared" si="167"/>
        <v>20857.142857142859</v>
      </c>
      <c r="AA476" s="332"/>
    </row>
    <row r="477" spans="1:27">
      <c r="A477" s="265"/>
      <c r="B477" s="344" t="s">
        <v>68</v>
      </c>
      <c r="C477" s="269" t="s">
        <v>1221</v>
      </c>
      <c r="D477" s="280" t="str">
        <f>VLOOKUP(B477, 'Chem Props'!$1:$1048576,3,FALSE)</f>
        <v>No</v>
      </c>
      <c r="E477" s="598" t="str">
        <f t="shared" si="168"/>
        <v>No</v>
      </c>
      <c r="F477" s="7" t="str">
        <f t="shared" si="159"/>
        <v>No (not volatile)</v>
      </c>
      <c r="G477" s="270" t="str">
        <f t="shared" si="153"/>
        <v>No (not volatile)</v>
      </c>
      <c r="H477" s="76" t="str">
        <f t="shared" si="147"/>
        <v>--</v>
      </c>
      <c r="I477" s="271" t="str">
        <f t="shared" si="148"/>
        <v>--</v>
      </c>
      <c r="J477" s="272" t="str">
        <f t="shared" si="149"/>
        <v>--</v>
      </c>
      <c r="K477" s="272" t="str">
        <f t="shared" si="157"/>
        <v>--</v>
      </c>
      <c r="L477" s="273" t="str">
        <f t="shared" si="160"/>
        <v>--</v>
      </c>
      <c r="M477" s="7">
        <f t="shared" si="161"/>
        <v>54.823194253100382</v>
      </c>
      <c r="N477" s="7">
        <f t="shared" si="158"/>
        <v>54.815309999999997</v>
      </c>
      <c r="O477" s="326">
        <f t="shared" si="162"/>
        <v>25</v>
      </c>
      <c r="P477" s="224" t="str">
        <f t="shared" si="169"/>
        <v/>
      </c>
      <c r="Q477" s="224" t="str">
        <f t="shared" si="163"/>
        <v/>
      </c>
      <c r="R477" s="224"/>
      <c r="S477" s="271" t="str">
        <f t="shared" si="151"/>
        <v/>
      </c>
      <c r="T477" s="7" t="str">
        <f t="shared" si="152"/>
        <v/>
      </c>
      <c r="U477" s="7" t="str">
        <f t="shared" si="164"/>
        <v/>
      </c>
      <c r="V477" s="7" t="str">
        <f t="shared" si="165"/>
        <v/>
      </c>
      <c r="W477" s="7" t="str">
        <f>VLOOKUP(C477,'Tox Summary'!$N$3:$S$1048576,6,FALSE)</f>
        <v/>
      </c>
      <c r="X477" s="76" t="str">
        <f t="shared" si="166"/>
        <v/>
      </c>
      <c r="Y477" s="76" t="str">
        <f t="shared" si="167"/>
        <v/>
      </c>
      <c r="AA477" s="332"/>
    </row>
    <row r="478" spans="1:27">
      <c r="A478" s="265"/>
      <c r="B478" s="269" t="s">
        <v>69</v>
      </c>
      <c r="C478" s="269" t="s">
        <v>1222</v>
      </c>
      <c r="D478" s="280" t="str">
        <f>VLOOKUP(B478, 'Chem Props'!$1:$1048576,3,FALSE)</f>
        <v>No</v>
      </c>
      <c r="E478" s="598" t="str">
        <f t="shared" si="168"/>
        <v>No</v>
      </c>
      <c r="F478" s="7" t="str">
        <f t="shared" si="159"/>
        <v>No (not volatile)</v>
      </c>
      <c r="G478" s="270" t="str">
        <f t="shared" si="153"/>
        <v>No (not volatile)</v>
      </c>
      <c r="H478" s="76" t="str">
        <f t="shared" si="147"/>
        <v>--</v>
      </c>
      <c r="I478" s="271" t="str">
        <f t="shared" si="148"/>
        <v>--</v>
      </c>
      <c r="J478" s="272" t="str">
        <f t="shared" si="149"/>
        <v>--</v>
      </c>
      <c r="K478" s="272" t="str">
        <f t="shared" si="157"/>
        <v>--</v>
      </c>
      <c r="L478" s="273" t="str">
        <f t="shared" si="160"/>
        <v>--</v>
      </c>
      <c r="M478" s="7">
        <f t="shared" si="161"/>
        <v>47.132944845375725</v>
      </c>
      <c r="N478" s="7">
        <f t="shared" si="158"/>
        <v>46.713200000000001</v>
      </c>
      <c r="O478" s="326">
        <f t="shared" si="162"/>
        <v>25</v>
      </c>
      <c r="P478" s="224" t="str">
        <f t="shared" si="169"/>
        <v/>
      </c>
      <c r="Q478" s="224" t="str">
        <f t="shared" si="163"/>
        <v/>
      </c>
      <c r="R478" s="224"/>
      <c r="S478" s="271" t="str">
        <f t="shared" si="151"/>
        <v/>
      </c>
      <c r="T478" s="7" t="str">
        <f t="shared" si="152"/>
        <v/>
      </c>
      <c r="U478" s="7" t="str">
        <f t="shared" si="164"/>
        <v/>
      </c>
      <c r="V478" s="7" t="str">
        <f t="shared" si="165"/>
        <v/>
      </c>
      <c r="W478" s="7" t="str">
        <f>VLOOKUP(C478,'Tox Summary'!$N$3:$S$1048576,6,FALSE)</f>
        <v/>
      </c>
      <c r="X478" s="76" t="str">
        <f t="shared" si="166"/>
        <v/>
      </c>
      <c r="Y478" s="76" t="str">
        <f t="shared" si="167"/>
        <v/>
      </c>
      <c r="AA478" s="243"/>
    </row>
    <row r="479" spans="1:27">
      <c r="A479" s="265"/>
      <c r="B479" s="344" t="s">
        <v>70</v>
      </c>
      <c r="C479" s="269" t="s">
        <v>1223</v>
      </c>
      <c r="D479" s="280" t="str">
        <f>VLOOKUP(B479, 'Chem Props'!$1:$1048576,3,FALSE)</f>
        <v>No</v>
      </c>
      <c r="E479" s="598" t="str">
        <f t="shared" si="168"/>
        <v>Yes</v>
      </c>
      <c r="F479" s="7" t="str">
        <f t="shared" si="159"/>
        <v>No (not volatile)</v>
      </c>
      <c r="G479" s="270" t="str">
        <f t="shared" si="153"/>
        <v>No (not volatile)</v>
      </c>
      <c r="H479" s="76">
        <f t="shared" si="147"/>
        <v>0.20054945054945056</v>
      </c>
      <c r="I479" s="271" t="str">
        <f t="shared" si="148"/>
        <v>C</v>
      </c>
      <c r="J479" s="272">
        <f t="shared" si="149"/>
        <v>6.6849816849816852</v>
      </c>
      <c r="K479" s="272" t="str">
        <f t="shared" si="157"/>
        <v>NVT</v>
      </c>
      <c r="L479" s="273" t="str">
        <f t="shared" si="160"/>
        <v>--</v>
      </c>
      <c r="M479" s="7">
        <f t="shared" si="161"/>
        <v>2886.2951906927087</v>
      </c>
      <c r="N479" s="7">
        <f t="shared" si="158"/>
        <v>58.769600000000004</v>
      </c>
      <c r="O479" s="326">
        <f t="shared" si="162"/>
        <v>25</v>
      </c>
      <c r="P479" s="224" t="str">
        <f t="shared" si="169"/>
        <v/>
      </c>
      <c r="Q479" s="224" t="str">
        <f t="shared" si="163"/>
        <v/>
      </c>
      <c r="R479" s="224"/>
      <c r="S479" s="271">
        <f t="shared" si="151"/>
        <v>1.4E-5</v>
      </c>
      <c r="T479" s="7" t="str">
        <f t="shared" si="152"/>
        <v>CA</v>
      </c>
      <c r="U479" s="7" t="str">
        <f t="shared" si="164"/>
        <v/>
      </c>
      <c r="V479" s="7" t="str">
        <f t="shared" si="165"/>
        <v/>
      </c>
      <c r="W479" s="7" t="str">
        <f>VLOOKUP(C479,'Tox Summary'!$N$3:$S$1048576,6,FALSE)</f>
        <v/>
      </c>
      <c r="X479" s="76">
        <f t="shared" si="166"/>
        <v>0.20054945054945056</v>
      </c>
      <c r="Y479" s="76" t="str">
        <f t="shared" si="167"/>
        <v/>
      </c>
      <c r="AA479" s="332"/>
    </row>
    <row r="480" spans="1:27">
      <c r="A480" s="265"/>
      <c r="B480" s="344" t="s">
        <v>71</v>
      </c>
      <c r="C480" s="269" t="s">
        <v>387</v>
      </c>
      <c r="D480" s="280" t="str">
        <f>VLOOKUP(B480, 'Chem Props'!$1:$1048576,3,FALSE)</f>
        <v>No</v>
      </c>
      <c r="E480" s="598" t="str">
        <f t="shared" si="168"/>
        <v>No</v>
      </c>
      <c r="F480" s="7" t="str">
        <f t="shared" si="159"/>
        <v>No (not volatile)</v>
      </c>
      <c r="G480" s="270" t="str">
        <f t="shared" si="153"/>
        <v>No (not volatile)</v>
      </c>
      <c r="H480" s="76" t="str">
        <f t="shared" si="147"/>
        <v>--</v>
      </c>
      <c r="I480" s="271" t="str">
        <f t="shared" si="148"/>
        <v>--</v>
      </c>
      <c r="J480" s="272" t="str">
        <f t="shared" si="149"/>
        <v>--</v>
      </c>
      <c r="K480" s="272" t="str">
        <f t="shared" ref="K480:K511" si="170">IF(ISNUMBER(H480),IF(H480="--","--", IF(LEFT(N480,2)="No",N480,IF(H480*0.001/(INDEX(HLC,MATCH(C480,ChemNameChem,0))*AFgw)&gt;=1000*INDEX(PWCS,MATCH(C480,ChemNameChem,0)), "NVT", H480*0.001/(INDEX(HLC,MATCH(C480,ChemNameChem,0))*AFgw)))),H480)</f>
        <v>--</v>
      </c>
      <c r="L480" s="273" t="str">
        <f t="shared" si="160"/>
        <v>No (40)</v>
      </c>
      <c r="M480" s="7">
        <f t="shared" si="161"/>
        <v>47.986825703022873</v>
      </c>
      <c r="N480" s="7">
        <f t="shared" si="158"/>
        <v>0.82993000000000006</v>
      </c>
      <c r="O480" s="326">
        <f t="shared" si="162"/>
        <v>25</v>
      </c>
      <c r="P480" s="224" t="str">
        <f t="shared" si="169"/>
        <v/>
      </c>
      <c r="Q480" s="224" t="str">
        <f t="shared" si="163"/>
        <v/>
      </c>
      <c r="R480" s="224"/>
      <c r="S480" s="271" t="str">
        <f t="shared" si="151"/>
        <v/>
      </c>
      <c r="T480" s="7" t="str">
        <f t="shared" si="152"/>
        <v/>
      </c>
      <c r="U480" s="7" t="str">
        <f t="shared" si="164"/>
        <v/>
      </c>
      <c r="V480" s="7" t="str">
        <f t="shared" si="165"/>
        <v/>
      </c>
      <c r="W480" s="7" t="str">
        <f>VLOOKUP(C480,'Tox Summary'!$N$3:$S$1048576,6,FALSE)</f>
        <v/>
      </c>
      <c r="X480" s="76" t="str">
        <f t="shared" si="166"/>
        <v/>
      </c>
      <c r="Y480" s="76" t="str">
        <f t="shared" si="167"/>
        <v/>
      </c>
      <c r="AA480" s="332"/>
    </row>
    <row r="481" spans="1:27">
      <c r="A481" s="265"/>
      <c r="B481" s="344" t="s">
        <v>72</v>
      </c>
      <c r="C481" s="269" t="s">
        <v>1224</v>
      </c>
      <c r="D481" s="280" t="str">
        <f>VLOOKUP(B481, 'Chem Props'!$1:$1048576,3,FALSE)</f>
        <v>Yes</v>
      </c>
      <c r="E481" s="598" t="str">
        <f t="shared" si="168"/>
        <v>Yes</v>
      </c>
      <c r="F481" s="7" t="str">
        <f t="shared" si="159"/>
        <v>Yes</v>
      </c>
      <c r="G481" s="270" t="str">
        <f t="shared" si="153"/>
        <v>Yes</v>
      </c>
      <c r="H481" s="76">
        <f t="shared" si="147"/>
        <v>1.0428571428571429</v>
      </c>
      <c r="I481" s="271" t="str">
        <f t="shared" si="148"/>
        <v>NC</v>
      </c>
      <c r="J481" s="272">
        <f t="shared" si="149"/>
        <v>34.761904761904766</v>
      </c>
      <c r="K481" s="272">
        <f t="shared" si="170"/>
        <v>82114.735658042744</v>
      </c>
      <c r="L481" s="273" t="str">
        <f t="shared" si="160"/>
        <v>--</v>
      </c>
      <c r="M481" s="7">
        <f t="shared" si="161"/>
        <v>44495022.937903583</v>
      </c>
      <c r="N481" s="7">
        <f t="shared" si="158"/>
        <v>12700000.000000002</v>
      </c>
      <c r="O481" s="326">
        <f t="shared" si="162"/>
        <v>25</v>
      </c>
      <c r="P481" s="224">
        <f t="shared" si="169"/>
        <v>1.7</v>
      </c>
      <c r="Q481" s="224" t="str">
        <f t="shared" si="163"/>
        <v>N</v>
      </c>
      <c r="R481" s="224"/>
      <c r="S481" s="271" t="str">
        <f t="shared" si="151"/>
        <v/>
      </c>
      <c r="T481" s="7" t="str">
        <f t="shared" si="152"/>
        <v/>
      </c>
      <c r="U481" s="7">
        <f t="shared" si="164"/>
        <v>1E-3</v>
      </c>
      <c r="V481" s="7" t="str">
        <f t="shared" si="165"/>
        <v>P</v>
      </c>
      <c r="W481" s="7" t="str">
        <f>VLOOKUP(C481,'Tox Summary'!$N$3:$S$1048576,6,FALSE)</f>
        <v/>
      </c>
      <c r="X481" s="76" t="str">
        <f t="shared" si="166"/>
        <v/>
      </c>
      <c r="Y481" s="76">
        <f t="shared" si="167"/>
        <v>1.0428571428571429</v>
      </c>
      <c r="AA481" s="332"/>
    </row>
    <row r="482" spans="1:27">
      <c r="A482" s="265"/>
      <c r="B482" s="344" t="s">
        <v>73</v>
      </c>
      <c r="C482" s="269" t="s">
        <v>1225</v>
      </c>
      <c r="D482" s="280" t="str">
        <f>VLOOKUP(B482, 'Chem Props'!$1:$1048576,3,FALSE)</f>
        <v>Yes</v>
      </c>
      <c r="E482" s="598" t="str">
        <f t="shared" si="168"/>
        <v>Yes</v>
      </c>
      <c r="F482" s="7" t="str">
        <f t="shared" si="159"/>
        <v>Yes</v>
      </c>
      <c r="G482" s="270" t="str">
        <f t="shared" si="153"/>
        <v>Yes</v>
      </c>
      <c r="H482" s="76">
        <f t="shared" si="147"/>
        <v>20.857142857142858</v>
      </c>
      <c r="I482" s="271" t="str">
        <f t="shared" si="148"/>
        <v>NC</v>
      </c>
      <c r="J482" s="272">
        <f t="shared" si="149"/>
        <v>695.2380952380953</v>
      </c>
      <c r="K482" s="272">
        <f t="shared" si="170"/>
        <v>1544973.544973545</v>
      </c>
      <c r="L482" s="273" t="str">
        <f t="shared" si="160"/>
        <v>--</v>
      </c>
      <c r="M482" s="7">
        <f t="shared" si="161"/>
        <v>38899016.84837015</v>
      </c>
      <c r="N482" s="7">
        <f t="shared" si="158"/>
        <v>13500000</v>
      </c>
      <c r="O482" s="326">
        <f t="shared" si="162"/>
        <v>25</v>
      </c>
      <c r="P482" s="224">
        <f t="shared" si="169"/>
        <v>1.8</v>
      </c>
      <c r="Q482" s="224" t="str">
        <f t="shared" si="163"/>
        <v>N</v>
      </c>
      <c r="R482" s="224"/>
      <c r="S482" s="271" t="str">
        <f t="shared" si="151"/>
        <v/>
      </c>
      <c r="T482" s="7" t="str">
        <f t="shared" si="152"/>
        <v/>
      </c>
      <c r="U482" s="7">
        <f t="shared" si="164"/>
        <v>0.02</v>
      </c>
      <c r="V482" s="7" t="str">
        <f t="shared" si="165"/>
        <v>I</v>
      </c>
      <c r="W482" s="7" t="str">
        <f>VLOOKUP(C482,'Tox Summary'!$N$3:$S$1048576,6,FALSE)</f>
        <v/>
      </c>
      <c r="X482" s="76" t="str">
        <f t="shared" si="166"/>
        <v/>
      </c>
      <c r="Y482" s="76">
        <f t="shared" si="167"/>
        <v>20.857142857142858</v>
      </c>
      <c r="AA482" s="332"/>
    </row>
    <row r="483" spans="1:27">
      <c r="A483" s="265"/>
      <c r="B483" s="344" t="s">
        <v>74</v>
      </c>
      <c r="C483" s="269" t="s">
        <v>1226</v>
      </c>
      <c r="D483" s="280" t="str">
        <f>VLOOKUP(B483, 'Chem Props'!$1:$1048576,3,FALSE)</f>
        <v>Yes</v>
      </c>
      <c r="E483" s="598" t="str">
        <f t="shared" si="168"/>
        <v>No</v>
      </c>
      <c r="F483" s="7" t="str">
        <f t="shared" si="159"/>
        <v>No Inhal. Tox. Info</v>
      </c>
      <c r="G483" s="270" t="str">
        <f t="shared" si="153"/>
        <v>No Inhal. Tox. Info</v>
      </c>
      <c r="H483" s="76" t="str">
        <f t="shared" si="147"/>
        <v>--</v>
      </c>
      <c r="I483" s="271" t="str">
        <f t="shared" si="148"/>
        <v>--</v>
      </c>
      <c r="J483" s="272" t="str">
        <f t="shared" si="149"/>
        <v>--</v>
      </c>
      <c r="K483" s="272" t="str">
        <f t="shared" si="170"/>
        <v>--</v>
      </c>
      <c r="L483" s="273" t="str">
        <f t="shared" si="160"/>
        <v>--</v>
      </c>
      <c r="M483" s="7">
        <f t="shared" si="161"/>
        <v>861806676.53755045</v>
      </c>
      <c r="N483" s="7">
        <f t="shared" si="158"/>
        <v>1142488800</v>
      </c>
      <c r="O483" s="326">
        <f t="shared" si="162"/>
        <v>25</v>
      </c>
      <c r="P483" s="224">
        <f t="shared" si="169"/>
        <v>3.1</v>
      </c>
      <c r="Q483" s="224" t="str">
        <f t="shared" si="163"/>
        <v>N</v>
      </c>
      <c r="R483" s="224"/>
      <c r="S483" s="271" t="str">
        <f t="shared" si="151"/>
        <v/>
      </c>
      <c r="T483" s="7" t="str">
        <f t="shared" si="152"/>
        <v/>
      </c>
      <c r="U483" s="7" t="str">
        <f t="shared" si="164"/>
        <v/>
      </c>
      <c r="V483" s="7" t="str">
        <f t="shared" si="165"/>
        <v/>
      </c>
      <c r="W483" s="7" t="str">
        <f>VLOOKUP(C483,'Tox Summary'!$N$3:$S$1048576,6,FALSE)</f>
        <v/>
      </c>
      <c r="X483" s="76" t="str">
        <f t="shared" si="166"/>
        <v/>
      </c>
      <c r="Y483" s="76" t="str">
        <f t="shared" si="167"/>
        <v/>
      </c>
      <c r="AA483" s="332"/>
    </row>
    <row r="484" spans="1:27">
      <c r="A484" s="265"/>
      <c r="B484" s="344" t="s">
        <v>75</v>
      </c>
      <c r="C484" s="269" t="s">
        <v>1227</v>
      </c>
      <c r="D484" s="280" t="str">
        <f>VLOOKUP(B484, 'Chem Props'!$1:$1048576,3,FALSE)</f>
        <v>Yes</v>
      </c>
      <c r="E484" s="598" t="str">
        <f t="shared" si="168"/>
        <v>Yes</v>
      </c>
      <c r="F484" s="7" t="str">
        <f t="shared" si="159"/>
        <v>Yes</v>
      </c>
      <c r="G484" s="270" t="str">
        <f t="shared" si="153"/>
        <v>Yes</v>
      </c>
      <c r="H484" s="76">
        <f t="shared" si="147"/>
        <v>20.857142857142858</v>
      </c>
      <c r="I484" s="271" t="str">
        <f t="shared" si="148"/>
        <v>NC</v>
      </c>
      <c r="J484" s="272">
        <f t="shared" si="149"/>
        <v>695.2380952380953</v>
      </c>
      <c r="K484" s="272">
        <f t="shared" si="170"/>
        <v>2563.6568281946065</v>
      </c>
      <c r="L484" s="273" t="str">
        <f t="shared" si="160"/>
        <v>--</v>
      </c>
      <c r="M484" s="7">
        <f t="shared" si="161"/>
        <v>400985059.40102947</v>
      </c>
      <c r="N484" s="7">
        <f t="shared" si="158"/>
        <v>401903580</v>
      </c>
      <c r="O484" s="326">
        <f t="shared" si="162"/>
        <v>25</v>
      </c>
      <c r="P484" s="224">
        <f t="shared" si="169"/>
        <v>2.8</v>
      </c>
      <c r="Q484" s="224" t="str">
        <f t="shared" si="163"/>
        <v>N</v>
      </c>
      <c r="R484" s="224"/>
      <c r="S484" s="271" t="str">
        <f t="shared" si="151"/>
        <v/>
      </c>
      <c r="T484" s="7" t="str">
        <f t="shared" si="152"/>
        <v/>
      </c>
      <c r="U484" s="7">
        <f t="shared" si="164"/>
        <v>0.02</v>
      </c>
      <c r="V484" s="7" t="str">
        <f t="shared" si="165"/>
        <v>P</v>
      </c>
      <c r="W484" s="7" t="str">
        <f>VLOOKUP(C484,'Tox Summary'!$N$3:$S$1048576,6,FALSE)</f>
        <v/>
      </c>
      <c r="X484" s="76" t="str">
        <f t="shared" si="166"/>
        <v/>
      </c>
      <c r="Y484" s="76">
        <f t="shared" si="167"/>
        <v>20.857142857142858</v>
      </c>
      <c r="AA484" s="332"/>
    </row>
    <row r="485" spans="1:27">
      <c r="A485" s="265"/>
      <c r="B485" s="344" t="s">
        <v>76</v>
      </c>
      <c r="C485" s="269" t="s">
        <v>1228</v>
      </c>
      <c r="D485" s="280" t="str">
        <f>VLOOKUP(B485, 'Chem Props'!$1:$1048576,3,FALSE)</f>
        <v>Yes</v>
      </c>
      <c r="E485" s="598" t="str">
        <f t="shared" si="168"/>
        <v>Yes</v>
      </c>
      <c r="F485" s="7" t="str">
        <f t="shared" si="159"/>
        <v>Yes</v>
      </c>
      <c r="G485" s="270" t="str">
        <f t="shared" si="153"/>
        <v>Yes</v>
      </c>
      <c r="H485" s="76">
        <f t="shared" ref="H485:H532" si="171">IF(ISNUMBER(M485),IF(AND(X485="",Y485=""),"--",IF(MIN(X485:Y485)&gt;=M485,"NVT",MIN(X485:Y485))),M485)</f>
        <v>5214.2857142857147</v>
      </c>
      <c r="I485" s="271" t="str">
        <f t="shared" ref="I485:I532" si="172">IF(AND(S485="",U485=""),"--",IF(MIN(X485,Y485)=X485,"C","NC"))</f>
        <v>NC</v>
      </c>
      <c r="J485" s="272">
        <f t="shared" ref="J485:J532" si="173">IF(ISNUMBER(H485),IF(OR(H485="--",H485="NVT"),H485,IF(H485/Afss&gt;=M485,"NVT",H485/Afss)),H485)</f>
        <v>173809.52380952382</v>
      </c>
      <c r="K485" s="272">
        <f t="shared" si="170"/>
        <v>2241546.6057457286</v>
      </c>
      <c r="L485" s="273" t="str">
        <f t="shared" si="160"/>
        <v>--</v>
      </c>
      <c r="M485" s="7">
        <f t="shared" si="161"/>
        <v>351531978.72679675</v>
      </c>
      <c r="N485" s="7">
        <f t="shared" si="158"/>
        <v>518742600.00000006</v>
      </c>
      <c r="O485" s="326">
        <f t="shared" si="162"/>
        <v>25</v>
      </c>
      <c r="P485" s="224">
        <f t="shared" si="169"/>
        <v>1.4</v>
      </c>
      <c r="Q485" s="224" t="str">
        <f t="shared" si="163"/>
        <v>N</v>
      </c>
      <c r="R485" s="224"/>
      <c r="S485" s="271" t="str">
        <f t="shared" ref="S485:S548" si="174">IF(INDEX(IUR,MATCH(B485,CASNoTox,0))=" ","",IF(W485="TCE","see note",INDEX(IUR,MATCH(B485,CASNoTox,0))))</f>
        <v/>
      </c>
      <c r="T485" s="7" t="str">
        <f t="shared" ref="T485:T548" si="175">IF(INDEX(IURSource,MATCH(B485,CASNoTox,0))="","",SUBSTITUTE(INDEX(IURSource,MATCH(B485,CASNoTox,0)),"C","CA"))</f>
        <v/>
      </c>
      <c r="U485" s="7">
        <f t="shared" si="164"/>
        <v>5</v>
      </c>
      <c r="V485" s="7" t="str">
        <f t="shared" si="165"/>
        <v>I</v>
      </c>
      <c r="W485" s="7" t="str">
        <f>VLOOKUP(C485,'Tox Summary'!$N$3:$S$1048576,6,FALSE)</f>
        <v/>
      </c>
      <c r="X485" s="76" t="str">
        <f t="shared" si="166"/>
        <v/>
      </c>
      <c r="Y485" s="76">
        <f t="shared" si="167"/>
        <v>5214.2857142857147</v>
      </c>
      <c r="AA485" s="332"/>
    </row>
    <row r="486" spans="1:27">
      <c r="A486" s="265"/>
      <c r="B486" s="344" t="s">
        <v>1568</v>
      </c>
      <c r="C486" s="269" t="s">
        <v>1567</v>
      </c>
      <c r="D486" s="280" t="str">
        <f>VLOOKUP(B486, 'Chem Props'!$1:$1048576,3,FALSE)</f>
        <v>Yes</v>
      </c>
      <c r="E486" s="598" t="str">
        <f t="shared" si="168"/>
        <v>Yes</v>
      </c>
      <c r="F486" s="7" t="str">
        <f t="shared" si="159"/>
        <v>Yes</v>
      </c>
      <c r="G486" s="270" t="str">
        <f t="shared" si="153"/>
        <v>Yes</v>
      </c>
      <c r="H486" s="76">
        <f t="shared" si="171"/>
        <v>2.8076923076923075E-3</v>
      </c>
      <c r="I486" s="271" t="str">
        <f t="shared" si="172"/>
        <v>C</v>
      </c>
      <c r="J486" s="272">
        <f t="shared" si="173"/>
        <v>9.358974358974359E-2</v>
      </c>
      <c r="K486" s="272">
        <f t="shared" si="170"/>
        <v>22.660954864344689</v>
      </c>
      <c r="L486" s="273" t="str">
        <f t="shared" si="160"/>
        <v>--</v>
      </c>
      <c r="M486" s="7">
        <f t="shared" si="161"/>
        <v>123953918.61236981</v>
      </c>
      <c r="N486" s="7">
        <f t="shared" si="158"/>
        <v>123900000</v>
      </c>
      <c r="O486" s="326">
        <f t="shared" si="162"/>
        <v>25</v>
      </c>
      <c r="P486" s="224">
        <f t="shared" si="169"/>
        <v>2.5</v>
      </c>
      <c r="Q486" s="224" t="str">
        <f t="shared" si="163"/>
        <v>N</v>
      </c>
      <c r="R486" s="224"/>
      <c r="S486" s="271">
        <f t="shared" si="174"/>
        <v>1E-3</v>
      </c>
      <c r="T486" s="7" t="str">
        <f t="shared" si="175"/>
        <v>X</v>
      </c>
      <c r="U486" s="7">
        <f t="shared" si="164"/>
        <v>2.0000000000000002E-5</v>
      </c>
      <c r="V486" s="7" t="str">
        <f t="shared" si="165"/>
        <v>X</v>
      </c>
      <c r="W486" s="7" t="str">
        <f>VLOOKUP(C486,'Tox Summary'!$N$3:$S$1048576,6,FALSE)</f>
        <v/>
      </c>
      <c r="X486" s="76">
        <f t="shared" si="166"/>
        <v>2.8076923076923075E-3</v>
      </c>
      <c r="Y486" s="76">
        <f t="shared" si="167"/>
        <v>2.0857142857142855E-2</v>
      </c>
      <c r="AA486" s="332"/>
    </row>
    <row r="487" spans="1:27">
      <c r="A487" s="265"/>
      <c r="B487" s="344" t="s">
        <v>77</v>
      </c>
      <c r="C487" s="269" t="s">
        <v>1229</v>
      </c>
      <c r="D487" s="280" t="str">
        <f>VLOOKUP(B487, 'Chem Props'!$1:$1048576,3,FALSE)</f>
        <v>Yes</v>
      </c>
      <c r="E487" s="598" t="str">
        <f t="shared" si="168"/>
        <v>Yes</v>
      </c>
      <c r="F487" s="7" t="str">
        <f t="shared" si="159"/>
        <v>Yes</v>
      </c>
      <c r="G487" s="270" t="str">
        <f t="shared" si="153"/>
        <v>Yes</v>
      </c>
      <c r="H487" s="76">
        <f t="shared" si="171"/>
        <v>3128.5714285714284</v>
      </c>
      <c r="I487" s="271" t="str">
        <f t="shared" si="172"/>
        <v>NC</v>
      </c>
      <c r="J487" s="272">
        <f t="shared" si="173"/>
        <v>104285.71428571429</v>
      </c>
      <c r="K487" s="272">
        <f t="shared" si="170"/>
        <v>554524.43832244957</v>
      </c>
      <c r="L487" s="273" t="str">
        <f t="shared" si="160"/>
        <v>--</v>
      </c>
      <c r="M487" s="7">
        <f t="shared" si="161"/>
        <v>107035231.08870856</v>
      </c>
      <c r="N487" s="7">
        <f t="shared" si="158"/>
        <v>107196100</v>
      </c>
      <c r="O487" s="326">
        <f t="shared" si="162"/>
        <v>25</v>
      </c>
      <c r="P487" s="224">
        <f t="shared" si="169"/>
        <v>1.2</v>
      </c>
      <c r="Q487" s="224" t="str">
        <f t="shared" si="163"/>
        <v>N</v>
      </c>
      <c r="R487" s="224"/>
      <c r="S487" s="271" t="str">
        <f t="shared" si="174"/>
        <v/>
      </c>
      <c r="T487" s="7" t="str">
        <f t="shared" si="175"/>
        <v/>
      </c>
      <c r="U487" s="7">
        <f t="shared" si="164"/>
        <v>3</v>
      </c>
      <c r="V487" s="7" t="str">
        <f t="shared" si="165"/>
        <v>I</v>
      </c>
      <c r="W487" s="7" t="str">
        <f>VLOOKUP(C487,'Tox Summary'!$N$3:$S$1048576,6,FALSE)</f>
        <v/>
      </c>
      <c r="X487" s="76" t="str">
        <f t="shared" si="166"/>
        <v/>
      </c>
      <c r="Y487" s="76">
        <f t="shared" si="167"/>
        <v>3128.5714285714284</v>
      </c>
      <c r="AA487" s="332"/>
    </row>
    <row r="488" spans="1:27">
      <c r="A488" s="265"/>
      <c r="B488" s="344" t="s">
        <v>78</v>
      </c>
      <c r="C488" s="269" t="s">
        <v>593</v>
      </c>
      <c r="D488" s="280" t="str">
        <f>VLOOKUP(B488, 'Chem Props'!$1:$1048576,3,FALSE)</f>
        <v>Yes</v>
      </c>
      <c r="E488" s="598" t="str">
        <f t="shared" si="168"/>
        <v>Yes</v>
      </c>
      <c r="F488" s="7" t="str">
        <f t="shared" si="159"/>
        <v>Yes</v>
      </c>
      <c r="G488" s="270" t="str">
        <f t="shared" si="153"/>
        <v>Yes</v>
      </c>
      <c r="H488" s="76">
        <f t="shared" si="171"/>
        <v>1.0428571428571429</v>
      </c>
      <c r="I488" s="271" t="str">
        <f t="shared" si="172"/>
        <v>NC</v>
      </c>
      <c r="J488" s="272">
        <f t="shared" si="173"/>
        <v>34.761904761904766</v>
      </c>
      <c r="K488" s="272">
        <f t="shared" si="170"/>
        <v>27.546764406108739</v>
      </c>
      <c r="L488" s="273" t="str">
        <f t="shared" si="160"/>
        <v>--</v>
      </c>
      <c r="M488" s="7">
        <f t="shared" si="161"/>
        <v>1068324795.8439733</v>
      </c>
      <c r="N488" s="7">
        <f t="shared" si="158"/>
        <v>1105444840</v>
      </c>
      <c r="O488" s="326">
        <f t="shared" si="162"/>
        <v>25</v>
      </c>
      <c r="P488" s="224">
        <f t="shared" si="169"/>
        <v>5.3</v>
      </c>
      <c r="Q488" s="224" t="str">
        <f t="shared" si="163"/>
        <v>N</v>
      </c>
      <c r="R488" s="224"/>
      <c r="S488" s="271" t="str">
        <f t="shared" si="174"/>
        <v/>
      </c>
      <c r="T488" s="7" t="str">
        <f t="shared" si="175"/>
        <v/>
      </c>
      <c r="U488" s="7">
        <f t="shared" si="164"/>
        <v>1E-3</v>
      </c>
      <c r="V488" s="7" t="str">
        <f t="shared" si="165"/>
        <v>CA</v>
      </c>
      <c r="W488" s="7" t="str">
        <f>VLOOKUP(C488,'Tox Summary'!$N$3:$S$1048576,6,FALSE)</f>
        <v/>
      </c>
      <c r="X488" s="76" t="str">
        <f t="shared" si="166"/>
        <v/>
      </c>
      <c r="Y488" s="76">
        <f t="shared" si="167"/>
        <v>1.0428571428571429</v>
      </c>
      <c r="AA488" s="332"/>
    </row>
    <row r="489" spans="1:27">
      <c r="A489" s="265"/>
      <c r="B489" s="344" t="s">
        <v>60</v>
      </c>
      <c r="C489" s="269" t="s">
        <v>2375</v>
      </c>
      <c r="D489" s="280" t="str">
        <f>VLOOKUP(B489, 'Chem Props'!$1:$1048576,3,FALSE)</f>
        <v>No</v>
      </c>
      <c r="E489" s="598" t="str">
        <f t="shared" si="168"/>
        <v>No</v>
      </c>
      <c r="F489" s="7" t="str">
        <f t="shared" si="159"/>
        <v>No (not volatile)</v>
      </c>
      <c r="G489" s="270" t="str">
        <f t="shared" si="153"/>
        <v>No (not volatile)</v>
      </c>
      <c r="H489" s="76" t="str">
        <f t="shared" si="171"/>
        <v>No VP</v>
      </c>
      <c r="I489" s="271" t="str">
        <f t="shared" si="172"/>
        <v>--</v>
      </c>
      <c r="J489" s="272" t="str">
        <f t="shared" si="173"/>
        <v>No VP</v>
      </c>
      <c r="K489" s="272" t="str">
        <f t="shared" si="170"/>
        <v>No VP</v>
      </c>
      <c r="L489" s="273" t="str">
        <f t="shared" si="160"/>
        <v>--</v>
      </c>
      <c r="M489" s="7" t="str">
        <f t="shared" si="161"/>
        <v>No VP</v>
      </c>
      <c r="N489" s="7" t="str">
        <f t="shared" si="158"/>
        <v>No S</v>
      </c>
      <c r="O489" s="326">
        <f t="shared" si="162"/>
        <v>25</v>
      </c>
      <c r="P489" s="224" t="str">
        <f t="shared" si="169"/>
        <v/>
      </c>
      <c r="Q489" s="224" t="str">
        <f t="shared" si="163"/>
        <v/>
      </c>
      <c r="R489" s="224"/>
      <c r="S489" s="271" t="str">
        <f t="shared" si="174"/>
        <v/>
      </c>
      <c r="T489" s="7" t="str">
        <f t="shared" si="175"/>
        <v/>
      </c>
      <c r="U489" s="7" t="str">
        <f t="shared" si="164"/>
        <v/>
      </c>
      <c r="V489" s="7" t="str">
        <f t="shared" si="165"/>
        <v/>
      </c>
      <c r="W489" s="7" t="str">
        <f>VLOOKUP(C489,'Tox Summary'!$N$3:$S$1048576,6,FALSE)</f>
        <v/>
      </c>
      <c r="X489" s="76" t="str">
        <f t="shared" si="166"/>
        <v/>
      </c>
      <c r="Y489" s="76" t="str">
        <f t="shared" si="167"/>
        <v/>
      </c>
      <c r="AA489" s="332"/>
    </row>
    <row r="490" spans="1:27">
      <c r="A490" s="265"/>
      <c r="B490" s="344" t="s">
        <v>79</v>
      </c>
      <c r="C490" s="269" t="s">
        <v>1230</v>
      </c>
      <c r="D490" s="280" t="str">
        <f>VLOOKUP(B490, 'Chem Props'!$1:$1048576,3,FALSE)</f>
        <v>Yes</v>
      </c>
      <c r="E490" s="598" t="str">
        <f t="shared" si="168"/>
        <v>Yes</v>
      </c>
      <c r="F490" s="7" t="str">
        <f t="shared" si="159"/>
        <v>Yes</v>
      </c>
      <c r="G490" s="270" t="str">
        <f t="shared" si="153"/>
        <v>Yes</v>
      </c>
      <c r="H490" s="76">
        <f t="shared" si="171"/>
        <v>730</v>
      </c>
      <c r="I490" s="271" t="str">
        <f t="shared" si="172"/>
        <v>NC</v>
      </c>
      <c r="J490" s="272">
        <f t="shared" si="173"/>
        <v>24333.333333333336</v>
      </c>
      <c r="K490" s="272">
        <f t="shared" si="170"/>
        <v>55974.297829270719</v>
      </c>
      <c r="L490" s="273" t="str">
        <f t="shared" si="160"/>
        <v>--</v>
      </c>
      <c r="M490" s="7">
        <f t="shared" si="161"/>
        <v>207412421.32384652</v>
      </c>
      <c r="N490" s="7">
        <f t="shared" si="158"/>
        <v>195625500</v>
      </c>
      <c r="O490" s="326">
        <f t="shared" si="162"/>
        <v>25</v>
      </c>
      <c r="P490" s="224">
        <f t="shared" si="169"/>
        <v>1.7</v>
      </c>
      <c r="Q490" s="224" t="str">
        <f t="shared" si="163"/>
        <v>N</v>
      </c>
      <c r="R490" s="224"/>
      <c r="S490" s="271" t="str">
        <f t="shared" si="174"/>
        <v/>
      </c>
      <c r="T490" s="7" t="str">
        <f t="shared" si="175"/>
        <v/>
      </c>
      <c r="U490" s="7">
        <f t="shared" si="164"/>
        <v>0.7</v>
      </c>
      <c r="V490" s="7" t="str">
        <f t="shared" si="165"/>
        <v>I</v>
      </c>
      <c r="W490" s="7" t="str">
        <f>VLOOKUP(C490,'Tox Summary'!$N$3:$S$1048576,6,FALSE)</f>
        <v/>
      </c>
      <c r="X490" s="76" t="str">
        <f t="shared" si="166"/>
        <v/>
      </c>
      <c r="Y490" s="76">
        <f t="shared" si="167"/>
        <v>730</v>
      </c>
      <c r="AA490" s="332"/>
    </row>
    <row r="491" spans="1:27">
      <c r="A491" s="265"/>
      <c r="B491" s="344" t="s">
        <v>83</v>
      </c>
      <c r="C491" s="269" t="s">
        <v>595</v>
      </c>
      <c r="D491" s="280" t="str">
        <f>VLOOKUP(B491, 'Chem Props'!$1:$1048576,3,FALSE)</f>
        <v>No</v>
      </c>
      <c r="E491" s="598" t="str">
        <f t="shared" si="168"/>
        <v>Yes</v>
      </c>
      <c r="F491" s="7" t="str">
        <f t="shared" si="159"/>
        <v>No (not volatile)</v>
      </c>
      <c r="G491" s="270" t="str">
        <f t="shared" ref="G491:G554" si="176">IF(LEFT(D491,2)="No","No (not volatile)",IF(D491="unknown","unknown",IF(H491="NVT","No",IF(AND(X491="",Y491=""),"No Inhal. Tox. Info",IF(MIN(X491:Y491)&gt;=N491,"No",IF(N491&gt;H491,"Yes","No"))))))</f>
        <v>No (not volatile)</v>
      </c>
      <c r="H491" s="76">
        <f t="shared" si="171"/>
        <v>0.10027472527472528</v>
      </c>
      <c r="I491" s="271" t="str">
        <f t="shared" si="172"/>
        <v>C</v>
      </c>
      <c r="J491" s="272">
        <f t="shared" si="173"/>
        <v>3.3424908424908426</v>
      </c>
      <c r="K491" s="272">
        <f t="shared" si="170"/>
        <v>608.46313880294474</v>
      </c>
      <c r="L491" s="273" t="str">
        <f t="shared" si="160"/>
        <v>--</v>
      </c>
      <c r="M491" s="7">
        <f t="shared" si="161"/>
        <v>1837048.0845641117</v>
      </c>
      <c r="N491" s="7">
        <f t="shared" si="158"/>
        <v>32960000</v>
      </c>
      <c r="O491" s="326">
        <f t="shared" si="162"/>
        <v>25</v>
      </c>
      <c r="P491" s="224" t="str">
        <f t="shared" si="169"/>
        <v/>
      </c>
      <c r="Q491" s="224" t="str">
        <f t="shared" si="163"/>
        <v/>
      </c>
      <c r="R491" s="224"/>
      <c r="S491" s="271">
        <f t="shared" si="174"/>
        <v>2.8E-5</v>
      </c>
      <c r="T491" s="7" t="str">
        <f t="shared" si="175"/>
        <v>CA</v>
      </c>
      <c r="U491" s="7" t="str">
        <f t="shared" si="164"/>
        <v/>
      </c>
      <c r="V491" s="7" t="str">
        <f t="shared" si="165"/>
        <v/>
      </c>
      <c r="W491" s="7" t="str">
        <f>VLOOKUP(C491,'Tox Summary'!$N$3:$S$1048576,6,FALSE)</f>
        <v/>
      </c>
      <c r="X491" s="76">
        <f t="shared" si="166"/>
        <v>0.10027472527472528</v>
      </c>
      <c r="Y491" s="76" t="str">
        <f t="shared" si="167"/>
        <v/>
      </c>
      <c r="AA491" s="332"/>
    </row>
    <row r="492" spans="1:27">
      <c r="A492" s="265"/>
      <c r="B492" s="269" t="s">
        <v>80</v>
      </c>
      <c r="C492" s="269" t="s">
        <v>1231</v>
      </c>
      <c r="D492" s="280" t="str">
        <f>VLOOKUP(B492, 'Chem Props'!$1:$1048576,3,FALSE)</f>
        <v>No</v>
      </c>
      <c r="E492" s="598" t="str">
        <f t="shared" si="168"/>
        <v>No</v>
      </c>
      <c r="F492" s="7" t="str">
        <f t="shared" si="159"/>
        <v>No (not volatile)</v>
      </c>
      <c r="G492" s="270" t="str">
        <f t="shared" si="176"/>
        <v>No (not volatile)</v>
      </c>
      <c r="H492" s="76" t="str">
        <f t="shared" si="171"/>
        <v>--</v>
      </c>
      <c r="I492" s="271" t="str">
        <f t="shared" si="172"/>
        <v>--</v>
      </c>
      <c r="J492" s="272" t="str">
        <f t="shared" si="173"/>
        <v>--</v>
      </c>
      <c r="K492" s="272" t="str">
        <f t="shared" si="170"/>
        <v>--</v>
      </c>
      <c r="L492" s="273" t="str">
        <f t="shared" si="160"/>
        <v>--</v>
      </c>
      <c r="M492" s="7">
        <f t="shared" si="161"/>
        <v>49.570536643890641</v>
      </c>
      <c r="N492" s="7">
        <f t="shared" si="158"/>
        <v>154.12891000000005</v>
      </c>
      <c r="O492" s="326">
        <f t="shared" si="162"/>
        <v>25</v>
      </c>
      <c r="P492" s="224" t="str">
        <f t="shared" si="169"/>
        <v/>
      </c>
      <c r="Q492" s="224" t="str">
        <f t="shared" si="163"/>
        <v/>
      </c>
      <c r="R492" s="224"/>
      <c r="S492" s="271" t="str">
        <f t="shared" si="174"/>
        <v/>
      </c>
      <c r="T492" s="7" t="str">
        <f t="shared" si="175"/>
        <v/>
      </c>
      <c r="U492" s="7" t="str">
        <f t="shared" si="164"/>
        <v/>
      </c>
      <c r="V492" s="7" t="str">
        <f t="shared" si="165"/>
        <v/>
      </c>
      <c r="W492" s="7" t="str">
        <f>VLOOKUP(C492,'Tox Summary'!$N$3:$S$1048576,6,FALSE)</f>
        <v/>
      </c>
      <c r="X492" s="76" t="str">
        <f t="shared" si="166"/>
        <v/>
      </c>
      <c r="Y492" s="76" t="str">
        <f t="shared" si="167"/>
        <v/>
      </c>
      <c r="AA492" s="243"/>
    </row>
    <row r="493" spans="1:27">
      <c r="A493" s="265"/>
      <c r="B493" s="344" t="s">
        <v>81</v>
      </c>
      <c r="C493" s="269" t="s">
        <v>594</v>
      </c>
      <c r="D493" s="280" t="str">
        <f>VLOOKUP(B493, 'Chem Props'!$1:$1048576,3,FALSE)</f>
        <v>No</v>
      </c>
      <c r="E493" s="598" t="str">
        <f t="shared" si="168"/>
        <v>No</v>
      </c>
      <c r="F493" s="7" t="str">
        <f t="shared" si="159"/>
        <v>No (not volatile)</v>
      </c>
      <c r="G493" s="270" t="str">
        <f t="shared" si="176"/>
        <v>No (not volatile)</v>
      </c>
      <c r="H493" s="76" t="str">
        <f t="shared" si="171"/>
        <v>--</v>
      </c>
      <c r="I493" s="271" t="str">
        <f t="shared" si="172"/>
        <v>--</v>
      </c>
      <c r="J493" s="272" t="str">
        <f t="shared" si="173"/>
        <v>--</v>
      </c>
      <c r="K493" s="272" t="str">
        <f t="shared" si="170"/>
        <v>--</v>
      </c>
      <c r="L493" s="273" t="str">
        <f t="shared" si="160"/>
        <v>--</v>
      </c>
      <c r="M493" s="7">
        <f t="shared" si="161"/>
        <v>1689.5700948521428</v>
      </c>
      <c r="N493" s="7">
        <f t="shared" si="158"/>
        <v>9.9759999999999991</v>
      </c>
      <c r="O493" s="326">
        <f t="shared" si="162"/>
        <v>25</v>
      </c>
      <c r="P493" s="224" t="str">
        <f t="shared" si="169"/>
        <v/>
      </c>
      <c r="Q493" s="224" t="str">
        <f t="shared" si="163"/>
        <v/>
      </c>
      <c r="R493" s="224"/>
      <c r="S493" s="271" t="str">
        <f t="shared" si="174"/>
        <v/>
      </c>
      <c r="T493" s="7" t="str">
        <f t="shared" si="175"/>
        <v/>
      </c>
      <c r="U493" s="7" t="str">
        <f t="shared" si="164"/>
        <v/>
      </c>
      <c r="V493" s="7" t="str">
        <f t="shared" si="165"/>
        <v/>
      </c>
      <c r="W493" s="7" t="str">
        <f>VLOOKUP(C493,'Tox Summary'!$N$3:$S$1048576,6,FALSE)</f>
        <v/>
      </c>
      <c r="X493" s="76" t="str">
        <f t="shared" si="166"/>
        <v/>
      </c>
      <c r="Y493" s="76" t="str">
        <f t="shared" si="167"/>
        <v/>
      </c>
      <c r="AA493" s="332"/>
    </row>
    <row r="494" spans="1:27">
      <c r="A494" s="265"/>
      <c r="B494" s="344" t="s">
        <v>82</v>
      </c>
      <c r="C494" s="269" t="s">
        <v>1232</v>
      </c>
      <c r="D494" s="280" t="str">
        <f>VLOOKUP(B494, 'Chem Props'!$1:$1048576,3,FALSE)</f>
        <v>Yes</v>
      </c>
      <c r="E494" s="598" t="str">
        <f t="shared" si="168"/>
        <v>Yes</v>
      </c>
      <c r="F494" s="7" t="str">
        <f t="shared" si="159"/>
        <v>Yes</v>
      </c>
      <c r="G494" s="270" t="str">
        <f t="shared" si="176"/>
        <v>Yes</v>
      </c>
      <c r="H494" s="76">
        <f t="shared" si="171"/>
        <v>41.714285714285715</v>
      </c>
      <c r="I494" s="271" t="str">
        <f t="shared" si="172"/>
        <v>NC</v>
      </c>
      <c r="J494" s="272">
        <f t="shared" si="173"/>
        <v>1390.4761904761906</v>
      </c>
      <c r="K494" s="272">
        <f t="shared" si="170"/>
        <v>389.43931275164346</v>
      </c>
      <c r="L494" s="273" t="str">
        <f t="shared" si="160"/>
        <v>--</v>
      </c>
      <c r="M494" s="7">
        <f t="shared" si="161"/>
        <v>28616050.293993916</v>
      </c>
      <c r="N494" s="7">
        <f t="shared" si="158"/>
        <v>9533119.3000000007</v>
      </c>
      <c r="O494" s="326">
        <f t="shared" si="162"/>
        <v>25</v>
      </c>
      <c r="P494" s="224" t="str">
        <f t="shared" si="169"/>
        <v/>
      </c>
      <c r="Q494" s="224" t="str">
        <f t="shared" si="163"/>
        <v/>
      </c>
      <c r="R494" s="224"/>
      <c r="S494" s="271" t="str">
        <f t="shared" si="174"/>
        <v/>
      </c>
      <c r="T494" s="7" t="str">
        <f t="shared" si="175"/>
        <v/>
      </c>
      <c r="U494" s="7">
        <f t="shared" si="164"/>
        <v>0.04</v>
      </c>
      <c r="V494" s="7" t="str">
        <f t="shared" si="165"/>
        <v>H</v>
      </c>
      <c r="W494" s="7" t="str">
        <f>VLOOKUP(C494,'Tox Summary'!$N$3:$S$1048576,6,FALSE)</f>
        <v/>
      </c>
      <c r="X494" s="76" t="str">
        <f t="shared" si="166"/>
        <v/>
      </c>
      <c r="Y494" s="76">
        <f t="shared" si="167"/>
        <v>41.714285714285715</v>
      </c>
      <c r="AA494" s="332"/>
    </row>
    <row r="495" spans="1:27">
      <c r="A495" s="265"/>
      <c r="B495" s="344" t="s">
        <v>84</v>
      </c>
      <c r="C495" s="269" t="s">
        <v>1233</v>
      </c>
      <c r="D495" s="280" t="str">
        <f>VLOOKUP(B495, 'Chem Props'!$1:$1048576,3,FALSE)</f>
        <v>Yes</v>
      </c>
      <c r="E495" s="598" t="str">
        <f t="shared" si="168"/>
        <v>Yes</v>
      </c>
      <c r="F495" s="7" t="str">
        <f t="shared" si="159"/>
        <v>Yes</v>
      </c>
      <c r="G495" s="270" t="str">
        <f t="shared" si="176"/>
        <v>Yes</v>
      </c>
      <c r="H495" s="76">
        <f t="shared" si="171"/>
        <v>10.798816568047336</v>
      </c>
      <c r="I495" s="271" t="str">
        <f t="shared" si="172"/>
        <v>C</v>
      </c>
      <c r="J495" s="272">
        <f t="shared" si="173"/>
        <v>359.96055226824456</v>
      </c>
      <c r="K495" s="272">
        <f t="shared" si="170"/>
        <v>449.98068904790887</v>
      </c>
      <c r="L495" s="273" t="str">
        <f t="shared" si="160"/>
        <v>--</v>
      </c>
      <c r="M495" s="7">
        <f t="shared" si="161"/>
        <v>1185824565.8533392</v>
      </c>
      <c r="N495" s="7">
        <f t="shared" si="158"/>
        <v>1223918400</v>
      </c>
      <c r="O495" s="326">
        <f t="shared" si="162"/>
        <v>25</v>
      </c>
      <c r="P495" s="224">
        <f t="shared" si="169"/>
        <v>1.6</v>
      </c>
      <c r="Q495" s="224" t="str">
        <f t="shared" si="163"/>
        <v>M</v>
      </c>
      <c r="R495" s="224"/>
      <c r="S495" s="271">
        <f t="shared" si="174"/>
        <v>2.6E-7</v>
      </c>
      <c r="T495" s="7" t="str">
        <f t="shared" si="175"/>
        <v>CA</v>
      </c>
      <c r="U495" s="7">
        <f t="shared" si="164"/>
        <v>3</v>
      </c>
      <c r="V495" s="7" t="str">
        <f t="shared" si="165"/>
        <v>I</v>
      </c>
      <c r="W495" s="7" t="str">
        <f>VLOOKUP(C495,'Tox Summary'!$N$3:$S$1048576,6,FALSE)</f>
        <v/>
      </c>
      <c r="X495" s="76">
        <f t="shared" si="166"/>
        <v>10.798816568047336</v>
      </c>
      <c r="Y495" s="76">
        <f t="shared" si="167"/>
        <v>3128.5714285714284</v>
      </c>
      <c r="AA495" s="332"/>
    </row>
    <row r="496" spans="1:27">
      <c r="A496" s="265"/>
      <c r="B496" s="344" t="s">
        <v>1570</v>
      </c>
      <c r="C496" s="269" t="s">
        <v>1569</v>
      </c>
      <c r="D496" s="280" t="str">
        <f>VLOOKUP(B496, 'Chem Props'!$1:$1048576,3,FALSE)</f>
        <v>No</v>
      </c>
      <c r="E496" s="598" t="str">
        <f t="shared" si="168"/>
        <v>No</v>
      </c>
      <c r="F496" s="7" t="str">
        <f t="shared" si="159"/>
        <v>No (not volatile)</v>
      </c>
      <c r="G496" s="270" t="str">
        <f t="shared" si="176"/>
        <v>No (not volatile)</v>
      </c>
      <c r="H496" s="76" t="str">
        <f t="shared" si="171"/>
        <v>--</v>
      </c>
      <c r="I496" s="271" t="str">
        <f t="shared" si="172"/>
        <v>--</v>
      </c>
      <c r="J496" s="272" t="str">
        <f t="shared" si="173"/>
        <v>--</v>
      </c>
      <c r="K496" s="272" t="str">
        <f t="shared" si="170"/>
        <v>--</v>
      </c>
      <c r="L496" s="273" t="str">
        <f t="shared" si="160"/>
        <v>--</v>
      </c>
      <c r="M496" s="7">
        <f t="shared" si="161"/>
        <v>4.3249930685101304E-5</v>
      </c>
      <c r="N496" s="7">
        <f t="shared" si="158"/>
        <v>2.608E-4</v>
      </c>
      <c r="O496" s="326">
        <f t="shared" si="162"/>
        <v>25</v>
      </c>
      <c r="P496" s="224" t="str">
        <f t="shared" si="169"/>
        <v/>
      </c>
      <c r="Q496" s="224" t="str">
        <f t="shared" si="163"/>
        <v/>
      </c>
      <c r="R496" s="224"/>
      <c r="S496" s="271" t="str">
        <f t="shared" si="174"/>
        <v/>
      </c>
      <c r="T496" s="7" t="str">
        <f t="shared" si="175"/>
        <v/>
      </c>
      <c r="U496" s="7" t="str">
        <f t="shared" si="164"/>
        <v/>
      </c>
      <c r="V496" s="7" t="str">
        <f t="shared" si="165"/>
        <v/>
      </c>
      <c r="W496" s="7" t="str">
        <f>VLOOKUP(C496,'Tox Summary'!$N$3:$S$1048576,6,FALSE)</f>
        <v/>
      </c>
      <c r="X496" s="76" t="str">
        <f t="shared" si="166"/>
        <v/>
      </c>
      <c r="Y496" s="76" t="str">
        <f t="shared" si="167"/>
        <v/>
      </c>
      <c r="AA496" s="332"/>
    </row>
    <row r="497" spans="1:27">
      <c r="A497" s="265"/>
      <c r="B497" s="96" t="s">
        <v>2508</v>
      </c>
      <c r="C497" s="96" t="s">
        <v>2507</v>
      </c>
      <c r="D497" s="280" t="str">
        <f>VLOOKUP(B497, 'Chem Props'!$1:$1048576,3,FALSE)</f>
        <v>Yes</v>
      </c>
      <c r="E497" s="598" t="str">
        <f t="shared" si="168"/>
        <v>Yes</v>
      </c>
      <c r="F497" s="7" t="str">
        <f t="shared" si="159"/>
        <v>Yes</v>
      </c>
      <c r="G497" s="270" t="str">
        <f t="shared" si="176"/>
        <v>Yes</v>
      </c>
      <c r="H497" s="76">
        <f t="shared" si="171"/>
        <v>3128.5714285714284</v>
      </c>
      <c r="I497" s="271" t="str">
        <f t="shared" si="172"/>
        <v>NC</v>
      </c>
      <c r="J497" s="272">
        <f t="shared" si="173"/>
        <v>104285.71428571429</v>
      </c>
      <c r="K497" s="272">
        <f t="shared" si="170"/>
        <v>1719656.6968457254</v>
      </c>
      <c r="L497" s="273" t="str">
        <f t="shared" si="160"/>
        <v>--</v>
      </c>
      <c r="M497" s="7">
        <f t="shared" si="161"/>
        <v>29140363.101321109</v>
      </c>
      <c r="N497" s="7">
        <f t="shared" si="158"/>
        <v>29836520</v>
      </c>
      <c r="O497" s="326">
        <f t="shared" si="162"/>
        <v>25</v>
      </c>
      <c r="P497" s="224" t="str">
        <f t="shared" si="169"/>
        <v/>
      </c>
      <c r="Q497" s="224" t="str">
        <f t="shared" si="163"/>
        <v/>
      </c>
      <c r="R497" s="224"/>
      <c r="S497" s="271" t="str">
        <f t="shared" si="174"/>
        <v/>
      </c>
      <c r="T497" s="7" t="str">
        <f t="shared" si="175"/>
        <v/>
      </c>
      <c r="U497" s="7">
        <f t="shared" si="164"/>
        <v>3</v>
      </c>
      <c r="V497" s="7" t="str">
        <f t="shared" si="165"/>
        <v>X</v>
      </c>
      <c r="W497" s="7" t="str">
        <f>VLOOKUP(C497,'Tox Summary'!$N$3:$S$1048576,6,FALSE)</f>
        <v/>
      </c>
      <c r="X497" s="76" t="str">
        <f t="shared" si="166"/>
        <v/>
      </c>
      <c r="Y497" s="76">
        <f t="shared" si="167"/>
        <v>3128.5714285714284</v>
      </c>
      <c r="AA497" s="332"/>
    </row>
    <row r="498" spans="1:27">
      <c r="A498" s="265"/>
      <c r="B498" s="269" t="s">
        <v>85</v>
      </c>
      <c r="C498" s="269" t="s">
        <v>1234</v>
      </c>
      <c r="D498" s="280" t="str">
        <f>VLOOKUP(B498, 'Chem Props'!$1:$1048576,3,FALSE)</f>
        <v>No</v>
      </c>
      <c r="E498" s="598" t="str">
        <f t="shared" si="168"/>
        <v>No</v>
      </c>
      <c r="F498" s="7" t="str">
        <f t="shared" si="159"/>
        <v>No (not volatile)</v>
      </c>
      <c r="G498" s="270" t="str">
        <f t="shared" si="176"/>
        <v>No (not volatile)</v>
      </c>
      <c r="H498" s="76" t="str">
        <f t="shared" si="171"/>
        <v>--</v>
      </c>
      <c r="I498" s="271" t="str">
        <f t="shared" si="172"/>
        <v>--</v>
      </c>
      <c r="J498" s="272" t="str">
        <f t="shared" si="173"/>
        <v>--</v>
      </c>
      <c r="K498" s="272" t="str">
        <f t="shared" si="170"/>
        <v>--</v>
      </c>
      <c r="L498" s="273" t="str">
        <f t="shared" si="160"/>
        <v>--</v>
      </c>
      <c r="M498" s="7">
        <f t="shared" si="161"/>
        <v>7982.3315675248568</v>
      </c>
      <c r="N498" s="7">
        <f t="shared" si="158"/>
        <v>3389.2000000000003</v>
      </c>
      <c r="O498" s="326">
        <f t="shared" si="162"/>
        <v>25</v>
      </c>
      <c r="P498" s="224" t="str">
        <f t="shared" si="169"/>
        <v/>
      </c>
      <c r="Q498" s="224" t="str">
        <f t="shared" si="163"/>
        <v/>
      </c>
      <c r="R498" s="224"/>
      <c r="S498" s="271" t="str">
        <f t="shared" si="174"/>
        <v/>
      </c>
      <c r="T498" s="7" t="str">
        <f t="shared" si="175"/>
        <v/>
      </c>
      <c r="U498" s="7" t="str">
        <f t="shared" si="164"/>
        <v/>
      </c>
      <c r="V498" s="7" t="str">
        <f t="shared" si="165"/>
        <v/>
      </c>
      <c r="W498" s="7" t="str">
        <f>VLOOKUP(C498,'Tox Summary'!$N$3:$S$1048576,6,FALSE)</f>
        <v/>
      </c>
      <c r="X498" s="76" t="str">
        <f t="shared" si="166"/>
        <v/>
      </c>
      <c r="Y498" s="76" t="str">
        <f t="shared" si="167"/>
        <v/>
      </c>
      <c r="AA498" s="243"/>
    </row>
    <row r="499" spans="1:27">
      <c r="A499" s="265"/>
      <c r="B499" s="344" t="s">
        <v>87</v>
      </c>
      <c r="C499" s="269" t="s">
        <v>1235</v>
      </c>
      <c r="D499" s="280" t="str">
        <f>VLOOKUP(B499, 'Chem Props'!$1:$1048576,3,FALSE)</f>
        <v>No</v>
      </c>
      <c r="E499" s="598" t="str">
        <f t="shared" si="168"/>
        <v>Yes</v>
      </c>
      <c r="F499" s="7" t="str">
        <f t="shared" si="159"/>
        <v>No (not volatile)</v>
      </c>
      <c r="G499" s="270" t="str">
        <f t="shared" si="176"/>
        <v>No (not volatile)</v>
      </c>
      <c r="H499" s="76">
        <f t="shared" si="171"/>
        <v>7.5883575883575888E-2</v>
      </c>
      <c r="I499" s="271" t="str">
        <f t="shared" si="172"/>
        <v>C</v>
      </c>
      <c r="J499" s="272">
        <f t="shared" si="173"/>
        <v>2.5294525294525299</v>
      </c>
      <c r="K499" s="272">
        <f t="shared" si="170"/>
        <v>883.39436418598223</v>
      </c>
      <c r="L499" s="273" t="str">
        <f t="shared" si="160"/>
        <v>--</v>
      </c>
      <c r="M499" s="7">
        <f t="shared" si="161"/>
        <v>2264309.2137501324</v>
      </c>
      <c r="N499" s="7">
        <f t="shared" si="158"/>
        <v>712282.8</v>
      </c>
      <c r="O499" s="326">
        <f t="shared" si="162"/>
        <v>25</v>
      </c>
      <c r="P499" s="224" t="str">
        <f t="shared" si="169"/>
        <v/>
      </c>
      <c r="Q499" s="224" t="str">
        <f t="shared" si="163"/>
        <v/>
      </c>
      <c r="R499" s="224"/>
      <c r="S499" s="271">
        <f t="shared" si="174"/>
        <v>3.6999999999999998E-5</v>
      </c>
      <c r="T499" s="7" t="str">
        <f t="shared" si="175"/>
        <v>CA</v>
      </c>
      <c r="U499" s="7" t="str">
        <f t="shared" si="164"/>
        <v/>
      </c>
      <c r="V499" s="7" t="str">
        <f t="shared" si="165"/>
        <v/>
      </c>
      <c r="W499" s="7" t="str">
        <f>VLOOKUP(C499,'Tox Summary'!$N$3:$S$1048576,6,FALSE)</f>
        <v/>
      </c>
      <c r="X499" s="76">
        <f t="shared" si="166"/>
        <v>7.5883575883575888E-2</v>
      </c>
      <c r="Y499" s="76" t="str">
        <f t="shared" si="167"/>
        <v/>
      </c>
      <c r="AA499" s="332"/>
    </row>
    <row r="500" spans="1:27">
      <c r="A500" s="265"/>
      <c r="B500" s="344" t="s">
        <v>88</v>
      </c>
      <c r="C500" s="269" t="s">
        <v>1236</v>
      </c>
      <c r="D500" s="280" t="str">
        <f>VLOOKUP(B500, 'Chem Props'!$1:$1048576,3,FALSE)</f>
        <v>No</v>
      </c>
      <c r="E500" s="598" t="str">
        <f t="shared" si="168"/>
        <v>No</v>
      </c>
      <c r="F500" s="7" t="str">
        <f t="shared" si="159"/>
        <v>No (not volatile)</v>
      </c>
      <c r="G500" s="270" t="str">
        <f t="shared" si="176"/>
        <v>No (not volatile)</v>
      </c>
      <c r="H500" s="76" t="str">
        <f t="shared" si="171"/>
        <v>--</v>
      </c>
      <c r="I500" s="271" t="str">
        <f t="shared" si="172"/>
        <v>--</v>
      </c>
      <c r="J500" s="272" t="str">
        <f t="shared" si="173"/>
        <v>--</v>
      </c>
      <c r="K500" s="272" t="str">
        <f t="shared" si="170"/>
        <v>--</v>
      </c>
      <c r="L500" s="273" t="str">
        <f t="shared" si="160"/>
        <v>--</v>
      </c>
      <c r="M500" s="7">
        <f t="shared" si="161"/>
        <v>12201.217477357573</v>
      </c>
      <c r="N500" s="7"/>
      <c r="O500" s="326">
        <f t="shared" si="162"/>
        <v>25</v>
      </c>
      <c r="P500" s="224" t="str">
        <f t="shared" si="169"/>
        <v/>
      </c>
      <c r="Q500" s="224" t="str">
        <f t="shared" si="163"/>
        <v/>
      </c>
      <c r="R500" s="224"/>
      <c r="S500" s="271" t="str">
        <f t="shared" si="174"/>
        <v/>
      </c>
      <c r="T500" s="7" t="str">
        <f t="shared" si="175"/>
        <v/>
      </c>
      <c r="U500" s="7" t="str">
        <f t="shared" si="164"/>
        <v/>
      </c>
      <c r="V500" s="7" t="str">
        <f t="shared" si="165"/>
        <v/>
      </c>
      <c r="W500" s="7" t="str">
        <f>VLOOKUP(C500,'Tox Summary'!$N$3:$S$1048576,6,FALSE)</f>
        <v/>
      </c>
      <c r="X500" s="76" t="str">
        <f t="shared" si="166"/>
        <v/>
      </c>
      <c r="Y500" s="76" t="str">
        <f t="shared" si="167"/>
        <v/>
      </c>
      <c r="AA500" s="332"/>
    </row>
    <row r="501" spans="1:27">
      <c r="A501" s="265"/>
      <c r="B501" s="344" t="s">
        <v>1572</v>
      </c>
      <c r="C501" s="269" t="s">
        <v>1571</v>
      </c>
      <c r="D501" s="280" t="str">
        <f>VLOOKUP(B501, 'Chem Props'!$1:$1048576,3,FALSE)</f>
        <v>No</v>
      </c>
      <c r="E501" s="598" t="str">
        <f t="shared" si="168"/>
        <v>No</v>
      </c>
      <c r="F501" s="7" t="str">
        <f t="shared" si="159"/>
        <v>No (not volatile)</v>
      </c>
      <c r="G501" s="270" t="str">
        <f t="shared" si="176"/>
        <v>No (not volatile)</v>
      </c>
      <c r="H501" s="76" t="str">
        <f t="shared" si="171"/>
        <v>No VP</v>
      </c>
      <c r="I501" s="271" t="str">
        <f t="shared" si="172"/>
        <v>--</v>
      </c>
      <c r="J501" s="272" t="str">
        <f t="shared" si="173"/>
        <v>No VP</v>
      </c>
      <c r="K501" s="272" t="str">
        <f t="shared" si="170"/>
        <v>No VP</v>
      </c>
      <c r="L501" s="273" t="str">
        <f t="shared" si="160"/>
        <v>--</v>
      </c>
      <c r="M501" s="7" t="str">
        <f t="shared" si="161"/>
        <v>No VP</v>
      </c>
      <c r="N501" s="7" t="str">
        <f t="shared" ref="N501:N526" si="177">IF(INDEX(HLC,MATCH(C501,ChemNameChem,0))="","No HLC",IF(INDEX(Sol,MATCH(C501,ChemNameChem,0))="No S","No S",INDEX(HLC,MATCH(C501,ChemNameChem,0))*INDEX(Sol,MATCH(C501,ChemNameChem,0))*1000000))</f>
        <v>No S</v>
      </c>
      <c r="O501" s="326">
        <f t="shared" si="162"/>
        <v>25</v>
      </c>
      <c r="P501" s="224" t="str">
        <f t="shared" ref="P501:P532" si="178">IF(VLOOKUP(B501,AllChemProps,32,FALSE)&gt;0,VLOOKUP(B501,AllChemProps,32,FALSE),"")</f>
        <v/>
      </c>
      <c r="Q501" s="224" t="str">
        <f t="shared" si="163"/>
        <v/>
      </c>
      <c r="R501" s="224"/>
      <c r="S501" s="271" t="str">
        <f t="shared" si="174"/>
        <v/>
      </c>
      <c r="T501" s="7" t="str">
        <f t="shared" si="175"/>
        <v/>
      </c>
      <c r="U501" s="7" t="str">
        <f t="shared" si="164"/>
        <v/>
      </c>
      <c r="V501" s="7" t="str">
        <f t="shared" si="165"/>
        <v/>
      </c>
      <c r="W501" s="7" t="str">
        <f>VLOOKUP(C501,'Tox Summary'!$N$3:$S$1048576,6,FALSE)</f>
        <v/>
      </c>
      <c r="X501" s="76" t="str">
        <f t="shared" si="166"/>
        <v/>
      </c>
      <c r="Y501" s="76" t="str">
        <f t="shared" si="167"/>
        <v/>
      </c>
      <c r="AA501" s="332"/>
    </row>
    <row r="502" spans="1:27">
      <c r="A502" s="265"/>
      <c r="B502" s="344" t="s">
        <v>1574</v>
      </c>
      <c r="C502" s="269" t="s">
        <v>1573</v>
      </c>
      <c r="D502" s="280" t="str">
        <f>VLOOKUP(B502, 'Chem Props'!$1:$1048576,3,FALSE)</f>
        <v>No</v>
      </c>
      <c r="E502" s="598" t="str">
        <f t="shared" si="168"/>
        <v>No</v>
      </c>
      <c r="F502" s="7" t="str">
        <f t="shared" si="159"/>
        <v>No (not volatile)</v>
      </c>
      <c r="G502" s="270" t="str">
        <f t="shared" si="176"/>
        <v>No (not volatile)</v>
      </c>
      <c r="H502" s="76" t="str">
        <f t="shared" si="171"/>
        <v>No VP</v>
      </c>
      <c r="I502" s="271" t="str">
        <f t="shared" si="172"/>
        <v>--</v>
      </c>
      <c r="J502" s="272" t="str">
        <f t="shared" si="173"/>
        <v>No VP</v>
      </c>
      <c r="K502" s="272" t="str">
        <f t="shared" si="170"/>
        <v>No VP</v>
      </c>
      <c r="L502" s="273" t="str">
        <f t="shared" si="160"/>
        <v>--</v>
      </c>
      <c r="M502" s="7" t="str">
        <f t="shared" si="161"/>
        <v>No VP</v>
      </c>
      <c r="N502" s="7" t="str">
        <f t="shared" si="177"/>
        <v>No S</v>
      </c>
      <c r="O502" s="326">
        <f t="shared" si="162"/>
        <v>25</v>
      </c>
      <c r="P502" s="224" t="str">
        <f t="shared" si="178"/>
        <v/>
      </c>
      <c r="Q502" s="224" t="str">
        <f t="shared" si="163"/>
        <v/>
      </c>
      <c r="R502" s="224"/>
      <c r="S502" s="271" t="str">
        <f t="shared" si="174"/>
        <v/>
      </c>
      <c r="T502" s="7" t="str">
        <f t="shared" si="175"/>
        <v/>
      </c>
      <c r="U502" s="7" t="str">
        <f t="shared" si="164"/>
        <v/>
      </c>
      <c r="V502" s="7" t="str">
        <f t="shared" si="165"/>
        <v/>
      </c>
      <c r="W502" s="7" t="str">
        <f>VLOOKUP(C502,'Tox Summary'!$N$3:$S$1048576,6,FALSE)</f>
        <v/>
      </c>
      <c r="X502" s="76" t="str">
        <f t="shared" si="166"/>
        <v/>
      </c>
      <c r="Y502" s="76" t="str">
        <f t="shared" si="167"/>
        <v/>
      </c>
      <c r="AA502" s="332"/>
    </row>
    <row r="503" spans="1:27">
      <c r="A503" s="265"/>
      <c r="B503" s="344" t="s">
        <v>89</v>
      </c>
      <c r="C503" s="269" t="s">
        <v>597</v>
      </c>
      <c r="D503" s="280" t="str">
        <f>VLOOKUP(B503, 'Chem Props'!$1:$1048576,3,FALSE)</f>
        <v>No</v>
      </c>
      <c r="E503" s="598" t="str">
        <f t="shared" si="168"/>
        <v>Yes</v>
      </c>
      <c r="F503" s="7" t="str">
        <f t="shared" si="159"/>
        <v>No (not volatile)</v>
      </c>
      <c r="G503" s="270" t="str">
        <f t="shared" si="176"/>
        <v>No (not volatile)</v>
      </c>
      <c r="H503" s="76">
        <f t="shared" si="171"/>
        <v>1.6093474426807759E-4</v>
      </c>
      <c r="I503" s="271" t="str">
        <f t="shared" si="172"/>
        <v>C</v>
      </c>
      <c r="J503" s="272">
        <f t="shared" si="173"/>
        <v>5.3644914756025867E-3</v>
      </c>
      <c r="K503" s="272">
        <f t="shared" si="170"/>
        <v>0.75132933831968995</v>
      </c>
      <c r="L503" s="273" t="str">
        <f t="shared" si="160"/>
        <v>--</v>
      </c>
      <c r="M503" s="7">
        <f t="shared" si="161"/>
        <v>0.62092540577750865</v>
      </c>
      <c r="N503" s="7">
        <f t="shared" si="177"/>
        <v>0.62117999999999995</v>
      </c>
      <c r="O503" s="326">
        <f t="shared" si="162"/>
        <v>25</v>
      </c>
      <c r="P503" s="224" t="str">
        <f t="shared" si="178"/>
        <v/>
      </c>
      <c r="Q503" s="224" t="str">
        <f t="shared" si="163"/>
        <v/>
      </c>
      <c r="R503" s="224"/>
      <c r="S503" s="271">
        <f t="shared" si="174"/>
        <v>6.3E-3</v>
      </c>
      <c r="T503" s="7" t="str">
        <f t="shared" si="175"/>
        <v>CA</v>
      </c>
      <c r="U503" s="7" t="str">
        <f t="shared" si="164"/>
        <v/>
      </c>
      <c r="V503" s="7" t="str">
        <f t="shared" si="165"/>
        <v/>
      </c>
      <c r="W503" s="7" t="str">
        <f>VLOOKUP(C503,'Tox Summary'!$N$3:$S$1048576,6,FALSE)</f>
        <v>Mut</v>
      </c>
      <c r="X503" s="76">
        <f t="shared" si="166"/>
        <v>1.6093474426807759E-4</v>
      </c>
      <c r="Y503" s="76" t="str">
        <f t="shared" si="167"/>
        <v/>
      </c>
      <c r="AA503" s="332"/>
    </row>
    <row r="504" spans="1:27">
      <c r="A504" s="265"/>
      <c r="B504" s="344" t="s">
        <v>90</v>
      </c>
      <c r="C504" s="269" t="s">
        <v>1237</v>
      </c>
      <c r="D504" s="280" t="str">
        <f>VLOOKUP(B504, 'Chem Props'!$1:$1048576,3,FALSE)</f>
        <v>Yes</v>
      </c>
      <c r="E504" s="598" t="str">
        <f t="shared" si="168"/>
        <v>Yes</v>
      </c>
      <c r="F504" s="7" t="str">
        <f t="shared" si="159"/>
        <v>Yes</v>
      </c>
      <c r="G504" s="270" t="str">
        <f t="shared" si="176"/>
        <v>Yes</v>
      </c>
      <c r="H504" s="76">
        <f t="shared" si="171"/>
        <v>101.38888888888889</v>
      </c>
      <c r="I504" s="271" t="str">
        <f t="shared" si="172"/>
        <v>C</v>
      </c>
      <c r="J504" s="272">
        <f t="shared" si="173"/>
        <v>3379.6296296296296</v>
      </c>
      <c r="K504" s="272">
        <f t="shared" si="170"/>
        <v>763.06832911032507</v>
      </c>
      <c r="L504" s="273" t="str">
        <f t="shared" si="160"/>
        <v>No (5)</v>
      </c>
      <c r="M504" s="7">
        <f t="shared" si="161"/>
        <v>1988011592.1750371</v>
      </c>
      <c r="N504" s="7">
        <f t="shared" si="177"/>
        <v>1727310000</v>
      </c>
      <c r="O504" s="326">
        <f t="shared" si="162"/>
        <v>25</v>
      </c>
      <c r="P504" s="224">
        <f t="shared" si="178"/>
        <v>13</v>
      </c>
      <c r="Q504" s="224" t="str">
        <f t="shared" si="163"/>
        <v>N</v>
      </c>
      <c r="R504" s="224"/>
      <c r="S504" s="271">
        <f t="shared" si="174"/>
        <v>1E-8</v>
      </c>
      <c r="T504" s="7" t="str">
        <f t="shared" si="175"/>
        <v>I</v>
      </c>
      <c r="U504" s="7">
        <f t="shared" si="164"/>
        <v>0.6</v>
      </c>
      <c r="V504" s="7" t="str">
        <f t="shared" si="165"/>
        <v>I</v>
      </c>
      <c r="W504" s="7" t="str">
        <f>VLOOKUP(C504,'Tox Summary'!$N$3:$S$1048576,6,FALSE)</f>
        <v>Mut</v>
      </c>
      <c r="X504" s="76">
        <f t="shared" si="166"/>
        <v>101.38888888888889</v>
      </c>
      <c r="Y504" s="76">
        <f t="shared" si="167"/>
        <v>625.71428571428567</v>
      </c>
      <c r="AA504" s="332"/>
    </row>
    <row r="505" spans="1:27">
      <c r="A505" s="265"/>
      <c r="B505" s="344" t="s">
        <v>91</v>
      </c>
      <c r="C505" s="269" t="s">
        <v>1238</v>
      </c>
      <c r="D505" s="280" t="str">
        <f>VLOOKUP(B505, 'Chem Props'!$1:$1048576,3,FALSE)</f>
        <v>No</v>
      </c>
      <c r="E505" s="598" t="str">
        <f t="shared" si="168"/>
        <v>Yes</v>
      </c>
      <c r="F505" s="7" t="str">
        <f t="shared" si="159"/>
        <v>No (not volatile)</v>
      </c>
      <c r="G505" s="270" t="str">
        <f t="shared" si="176"/>
        <v>No (not volatile)</v>
      </c>
      <c r="H505" s="76">
        <f t="shared" si="171"/>
        <v>2.3578811369509038E-3</v>
      </c>
      <c r="I505" s="271" t="str">
        <f t="shared" si="172"/>
        <v>C</v>
      </c>
      <c r="J505" s="272">
        <f t="shared" si="173"/>
        <v>7.8596037898363461E-2</v>
      </c>
      <c r="K505" s="272" t="str">
        <f t="shared" si="170"/>
        <v>NVT</v>
      </c>
      <c r="L505" s="273" t="str">
        <f t="shared" si="160"/>
        <v>--</v>
      </c>
      <c r="M505" s="7">
        <f t="shared" si="161"/>
        <v>4.1114087794727752</v>
      </c>
      <c r="N505" s="7">
        <f t="shared" si="177"/>
        <v>2.3072610000000004E-2</v>
      </c>
      <c r="O505" s="326">
        <f t="shared" si="162"/>
        <v>25</v>
      </c>
      <c r="P505" s="224" t="str">
        <f t="shared" si="178"/>
        <v/>
      </c>
      <c r="Q505" s="224" t="str">
        <f t="shared" si="163"/>
        <v/>
      </c>
      <c r="R505" s="224"/>
      <c r="S505" s="271">
        <f t="shared" si="174"/>
        <v>4.2999999999999999E-4</v>
      </c>
      <c r="T505" s="7" t="str">
        <f t="shared" si="175"/>
        <v>CA</v>
      </c>
      <c r="U505" s="7" t="str">
        <f t="shared" si="164"/>
        <v/>
      </c>
      <c r="V505" s="7" t="str">
        <f t="shared" si="165"/>
        <v/>
      </c>
      <c r="W505" s="7" t="str">
        <f>VLOOKUP(C505,'Tox Summary'!$N$3:$S$1048576,6,FALSE)</f>
        <v>Mut</v>
      </c>
      <c r="X505" s="76">
        <f t="shared" si="166"/>
        <v>2.3578811369509038E-3</v>
      </c>
      <c r="Y505" s="76" t="str">
        <f t="shared" si="167"/>
        <v/>
      </c>
      <c r="AA505" s="332"/>
    </row>
    <row r="506" spans="1:27">
      <c r="A506" s="265"/>
      <c r="B506" s="344" t="s">
        <v>92</v>
      </c>
      <c r="C506" s="269" t="s">
        <v>1239</v>
      </c>
      <c r="D506" s="280" t="str">
        <f>VLOOKUP(B506, 'Chem Props'!$1:$1048576,3,FALSE)</f>
        <v>No</v>
      </c>
      <c r="E506" s="598" t="str">
        <f t="shared" si="168"/>
        <v>Yes</v>
      </c>
      <c r="F506" s="7" t="str">
        <f t="shared" si="159"/>
        <v>No (not volatile)</v>
      </c>
      <c r="G506" s="270" t="str">
        <f t="shared" si="176"/>
        <v>No (not volatile)</v>
      </c>
      <c r="H506" s="76">
        <f t="shared" si="171"/>
        <v>0.21597633136094671</v>
      </c>
      <c r="I506" s="271" t="str">
        <f t="shared" si="172"/>
        <v>C</v>
      </c>
      <c r="J506" s="272">
        <f t="shared" si="173"/>
        <v>7.1992110453648905</v>
      </c>
      <c r="K506" s="272" t="str">
        <f t="shared" si="170"/>
        <v>NVT</v>
      </c>
      <c r="L506" s="273" t="str">
        <f t="shared" si="160"/>
        <v>--</v>
      </c>
      <c r="M506" s="7">
        <f t="shared" si="161"/>
        <v>239.53788061762282</v>
      </c>
      <c r="N506" s="7">
        <f t="shared" si="177"/>
        <v>0.18110429999999997</v>
      </c>
      <c r="O506" s="326">
        <f t="shared" si="162"/>
        <v>25</v>
      </c>
      <c r="P506" s="224" t="str">
        <f t="shared" si="178"/>
        <v/>
      </c>
      <c r="Q506" s="224" t="str">
        <f t="shared" si="163"/>
        <v/>
      </c>
      <c r="R506" s="224"/>
      <c r="S506" s="271">
        <f t="shared" si="174"/>
        <v>1.2999999999999999E-5</v>
      </c>
      <c r="T506" s="7" t="str">
        <f t="shared" si="175"/>
        <v>CA</v>
      </c>
      <c r="U506" s="7" t="str">
        <f t="shared" si="164"/>
        <v/>
      </c>
      <c r="V506" s="7" t="str">
        <f t="shared" si="165"/>
        <v/>
      </c>
      <c r="W506" s="7" t="str">
        <f>VLOOKUP(C506,'Tox Summary'!$N$3:$S$1048576,6,FALSE)</f>
        <v/>
      </c>
      <c r="X506" s="76">
        <f t="shared" si="166"/>
        <v>0.21597633136094671</v>
      </c>
      <c r="Y506" s="76" t="str">
        <f t="shared" si="167"/>
        <v/>
      </c>
      <c r="AA506" s="332"/>
    </row>
    <row r="507" spans="1:27">
      <c r="A507" s="265"/>
      <c r="B507" s="344" t="s">
        <v>93</v>
      </c>
      <c r="C507" s="269" t="s">
        <v>1240</v>
      </c>
      <c r="D507" s="280" t="str">
        <f>VLOOKUP(B507, 'Chem Props'!$1:$1048576,3,FALSE)</f>
        <v>No</v>
      </c>
      <c r="E507" s="598" t="str">
        <f t="shared" si="168"/>
        <v>Yes</v>
      </c>
      <c r="F507" s="7" t="str">
        <f t="shared" si="159"/>
        <v>No (not volatile)</v>
      </c>
      <c r="G507" s="270" t="str">
        <f t="shared" si="176"/>
        <v>No (not volatile)</v>
      </c>
      <c r="H507" s="76">
        <f t="shared" si="171"/>
        <v>6.1036789297658862E-3</v>
      </c>
      <c r="I507" s="271" t="str">
        <f t="shared" si="172"/>
        <v>C</v>
      </c>
      <c r="J507" s="272">
        <f t="shared" si="173"/>
        <v>0.20345596432552954</v>
      </c>
      <c r="K507" s="272" t="str">
        <f t="shared" si="170"/>
        <v>NVT</v>
      </c>
      <c r="L507" s="273" t="str">
        <f t="shared" si="160"/>
        <v>--</v>
      </c>
      <c r="M507" s="7">
        <f t="shared" si="161"/>
        <v>2.1657395897659035</v>
      </c>
      <c r="N507" s="7">
        <f t="shared" si="177"/>
        <v>2.1668000000000003</v>
      </c>
      <c r="O507" s="326">
        <f t="shared" si="162"/>
        <v>25</v>
      </c>
      <c r="P507" s="224" t="str">
        <f t="shared" si="178"/>
        <v/>
      </c>
      <c r="Q507" s="224" t="str">
        <f t="shared" si="163"/>
        <v/>
      </c>
      <c r="R507" s="224"/>
      <c r="S507" s="271">
        <f t="shared" si="174"/>
        <v>4.6000000000000001E-4</v>
      </c>
      <c r="T507" s="7" t="str">
        <f t="shared" si="175"/>
        <v>CA</v>
      </c>
      <c r="U507" s="7">
        <f t="shared" si="164"/>
        <v>0.02</v>
      </c>
      <c r="V507" s="7" t="str">
        <f t="shared" si="165"/>
        <v>CA</v>
      </c>
      <c r="W507" s="7" t="str">
        <f>VLOOKUP(C507,'Tox Summary'!$N$3:$S$1048576,6,FALSE)</f>
        <v/>
      </c>
      <c r="X507" s="76">
        <f t="shared" si="166"/>
        <v>6.1036789297658862E-3</v>
      </c>
      <c r="Y507" s="76">
        <f t="shared" si="167"/>
        <v>20.857142857142858</v>
      </c>
      <c r="AA507" s="332"/>
    </row>
    <row r="508" spans="1:27">
      <c r="A508" s="265"/>
      <c r="B508" s="344" t="s">
        <v>94</v>
      </c>
      <c r="C508" s="269" t="s">
        <v>1241</v>
      </c>
      <c r="D508" s="280" t="str">
        <f>VLOOKUP(B508, 'Chem Props'!$1:$1048576,3,FALSE)</f>
        <v>No</v>
      </c>
      <c r="E508" s="598" t="str">
        <f t="shared" si="168"/>
        <v>Yes</v>
      </c>
      <c r="F508" s="7" t="str">
        <f t="shared" si="159"/>
        <v>No (not volatile)</v>
      </c>
      <c r="G508" s="270" t="str">
        <f t="shared" si="176"/>
        <v>No (not volatile)</v>
      </c>
      <c r="H508" s="76">
        <f t="shared" si="171"/>
        <v>0.62571428571428556</v>
      </c>
      <c r="I508" s="271" t="str">
        <f t="shared" si="172"/>
        <v>NC</v>
      </c>
      <c r="J508" s="272">
        <f t="shared" si="173"/>
        <v>20.857142857142854</v>
      </c>
      <c r="K508" s="272" t="str">
        <f t="shared" si="170"/>
        <v>NVT</v>
      </c>
      <c r="L508" s="273" t="str">
        <f t="shared" si="160"/>
        <v>--</v>
      </c>
      <c r="M508" s="7">
        <f t="shared" si="161"/>
        <v>67.330933477886063</v>
      </c>
      <c r="N508" s="7">
        <f t="shared" si="177"/>
        <v>30.33408</v>
      </c>
      <c r="O508" s="326">
        <f t="shared" si="162"/>
        <v>25</v>
      </c>
      <c r="P508" s="224" t="str">
        <f t="shared" si="178"/>
        <v/>
      </c>
      <c r="Q508" s="224" t="str">
        <f t="shared" si="163"/>
        <v/>
      </c>
      <c r="R508" s="224"/>
      <c r="S508" s="271" t="str">
        <f t="shared" si="174"/>
        <v/>
      </c>
      <c r="T508" s="7" t="str">
        <f t="shared" si="175"/>
        <v/>
      </c>
      <c r="U508" s="7">
        <f t="shared" si="164"/>
        <v>5.9999999999999995E-4</v>
      </c>
      <c r="V508" s="7" t="str">
        <f t="shared" si="165"/>
        <v>I</v>
      </c>
      <c r="W508" s="7" t="str">
        <f>VLOOKUP(C508,'Tox Summary'!$N$3:$S$1048576,6,FALSE)</f>
        <v/>
      </c>
      <c r="X508" s="76" t="str">
        <f t="shared" si="166"/>
        <v/>
      </c>
      <c r="Y508" s="76">
        <f t="shared" si="167"/>
        <v>0.62571428571428556</v>
      </c>
      <c r="AA508" s="332"/>
    </row>
    <row r="509" spans="1:27">
      <c r="A509" s="265"/>
      <c r="B509" s="344" t="s">
        <v>215</v>
      </c>
      <c r="C509" s="269" t="s">
        <v>2334</v>
      </c>
      <c r="D509" s="280" t="str">
        <f>VLOOKUP(B509, 'Chem Props'!$1:$1048576,3,FALSE)</f>
        <v>Yes</v>
      </c>
      <c r="E509" s="598" t="str">
        <f t="shared" si="168"/>
        <v>No</v>
      </c>
      <c r="F509" s="7" t="str">
        <f t="shared" si="159"/>
        <v>No Inhal. Tox. Info</v>
      </c>
      <c r="G509" s="270" t="str">
        <f t="shared" si="176"/>
        <v>No Inhal. Tox. Info</v>
      </c>
      <c r="H509" s="76" t="str">
        <f t="shared" si="171"/>
        <v>--</v>
      </c>
      <c r="I509" s="271" t="str">
        <f t="shared" si="172"/>
        <v>--</v>
      </c>
      <c r="J509" s="272" t="str">
        <f t="shared" si="173"/>
        <v>--</v>
      </c>
      <c r="K509" s="272" t="str">
        <f t="shared" si="170"/>
        <v>--</v>
      </c>
      <c r="L509" s="273" t="str">
        <f t="shared" si="160"/>
        <v>--</v>
      </c>
      <c r="M509" s="7">
        <f t="shared" si="161"/>
        <v>512657.82435643859</v>
      </c>
      <c r="N509" s="7">
        <f t="shared" si="177"/>
        <v>542158.61999999988</v>
      </c>
      <c r="O509" s="326">
        <f t="shared" si="162"/>
        <v>25</v>
      </c>
      <c r="P509" s="224" t="str">
        <f t="shared" si="178"/>
        <v/>
      </c>
      <c r="Q509" s="224" t="str">
        <f t="shared" si="163"/>
        <v/>
      </c>
      <c r="R509" s="224"/>
      <c r="S509" s="271" t="str">
        <f t="shared" si="174"/>
        <v/>
      </c>
      <c r="T509" s="7" t="str">
        <f t="shared" si="175"/>
        <v/>
      </c>
      <c r="U509" s="7" t="str">
        <f t="shared" si="164"/>
        <v/>
      </c>
      <c r="V509" s="7" t="str">
        <f t="shared" si="165"/>
        <v/>
      </c>
      <c r="W509" s="7" t="str">
        <f>VLOOKUP(C509,'Tox Summary'!$N$3:$S$1048576,6,FALSE)</f>
        <v/>
      </c>
      <c r="X509" s="76" t="str">
        <f t="shared" si="166"/>
        <v/>
      </c>
      <c r="Y509" s="76" t="str">
        <f t="shared" si="167"/>
        <v/>
      </c>
      <c r="AA509" s="332"/>
    </row>
    <row r="510" spans="1:27">
      <c r="A510" s="265"/>
      <c r="B510" s="269" t="s">
        <v>216</v>
      </c>
      <c r="C510" s="269" t="s">
        <v>2335</v>
      </c>
      <c r="D510" s="280" t="str">
        <f>VLOOKUP(B510, 'Chem Props'!$1:$1048576,3,FALSE)</f>
        <v>Yes</v>
      </c>
      <c r="E510" s="598" t="str">
        <f t="shared" si="168"/>
        <v>No</v>
      </c>
      <c r="F510" s="7" t="str">
        <f t="shared" si="159"/>
        <v>No Inhal. Tox. Info</v>
      </c>
      <c r="G510" s="270" t="str">
        <f t="shared" si="176"/>
        <v>No Inhal. Tox. Info</v>
      </c>
      <c r="H510" s="76" t="str">
        <f t="shared" si="171"/>
        <v>--</v>
      </c>
      <c r="I510" s="271" t="str">
        <f t="shared" si="172"/>
        <v>--</v>
      </c>
      <c r="J510" s="272" t="str">
        <f t="shared" si="173"/>
        <v>--</v>
      </c>
      <c r="K510" s="272" t="str">
        <f t="shared" si="170"/>
        <v>--</v>
      </c>
      <c r="L510" s="273" t="str">
        <f t="shared" si="160"/>
        <v>--</v>
      </c>
      <c r="M510" s="7">
        <f t="shared" si="161"/>
        <v>420838.51253140479</v>
      </c>
      <c r="N510" s="7">
        <f t="shared" si="177"/>
        <v>520964.04</v>
      </c>
      <c r="O510" s="326">
        <f t="shared" si="162"/>
        <v>25</v>
      </c>
      <c r="P510" s="224" t="str">
        <f t="shared" si="178"/>
        <v/>
      </c>
      <c r="Q510" s="224" t="str">
        <f t="shared" si="163"/>
        <v/>
      </c>
      <c r="R510" s="224"/>
      <c r="S510" s="271" t="str">
        <f t="shared" si="174"/>
        <v/>
      </c>
      <c r="T510" s="7" t="str">
        <f t="shared" si="175"/>
        <v/>
      </c>
      <c r="U510" s="7" t="str">
        <f t="shared" si="164"/>
        <v/>
      </c>
      <c r="V510" s="7" t="str">
        <f t="shared" si="165"/>
        <v/>
      </c>
      <c r="W510" s="7" t="str">
        <f>VLOOKUP(C510,'Tox Summary'!$N$3:$S$1048576,6,FALSE)</f>
        <v/>
      </c>
      <c r="X510" s="76" t="str">
        <f t="shared" si="166"/>
        <v/>
      </c>
      <c r="Y510" s="76" t="str">
        <f t="shared" si="167"/>
        <v/>
      </c>
      <c r="AA510" s="243"/>
    </row>
    <row r="511" spans="1:27">
      <c r="A511" s="265"/>
      <c r="B511" s="344" t="s">
        <v>86</v>
      </c>
      <c r="C511" s="269" t="s">
        <v>596</v>
      </c>
      <c r="D511" s="280" t="str">
        <f>VLOOKUP(B511, 'Chem Props'!$1:$1048576,3,FALSE)</f>
        <v>No</v>
      </c>
      <c r="E511" s="598" t="str">
        <f t="shared" si="168"/>
        <v>Yes</v>
      </c>
      <c r="F511" s="7" t="str">
        <f t="shared" si="159"/>
        <v>No (not volatile)</v>
      </c>
      <c r="G511" s="270" t="str">
        <f t="shared" si="176"/>
        <v>No (not volatile)</v>
      </c>
      <c r="H511" s="76">
        <f t="shared" si="171"/>
        <v>1.169871794871795E-3</v>
      </c>
      <c r="I511" s="271" t="str">
        <f t="shared" si="172"/>
        <v>C</v>
      </c>
      <c r="J511" s="272">
        <f t="shared" si="173"/>
        <v>3.8995726495726503E-2</v>
      </c>
      <c r="K511" s="272">
        <f t="shared" si="170"/>
        <v>23453724.837044809</v>
      </c>
      <c r="L511" s="273" t="str">
        <f t="shared" si="160"/>
        <v>--</v>
      </c>
      <c r="M511" s="7">
        <f t="shared" si="161"/>
        <v>949.76811366696336</v>
      </c>
      <c r="N511" s="7">
        <f t="shared" si="177"/>
        <v>13.317960000000001</v>
      </c>
      <c r="O511" s="326">
        <f t="shared" si="162"/>
        <v>25</v>
      </c>
      <c r="P511" s="224" t="str">
        <f t="shared" si="178"/>
        <v/>
      </c>
      <c r="Q511" s="224" t="str">
        <f t="shared" si="163"/>
        <v/>
      </c>
      <c r="R511" s="224"/>
      <c r="S511" s="271">
        <f t="shared" si="174"/>
        <v>2.3999999999999998E-3</v>
      </c>
      <c r="T511" s="7" t="str">
        <f t="shared" si="175"/>
        <v>CA</v>
      </c>
      <c r="U511" s="7" t="str">
        <f t="shared" si="164"/>
        <v/>
      </c>
      <c r="V511" s="7" t="str">
        <f t="shared" si="165"/>
        <v/>
      </c>
      <c r="W511" s="7" t="str">
        <f>VLOOKUP(C511,'Tox Summary'!$N$3:$S$1048576,6,FALSE)</f>
        <v/>
      </c>
      <c r="X511" s="76">
        <f t="shared" si="166"/>
        <v>1.169871794871795E-3</v>
      </c>
      <c r="Y511" s="76" t="str">
        <f t="shared" si="167"/>
        <v/>
      </c>
      <c r="AA511" s="332"/>
    </row>
    <row r="512" spans="1:27">
      <c r="A512" s="265"/>
      <c r="B512" s="344" t="s">
        <v>95</v>
      </c>
      <c r="C512" s="269" t="s">
        <v>1242</v>
      </c>
      <c r="D512" s="280" t="str">
        <f>VLOOKUP(B512, 'Chem Props'!$1:$1048576,3,FALSE)</f>
        <v>Yes</v>
      </c>
      <c r="E512" s="598" t="str">
        <f t="shared" si="168"/>
        <v>No</v>
      </c>
      <c r="F512" s="7" t="str">
        <f t="shared" si="159"/>
        <v>No Inhal. Tox. Info</v>
      </c>
      <c r="G512" s="270" t="str">
        <f t="shared" si="176"/>
        <v>No Inhal. Tox. Info</v>
      </c>
      <c r="H512" s="76" t="str">
        <f t="shared" si="171"/>
        <v>--</v>
      </c>
      <c r="I512" s="271" t="str">
        <f t="shared" si="172"/>
        <v>--</v>
      </c>
      <c r="J512" s="272" t="str">
        <f t="shared" si="173"/>
        <v>--</v>
      </c>
      <c r="K512" s="272" t="str">
        <f t="shared" ref="K512:K532" si="179">IF(ISNUMBER(H512),IF(H512="--","--", IF(LEFT(N512,2)="No",N512,IF(H512*0.001/(INDEX(HLC,MATCH(C512,ChemNameChem,0))*AFgw)&gt;=1000*INDEX(PWCS,MATCH(C512,ChemNameChem,0)), "NVT", H512*0.001/(INDEX(HLC,MATCH(C512,ChemNameChem,0))*AFgw)))),H512)</f>
        <v>--</v>
      </c>
      <c r="L512" s="273" t="str">
        <f t="shared" si="160"/>
        <v>--</v>
      </c>
      <c r="M512" s="7">
        <f t="shared" si="161"/>
        <v>12082332.346352985</v>
      </c>
      <c r="N512" s="7">
        <f t="shared" si="177"/>
        <v>12093208.800000001</v>
      </c>
      <c r="O512" s="326">
        <f t="shared" si="162"/>
        <v>25</v>
      </c>
      <c r="P512" s="224" t="str">
        <f t="shared" si="178"/>
        <v/>
      </c>
      <c r="Q512" s="224" t="str">
        <f t="shared" si="163"/>
        <v/>
      </c>
      <c r="R512" s="224"/>
      <c r="S512" s="271" t="str">
        <f t="shared" si="174"/>
        <v/>
      </c>
      <c r="T512" s="7" t="str">
        <f t="shared" si="175"/>
        <v/>
      </c>
      <c r="U512" s="7" t="str">
        <f t="shared" si="164"/>
        <v/>
      </c>
      <c r="V512" s="7" t="str">
        <f t="shared" si="165"/>
        <v/>
      </c>
      <c r="W512" s="7" t="str">
        <f>VLOOKUP(C512,'Tox Summary'!$N$3:$S$1048576,6,FALSE)</f>
        <v/>
      </c>
      <c r="X512" s="76" t="str">
        <f t="shared" si="166"/>
        <v/>
      </c>
      <c r="Y512" s="76" t="str">
        <f t="shared" si="167"/>
        <v/>
      </c>
      <c r="AA512" s="332"/>
    </row>
    <row r="513" spans="1:27">
      <c r="A513" s="265"/>
      <c r="B513" s="344" t="s">
        <v>96</v>
      </c>
      <c r="C513" s="269" t="s">
        <v>1243</v>
      </c>
      <c r="D513" s="280" t="str">
        <f>VLOOKUP(B513, 'Chem Props'!$1:$1048576,3,FALSE)</f>
        <v>No</v>
      </c>
      <c r="E513" s="598" t="str">
        <f t="shared" si="168"/>
        <v>No</v>
      </c>
      <c r="F513" s="7" t="str">
        <f t="shared" si="159"/>
        <v>No (not volatile)</v>
      </c>
      <c r="G513" s="270" t="str">
        <f t="shared" si="176"/>
        <v>No (not volatile)</v>
      </c>
      <c r="H513" s="76" t="str">
        <f t="shared" si="171"/>
        <v>--</v>
      </c>
      <c r="I513" s="271" t="str">
        <f t="shared" si="172"/>
        <v>--</v>
      </c>
      <c r="J513" s="272" t="str">
        <f t="shared" si="173"/>
        <v>--</v>
      </c>
      <c r="K513" s="272" t="str">
        <f t="shared" si="179"/>
        <v>--</v>
      </c>
      <c r="L513" s="273" t="str">
        <f t="shared" si="160"/>
        <v>--</v>
      </c>
      <c r="M513" s="7">
        <f t="shared" si="161"/>
        <v>479.50730769612051</v>
      </c>
      <c r="N513" s="7">
        <f t="shared" si="177"/>
        <v>195.01349999999999</v>
      </c>
      <c r="O513" s="326">
        <f t="shared" si="162"/>
        <v>25</v>
      </c>
      <c r="P513" s="224" t="str">
        <f t="shared" si="178"/>
        <v/>
      </c>
      <c r="Q513" s="224" t="str">
        <f t="shared" si="163"/>
        <v/>
      </c>
      <c r="R513" s="224"/>
      <c r="S513" s="271" t="str">
        <f t="shared" si="174"/>
        <v/>
      </c>
      <c r="T513" s="7" t="str">
        <f t="shared" si="175"/>
        <v/>
      </c>
      <c r="U513" s="7" t="str">
        <f t="shared" si="164"/>
        <v/>
      </c>
      <c r="V513" s="7" t="str">
        <f t="shared" si="165"/>
        <v/>
      </c>
      <c r="W513" s="7" t="str">
        <f>VLOOKUP(C513,'Tox Summary'!$N$3:$S$1048576,6,FALSE)</f>
        <v/>
      </c>
      <c r="X513" s="76" t="str">
        <f t="shared" si="166"/>
        <v/>
      </c>
      <c r="Y513" s="76" t="str">
        <f t="shared" si="167"/>
        <v/>
      </c>
      <c r="AA513" s="332"/>
    </row>
    <row r="514" spans="1:27">
      <c r="A514" s="265"/>
      <c r="B514" s="344" t="s">
        <v>97</v>
      </c>
      <c r="C514" s="269" t="s">
        <v>1244</v>
      </c>
      <c r="D514" s="280" t="str">
        <f>VLOOKUP(B514, 'Chem Props'!$1:$1048576,3,FALSE)</f>
        <v>No</v>
      </c>
      <c r="E514" s="598" t="str">
        <f t="shared" si="168"/>
        <v>No</v>
      </c>
      <c r="F514" s="7" t="str">
        <f t="shared" si="159"/>
        <v>No (not volatile)</v>
      </c>
      <c r="G514" s="270" t="str">
        <f t="shared" si="176"/>
        <v>No (not volatile)</v>
      </c>
      <c r="H514" s="76" t="str">
        <f t="shared" si="171"/>
        <v>--</v>
      </c>
      <c r="I514" s="271" t="str">
        <f t="shared" si="172"/>
        <v>--</v>
      </c>
      <c r="J514" s="272" t="str">
        <f t="shared" si="173"/>
        <v>--</v>
      </c>
      <c r="K514" s="272" t="str">
        <f t="shared" si="179"/>
        <v>--</v>
      </c>
      <c r="L514" s="273" t="str">
        <f t="shared" si="160"/>
        <v>--</v>
      </c>
      <c r="M514" s="7">
        <f t="shared" si="161"/>
        <v>5.0158478340243331</v>
      </c>
      <c r="N514" s="7">
        <f t="shared" si="177"/>
        <v>5.0224649999999995</v>
      </c>
      <c r="O514" s="326">
        <f t="shared" si="162"/>
        <v>25</v>
      </c>
      <c r="P514" s="224" t="str">
        <f t="shared" si="178"/>
        <v/>
      </c>
      <c r="Q514" s="224" t="str">
        <f t="shared" si="163"/>
        <v/>
      </c>
      <c r="R514" s="224"/>
      <c r="S514" s="271" t="str">
        <f t="shared" si="174"/>
        <v/>
      </c>
      <c r="T514" s="7" t="str">
        <f t="shared" si="175"/>
        <v/>
      </c>
      <c r="U514" s="7" t="str">
        <f t="shared" si="164"/>
        <v/>
      </c>
      <c r="V514" s="7" t="str">
        <f t="shared" si="165"/>
        <v/>
      </c>
      <c r="W514" s="7" t="str">
        <f>VLOOKUP(C514,'Tox Summary'!$N$3:$S$1048576,6,FALSE)</f>
        <v/>
      </c>
      <c r="X514" s="76" t="str">
        <f t="shared" si="166"/>
        <v/>
      </c>
      <c r="Y514" s="76" t="str">
        <f t="shared" si="167"/>
        <v/>
      </c>
      <c r="AA514" s="332"/>
    </row>
    <row r="515" spans="1:27">
      <c r="A515" s="265"/>
      <c r="B515" s="344" t="s">
        <v>649</v>
      </c>
      <c r="C515" s="269" t="s">
        <v>2314</v>
      </c>
      <c r="D515" s="280" t="str">
        <f>VLOOKUP(B515, 'Chem Props'!$1:$1048576,3,FALSE)</f>
        <v>No</v>
      </c>
      <c r="E515" s="598" t="str">
        <f t="shared" si="168"/>
        <v>No</v>
      </c>
      <c r="F515" s="7" t="str">
        <f t="shared" si="159"/>
        <v>No (not volatile)</v>
      </c>
      <c r="G515" s="270" t="str">
        <f t="shared" si="176"/>
        <v>No (not volatile)</v>
      </c>
      <c r="H515" s="76" t="str">
        <f t="shared" si="171"/>
        <v>--</v>
      </c>
      <c r="I515" s="271" t="str">
        <f t="shared" si="172"/>
        <v>--</v>
      </c>
      <c r="J515" s="272" t="str">
        <f t="shared" si="173"/>
        <v>--</v>
      </c>
      <c r="K515" s="272" t="str">
        <f t="shared" si="179"/>
        <v>--</v>
      </c>
      <c r="L515" s="273" t="str">
        <f t="shared" si="160"/>
        <v>--</v>
      </c>
      <c r="M515" s="7">
        <f t="shared" si="161"/>
        <v>5.1302641453810842E-5</v>
      </c>
      <c r="N515" s="7">
        <f t="shared" si="177"/>
        <v>5.1271499999999999E-5</v>
      </c>
      <c r="O515" s="326">
        <f t="shared" si="162"/>
        <v>25</v>
      </c>
      <c r="P515" s="224" t="str">
        <f t="shared" si="178"/>
        <v/>
      </c>
      <c r="Q515" s="224" t="str">
        <f t="shared" si="163"/>
        <v/>
      </c>
      <c r="R515" s="224"/>
      <c r="S515" s="271" t="str">
        <f t="shared" si="174"/>
        <v/>
      </c>
      <c r="T515" s="7" t="str">
        <f t="shared" si="175"/>
        <v/>
      </c>
      <c r="U515" s="7" t="str">
        <f t="shared" si="164"/>
        <v/>
      </c>
      <c r="V515" s="7" t="str">
        <f t="shared" si="165"/>
        <v/>
      </c>
      <c r="W515" s="7" t="str">
        <f>VLOOKUP(C515,'Tox Summary'!$N$3:$S$1048576,6,FALSE)</f>
        <v/>
      </c>
      <c r="X515" s="76" t="str">
        <f t="shared" si="166"/>
        <v/>
      </c>
      <c r="Y515" s="76" t="str">
        <f t="shared" si="167"/>
        <v/>
      </c>
      <c r="AA515" s="332"/>
    </row>
    <row r="516" spans="1:27">
      <c r="A516" s="265"/>
      <c r="B516" s="269" t="s">
        <v>98</v>
      </c>
      <c r="C516" s="269" t="s">
        <v>598</v>
      </c>
      <c r="D516" s="280" t="str">
        <f>VLOOKUP(B516, 'Chem Props'!$1:$1048576,3,FALSE)</f>
        <v>Yes</v>
      </c>
      <c r="E516" s="598" t="str">
        <f t="shared" si="168"/>
        <v>No</v>
      </c>
      <c r="F516" s="7" t="str">
        <f t="shared" si="159"/>
        <v>No Inhal. Tox. Info</v>
      </c>
      <c r="G516" s="270" t="str">
        <f t="shared" si="176"/>
        <v>No Inhal. Tox. Info</v>
      </c>
      <c r="H516" s="76" t="str">
        <f t="shared" si="171"/>
        <v>--</v>
      </c>
      <c r="I516" s="271" t="str">
        <f t="shared" si="172"/>
        <v>--</v>
      </c>
      <c r="J516" s="272" t="str">
        <f t="shared" si="173"/>
        <v>--</v>
      </c>
      <c r="K516" s="272" t="str">
        <f t="shared" si="179"/>
        <v>--</v>
      </c>
      <c r="L516" s="273" t="str">
        <f t="shared" si="160"/>
        <v>--</v>
      </c>
      <c r="M516" s="7">
        <f t="shared" si="161"/>
        <v>1237381.453819324</v>
      </c>
      <c r="N516" s="7">
        <f t="shared" si="177"/>
        <v>1237367.135</v>
      </c>
      <c r="O516" s="326">
        <f t="shared" si="162"/>
        <v>25</v>
      </c>
      <c r="P516" s="224" t="str">
        <f t="shared" si="178"/>
        <v/>
      </c>
      <c r="Q516" s="224" t="str">
        <f t="shared" si="163"/>
        <v/>
      </c>
      <c r="R516" s="224"/>
      <c r="S516" s="271" t="str">
        <f t="shared" si="174"/>
        <v/>
      </c>
      <c r="T516" s="7" t="str">
        <f t="shared" si="175"/>
        <v/>
      </c>
      <c r="U516" s="7" t="str">
        <f t="shared" si="164"/>
        <v/>
      </c>
      <c r="V516" s="7" t="str">
        <f t="shared" si="165"/>
        <v/>
      </c>
      <c r="W516" s="7" t="str">
        <f>VLOOKUP(C516,'Tox Summary'!$N$3:$S$1048576,6,FALSE)</f>
        <v/>
      </c>
      <c r="X516" s="76" t="str">
        <f t="shared" si="166"/>
        <v/>
      </c>
      <c r="Y516" s="76" t="str">
        <f t="shared" si="167"/>
        <v/>
      </c>
      <c r="AA516" s="243"/>
    </row>
    <row r="517" spans="1:27">
      <c r="A517" s="265"/>
      <c r="B517" s="269" t="s">
        <v>99</v>
      </c>
      <c r="C517" s="269" t="s">
        <v>1408</v>
      </c>
      <c r="D517" s="280" t="str">
        <f>VLOOKUP(B517, 'Chem Props'!$1:$1048576,3,FALSE)</f>
        <v>Yes</v>
      </c>
      <c r="E517" s="598" t="str">
        <f t="shared" si="168"/>
        <v>Yes</v>
      </c>
      <c r="F517" s="7" t="str">
        <f t="shared" si="159"/>
        <v>Yes</v>
      </c>
      <c r="G517" s="270" t="str">
        <f t="shared" si="176"/>
        <v>Yes</v>
      </c>
      <c r="H517" s="76">
        <f t="shared" si="171"/>
        <v>5.5052790346907981E-4</v>
      </c>
      <c r="I517" s="271" t="str">
        <f t="shared" si="172"/>
        <v>C</v>
      </c>
      <c r="J517" s="272">
        <f t="shared" si="173"/>
        <v>1.8350930115635995E-2</v>
      </c>
      <c r="K517" s="272">
        <f t="shared" si="179"/>
        <v>1.6604071138100258E-2</v>
      </c>
      <c r="L517" s="273" t="str">
        <f t="shared" si="160"/>
        <v>--</v>
      </c>
      <c r="M517" s="7">
        <f t="shared" si="161"/>
        <v>23.484306407007583</v>
      </c>
      <c r="N517" s="7">
        <f t="shared" si="177"/>
        <v>2818.277</v>
      </c>
      <c r="O517" s="326">
        <f t="shared" si="162"/>
        <v>25</v>
      </c>
      <c r="P517" s="224" t="str">
        <f t="shared" si="178"/>
        <v/>
      </c>
      <c r="Q517" s="224" t="str">
        <f t="shared" si="163"/>
        <v/>
      </c>
      <c r="R517" s="224"/>
      <c r="S517" s="271">
        <f t="shared" si="174"/>
        <v>5.1000000000000004E-3</v>
      </c>
      <c r="T517" s="7" t="str">
        <f t="shared" si="175"/>
        <v>CA</v>
      </c>
      <c r="U517" s="7" t="str">
        <f t="shared" si="164"/>
        <v/>
      </c>
      <c r="V517" s="7" t="str">
        <f t="shared" si="165"/>
        <v/>
      </c>
      <c r="W517" s="7" t="str">
        <f>VLOOKUP(C517,'Tox Summary'!$N$3:$S$1048576,6,FALSE)</f>
        <v/>
      </c>
      <c r="X517" s="76">
        <f t="shared" si="166"/>
        <v>5.5052790346907981E-4</v>
      </c>
      <c r="Y517" s="76" t="str">
        <f t="shared" si="167"/>
        <v/>
      </c>
      <c r="AA517" s="243"/>
    </row>
    <row r="518" spans="1:27">
      <c r="A518" s="265"/>
      <c r="B518" s="344" t="s">
        <v>100</v>
      </c>
      <c r="C518" s="269" t="s">
        <v>1245</v>
      </c>
      <c r="D518" s="280" t="str">
        <f>VLOOKUP(B518, 'Chem Props'!$1:$1048576,3,FALSE)</f>
        <v>No</v>
      </c>
      <c r="E518" s="598" t="str">
        <f t="shared" si="168"/>
        <v>No</v>
      </c>
      <c r="F518" s="7" t="str">
        <f t="shared" si="159"/>
        <v>No (not volatile)</v>
      </c>
      <c r="G518" s="270" t="str">
        <f t="shared" si="176"/>
        <v>No (not volatile)</v>
      </c>
      <c r="H518" s="76" t="str">
        <f t="shared" si="171"/>
        <v>--</v>
      </c>
      <c r="I518" s="271" t="str">
        <f t="shared" si="172"/>
        <v>--</v>
      </c>
      <c r="J518" s="272" t="str">
        <f t="shared" si="173"/>
        <v>--</v>
      </c>
      <c r="K518" s="272" t="str">
        <f t="shared" si="179"/>
        <v>--</v>
      </c>
      <c r="L518" s="273" t="str">
        <f t="shared" si="160"/>
        <v>--</v>
      </c>
      <c r="M518" s="7">
        <f t="shared" si="161"/>
        <v>56441.972379573155</v>
      </c>
      <c r="N518" s="7">
        <f t="shared" si="177"/>
        <v>162572</v>
      </c>
      <c r="O518" s="326">
        <f t="shared" si="162"/>
        <v>25</v>
      </c>
      <c r="P518" s="224" t="str">
        <f t="shared" si="178"/>
        <v/>
      </c>
      <c r="Q518" s="224" t="str">
        <f t="shared" si="163"/>
        <v/>
      </c>
      <c r="R518" s="224"/>
      <c r="S518" s="271" t="str">
        <f t="shared" si="174"/>
        <v/>
      </c>
      <c r="T518" s="7" t="str">
        <f t="shared" si="175"/>
        <v/>
      </c>
      <c r="U518" s="7" t="str">
        <f t="shared" si="164"/>
        <v/>
      </c>
      <c r="V518" s="7" t="str">
        <f t="shared" si="165"/>
        <v/>
      </c>
      <c r="W518" s="7" t="str">
        <f>VLOOKUP(C518,'Tox Summary'!$N$3:$S$1048576,6,FALSE)</f>
        <v/>
      </c>
      <c r="X518" s="76" t="str">
        <f t="shared" si="166"/>
        <v/>
      </c>
      <c r="Y518" s="76" t="str">
        <f t="shared" si="167"/>
        <v/>
      </c>
      <c r="AA518" s="332"/>
    </row>
    <row r="519" spans="1:27">
      <c r="A519" s="265"/>
      <c r="B519" s="344" t="s">
        <v>101</v>
      </c>
      <c r="C519" s="269" t="s">
        <v>1246</v>
      </c>
      <c r="D519" s="280" t="str">
        <f>VLOOKUP(B519, 'Chem Props'!$1:$1048576,3,FALSE)</f>
        <v>No</v>
      </c>
      <c r="E519" s="598" t="str">
        <f t="shared" si="168"/>
        <v>No</v>
      </c>
      <c r="F519" s="7" t="str">
        <f t="shared" si="159"/>
        <v>No (not volatile)</v>
      </c>
      <c r="G519" s="270" t="str">
        <f t="shared" si="176"/>
        <v>No (not volatile)</v>
      </c>
      <c r="H519" s="76" t="str">
        <f t="shared" si="171"/>
        <v>--</v>
      </c>
      <c r="I519" s="271" t="str">
        <f t="shared" si="172"/>
        <v>--</v>
      </c>
      <c r="J519" s="272" t="str">
        <f t="shared" si="173"/>
        <v>--</v>
      </c>
      <c r="K519" s="272" t="str">
        <f t="shared" si="179"/>
        <v>--</v>
      </c>
      <c r="L519" s="273" t="str">
        <f t="shared" si="160"/>
        <v>--</v>
      </c>
      <c r="M519" s="7">
        <f t="shared" si="161"/>
        <v>0</v>
      </c>
      <c r="N519" s="7" t="str">
        <f t="shared" si="177"/>
        <v>No HLC</v>
      </c>
      <c r="O519" s="326">
        <f t="shared" si="162"/>
        <v>25</v>
      </c>
      <c r="P519" s="224" t="str">
        <f t="shared" si="178"/>
        <v/>
      </c>
      <c r="Q519" s="224" t="str">
        <f t="shared" si="163"/>
        <v/>
      </c>
      <c r="R519" s="224"/>
      <c r="S519" s="271" t="str">
        <f t="shared" si="174"/>
        <v/>
      </c>
      <c r="T519" s="7" t="str">
        <f t="shared" si="175"/>
        <v/>
      </c>
      <c r="U519" s="7" t="str">
        <f t="shared" si="164"/>
        <v/>
      </c>
      <c r="V519" s="7" t="str">
        <f t="shared" si="165"/>
        <v/>
      </c>
      <c r="W519" s="7" t="str">
        <f>VLOOKUP(C519,'Tox Summary'!$N$3:$S$1048576,6,FALSE)</f>
        <v/>
      </c>
      <c r="X519" s="76" t="str">
        <f t="shared" si="166"/>
        <v/>
      </c>
      <c r="Y519" s="76" t="str">
        <f t="shared" si="167"/>
        <v/>
      </c>
      <c r="AA519" s="332"/>
    </row>
    <row r="520" spans="1:27">
      <c r="A520" s="265"/>
      <c r="B520" s="344" t="s">
        <v>1589</v>
      </c>
      <c r="C520" s="269" t="s">
        <v>2389</v>
      </c>
      <c r="D520" s="280" t="str">
        <f>VLOOKUP(B520, 'Chem Props'!$1:$1048576,3,FALSE)</f>
        <v>No</v>
      </c>
      <c r="E520" s="598" t="str">
        <f t="shared" si="168"/>
        <v>No</v>
      </c>
      <c r="F520" s="7" t="str">
        <f t="shared" si="159"/>
        <v>No (not volatile)</v>
      </c>
      <c r="G520" s="270" t="str">
        <f t="shared" si="176"/>
        <v>No (not volatile)</v>
      </c>
      <c r="H520" s="76" t="str">
        <f t="shared" si="171"/>
        <v>No VP</v>
      </c>
      <c r="I520" s="271" t="str">
        <f t="shared" si="172"/>
        <v>--</v>
      </c>
      <c r="J520" s="272" t="str">
        <f t="shared" si="173"/>
        <v>No VP</v>
      </c>
      <c r="K520" s="272" t="str">
        <f t="shared" si="179"/>
        <v>No VP</v>
      </c>
      <c r="L520" s="273" t="str">
        <f t="shared" si="160"/>
        <v>--</v>
      </c>
      <c r="M520" s="7" t="str">
        <f t="shared" si="161"/>
        <v>No VP</v>
      </c>
      <c r="N520" s="7" t="str">
        <f t="shared" si="177"/>
        <v>No S</v>
      </c>
      <c r="O520" s="326">
        <f t="shared" si="162"/>
        <v>25</v>
      </c>
      <c r="P520" s="224" t="str">
        <f t="shared" si="178"/>
        <v/>
      </c>
      <c r="Q520" s="224" t="str">
        <f t="shared" si="163"/>
        <v/>
      </c>
      <c r="R520" s="224"/>
      <c r="S520" s="271" t="str">
        <f t="shared" si="174"/>
        <v/>
      </c>
      <c r="T520" s="7" t="str">
        <f t="shared" si="175"/>
        <v/>
      </c>
      <c r="U520" s="7" t="str">
        <f t="shared" si="164"/>
        <v/>
      </c>
      <c r="V520" s="7" t="str">
        <f t="shared" si="165"/>
        <v/>
      </c>
      <c r="W520" s="7" t="str">
        <f>VLOOKUP(C520,'Tox Summary'!$N$3:$S$1048576,6,FALSE)</f>
        <v/>
      </c>
      <c r="X520" s="76" t="str">
        <f t="shared" si="166"/>
        <v/>
      </c>
      <c r="Y520" s="76" t="str">
        <f t="shared" si="167"/>
        <v/>
      </c>
      <c r="AA520" s="332"/>
    </row>
    <row r="521" spans="1:27">
      <c r="A521" s="265"/>
      <c r="B521" s="269" t="s">
        <v>1590</v>
      </c>
      <c r="C521" s="269" t="s">
        <v>2390</v>
      </c>
      <c r="D521" s="280" t="str">
        <f>VLOOKUP(B521, 'Chem Props'!$1:$1048576,3,FALSE)</f>
        <v>No</v>
      </c>
      <c r="E521" s="598" t="str">
        <f t="shared" si="168"/>
        <v>No</v>
      </c>
      <c r="F521" s="7" t="str">
        <f t="shared" si="159"/>
        <v>No (not volatile)</v>
      </c>
      <c r="G521" s="270" t="str">
        <f t="shared" si="176"/>
        <v>No (not volatile)</v>
      </c>
      <c r="H521" s="76" t="str">
        <f t="shared" si="171"/>
        <v>No VP</v>
      </c>
      <c r="I521" s="271" t="str">
        <f t="shared" si="172"/>
        <v>--</v>
      </c>
      <c r="J521" s="272" t="str">
        <f t="shared" si="173"/>
        <v>No VP</v>
      </c>
      <c r="K521" s="272" t="str">
        <f t="shared" si="179"/>
        <v>No VP</v>
      </c>
      <c r="L521" s="273" t="str">
        <f t="shared" si="160"/>
        <v>--</v>
      </c>
      <c r="M521" s="7" t="str">
        <f t="shared" si="161"/>
        <v>No VP</v>
      </c>
      <c r="N521" s="7" t="str">
        <f t="shared" si="177"/>
        <v>No S</v>
      </c>
      <c r="O521" s="326">
        <f t="shared" si="162"/>
        <v>25</v>
      </c>
      <c r="P521" s="224" t="str">
        <f t="shared" si="178"/>
        <v/>
      </c>
      <c r="Q521" s="224" t="str">
        <f t="shared" si="163"/>
        <v/>
      </c>
      <c r="R521" s="224"/>
      <c r="S521" s="271" t="str">
        <f t="shared" si="174"/>
        <v/>
      </c>
      <c r="T521" s="7" t="str">
        <f t="shared" si="175"/>
        <v/>
      </c>
      <c r="U521" s="7" t="str">
        <f t="shared" si="164"/>
        <v/>
      </c>
      <c r="V521" s="7" t="str">
        <f t="shared" si="165"/>
        <v/>
      </c>
      <c r="W521" s="7" t="str">
        <f>VLOOKUP(C521,'Tox Summary'!$N$3:$S$1048576,6,FALSE)</f>
        <v/>
      </c>
      <c r="X521" s="76" t="str">
        <f t="shared" si="166"/>
        <v/>
      </c>
      <c r="Y521" s="76" t="str">
        <f t="shared" si="167"/>
        <v/>
      </c>
      <c r="AA521" s="243"/>
    </row>
    <row r="522" spans="1:27">
      <c r="A522" s="265"/>
      <c r="B522" s="269" t="s">
        <v>1591</v>
      </c>
      <c r="C522" s="269" t="s">
        <v>2391</v>
      </c>
      <c r="D522" s="280" t="str">
        <f>VLOOKUP(B522, 'Chem Props'!$1:$1048576,3,FALSE)</f>
        <v>No</v>
      </c>
      <c r="E522" s="598" t="str">
        <f t="shared" si="168"/>
        <v>No</v>
      </c>
      <c r="F522" s="7" t="str">
        <f t="shared" si="159"/>
        <v>No (not volatile)</v>
      </c>
      <c r="G522" s="270" t="str">
        <f t="shared" si="176"/>
        <v>No (not volatile)</v>
      </c>
      <c r="H522" s="76" t="str">
        <f t="shared" si="171"/>
        <v>No VP</v>
      </c>
      <c r="I522" s="271" t="str">
        <f t="shared" si="172"/>
        <v>--</v>
      </c>
      <c r="J522" s="272" t="str">
        <f t="shared" si="173"/>
        <v>No VP</v>
      </c>
      <c r="K522" s="272" t="str">
        <f t="shared" si="179"/>
        <v>No VP</v>
      </c>
      <c r="L522" s="273" t="str">
        <f t="shared" si="160"/>
        <v>--</v>
      </c>
      <c r="M522" s="7" t="str">
        <f t="shared" si="161"/>
        <v>No VP</v>
      </c>
      <c r="N522" s="7" t="str">
        <f t="shared" si="177"/>
        <v>No S</v>
      </c>
      <c r="O522" s="326">
        <f t="shared" si="162"/>
        <v>25</v>
      </c>
      <c r="P522" s="224" t="str">
        <f t="shared" si="178"/>
        <v/>
      </c>
      <c r="Q522" s="224" t="str">
        <f t="shared" si="163"/>
        <v/>
      </c>
      <c r="R522" s="224"/>
      <c r="S522" s="271" t="str">
        <f t="shared" si="174"/>
        <v/>
      </c>
      <c r="T522" s="7" t="str">
        <f t="shared" si="175"/>
        <v/>
      </c>
      <c r="U522" s="7" t="str">
        <f t="shared" si="164"/>
        <v/>
      </c>
      <c r="V522" s="7" t="str">
        <f t="shared" si="165"/>
        <v/>
      </c>
      <c r="W522" s="7" t="str">
        <f>VLOOKUP(C522,'Tox Summary'!$N$3:$S$1048576,6,FALSE)</f>
        <v/>
      </c>
      <c r="X522" s="76" t="str">
        <f t="shared" si="166"/>
        <v/>
      </c>
      <c r="Y522" s="76" t="str">
        <f t="shared" si="167"/>
        <v/>
      </c>
      <c r="AA522" s="243"/>
    </row>
    <row r="523" spans="1:27">
      <c r="A523" s="265"/>
      <c r="B523" s="344" t="s">
        <v>102</v>
      </c>
      <c r="C523" s="269" t="s">
        <v>1247</v>
      </c>
      <c r="D523" s="280" t="str">
        <f>VLOOKUP(B523, 'Chem Props'!$1:$1048576,3,FALSE)</f>
        <v>No</v>
      </c>
      <c r="E523" s="598" t="str">
        <f t="shared" si="168"/>
        <v>No</v>
      </c>
      <c r="F523" s="7" t="str">
        <f t="shared" si="159"/>
        <v>No (not volatile)</v>
      </c>
      <c r="G523" s="270" t="str">
        <f t="shared" si="176"/>
        <v>No (not volatile)</v>
      </c>
      <c r="H523" s="76" t="str">
        <f t="shared" si="171"/>
        <v>No VP</v>
      </c>
      <c r="I523" s="271" t="str">
        <f t="shared" si="172"/>
        <v>--</v>
      </c>
      <c r="J523" s="272" t="str">
        <f t="shared" si="173"/>
        <v>No VP</v>
      </c>
      <c r="K523" s="272" t="str">
        <f t="shared" si="179"/>
        <v>No VP</v>
      </c>
      <c r="L523" s="273" t="str">
        <f t="shared" si="160"/>
        <v>No (4000)</v>
      </c>
      <c r="M523" s="7" t="str">
        <f t="shared" si="161"/>
        <v>No VP</v>
      </c>
      <c r="N523" s="7" t="str">
        <f t="shared" si="177"/>
        <v>No S</v>
      </c>
      <c r="O523" s="326">
        <f t="shared" si="162"/>
        <v>25</v>
      </c>
      <c r="P523" s="224" t="str">
        <f t="shared" si="178"/>
        <v/>
      </c>
      <c r="Q523" s="224" t="str">
        <f t="shared" si="163"/>
        <v/>
      </c>
      <c r="R523" s="224"/>
      <c r="S523" s="271" t="str">
        <f t="shared" si="174"/>
        <v/>
      </c>
      <c r="T523" s="7" t="str">
        <f t="shared" si="175"/>
        <v/>
      </c>
      <c r="U523" s="7" t="str">
        <f t="shared" si="164"/>
        <v/>
      </c>
      <c r="V523" s="7" t="str">
        <f t="shared" si="165"/>
        <v/>
      </c>
      <c r="W523" s="7" t="str">
        <f>VLOOKUP(C523,'Tox Summary'!$N$3:$S$1048576,6,FALSE)</f>
        <v/>
      </c>
      <c r="X523" s="76" t="str">
        <f t="shared" si="166"/>
        <v/>
      </c>
      <c r="Y523" s="76" t="str">
        <f t="shared" si="167"/>
        <v/>
      </c>
      <c r="AA523" s="332"/>
    </row>
    <row r="524" spans="1:27">
      <c r="A524" s="265"/>
      <c r="B524" s="344" t="s">
        <v>1592</v>
      </c>
      <c r="C524" s="269" t="s">
        <v>2392</v>
      </c>
      <c r="D524" s="280" t="str">
        <f>VLOOKUP(B524, 'Chem Props'!$1:$1048576,3,FALSE)</f>
        <v>No</v>
      </c>
      <c r="E524" s="598" t="str">
        <f t="shared" si="168"/>
        <v>No</v>
      </c>
      <c r="F524" s="7" t="str">
        <f t="shared" si="159"/>
        <v>No (not volatile)</v>
      </c>
      <c r="G524" s="270" t="str">
        <f t="shared" si="176"/>
        <v>No (not volatile)</v>
      </c>
      <c r="H524" s="76" t="str">
        <f t="shared" si="171"/>
        <v>No VP</v>
      </c>
      <c r="I524" s="271" t="str">
        <f t="shared" si="172"/>
        <v>--</v>
      </c>
      <c r="J524" s="272" t="str">
        <f t="shared" si="173"/>
        <v>No VP</v>
      </c>
      <c r="K524" s="272" t="str">
        <f t="shared" si="179"/>
        <v>No VP</v>
      </c>
      <c r="L524" s="273" t="str">
        <f t="shared" si="160"/>
        <v>--</v>
      </c>
      <c r="M524" s="7" t="str">
        <f t="shared" si="161"/>
        <v>No VP</v>
      </c>
      <c r="N524" s="7" t="str">
        <f t="shared" si="177"/>
        <v>No S</v>
      </c>
      <c r="O524" s="326">
        <f t="shared" si="162"/>
        <v>25</v>
      </c>
      <c r="P524" s="224" t="str">
        <f t="shared" si="178"/>
        <v/>
      </c>
      <c r="Q524" s="224" t="str">
        <f t="shared" si="163"/>
        <v/>
      </c>
      <c r="R524" s="224"/>
      <c r="S524" s="271" t="str">
        <f t="shared" si="174"/>
        <v/>
      </c>
      <c r="T524" s="7" t="str">
        <f t="shared" si="175"/>
        <v/>
      </c>
      <c r="U524" s="7" t="str">
        <f t="shared" si="164"/>
        <v/>
      </c>
      <c r="V524" s="7" t="str">
        <f t="shared" si="165"/>
        <v/>
      </c>
      <c r="W524" s="7" t="str">
        <f>VLOOKUP(C524,'Tox Summary'!$N$3:$S$1048576,6,FALSE)</f>
        <v/>
      </c>
      <c r="X524" s="76" t="str">
        <f t="shared" si="166"/>
        <v/>
      </c>
      <c r="Y524" s="76" t="str">
        <f t="shared" si="167"/>
        <v/>
      </c>
      <c r="AA524" s="332"/>
    </row>
    <row r="525" spans="1:27">
      <c r="A525" s="265"/>
      <c r="B525" s="269" t="s">
        <v>103</v>
      </c>
      <c r="C525" s="269" t="s">
        <v>1248</v>
      </c>
      <c r="D525" s="280" t="str">
        <f>VLOOKUP(B525, 'Chem Props'!$1:$1048576,3,FALSE)</f>
        <v>No</v>
      </c>
      <c r="E525" s="598" t="str">
        <f t="shared" si="168"/>
        <v>No</v>
      </c>
      <c r="F525" s="7" t="str">
        <f t="shared" si="159"/>
        <v>No (not volatile)</v>
      </c>
      <c r="G525" s="270" t="str">
        <f t="shared" si="176"/>
        <v>No (not volatile)</v>
      </c>
      <c r="H525" s="76" t="str">
        <f t="shared" si="171"/>
        <v>--</v>
      </c>
      <c r="I525" s="271" t="str">
        <f t="shared" si="172"/>
        <v>--</v>
      </c>
      <c r="J525" s="272" t="str">
        <f t="shared" si="173"/>
        <v>--</v>
      </c>
      <c r="K525" s="272" t="str">
        <f t="shared" si="179"/>
        <v>--</v>
      </c>
      <c r="L525" s="273" t="str">
        <f t="shared" si="160"/>
        <v>--</v>
      </c>
      <c r="M525" s="7">
        <f t="shared" si="161"/>
        <v>2612065.709793888</v>
      </c>
      <c r="N525" s="7">
        <f t="shared" si="177"/>
        <v>2040060</v>
      </c>
      <c r="O525" s="326">
        <f t="shared" si="162"/>
        <v>25</v>
      </c>
      <c r="P525" s="224" t="str">
        <f t="shared" si="178"/>
        <v/>
      </c>
      <c r="Q525" s="224" t="str">
        <f t="shared" si="163"/>
        <v/>
      </c>
      <c r="R525" s="224"/>
      <c r="S525" s="271" t="str">
        <f t="shared" si="174"/>
        <v/>
      </c>
      <c r="T525" s="7" t="str">
        <f t="shared" si="175"/>
        <v/>
      </c>
      <c r="U525" s="7" t="str">
        <f t="shared" si="164"/>
        <v/>
      </c>
      <c r="V525" s="7" t="str">
        <f t="shared" si="165"/>
        <v/>
      </c>
      <c r="W525" s="7" t="str">
        <f>VLOOKUP(C525,'Tox Summary'!$N$3:$S$1048576,6,FALSE)</f>
        <v/>
      </c>
      <c r="X525" s="76" t="str">
        <f t="shared" si="166"/>
        <v/>
      </c>
      <c r="Y525" s="76" t="str">
        <f t="shared" si="167"/>
        <v/>
      </c>
      <c r="AA525" s="243"/>
    </row>
    <row r="526" spans="1:27">
      <c r="A526" s="265"/>
      <c r="B526" s="344" t="s">
        <v>1593</v>
      </c>
      <c r="C526" s="269" t="s">
        <v>2393</v>
      </c>
      <c r="D526" s="280" t="str">
        <f>VLOOKUP(B526, 'Chem Props'!$1:$1048576,3,FALSE)</f>
        <v>No</v>
      </c>
      <c r="E526" s="598" t="str">
        <f t="shared" si="168"/>
        <v>No</v>
      </c>
      <c r="F526" s="7" t="str">
        <f t="shared" si="159"/>
        <v>No (not volatile)</v>
      </c>
      <c r="G526" s="270" t="str">
        <f t="shared" si="176"/>
        <v>No (not volatile)</v>
      </c>
      <c r="H526" s="76" t="str">
        <f t="shared" si="171"/>
        <v>No VP</v>
      </c>
      <c r="I526" s="271" t="str">
        <f t="shared" si="172"/>
        <v>--</v>
      </c>
      <c r="J526" s="272" t="str">
        <f t="shared" si="173"/>
        <v>No VP</v>
      </c>
      <c r="K526" s="272" t="str">
        <f t="shared" si="179"/>
        <v>No VP</v>
      </c>
      <c r="L526" s="273" t="str">
        <f t="shared" si="160"/>
        <v>--</v>
      </c>
      <c r="M526" s="7" t="str">
        <f t="shared" si="161"/>
        <v>No VP</v>
      </c>
      <c r="N526" s="7" t="str">
        <f t="shared" si="177"/>
        <v>No S</v>
      </c>
      <c r="O526" s="326">
        <f t="shared" si="162"/>
        <v>25</v>
      </c>
      <c r="P526" s="224" t="str">
        <f t="shared" si="178"/>
        <v/>
      </c>
      <c r="Q526" s="224" t="str">
        <f t="shared" si="163"/>
        <v/>
      </c>
      <c r="R526" s="224"/>
      <c r="S526" s="271" t="str">
        <f t="shared" si="174"/>
        <v/>
      </c>
      <c r="T526" s="7" t="str">
        <f t="shared" si="175"/>
        <v/>
      </c>
      <c r="U526" s="7" t="str">
        <f t="shared" si="164"/>
        <v/>
      </c>
      <c r="V526" s="7" t="str">
        <f t="shared" si="165"/>
        <v/>
      </c>
      <c r="W526" s="7" t="str">
        <f>VLOOKUP(C526,'Tox Summary'!$N$3:$S$1048576,6,FALSE)</f>
        <v/>
      </c>
      <c r="X526" s="76" t="str">
        <f t="shared" si="166"/>
        <v/>
      </c>
      <c r="Y526" s="76" t="str">
        <f t="shared" si="167"/>
        <v/>
      </c>
      <c r="AA526" s="332"/>
    </row>
    <row r="527" spans="1:27">
      <c r="A527" s="265"/>
      <c r="B527" s="344" t="s">
        <v>1594</v>
      </c>
      <c r="C527" s="269" t="s">
        <v>2360</v>
      </c>
      <c r="D527" s="280" t="str">
        <f>VLOOKUP(B527, 'Chem Props'!$1:$1048576,3,FALSE)</f>
        <v>No</v>
      </c>
      <c r="E527" s="598" t="str">
        <f t="shared" si="168"/>
        <v>No</v>
      </c>
      <c r="F527" s="7" t="str">
        <f t="shared" si="159"/>
        <v>No (not volatile)</v>
      </c>
      <c r="G527" s="270" t="str">
        <f t="shared" si="176"/>
        <v>No (not volatile)</v>
      </c>
      <c r="H527" s="76" t="str">
        <f t="shared" si="171"/>
        <v>No VP</v>
      </c>
      <c r="I527" s="271" t="str">
        <f t="shared" si="172"/>
        <v>--</v>
      </c>
      <c r="J527" s="272" t="str">
        <f t="shared" si="173"/>
        <v>No VP</v>
      </c>
      <c r="K527" s="272" t="str">
        <f t="shared" si="179"/>
        <v>No VP</v>
      </c>
      <c r="L527" s="273" t="str">
        <f t="shared" si="160"/>
        <v>--</v>
      </c>
      <c r="M527" s="7" t="str">
        <f t="shared" si="161"/>
        <v>No VP</v>
      </c>
      <c r="N527" s="7"/>
      <c r="O527" s="326">
        <f t="shared" si="162"/>
        <v>25</v>
      </c>
      <c r="P527" s="224" t="str">
        <f t="shared" si="178"/>
        <v/>
      </c>
      <c r="Q527" s="224" t="str">
        <f t="shared" si="163"/>
        <v/>
      </c>
      <c r="R527" s="224"/>
      <c r="S527" s="271" t="str">
        <f t="shared" si="174"/>
        <v/>
      </c>
      <c r="T527" s="7" t="str">
        <f t="shared" si="175"/>
        <v/>
      </c>
      <c r="U527" s="7" t="str">
        <f t="shared" si="164"/>
        <v/>
      </c>
      <c r="V527" s="7" t="str">
        <f t="shared" si="165"/>
        <v/>
      </c>
      <c r="W527" s="7" t="str">
        <f>VLOOKUP(C527,'Tox Summary'!$N$3:$S$1048576,6,FALSE)</f>
        <v/>
      </c>
      <c r="X527" s="76" t="str">
        <f t="shared" si="166"/>
        <v/>
      </c>
      <c r="Y527" s="76" t="str">
        <f t="shared" si="167"/>
        <v/>
      </c>
      <c r="AA527" s="332"/>
    </row>
    <row r="528" spans="1:27">
      <c r="A528" s="265"/>
      <c r="B528" s="344" t="s">
        <v>269</v>
      </c>
      <c r="C528" s="269" t="s">
        <v>2315</v>
      </c>
      <c r="D528" s="280" t="str">
        <f>VLOOKUP(B528, 'Chem Props'!$1:$1048576,3,FALSE)</f>
        <v>No</v>
      </c>
      <c r="E528" s="598" t="str">
        <f t="shared" si="168"/>
        <v>No</v>
      </c>
      <c r="F528" s="7" t="str">
        <f t="shared" si="159"/>
        <v>No (not volatile)</v>
      </c>
      <c r="G528" s="270" t="str">
        <f t="shared" si="176"/>
        <v>No (not volatile)</v>
      </c>
      <c r="H528" s="76" t="str">
        <f t="shared" si="171"/>
        <v>--</v>
      </c>
      <c r="I528" s="271" t="str">
        <f t="shared" si="172"/>
        <v>--</v>
      </c>
      <c r="J528" s="272" t="str">
        <f t="shared" si="173"/>
        <v>--</v>
      </c>
      <c r="K528" s="272" t="str">
        <f t="shared" si="179"/>
        <v>--</v>
      </c>
      <c r="L528" s="273" t="str">
        <f t="shared" si="160"/>
        <v>--</v>
      </c>
      <c r="M528" s="7">
        <f t="shared" si="161"/>
        <v>23.65520311021686</v>
      </c>
      <c r="N528" s="7">
        <f t="shared" ref="N528:N534" si="180">IF(INDEX(HLC,MATCH(C528,ChemNameChem,0))="","No HLC",IF(INDEX(Sol,MATCH(C528,ChemNameChem,0))="No S","No S",INDEX(HLC,MATCH(C528,ChemNameChem,0))*INDEX(Sol,MATCH(C528,ChemNameChem,0))*1000000))</f>
        <v>24.847159999999999</v>
      </c>
      <c r="O528" s="326">
        <f t="shared" si="162"/>
        <v>25</v>
      </c>
      <c r="P528" s="224" t="str">
        <f t="shared" si="178"/>
        <v/>
      </c>
      <c r="Q528" s="224" t="str">
        <f t="shared" si="163"/>
        <v/>
      </c>
      <c r="R528" s="224"/>
      <c r="S528" s="271" t="str">
        <f t="shared" si="174"/>
        <v/>
      </c>
      <c r="T528" s="7" t="str">
        <f t="shared" si="175"/>
        <v/>
      </c>
      <c r="U528" s="7" t="str">
        <f t="shared" si="164"/>
        <v/>
      </c>
      <c r="V528" s="7" t="str">
        <f t="shared" si="165"/>
        <v/>
      </c>
      <c r="W528" s="7" t="str">
        <f>VLOOKUP(C528,'Tox Summary'!$N$3:$S$1048576,6,FALSE)</f>
        <v/>
      </c>
      <c r="X528" s="76" t="str">
        <f t="shared" si="166"/>
        <v/>
      </c>
      <c r="Y528" s="76" t="str">
        <f t="shared" si="167"/>
        <v/>
      </c>
      <c r="AA528" s="332"/>
    </row>
    <row r="529" spans="1:27">
      <c r="A529" s="265"/>
      <c r="B529" s="344" t="s">
        <v>104</v>
      </c>
      <c r="C529" s="269" t="s">
        <v>1249</v>
      </c>
      <c r="D529" s="280" t="str">
        <f>VLOOKUP(B529, 'Chem Props'!$1:$1048576,3,FALSE)</f>
        <v>No</v>
      </c>
      <c r="E529" s="598" t="str">
        <f t="shared" si="168"/>
        <v>No</v>
      </c>
      <c r="F529" s="7" t="str">
        <f t="shared" si="159"/>
        <v>No (not volatile)</v>
      </c>
      <c r="G529" s="270" t="str">
        <f t="shared" si="176"/>
        <v>No (not volatile)</v>
      </c>
      <c r="H529" s="76" t="str">
        <f t="shared" si="171"/>
        <v>--</v>
      </c>
      <c r="I529" s="271" t="str">
        <f t="shared" si="172"/>
        <v>--</v>
      </c>
      <c r="J529" s="272" t="str">
        <f t="shared" si="173"/>
        <v>--</v>
      </c>
      <c r="K529" s="272" t="str">
        <f t="shared" si="179"/>
        <v>--</v>
      </c>
      <c r="L529" s="273" t="str">
        <f t="shared" si="160"/>
        <v>--</v>
      </c>
      <c r="M529" s="7">
        <f t="shared" si="161"/>
        <v>8.895447826849566E-2</v>
      </c>
      <c r="N529" s="7">
        <f t="shared" si="180"/>
        <v>6.1625492999999996E-2</v>
      </c>
      <c r="O529" s="326">
        <f t="shared" si="162"/>
        <v>25</v>
      </c>
      <c r="P529" s="224" t="str">
        <f t="shared" si="178"/>
        <v/>
      </c>
      <c r="Q529" s="224" t="str">
        <f t="shared" si="163"/>
        <v/>
      </c>
      <c r="R529" s="224"/>
      <c r="S529" s="271" t="str">
        <f t="shared" si="174"/>
        <v/>
      </c>
      <c r="T529" s="7" t="str">
        <f t="shared" si="175"/>
        <v/>
      </c>
      <c r="U529" s="7" t="str">
        <f t="shared" si="164"/>
        <v/>
      </c>
      <c r="V529" s="7" t="str">
        <f t="shared" si="165"/>
        <v/>
      </c>
      <c r="W529" s="7" t="str">
        <f>VLOOKUP(C529,'Tox Summary'!$N$3:$S$1048576,6,FALSE)</f>
        <v/>
      </c>
      <c r="X529" s="76" t="str">
        <f t="shared" si="166"/>
        <v/>
      </c>
      <c r="Y529" s="76" t="str">
        <f t="shared" si="167"/>
        <v/>
      </c>
      <c r="AA529" s="332"/>
    </row>
    <row r="530" spans="1:27">
      <c r="A530" s="265"/>
      <c r="B530" s="344" t="s">
        <v>105</v>
      </c>
      <c r="C530" s="269" t="s">
        <v>1250</v>
      </c>
      <c r="D530" s="280" t="str">
        <f>VLOOKUP(B530, 'Chem Props'!$1:$1048576,3,FALSE)</f>
        <v>Yes</v>
      </c>
      <c r="E530" s="598" t="str">
        <f t="shared" si="168"/>
        <v>No</v>
      </c>
      <c r="F530" s="7" t="str">
        <f t="shared" ref="F530:F593" si="181">IF(LEFT(D530,2)="No","No (not volatile)",IF(D530="unknown","unknown",IF(H530="NVT","No",IF(AND(X530="",Y530=""),"No Inhal. Tox. Info",IF(MIN(X530:Y530)&gt;=M530,"No",IF(M530&gt;H530,"Yes","No"))))))</f>
        <v>No Inhal. Tox. Info</v>
      </c>
      <c r="G530" s="270" t="str">
        <f t="shared" si="176"/>
        <v>No Inhal. Tox. Info</v>
      </c>
      <c r="H530" s="76" t="str">
        <f t="shared" si="171"/>
        <v>--</v>
      </c>
      <c r="I530" s="271" t="str">
        <f t="shared" si="172"/>
        <v>--</v>
      </c>
      <c r="J530" s="272" t="str">
        <f t="shared" si="173"/>
        <v>--</v>
      </c>
      <c r="K530" s="272" t="str">
        <f t="shared" si="179"/>
        <v>--</v>
      </c>
      <c r="L530" s="273" t="str">
        <f t="shared" ref="L530:L593" si="182">IF(INDEX(MCL,MATCH(C530,ChemNameChem,0))="","--",IF(K530&lt;INDEX(MCL,MATCH(C530,ChemNameChem,0)),"Yes ("&amp;(INDEX(MCL,MATCH(C530,ChemNameChem,0)))&amp;")","No ("&amp;(INDEX(MCL,MATCH(C530,ChemNameChem,0)))&amp;")"))</f>
        <v>--</v>
      </c>
      <c r="M530" s="7">
        <f t="shared" ref="M530:M593" si="183">IF(INDEX(_VP25,MATCH(B530,CASNoChem,0))="No VP","No VP",IF(INDEX(MW,MATCH(B530,CASNoChem,0))="No MW","No MW",INDEX(MW,MATCH(B530,CASNoChem,0))*INDEX(_VP25,MATCH(B530,CASNoChem,0))*53808.7856452378))</f>
        <v>4097.9694971700201</v>
      </c>
      <c r="N530" s="7">
        <f t="shared" si="180"/>
        <v>3992.2499999999991</v>
      </c>
      <c r="O530" s="326">
        <f t="shared" ref="O530:O593" si="184">IF(INDEX(HTgw,MATCH(B530,CASNoChem,0),1)="",25,Tgw)</f>
        <v>25</v>
      </c>
      <c r="P530" s="224" t="str">
        <f t="shared" si="178"/>
        <v/>
      </c>
      <c r="Q530" s="224" t="str">
        <f t="shared" ref="Q530:Q593" si="185">IF(INDEX(LELsource,MATCH(B530,CASNoChem,0),1)="","",INDEX(LELsource,MATCH(B530,CASNoChem,0),1))</f>
        <v/>
      </c>
      <c r="R530" s="224"/>
      <c r="S530" s="271" t="str">
        <f t="shared" si="174"/>
        <v/>
      </c>
      <c r="T530" s="7" t="str">
        <f t="shared" si="175"/>
        <v/>
      </c>
      <c r="U530" s="7" t="str">
        <f t="shared" ref="U530:U593" si="186">IF(INDEX(RFC,MATCH(B530,CASNoTox,0))=" ","",INDEX(RFC,MATCH(B530,CASNoTox,0)))</f>
        <v/>
      </c>
      <c r="V530" s="7" t="str">
        <f t="shared" ref="V530:V593" si="187">IF(INDEX(RFCSource,MATCH(B530,CASNoTox,0))="","",SUBSTITUTE(INDEX(RFCSource,MATCH(B530,CASNoTox,0)),"C","CA"))</f>
        <v/>
      </c>
      <c r="W530" s="7" t="str">
        <f>VLOOKUP(C530,'Tox Summary'!$N$3:$S$1048576,6,FALSE)</f>
        <v/>
      </c>
      <c r="X530" s="76" t="str">
        <f t="shared" ref="X530:X532" si="188">IF(S530="","",IF(W530&lt;&gt;"TCE",TCR/(IF(AND(W530="VC",Scenario="Residential"),S530,0)+(EF*IF(W530="Mut",MMOAAF,ED)*ET*S530/(Atc*365*24))), 1/((EF*MMOAAF*ET*mIURTCE/(TCR*Atc*365*24))+EF*ED*ET*IURTCE/(TCR*Atc*365*24))))</f>
        <v/>
      </c>
      <c r="Y530" s="76" t="str">
        <f t="shared" ref="Y530:Y593" si="189">IF(U530="","",THQ*Atnc*365*24*U530*1000/(EF*ED*ET))</f>
        <v/>
      </c>
      <c r="AA530" s="332"/>
    </row>
    <row r="531" spans="1:27">
      <c r="A531" s="265"/>
      <c r="B531" s="344" t="s">
        <v>2117</v>
      </c>
      <c r="C531" s="269" t="s">
        <v>599</v>
      </c>
      <c r="D531" s="280" t="s">
        <v>2434</v>
      </c>
      <c r="E531" s="598" t="str">
        <f t="shared" ref="E531:E594" si="190">IF(OR(ISNUMBER(S531),ISNUMBER(U531)),"Yes","No")</f>
        <v>Yes</v>
      </c>
      <c r="F531" s="7" t="str">
        <f t="shared" si="181"/>
        <v>No</v>
      </c>
      <c r="G531" s="270" t="str">
        <f t="shared" si="176"/>
        <v>No</v>
      </c>
      <c r="H531" s="76" t="str">
        <f t="shared" si="171"/>
        <v>No MW</v>
      </c>
      <c r="I531" s="271" t="str">
        <f t="shared" si="172"/>
        <v>NC</v>
      </c>
      <c r="J531" s="272" t="str">
        <f t="shared" si="173"/>
        <v>No MW</v>
      </c>
      <c r="K531" s="272" t="str">
        <f t="shared" si="179"/>
        <v>No MW</v>
      </c>
      <c r="L531" s="273" t="str">
        <f t="shared" si="182"/>
        <v>--</v>
      </c>
      <c r="M531" s="7" t="str">
        <f t="shared" si="183"/>
        <v>No MW</v>
      </c>
      <c r="N531" s="7">
        <f t="shared" si="180"/>
        <v>557646.6</v>
      </c>
      <c r="O531" s="326">
        <f t="shared" si="184"/>
        <v>25</v>
      </c>
      <c r="P531" s="224" t="str">
        <f t="shared" si="178"/>
        <v/>
      </c>
      <c r="Q531" s="224" t="str">
        <f t="shared" si="185"/>
        <v/>
      </c>
      <c r="R531" s="224"/>
      <c r="S531" s="271" t="str">
        <f t="shared" si="174"/>
        <v/>
      </c>
      <c r="T531" s="7" t="str">
        <f t="shared" si="175"/>
        <v/>
      </c>
      <c r="U531" s="7">
        <f t="shared" si="186"/>
        <v>0.1</v>
      </c>
      <c r="V531" s="7" t="str">
        <f t="shared" si="187"/>
        <v>P</v>
      </c>
      <c r="W531" s="7" t="str">
        <f>VLOOKUP(C531,'Tox Summary'!$N$3:$S$1048576,6,FALSE)</f>
        <v/>
      </c>
      <c r="X531" s="76" t="str">
        <f t="shared" si="188"/>
        <v/>
      </c>
      <c r="Y531" s="76">
        <f t="shared" si="189"/>
        <v>104.28571428571429</v>
      </c>
      <c r="AA531" s="332"/>
    </row>
    <row r="532" spans="1:27">
      <c r="A532" s="265"/>
      <c r="B532" s="344" t="s">
        <v>217</v>
      </c>
      <c r="C532" s="269" t="s">
        <v>2244</v>
      </c>
      <c r="D532" s="280" t="str">
        <f>VLOOKUP(B532, 'Chem Props'!$1:$1048576,3,FALSE)</f>
        <v>Yes</v>
      </c>
      <c r="E532" s="598" t="str">
        <f t="shared" si="190"/>
        <v>Yes</v>
      </c>
      <c r="F532" s="7" t="str">
        <f t="shared" si="181"/>
        <v>Yes</v>
      </c>
      <c r="G532" s="270" t="str">
        <f t="shared" si="176"/>
        <v>Yes</v>
      </c>
      <c r="H532" s="76">
        <f t="shared" si="171"/>
        <v>8.2579185520361989E-2</v>
      </c>
      <c r="I532" s="271" t="str">
        <f t="shared" si="172"/>
        <v>C</v>
      </c>
      <c r="J532" s="272">
        <f t="shared" si="173"/>
        <v>2.7526395173453997</v>
      </c>
      <c r="K532" s="272">
        <f t="shared" si="179"/>
        <v>4.5906399342006603</v>
      </c>
      <c r="L532" s="273" t="str">
        <f t="shared" si="182"/>
        <v>--</v>
      </c>
      <c r="M532" s="7">
        <f t="shared" si="183"/>
        <v>586262.86224055942</v>
      </c>
      <c r="N532" s="7">
        <f t="shared" si="180"/>
        <v>557646.6</v>
      </c>
      <c r="O532" s="326">
        <f t="shared" si="184"/>
        <v>25</v>
      </c>
      <c r="P532" s="224">
        <f t="shared" si="178"/>
        <v>0.9</v>
      </c>
      <c r="Q532" s="224" t="str">
        <f t="shared" si="185"/>
        <v>N</v>
      </c>
      <c r="R532" s="224"/>
      <c r="S532" s="271">
        <f t="shared" si="174"/>
        <v>3.4E-5</v>
      </c>
      <c r="T532" s="7" t="str">
        <f t="shared" si="175"/>
        <v>CA</v>
      </c>
      <c r="U532" s="7">
        <f t="shared" si="186"/>
        <v>3.0000000000000001E-3</v>
      </c>
      <c r="V532" s="7" t="str">
        <f t="shared" si="187"/>
        <v>I</v>
      </c>
      <c r="W532" s="7" t="str">
        <f>VLOOKUP(C532,'Tox Summary'!$N$3:$S$1048576,6,FALSE)</f>
        <v/>
      </c>
      <c r="X532" s="76">
        <f t="shared" si="188"/>
        <v>8.2579185520361989E-2</v>
      </c>
      <c r="Y532" s="76">
        <f t="shared" si="189"/>
        <v>3.1285714285714286</v>
      </c>
      <c r="AA532" s="332"/>
    </row>
    <row r="533" spans="1:27">
      <c r="A533" s="265"/>
      <c r="B533" s="269" t="s">
        <v>106</v>
      </c>
      <c r="C533" s="269" t="s">
        <v>600</v>
      </c>
      <c r="D533" s="280" t="s">
        <v>2433</v>
      </c>
      <c r="E533" s="598" t="str">
        <f t="shared" si="190"/>
        <v>Yes</v>
      </c>
      <c r="F533" s="7" t="str">
        <f t="shared" si="181"/>
        <v>No (not volatile)</v>
      </c>
      <c r="G533" s="270" t="str">
        <f t="shared" si="176"/>
        <v>No (not volatile)</v>
      </c>
      <c r="H533" s="76"/>
      <c r="I533" s="271"/>
      <c r="J533" s="272"/>
      <c r="K533" s="272"/>
      <c r="L533" s="273" t="str">
        <f t="shared" si="182"/>
        <v>--</v>
      </c>
      <c r="M533" s="7">
        <f t="shared" si="183"/>
        <v>1972.4492842346494</v>
      </c>
      <c r="N533" s="7">
        <f t="shared" si="180"/>
        <v>625.87349999999992</v>
      </c>
      <c r="O533" s="326">
        <f t="shared" si="184"/>
        <v>25</v>
      </c>
      <c r="P533" s="224" t="str">
        <f t="shared" ref="P533:P564" si="191">IF(VLOOKUP(B533,AllChemProps,32,FALSE)&gt;0,VLOOKUP(B533,AllChemProps,32,FALSE),"")</f>
        <v/>
      </c>
      <c r="Q533" s="224" t="str">
        <f t="shared" si="185"/>
        <v/>
      </c>
      <c r="R533" s="224"/>
      <c r="S533" s="271">
        <f t="shared" si="174"/>
        <v>0</v>
      </c>
      <c r="T533" s="7" t="str">
        <f t="shared" si="175"/>
        <v>CA</v>
      </c>
      <c r="U533" s="7" t="str">
        <f t="shared" si="186"/>
        <v/>
      </c>
      <c r="V533" s="7" t="str">
        <f t="shared" si="187"/>
        <v/>
      </c>
      <c r="W533" s="7" t="str">
        <f>VLOOKUP(C533,'Tox Summary'!$N$3:$S$1048576,6,FALSE)</f>
        <v/>
      </c>
      <c r="X533" s="76"/>
      <c r="Y533" s="76" t="str">
        <f t="shared" si="189"/>
        <v/>
      </c>
      <c r="AA533" s="243"/>
    </row>
    <row r="534" spans="1:27">
      <c r="A534" s="265"/>
      <c r="B534" s="344" t="s">
        <v>107</v>
      </c>
      <c r="C534" s="269" t="s">
        <v>1251</v>
      </c>
      <c r="D534" s="280" t="str">
        <f>VLOOKUP(B534, 'Chem Props'!$1:$1048576,3,FALSE)</f>
        <v>No</v>
      </c>
      <c r="E534" s="598" t="str">
        <f t="shared" si="190"/>
        <v>No</v>
      </c>
      <c r="F534" s="7" t="str">
        <f t="shared" si="181"/>
        <v>No (not volatile)</v>
      </c>
      <c r="G534" s="270" t="str">
        <f t="shared" si="176"/>
        <v>No (not volatile)</v>
      </c>
      <c r="H534" s="76" t="str">
        <f t="shared" ref="H534:H597" si="192">IF(ISNUMBER(M534),IF(AND(X534="",Y534=""),"--",IF(MIN(X534:Y534)&gt;=M534,"NVT",MIN(X534:Y534))),M534)</f>
        <v>--</v>
      </c>
      <c r="I534" s="271" t="str">
        <f t="shared" ref="I534:I597" si="193">IF(AND(S534="",U534=""),"--",IF(MIN(X534,Y534)=X534,"C","NC"))</f>
        <v>--</v>
      </c>
      <c r="J534" s="272" t="str">
        <f t="shared" ref="J534:J597" si="194">IF(ISNUMBER(H534),IF(OR(H534="--",H534="NVT"),H534,IF(H534/Afss&gt;=M534,"NVT",H534/Afss)),H534)</f>
        <v>--</v>
      </c>
      <c r="K534" s="272" t="str">
        <f t="shared" ref="K534:K597" si="195">IF(ISNUMBER(H534),IF(H534="--","--", IF(LEFT(N534,2)="No",N534,IF(H534*0.001/(INDEX(HLC,MATCH(C534,ChemNameChem,0))*AFgw)&gt;=1000*INDEX(PWCS,MATCH(C534,ChemNameChem,0)), "NVT", H534*0.001/(INDEX(HLC,MATCH(C534,ChemNameChem,0))*AFgw)))),H534)</f>
        <v>--</v>
      </c>
      <c r="L534" s="273" t="str">
        <f t="shared" si="182"/>
        <v>--</v>
      </c>
      <c r="M534" s="7">
        <f t="shared" si="183"/>
        <v>2.5114669565029772</v>
      </c>
      <c r="N534" s="7">
        <f t="shared" si="180"/>
        <v>2.5099589999999998</v>
      </c>
      <c r="O534" s="326">
        <f t="shared" si="184"/>
        <v>25</v>
      </c>
      <c r="P534" s="224" t="str">
        <f t="shared" si="191"/>
        <v/>
      </c>
      <c r="Q534" s="224" t="str">
        <f t="shared" si="185"/>
        <v/>
      </c>
      <c r="R534" s="224"/>
      <c r="S534" s="271" t="str">
        <f t="shared" si="174"/>
        <v/>
      </c>
      <c r="T534" s="7" t="str">
        <f t="shared" si="175"/>
        <v/>
      </c>
      <c r="U534" s="7" t="str">
        <f t="shared" si="186"/>
        <v/>
      </c>
      <c r="V534" s="7" t="str">
        <f t="shared" si="187"/>
        <v/>
      </c>
      <c r="W534" s="7" t="str">
        <f>VLOOKUP(C534,'Tox Summary'!$N$3:$S$1048576,6,FALSE)</f>
        <v/>
      </c>
      <c r="X534" s="76" t="str">
        <f t="shared" ref="X534:X597" si="196">IF(S534="","",IF(W534&lt;&gt;"TCE",TCR/(IF(AND(W534="VC",Scenario="Residential"),S534,0)+(EF*IF(W534="Mut",MMOAAF,ED)*ET*S534/(Atc*365*24))), 1/((EF*MMOAAF*ET*mIURTCE/(TCR*Atc*365*24))+EF*ED*ET*IURTCE/(TCR*Atc*365*24))))</f>
        <v/>
      </c>
      <c r="Y534" s="76" t="str">
        <f t="shared" si="189"/>
        <v/>
      </c>
      <c r="AA534" s="332"/>
    </row>
    <row r="535" spans="1:27">
      <c r="A535" s="265"/>
      <c r="B535" s="344" t="s">
        <v>2119</v>
      </c>
      <c r="C535" s="269" t="s">
        <v>2118</v>
      </c>
      <c r="D535" s="280" t="str">
        <f>VLOOKUP(B535, 'Chem Props'!$1:$1048576,3,FALSE)</f>
        <v>No</v>
      </c>
      <c r="E535" s="598" t="str">
        <f t="shared" si="190"/>
        <v>Yes</v>
      </c>
      <c r="F535" s="7" t="str">
        <f t="shared" si="181"/>
        <v>No (not volatile)</v>
      </c>
      <c r="G535" s="270" t="str">
        <f t="shared" si="176"/>
        <v>No (not volatile)</v>
      </c>
      <c r="H535" s="76">
        <f t="shared" si="192"/>
        <v>1.0798816568047338E-2</v>
      </c>
      <c r="I535" s="271" t="str">
        <f t="shared" si="193"/>
        <v>C</v>
      </c>
      <c r="J535" s="272">
        <f t="shared" si="194"/>
        <v>0.35996055226824458</v>
      </c>
      <c r="K535" s="272" t="str">
        <f t="shared" si="195"/>
        <v>No S</v>
      </c>
      <c r="L535" s="273" t="str">
        <f t="shared" si="182"/>
        <v>--</v>
      </c>
      <c r="M535" s="7">
        <f t="shared" si="183"/>
        <v>170.28974010719699</v>
      </c>
      <c r="N535" s="7" t="s">
        <v>2440</v>
      </c>
      <c r="O535" s="326">
        <f t="shared" si="184"/>
        <v>25</v>
      </c>
      <c r="P535" s="224" t="str">
        <f t="shared" si="191"/>
        <v/>
      </c>
      <c r="Q535" s="224" t="str">
        <f t="shared" si="185"/>
        <v/>
      </c>
      <c r="R535" s="224"/>
      <c r="S535" s="271">
        <f t="shared" si="174"/>
        <v>2.5999999999999998E-4</v>
      </c>
      <c r="T535" s="7" t="str">
        <f t="shared" si="175"/>
        <v>CA</v>
      </c>
      <c r="U535" s="7">
        <f t="shared" si="186"/>
        <v>1.4E-5</v>
      </c>
      <c r="V535" s="7" t="str">
        <f t="shared" si="187"/>
        <v>CA</v>
      </c>
      <c r="W535" s="7" t="str">
        <f>VLOOKUP(C535,'Tox Summary'!$N$3:$S$1048576,6,FALSE)</f>
        <v/>
      </c>
      <c r="X535" s="76">
        <f t="shared" si="196"/>
        <v>1.0798816568047338E-2</v>
      </c>
      <c r="Y535" s="76">
        <f t="shared" si="189"/>
        <v>1.46E-2</v>
      </c>
      <c r="AA535" s="332"/>
    </row>
    <row r="536" spans="1:27">
      <c r="A536" s="265"/>
      <c r="B536" s="344" t="s">
        <v>2121</v>
      </c>
      <c r="C536" s="269" t="s">
        <v>2120</v>
      </c>
      <c r="D536" s="280" t="str">
        <f>VLOOKUP(B536, 'Chem Props'!$1:$1048576,3,FALSE)</f>
        <v>No</v>
      </c>
      <c r="E536" s="598" t="str">
        <f t="shared" si="190"/>
        <v>Yes</v>
      </c>
      <c r="F536" s="7" t="str">
        <f t="shared" si="181"/>
        <v>No (not volatile)</v>
      </c>
      <c r="G536" s="270" t="str">
        <f t="shared" si="176"/>
        <v>No (not volatile)</v>
      </c>
      <c r="H536" s="76">
        <f t="shared" si="192"/>
        <v>1.0798816568047338E-2</v>
      </c>
      <c r="I536" s="271" t="str">
        <f t="shared" si="193"/>
        <v>C</v>
      </c>
      <c r="J536" s="272">
        <f t="shared" si="194"/>
        <v>0.35996055226824458</v>
      </c>
      <c r="K536" s="272" t="str">
        <f t="shared" si="195"/>
        <v>No S</v>
      </c>
      <c r="L536" s="273" t="str">
        <f t="shared" si="182"/>
        <v>--</v>
      </c>
      <c r="M536" s="7">
        <f t="shared" si="183"/>
        <v>22.741917353217364</v>
      </c>
      <c r="N536" s="7" t="s">
        <v>2440</v>
      </c>
      <c r="O536" s="326">
        <f t="shared" si="184"/>
        <v>25</v>
      </c>
      <c r="P536" s="224" t="str">
        <f t="shared" si="191"/>
        <v/>
      </c>
      <c r="Q536" s="224" t="str">
        <f t="shared" si="185"/>
        <v/>
      </c>
      <c r="R536" s="224"/>
      <c r="S536" s="271">
        <f t="shared" si="174"/>
        <v>2.5999999999999998E-4</v>
      </c>
      <c r="T536" s="7" t="str">
        <f t="shared" si="175"/>
        <v>CA</v>
      </c>
      <c r="U536" s="7">
        <f t="shared" si="186"/>
        <v>1.4E-5</v>
      </c>
      <c r="V536" s="7" t="str">
        <f t="shared" si="187"/>
        <v>CA</v>
      </c>
      <c r="W536" s="7" t="str">
        <f>VLOOKUP(C536,'Tox Summary'!$N$3:$S$1048576,6,FALSE)</f>
        <v/>
      </c>
      <c r="X536" s="76">
        <f t="shared" si="196"/>
        <v>1.0798816568047338E-2</v>
      </c>
      <c r="Y536" s="76">
        <f t="shared" si="189"/>
        <v>1.46E-2</v>
      </c>
      <c r="AA536" s="332"/>
    </row>
    <row r="537" spans="1:27">
      <c r="A537" s="265"/>
      <c r="B537" s="344" t="s">
        <v>108</v>
      </c>
      <c r="C537" s="269" t="s">
        <v>601</v>
      </c>
      <c r="D537" s="280" t="str">
        <f>VLOOKUP(B537, 'Chem Props'!$1:$1048576,3,FALSE)</f>
        <v>Yes</v>
      </c>
      <c r="E537" s="598" t="str">
        <f t="shared" si="190"/>
        <v>Yes</v>
      </c>
      <c r="F537" s="7" t="str">
        <f t="shared" si="181"/>
        <v>Yes</v>
      </c>
      <c r="G537" s="270" t="str">
        <f t="shared" si="176"/>
        <v>Yes</v>
      </c>
      <c r="H537" s="76">
        <f t="shared" si="192"/>
        <v>1.0798816568047338E-2</v>
      </c>
      <c r="I537" s="271" t="str">
        <f t="shared" si="193"/>
        <v>C</v>
      </c>
      <c r="J537" s="272">
        <f t="shared" si="194"/>
        <v>0.35996055226824458</v>
      </c>
      <c r="K537" s="272">
        <f t="shared" si="195"/>
        <v>5.2831783601014364E-4</v>
      </c>
      <c r="L537" s="273" t="str">
        <f t="shared" si="182"/>
        <v>--</v>
      </c>
      <c r="M537" s="7">
        <f t="shared" si="183"/>
        <v>2893901600.6315198</v>
      </c>
      <c r="N537" s="7">
        <f t="shared" ref="N537:N568" si="197">IF(INDEX(HLC,MATCH(C537,ChemNameChem,0))="","No HLC",IF(INDEX(Sol,MATCH(C537,ChemNameChem,0))="No S","No S",INDEX(HLC,MATCH(C537,ChemNameChem,0))*INDEX(Sol,MATCH(C537,ChemNameChem,0))*1000000))</f>
        <v>3679200000.0000005</v>
      </c>
      <c r="O537" s="326">
        <f t="shared" si="184"/>
        <v>25</v>
      </c>
      <c r="P537" s="224">
        <f t="shared" si="191"/>
        <v>2</v>
      </c>
      <c r="Q537" s="224" t="str">
        <f t="shared" si="185"/>
        <v>N</v>
      </c>
      <c r="R537" s="224"/>
      <c r="S537" s="271">
        <f t="shared" si="174"/>
        <v>2.5999999999999998E-4</v>
      </c>
      <c r="T537" s="7" t="str">
        <f t="shared" si="175"/>
        <v>CA</v>
      </c>
      <c r="U537" s="7">
        <f t="shared" si="186"/>
        <v>1.4E-5</v>
      </c>
      <c r="V537" s="7" t="str">
        <f t="shared" si="187"/>
        <v>CA</v>
      </c>
      <c r="W537" s="7" t="str">
        <f>VLOOKUP(C537,'Tox Summary'!$N$3:$S$1048576,6,FALSE)</f>
        <v/>
      </c>
      <c r="X537" s="76">
        <f t="shared" si="196"/>
        <v>1.0798816568047338E-2</v>
      </c>
      <c r="Y537" s="76">
        <f t="shared" si="189"/>
        <v>1.46E-2</v>
      </c>
      <c r="AA537" s="332"/>
    </row>
    <row r="538" spans="1:27">
      <c r="A538" s="265"/>
      <c r="B538" s="344" t="s">
        <v>2123</v>
      </c>
      <c r="C538" s="269" t="s">
        <v>2122</v>
      </c>
      <c r="D538" s="280" t="str">
        <f>VLOOKUP(B538, 'Chem Props'!$1:$1048576,3,FALSE)</f>
        <v>No</v>
      </c>
      <c r="E538" s="598" t="str">
        <f t="shared" si="190"/>
        <v>Yes</v>
      </c>
      <c r="F538" s="7" t="str">
        <f t="shared" si="181"/>
        <v>No (not volatile)</v>
      </c>
      <c r="G538" s="270" t="str">
        <f t="shared" si="176"/>
        <v>No (not volatile)</v>
      </c>
      <c r="H538" s="76" t="str">
        <f t="shared" si="192"/>
        <v>No VP</v>
      </c>
      <c r="I538" s="271" t="str">
        <f t="shared" si="193"/>
        <v>C</v>
      </c>
      <c r="J538" s="272" t="str">
        <f t="shared" si="194"/>
        <v>No VP</v>
      </c>
      <c r="K538" s="272" t="str">
        <f t="shared" si="195"/>
        <v>No VP</v>
      </c>
      <c r="L538" s="273" t="str">
        <f t="shared" si="182"/>
        <v>--</v>
      </c>
      <c r="M538" s="7" t="str">
        <f t="shared" si="183"/>
        <v>No VP</v>
      </c>
      <c r="N538" s="7" t="str">
        <f t="shared" si="197"/>
        <v>No S</v>
      </c>
      <c r="O538" s="326">
        <f t="shared" si="184"/>
        <v>25</v>
      </c>
      <c r="P538" s="224" t="str">
        <f t="shared" si="191"/>
        <v/>
      </c>
      <c r="Q538" s="224" t="str">
        <f t="shared" si="185"/>
        <v/>
      </c>
      <c r="R538" s="224"/>
      <c r="S538" s="271">
        <f t="shared" si="174"/>
        <v>2.5999999999999998E-4</v>
      </c>
      <c r="T538" s="7" t="str">
        <f t="shared" si="175"/>
        <v>CA</v>
      </c>
      <c r="U538" s="7">
        <f t="shared" si="186"/>
        <v>1.4E-5</v>
      </c>
      <c r="V538" s="7" t="str">
        <f t="shared" si="187"/>
        <v>CA</v>
      </c>
      <c r="W538" s="7" t="str">
        <f>VLOOKUP(C538,'Tox Summary'!$N$3:$S$1048576,6,FALSE)</f>
        <v/>
      </c>
      <c r="X538" s="76">
        <f t="shared" si="196"/>
        <v>1.0798816568047338E-2</v>
      </c>
      <c r="Y538" s="76">
        <f t="shared" si="189"/>
        <v>1.46E-2</v>
      </c>
      <c r="AA538" s="332"/>
    </row>
    <row r="539" spans="1:27">
      <c r="A539" s="265"/>
      <c r="B539" s="344" t="s">
        <v>109</v>
      </c>
      <c r="C539" s="269" t="s">
        <v>602</v>
      </c>
      <c r="D539" s="280" t="str">
        <f>VLOOKUP(B539, 'Chem Props'!$1:$1048576,3,FALSE)</f>
        <v>No</v>
      </c>
      <c r="E539" s="598" t="str">
        <f t="shared" si="190"/>
        <v>Yes</v>
      </c>
      <c r="F539" s="7" t="str">
        <f t="shared" si="181"/>
        <v>No (not volatile)</v>
      </c>
      <c r="G539" s="270" t="str">
        <f t="shared" si="176"/>
        <v>No (not volatile)</v>
      </c>
      <c r="H539" s="76" t="str">
        <f t="shared" si="192"/>
        <v>No VP</v>
      </c>
      <c r="I539" s="271" t="str">
        <f t="shared" si="193"/>
        <v>C</v>
      </c>
      <c r="J539" s="272" t="str">
        <f t="shared" si="194"/>
        <v>No VP</v>
      </c>
      <c r="K539" s="272" t="str">
        <f t="shared" si="195"/>
        <v>No VP</v>
      </c>
      <c r="L539" s="273" t="str">
        <f t="shared" si="182"/>
        <v>--</v>
      </c>
      <c r="M539" s="7" t="str">
        <f t="shared" si="183"/>
        <v>No VP</v>
      </c>
      <c r="N539" s="7" t="str">
        <f t="shared" si="197"/>
        <v>No S</v>
      </c>
      <c r="O539" s="326">
        <f t="shared" si="184"/>
        <v>25</v>
      </c>
      <c r="P539" s="224" t="str">
        <f t="shared" si="191"/>
        <v/>
      </c>
      <c r="Q539" s="224" t="str">
        <f t="shared" si="185"/>
        <v/>
      </c>
      <c r="R539" s="224"/>
      <c r="S539" s="271">
        <f t="shared" si="174"/>
        <v>2.5999999999999998E-4</v>
      </c>
      <c r="T539" s="7" t="str">
        <f t="shared" si="175"/>
        <v>CA</v>
      </c>
      <c r="U539" s="7">
        <f t="shared" si="186"/>
        <v>2.0000000000000002E-5</v>
      </c>
      <c r="V539" s="7" t="str">
        <f t="shared" si="187"/>
        <v>CA</v>
      </c>
      <c r="W539" s="7" t="str">
        <f>VLOOKUP(C539,'Tox Summary'!$N$3:$S$1048576,6,FALSE)</f>
        <v/>
      </c>
      <c r="X539" s="76">
        <f t="shared" si="196"/>
        <v>1.0798816568047338E-2</v>
      </c>
      <c r="Y539" s="76">
        <f t="shared" si="189"/>
        <v>2.0857142857142855E-2</v>
      </c>
      <c r="AA539" s="332"/>
    </row>
    <row r="540" spans="1:27">
      <c r="A540" s="265"/>
      <c r="B540" s="344" t="s">
        <v>110</v>
      </c>
      <c r="C540" s="269" t="s">
        <v>1253</v>
      </c>
      <c r="D540" s="280" t="str">
        <f>VLOOKUP(B540, 'Chem Props'!$1:$1048576,3,FALSE)</f>
        <v>No</v>
      </c>
      <c r="E540" s="598" t="str">
        <f t="shared" si="190"/>
        <v>Yes</v>
      </c>
      <c r="F540" s="7" t="str">
        <f t="shared" si="181"/>
        <v>No (not volatile)</v>
      </c>
      <c r="G540" s="270" t="str">
        <f t="shared" si="176"/>
        <v>No (not volatile)</v>
      </c>
      <c r="H540" s="76" t="str">
        <f t="shared" si="192"/>
        <v>NVT</v>
      </c>
      <c r="I540" s="271" t="str">
        <f t="shared" si="193"/>
        <v>C</v>
      </c>
      <c r="J540" s="272" t="str">
        <f t="shared" si="194"/>
        <v>NVT</v>
      </c>
      <c r="K540" s="272" t="str">
        <f t="shared" si="195"/>
        <v>NVT</v>
      </c>
      <c r="L540" s="273" t="str">
        <f t="shared" si="182"/>
        <v>--</v>
      </c>
      <c r="M540" s="7">
        <f t="shared" si="183"/>
        <v>0</v>
      </c>
      <c r="N540" s="7" t="str">
        <f t="shared" si="197"/>
        <v>No S</v>
      </c>
      <c r="O540" s="326">
        <f t="shared" si="184"/>
        <v>25</v>
      </c>
      <c r="P540" s="224" t="str">
        <f t="shared" si="191"/>
        <v/>
      </c>
      <c r="Q540" s="224" t="str">
        <f t="shared" si="185"/>
        <v/>
      </c>
      <c r="R540" s="224"/>
      <c r="S540" s="271">
        <f t="shared" si="174"/>
        <v>2.5999999999999998E-4</v>
      </c>
      <c r="T540" s="7" t="str">
        <f t="shared" si="175"/>
        <v>CA</v>
      </c>
      <c r="U540" s="7">
        <f t="shared" si="186"/>
        <v>9.0000000000000006E-5</v>
      </c>
      <c r="V540" s="7" t="str">
        <f t="shared" si="187"/>
        <v>A</v>
      </c>
      <c r="W540" s="7" t="str">
        <f>VLOOKUP(C540,'Tox Summary'!$N$3:$S$1048576,6,FALSE)</f>
        <v/>
      </c>
      <c r="X540" s="76">
        <f t="shared" si="196"/>
        <v>1.0798816568047338E-2</v>
      </c>
      <c r="Y540" s="76">
        <f t="shared" si="189"/>
        <v>9.3857142857142861E-2</v>
      </c>
      <c r="AA540" s="332"/>
    </row>
    <row r="541" spans="1:27">
      <c r="A541" s="265"/>
      <c r="B541" s="344" t="s">
        <v>111</v>
      </c>
      <c r="C541" s="269" t="s">
        <v>1254</v>
      </c>
      <c r="D541" s="280" t="str">
        <f>VLOOKUP(B541, 'Chem Props'!$1:$1048576,3,FALSE)</f>
        <v>No</v>
      </c>
      <c r="E541" s="598" t="str">
        <f t="shared" si="190"/>
        <v>Yes</v>
      </c>
      <c r="F541" s="7" t="str">
        <f t="shared" si="181"/>
        <v>No (not volatile)</v>
      </c>
      <c r="G541" s="270" t="str">
        <f t="shared" si="176"/>
        <v>No (not volatile)</v>
      </c>
      <c r="H541" s="76" t="str">
        <f t="shared" si="192"/>
        <v>No VP</v>
      </c>
      <c r="I541" s="271" t="str">
        <f t="shared" si="193"/>
        <v>C</v>
      </c>
      <c r="J541" s="272" t="str">
        <f t="shared" si="194"/>
        <v>No VP</v>
      </c>
      <c r="K541" s="272" t="str">
        <f t="shared" si="195"/>
        <v>No VP</v>
      </c>
      <c r="L541" s="273" t="str">
        <f t="shared" si="182"/>
        <v>--</v>
      </c>
      <c r="M541" s="7" t="str">
        <f t="shared" si="183"/>
        <v>No VP</v>
      </c>
      <c r="N541" s="7" t="str">
        <f t="shared" si="197"/>
        <v>No S</v>
      </c>
      <c r="O541" s="326">
        <f t="shared" si="184"/>
        <v>25</v>
      </c>
      <c r="P541" s="224" t="str">
        <f t="shared" si="191"/>
        <v/>
      </c>
      <c r="Q541" s="224" t="str">
        <f t="shared" si="185"/>
        <v/>
      </c>
      <c r="R541" s="224"/>
      <c r="S541" s="271">
        <f t="shared" si="174"/>
        <v>4.8000000000000001E-4</v>
      </c>
      <c r="T541" s="7" t="str">
        <f t="shared" si="175"/>
        <v>I</v>
      </c>
      <c r="U541" s="7">
        <f t="shared" si="186"/>
        <v>1.4E-5</v>
      </c>
      <c r="V541" s="7" t="str">
        <f t="shared" si="187"/>
        <v>CA</v>
      </c>
      <c r="W541" s="7" t="str">
        <f>VLOOKUP(C541,'Tox Summary'!$N$3:$S$1048576,6,FALSE)</f>
        <v/>
      </c>
      <c r="X541" s="76">
        <f t="shared" si="196"/>
        <v>5.8493589743589735E-3</v>
      </c>
      <c r="Y541" s="76">
        <f t="shared" si="189"/>
        <v>1.46E-2</v>
      </c>
      <c r="AA541" s="332"/>
    </row>
    <row r="542" spans="1:27">
      <c r="A542" s="265"/>
      <c r="B542" s="344" t="s">
        <v>2125</v>
      </c>
      <c r="C542" s="269" t="s">
        <v>2124</v>
      </c>
      <c r="D542" s="280" t="str">
        <f>VLOOKUP(B542, 'Chem Props'!$1:$1048576,3,FALSE)</f>
        <v>No</v>
      </c>
      <c r="E542" s="598" t="str">
        <f t="shared" si="190"/>
        <v>Yes</v>
      </c>
      <c r="F542" s="7" t="str">
        <f t="shared" si="181"/>
        <v>No (not volatile)</v>
      </c>
      <c r="G542" s="270" t="str">
        <f t="shared" si="176"/>
        <v>No (not volatile)</v>
      </c>
      <c r="H542" s="76" t="str">
        <f t="shared" si="192"/>
        <v>No VP</v>
      </c>
      <c r="I542" s="271" t="str">
        <f t="shared" si="193"/>
        <v>C</v>
      </c>
      <c r="J542" s="272" t="str">
        <f t="shared" si="194"/>
        <v>No VP</v>
      </c>
      <c r="K542" s="272" t="str">
        <f t="shared" si="195"/>
        <v>No VP</v>
      </c>
      <c r="L542" s="273" t="str">
        <f t="shared" si="182"/>
        <v>--</v>
      </c>
      <c r="M542" s="7" t="str">
        <f t="shared" si="183"/>
        <v>No VP</v>
      </c>
      <c r="N542" s="7" t="str">
        <f t="shared" si="197"/>
        <v>No S</v>
      </c>
      <c r="O542" s="326">
        <f t="shared" si="184"/>
        <v>25</v>
      </c>
      <c r="P542" s="224" t="str">
        <f t="shared" si="191"/>
        <v/>
      </c>
      <c r="Q542" s="224" t="str">
        <f t="shared" si="185"/>
        <v/>
      </c>
      <c r="R542" s="224"/>
      <c r="S542" s="271">
        <f t="shared" si="174"/>
        <v>2.5999999999999998E-4</v>
      </c>
      <c r="T542" s="7" t="str">
        <f t="shared" si="175"/>
        <v>CA</v>
      </c>
      <c r="U542" s="7">
        <f t="shared" si="186"/>
        <v>1.4E-5</v>
      </c>
      <c r="V542" s="7" t="str">
        <f t="shared" si="187"/>
        <v>CA</v>
      </c>
      <c r="W542" s="7" t="str">
        <f>VLOOKUP(C542,'Tox Summary'!$N$3:$S$1048576,6,FALSE)</f>
        <v/>
      </c>
      <c r="X542" s="76">
        <f t="shared" si="196"/>
        <v>1.0798816568047338E-2</v>
      </c>
      <c r="Y542" s="76">
        <f t="shared" si="189"/>
        <v>1.46E-2</v>
      </c>
      <c r="AA542" s="332"/>
    </row>
    <row r="543" spans="1:27">
      <c r="A543" s="265"/>
      <c r="B543" s="344" t="s">
        <v>112</v>
      </c>
      <c r="C543" s="269" t="s">
        <v>1255</v>
      </c>
      <c r="D543" s="280" t="str">
        <f>VLOOKUP(B543, 'Chem Props'!$1:$1048576,3,FALSE)</f>
        <v>No</v>
      </c>
      <c r="E543" s="598" t="str">
        <f t="shared" si="190"/>
        <v>No</v>
      </c>
      <c r="F543" s="7" t="str">
        <f t="shared" si="181"/>
        <v>No (not volatile)</v>
      </c>
      <c r="G543" s="270" t="str">
        <f t="shared" si="176"/>
        <v>No (not volatile)</v>
      </c>
      <c r="H543" s="76" t="str">
        <f t="shared" si="192"/>
        <v>No VP</v>
      </c>
      <c r="I543" s="271" t="str">
        <f t="shared" si="193"/>
        <v>--</v>
      </c>
      <c r="J543" s="272" t="str">
        <f t="shared" si="194"/>
        <v>No VP</v>
      </c>
      <c r="K543" s="272" t="str">
        <f t="shared" si="195"/>
        <v>No VP</v>
      </c>
      <c r="L543" s="273" t="str">
        <f t="shared" si="182"/>
        <v>No (10000)</v>
      </c>
      <c r="M543" s="7" t="str">
        <f t="shared" si="183"/>
        <v>No VP</v>
      </c>
      <c r="N543" s="7" t="str">
        <f t="shared" si="197"/>
        <v>No S</v>
      </c>
      <c r="O543" s="326">
        <f t="shared" si="184"/>
        <v>25</v>
      </c>
      <c r="P543" s="224" t="str">
        <f t="shared" si="191"/>
        <v/>
      </c>
      <c r="Q543" s="224" t="str">
        <f t="shared" si="185"/>
        <v/>
      </c>
      <c r="R543" s="224"/>
      <c r="S543" s="271" t="str">
        <f t="shared" si="174"/>
        <v/>
      </c>
      <c r="T543" s="7" t="str">
        <f t="shared" si="175"/>
        <v/>
      </c>
      <c r="U543" s="7" t="str">
        <f t="shared" si="186"/>
        <v/>
      </c>
      <c r="V543" s="7" t="str">
        <f t="shared" si="187"/>
        <v/>
      </c>
      <c r="W543" s="7" t="str">
        <f>VLOOKUP(C543,'Tox Summary'!$N$3:$S$1048576,6,FALSE)</f>
        <v/>
      </c>
      <c r="X543" s="76" t="str">
        <f t="shared" si="196"/>
        <v/>
      </c>
      <c r="Y543" s="76" t="str">
        <f t="shared" si="189"/>
        <v/>
      </c>
      <c r="AA543" s="332"/>
    </row>
    <row r="544" spans="1:27">
      <c r="A544" s="265"/>
      <c r="B544" s="344" t="s">
        <v>2172</v>
      </c>
      <c r="C544" s="269" t="s">
        <v>2000</v>
      </c>
      <c r="D544" s="280" t="str">
        <f>VLOOKUP(B544, 'Chem Props'!$1:$1048576,3,FALSE)</f>
        <v>No</v>
      </c>
      <c r="E544" s="598" t="str">
        <f t="shared" si="190"/>
        <v>No</v>
      </c>
      <c r="F544" s="7" t="str">
        <f t="shared" si="181"/>
        <v>No (not volatile)</v>
      </c>
      <c r="G544" s="270" t="str">
        <f t="shared" si="176"/>
        <v>No (not volatile)</v>
      </c>
      <c r="H544" s="76" t="str">
        <f t="shared" si="192"/>
        <v>No VP</v>
      </c>
      <c r="I544" s="271" t="str">
        <f t="shared" si="193"/>
        <v>--</v>
      </c>
      <c r="J544" s="272" t="str">
        <f t="shared" si="194"/>
        <v>No VP</v>
      </c>
      <c r="K544" s="272" t="str">
        <f t="shared" si="195"/>
        <v>No VP</v>
      </c>
      <c r="L544" s="273" t="str">
        <f t="shared" si="182"/>
        <v>No (10000)</v>
      </c>
      <c r="M544" s="7" t="str">
        <f t="shared" si="183"/>
        <v>No VP</v>
      </c>
      <c r="N544" s="7" t="str">
        <f t="shared" si="197"/>
        <v>No S</v>
      </c>
      <c r="O544" s="326">
        <f t="shared" si="184"/>
        <v>25</v>
      </c>
      <c r="P544" s="224" t="str">
        <f t="shared" si="191"/>
        <v/>
      </c>
      <c r="Q544" s="224" t="str">
        <f t="shared" si="185"/>
        <v/>
      </c>
      <c r="R544" s="224"/>
      <c r="S544" s="271" t="str">
        <f t="shared" si="174"/>
        <v/>
      </c>
      <c r="T544" s="7" t="str">
        <f t="shared" si="175"/>
        <v/>
      </c>
      <c r="U544" s="7" t="str">
        <f t="shared" si="186"/>
        <v/>
      </c>
      <c r="V544" s="7" t="str">
        <f t="shared" si="187"/>
        <v/>
      </c>
      <c r="W544" s="7" t="str">
        <f>VLOOKUP(C544,'Tox Summary'!$N$3:$S$1048576,6,FALSE)</f>
        <v/>
      </c>
      <c r="X544" s="76" t="str">
        <f t="shared" si="196"/>
        <v/>
      </c>
      <c r="Y544" s="76" t="str">
        <f t="shared" si="189"/>
        <v/>
      </c>
      <c r="AA544" s="332"/>
    </row>
    <row r="545" spans="1:27">
      <c r="A545" s="265"/>
      <c r="B545" s="344" t="s">
        <v>113</v>
      </c>
      <c r="C545" s="269" t="s">
        <v>1256</v>
      </c>
      <c r="D545" s="280" t="str">
        <f>VLOOKUP(B545, 'Chem Props'!$1:$1048576,3,FALSE)</f>
        <v>No</v>
      </c>
      <c r="E545" s="598" t="str">
        <f t="shared" si="190"/>
        <v>No</v>
      </c>
      <c r="F545" s="7" t="str">
        <f t="shared" si="181"/>
        <v>No (not volatile)</v>
      </c>
      <c r="G545" s="270" t="str">
        <f t="shared" si="176"/>
        <v>No (not volatile)</v>
      </c>
      <c r="H545" s="76" t="str">
        <f t="shared" si="192"/>
        <v>No VP</v>
      </c>
      <c r="I545" s="271" t="str">
        <f t="shared" si="193"/>
        <v>--</v>
      </c>
      <c r="J545" s="272" t="str">
        <f t="shared" si="194"/>
        <v>No VP</v>
      </c>
      <c r="K545" s="272" t="str">
        <f t="shared" si="195"/>
        <v>No VP</v>
      </c>
      <c r="L545" s="273" t="str">
        <f t="shared" si="182"/>
        <v>No (1000)</v>
      </c>
      <c r="M545" s="7" t="str">
        <f t="shared" si="183"/>
        <v>No VP</v>
      </c>
      <c r="N545" s="7" t="str">
        <f t="shared" si="197"/>
        <v>No S</v>
      </c>
      <c r="O545" s="326">
        <f t="shared" si="184"/>
        <v>25</v>
      </c>
      <c r="P545" s="224" t="str">
        <f t="shared" si="191"/>
        <v/>
      </c>
      <c r="Q545" s="224" t="str">
        <f t="shared" si="185"/>
        <v/>
      </c>
      <c r="R545" s="224"/>
      <c r="S545" s="271" t="str">
        <f t="shared" si="174"/>
        <v/>
      </c>
      <c r="T545" s="7" t="str">
        <f t="shared" si="175"/>
        <v/>
      </c>
      <c r="U545" s="7" t="str">
        <f t="shared" si="186"/>
        <v/>
      </c>
      <c r="V545" s="7" t="str">
        <f t="shared" si="187"/>
        <v/>
      </c>
      <c r="W545" s="7" t="str">
        <f>VLOOKUP(C545,'Tox Summary'!$N$3:$S$1048576,6,FALSE)</f>
        <v/>
      </c>
      <c r="X545" s="76" t="str">
        <f t="shared" si="196"/>
        <v/>
      </c>
      <c r="Y545" s="76" t="str">
        <f t="shared" si="189"/>
        <v/>
      </c>
      <c r="AA545" s="332"/>
    </row>
    <row r="546" spans="1:27">
      <c r="A546" s="265"/>
      <c r="B546" s="344" t="s">
        <v>114</v>
      </c>
      <c r="C546" s="269" t="s">
        <v>603</v>
      </c>
      <c r="D546" s="280" t="str">
        <f>VLOOKUP(B546, 'Chem Props'!$1:$1048576,3,FALSE)</f>
        <v>No</v>
      </c>
      <c r="E546" s="598" t="str">
        <f t="shared" si="190"/>
        <v>Yes</v>
      </c>
      <c r="F546" s="7" t="str">
        <f t="shared" si="181"/>
        <v>No (not volatile)</v>
      </c>
      <c r="G546" s="270" t="str">
        <f t="shared" si="176"/>
        <v>No (not volatile)</v>
      </c>
      <c r="H546" s="76">
        <f t="shared" si="192"/>
        <v>5.2142857142857144E-2</v>
      </c>
      <c r="I546" s="271" t="str">
        <f t="shared" si="193"/>
        <v>NC</v>
      </c>
      <c r="J546" s="272">
        <f t="shared" si="194"/>
        <v>1.7380952380952381</v>
      </c>
      <c r="K546" s="272">
        <f t="shared" si="195"/>
        <v>21617.203740664623</v>
      </c>
      <c r="L546" s="273" t="str">
        <f t="shared" si="182"/>
        <v>--</v>
      </c>
      <c r="M546" s="7">
        <f t="shared" si="183"/>
        <v>20588.322944459447</v>
      </c>
      <c r="N546" s="7">
        <f t="shared" si="197"/>
        <v>3545.7870000000003</v>
      </c>
      <c r="O546" s="326">
        <f t="shared" si="184"/>
        <v>25</v>
      </c>
      <c r="P546" s="224" t="str">
        <f t="shared" si="191"/>
        <v/>
      </c>
      <c r="Q546" s="224" t="str">
        <f t="shared" si="185"/>
        <v/>
      </c>
      <c r="R546" s="224"/>
      <c r="S546" s="271" t="str">
        <f t="shared" si="174"/>
        <v/>
      </c>
      <c r="T546" s="7" t="str">
        <f t="shared" si="175"/>
        <v/>
      </c>
      <c r="U546" s="7">
        <f t="shared" si="186"/>
        <v>5.0000000000000002E-5</v>
      </c>
      <c r="V546" s="7" t="str">
        <f t="shared" si="187"/>
        <v>X</v>
      </c>
      <c r="W546" s="7" t="str">
        <f>VLOOKUP(C546,'Tox Summary'!$N$3:$S$1048576,6,FALSE)</f>
        <v/>
      </c>
      <c r="X546" s="76" t="str">
        <f t="shared" si="196"/>
        <v/>
      </c>
      <c r="Y546" s="76">
        <f t="shared" si="189"/>
        <v>5.2142857142857144E-2</v>
      </c>
      <c r="AA546" s="332"/>
    </row>
    <row r="547" spans="1:27">
      <c r="A547" s="265"/>
      <c r="B547" s="344" t="s">
        <v>115</v>
      </c>
      <c r="C547" s="269" t="s">
        <v>537</v>
      </c>
      <c r="D547" s="280" t="str">
        <f>VLOOKUP(B547, 'Chem Props'!$1:$1048576,3,FALSE)</f>
        <v>No</v>
      </c>
      <c r="E547" s="598" t="str">
        <f t="shared" si="190"/>
        <v>Yes</v>
      </c>
      <c r="F547" s="7" t="str">
        <f t="shared" si="181"/>
        <v>No (not volatile)</v>
      </c>
      <c r="G547" s="270" t="str">
        <f t="shared" si="176"/>
        <v>No (not volatile)</v>
      </c>
      <c r="H547" s="76">
        <f t="shared" si="192"/>
        <v>6.2571428571428571</v>
      </c>
      <c r="I547" s="271" t="str">
        <f t="shared" si="193"/>
        <v>NC</v>
      </c>
      <c r="J547" s="272" t="str">
        <f t="shared" si="194"/>
        <v>NVT</v>
      </c>
      <c r="K547" s="272" t="str">
        <f t="shared" si="195"/>
        <v>NVT</v>
      </c>
      <c r="L547" s="273" t="str">
        <f t="shared" si="182"/>
        <v>--</v>
      </c>
      <c r="M547" s="7">
        <f t="shared" si="183"/>
        <v>23.784344195765428</v>
      </c>
      <c r="N547" s="7">
        <f t="shared" si="197"/>
        <v>37.501463999999999</v>
      </c>
      <c r="O547" s="326">
        <f t="shared" si="184"/>
        <v>25</v>
      </c>
      <c r="P547" s="224" t="str">
        <f t="shared" si="191"/>
        <v/>
      </c>
      <c r="Q547" s="224" t="str">
        <f t="shared" si="185"/>
        <v/>
      </c>
      <c r="R547" s="224"/>
      <c r="S547" s="271" t="str">
        <f t="shared" si="174"/>
        <v/>
      </c>
      <c r="T547" s="7" t="str">
        <f t="shared" si="175"/>
        <v/>
      </c>
      <c r="U547" s="7">
        <f t="shared" si="186"/>
        <v>6.0000000000000001E-3</v>
      </c>
      <c r="V547" s="7" t="str">
        <f t="shared" si="187"/>
        <v>P</v>
      </c>
      <c r="W547" s="7" t="str">
        <f>VLOOKUP(C547,'Tox Summary'!$N$3:$S$1048576,6,FALSE)</f>
        <v/>
      </c>
      <c r="X547" s="76" t="str">
        <f t="shared" si="196"/>
        <v/>
      </c>
      <c r="Y547" s="76">
        <f t="shared" si="189"/>
        <v>6.2571428571428571</v>
      </c>
      <c r="AA547" s="332"/>
    </row>
    <row r="548" spans="1:27">
      <c r="A548" s="265"/>
      <c r="B548" s="344" t="s">
        <v>116</v>
      </c>
      <c r="C548" s="269" t="s">
        <v>391</v>
      </c>
      <c r="D548" s="280" t="str">
        <f>VLOOKUP(B548, 'Chem Props'!$1:$1048576,3,FALSE)</f>
        <v>Yes</v>
      </c>
      <c r="E548" s="598" t="str">
        <f t="shared" si="190"/>
        <v>Yes</v>
      </c>
      <c r="F548" s="7" t="str">
        <f t="shared" si="181"/>
        <v>Yes</v>
      </c>
      <c r="G548" s="270" t="str">
        <f t="shared" si="176"/>
        <v>Yes</v>
      </c>
      <c r="H548" s="76">
        <f t="shared" si="192"/>
        <v>7.0192307692307679E-2</v>
      </c>
      <c r="I548" s="271" t="str">
        <f t="shared" si="193"/>
        <v>C</v>
      </c>
      <c r="J548" s="272">
        <f t="shared" si="194"/>
        <v>2.3397435897435894</v>
      </c>
      <c r="K548" s="272">
        <f t="shared" si="195"/>
        <v>71.537207187431378</v>
      </c>
      <c r="L548" s="273" t="str">
        <f t="shared" si="182"/>
        <v>--</v>
      </c>
      <c r="M548" s="7">
        <f t="shared" si="183"/>
        <v>1622977.9021923803</v>
      </c>
      <c r="N548" s="7">
        <f t="shared" si="197"/>
        <v>2050708.0000000002</v>
      </c>
      <c r="O548" s="326">
        <f t="shared" si="184"/>
        <v>25</v>
      </c>
      <c r="P548" s="224">
        <f t="shared" si="191"/>
        <v>1.8</v>
      </c>
      <c r="Q548" s="224" t="str">
        <f t="shared" si="185"/>
        <v>N</v>
      </c>
      <c r="R548" s="224"/>
      <c r="S548" s="271">
        <f t="shared" si="174"/>
        <v>4.0000000000000003E-5</v>
      </c>
      <c r="T548" s="7" t="str">
        <f t="shared" si="175"/>
        <v>I</v>
      </c>
      <c r="U548" s="7">
        <f t="shared" si="186"/>
        <v>8.9999999999999993E-3</v>
      </c>
      <c r="V548" s="7" t="str">
        <f t="shared" si="187"/>
        <v>I</v>
      </c>
      <c r="W548" s="7" t="str">
        <f>VLOOKUP(C548,'Tox Summary'!$N$3:$S$1048576,6,FALSE)</f>
        <v/>
      </c>
      <c r="X548" s="76">
        <f t="shared" si="196"/>
        <v>7.0192307692307679E-2</v>
      </c>
      <c r="Y548" s="76">
        <f t="shared" si="189"/>
        <v>9.3857142857142843</v>
      </c>
      <c r="AA548" s="332"/>
    </row>
    <row r="549" spans="1:27">
      <c r="A549" s="265"/>
      <c r="B549" s="344" t="s">
        <v>117</v>
      </c>
      <c r="C549" s="269" t="s">
        <v>604</v>
      </c>
      <c r="D549" s="280" t="str">
        <f>VLOOKUP(B549, 'Chem Props'!$1:$1048576,3,FALSE)</f>
        <v>No</v>
      </c>
      <c r="E549" s="598" t="str">
        <f t="shared" si="190"/>
        <v>No</v>
      </c>
      <c r="F549" s="7" t="str">
        <f t="shared" si="181"/>
        <v>No (not volatile)</v>
      </c>
      <c r="G549" s="270" t="str">
        <f t="shared" si="176"/>
        <v>No (not volatile)</v>
      </c>
      <c r="H549" s="76" t="str">
        <f t="shared" si="192"/>
        <v>--</v>
      </c>
      <c r="I549" s="271" t="str">
        <f t="shared" si="193"/>
        <v>--</v>
      </c>
      <c r="J549" s="272" t="str">
        <f t="shared" si="194"/>
        <v>--</v>
      </c>
      <c r="K549" s="272" t="str">
        <f t="shared" si="195"/>
        <v>--</v>
      </c>
      <c r="L549" s="273" t="str">
        <f t="shared" si="182"/>
        <v>--</v>
      </c>
      <c r="M549" s="7">
        <f t="shared" si="183"/>
        <v>2.9384601179364845E-10</v>
      </c>
      <c r="N549" s="7">
        <f t="shared" si="197"/>
        <v>1.345E-9</v>
      </c>
      <c r="O549" s="326">
        <f t="shared" si="184"/>
        <v>25</v>
      </c>
      <c r="P549" s="224" t="str">
        <f t="shared" si="191"/>
        <v/>
      </c>
      <c r="Q549" s="224" t="str">
        <f t="shared" si="185"/>
        <v/>
      </c>
      <c r="R549" s="224"/>
      <c r="S549" s="271" t="str">
        <f t="shared" ref="S549:S612" si="198">IF(INDEX(IUR,MATCH(B549,CASNoTox,0))=" ","",IF(W549="TCE","see note",INDEX(IUR,MATCH(B549,CASNoTox,0))))</f>
        <v/>
      </c>
      <c r="T549" s="7" t="str">
        <f t="shared" ref="T549:T612" si="199">IF(INDEX(IURSource,MATCH(B549,CASNoTox,0))="","",SUBSTITUTE(INDEX(IURSource,MATCH(B549,CASNoTox,0)),"C","CA"))</f>
        <v/>
      </c>
      <c r="U549" s="7" t="str">
        <f t="shared" si="186"/>
        <v/>
      </c>
      <c r="V549" s="7" t="str">
        <f t="shared" si="187"/>
        <v/>
      </c>
      <c r="W549" s="7" t="str">
        <f>VLOOKUP(C549,'Tox Summary'!$N$3:$S$1048576,6,FALSE)</f>
        <v/>
      </c>
      <c r="X549" s="76" t="str">
        <f t="shared" si="196"/>
        <v/>
      </c>
      <c r="Y549" s="76" t="str">
        <f t="shared" si="189"/>
        <v/>
      </c>
      <c r="AA549" s="332"/>
    </row>
    <row r="550" spans="1:27">
      <c r="A550" s="265"/>
      <c r="B550" s="269" t="s">
        <v>118</v>
      </c>
      <c r="C550" s="269" t="s">
        <v>1257</v>
      </c>
      <c r="D550" s="280" t="str">
        <f>VLOOKUP(B550, 'Chem Props'!$1:$1048576,3,FALSE)</f>
        <v>No</v>
      </c>
      <c r="E550" s="598" t="str">
        <f t="shared" si="190"/>
        <v>No</v>
      </c>
      <c r="F550" s="7" t="str">
        <f t="shared" si="181"/>
        <v>No (not volatile)</v>
      </c>
      <c r="G550" s="270" t="str">
        <f t="shared" si="176"/>
        <v>No (not volatile)</v>
      </c>
      <c r="H550" s="76" t="str">
        <f t="shared" si="192"/>
        <v>--</v>
      </c>
      <c r="I550" s="271" t="str">
        <f t="shared" si="193"/>
        <v>--</v>
      </c>
      <c r="J550" s="272" t="str">
        <f t="shared" si="194"/>
        <v>--</v>
      </c>
      <c r="K550" s="272" t="str">
        <f t="shared" si="195"/>
        <v>--</v>
      </c>
      <c r="L550" s="273" t="str">
        <f t="shared" si="182"/>
        <v>--</v>
      </c>
      <c r="M550" s="7">
        <f t="shared" si="183"/>
        <v>3.5625979082170136E-3</v>
      </c>
      <c r="N550" s="7">
        <f t="shared" si="197"/>
        <v>4.3224150000000005E-3</v>
      </c>
      <c r="O550" s="326">
        <f t="shared" si="184"/>
        <v>25</v>
      </c>
      <c r="P550" s="224" t="str">
        <f t="shared" si="191"/>
        <v/>
      </c>
      <c r="Q550" s="224" t="str">
        <f t="shared" si="185"/>
        <v/>
      </c>
      <c r="R550" s="224"/>
      <c r="S550" s="271" t="str">
        <f t="shared" si="198"/>
        <v/>
      </c>
      <c r="T550" s="7" t="str">
        <f t="shared" si="199"/>
        <v/>
      </c>
      <c r="U550" s="7" t="str">
        <f t="shared" si="186"/>
        <v/>
      </c>
      <c r="V550" s="7" t="str">
        <f t="shared" si="187"/>
        <v/>
      </c>
      <c r="W550" s="7" t="str">
        <f>VLOOKUP(C550,'Tox Summary'!$N$3:$S$1048576,6,FALSE)</f>
        <v/>
      </c>
      <c r="X550" s="76" t="str">
        <f t="shared" si="196"/>
        <v/>
      </c>
      <c r="Y550" s="76" t="str">
        <f t="shared" si="189"/>
        <v/>
      </c>
      <c r="AA550" s="243"/>
    </row>
    <row r="551" spans="1:27">
      <c r="A551" s="265"/>
      <c r="B551" s="269" t="s">
        <v>119</v>
      </c>
      <c r="C551" s="269" t="s">
        <v>1409</v>
      </c>
      <c r="D551" s="280" t="str">
        <f>VLOOKUP(B551, 'Chem Props'!$1:$1048576,3,FALSE)</f>
        <v>No</v>
      </c>
      <c r="E551" s="598" t="str">
        <f t="shared" si="190"/>
        <v>Yes</v>
      </c>
      <c r="F551" s="7" t="str">
        <f t="shared" si="181"/>
        <v>No (not volatile)</v>
      </c>
      <c r="G551" s="270" t="str">
        <f t="shared" si="176"/>
        <v>No (not volatile)</v>
      </c>
      <c r="H551" s="76">
        <f t="shared" si="192"/>
        <v>7.5883575883575879E-3</v>
      </c>
      <c r="I551" s="271" t="str">
        <f t="shared" si="193"/>
        <v>C</v>
      </c>
      <c r="J551" s="272">
        <f t="shared" si="194"/>
        <v>0.25294525294525294</v>
      </c>
      <c r="K551" s="272" t="str">
        <f t="shared" si="195"/>
        <v>NVT</v>
      </c>
      <c r="L551" s="273" t="str">
        <f t="shared" si="182"/>
        <v>--</v>
      </c>
      <c r="M551" s="7">
        <f t="shared" si="183"/>
        <v>45.951809715191366</v>
      </c>
      <c r="N551" s="7">
        <f t="shared" si="197"/>
        <v>2.6607000000000002E-3</v>
      </c>
      <c r="O551" s="326">
        <f t="shared" si="184"/>
        <v>25</v>
      </c>
      <c r="P551" s="224" t="str">
        <f t="shared" si="191"/>
        <v/>
      </c>
      <c r="Q551" s="224" t="str">
        <f t="shared" si="185"/>
        <v/>
      </c>
      <c r="R551" s="224"/>
      <c r="S551" s="271">
        <f t="shared" si="198"/>
        <v>3.6999999999999999E-4</v>
      </c>
      <c r="T551" s="7" t="str">
        <f t="shared" si="199"/>
        <v>CA</v>
      </c>
      <c r="U551" s="7" t="str">
        <f t="shared" si="186"/>
        <v/>
      </c>
      <c r="V551" s="7" t="str">
        <f t="shared" si="187"/>
        <v/>
      </c>
      <c r="W551" s="7" t="str">
        <f>VLOOKUP(C551,'Tox Summary'!$N$3:$S$1048576,6,FALSE)</f>
        <v/>
      </c>
      <c r="X551" s="76">
        <f t="shared" si="196"/>
        <v>7.5883575883575879E-3</v>
      </c>
      <c r="Y551" s="76" t="str">
        <f t="shared" si="189"/>
        <v/>
      </c>
      <c r="AA551" s="243"/>
    </row>
    <row r="552" spans="1:27">
      <c r="A552" s="265"/>
      <c r="B552" s="269" t="s">
        <v>120</v>
      </c>
      <c r="C552" s="269" t="s">
        <v>1258</v>
      </c>
      <c r="D552" s="280" t="str">
        <f>VLOOKUP(B552, 'Chem Props'!$1:$1048576,3,FALSE)</f>
        <v>No</v>
      </c>
      <c r="E552" s="598" t="str">
        <f t="shared" si="190"/>
        <v>No</v>
      </c>
      <c r="F552" s="7" t="str">
        <f t="shared" si="181"/>
        <v>No (not volatile)</v>
      </c>
      <c r="G552" s="270" t="str">
        <f t="shared" si="176"/>
        <v>No (not volatile)</v>
      </c>
      <c r="H552" s="76" t="str">
        <f t="shared" si="192"/>
        <v>--</v>
      </c>
      <c r="I552" s="271" t="str">
        <f t="shared" si="193"/>
        <v>--</v>
      </c>
      <c r="J552" s="272" t="str">
        <f t="shared" si="194"/>
        <v>--</v>
      </c>
      <c r="K552" s="272" t="str">
        <f t="shared" si="195"/>
        <v>--</v>
      </c>
      <c r="L552" s="273" t="str">
        <f t="shared" si="182"/>
        <v>--</v>
      </c>
      <c r="M552" s="7">
        <f t="shared" si="183"/>
        <v>4887.7748528708207</v>
      </c>
      <c r="N552" s="7">
        <f t="shared" si="197"/>
        <v>4885.8899999999994</v>
      </c>
      <c r="O552" s="326">
        <f t="shared" si="184"/>
        <v>25</v>
      </c>
      <c r="P552" s="224" t="str">
        <f t="shared" si="191"/>
        <v/>
      </c>
      <c r="Q552" s="224" t="str">
        <f t="shared" si="185"/>
        <v/>
      </c>
      <c r="R552" s="224"/>
      <c r="S552" s="271" t="str">
        <f t="shared" si="198"/>
        <v/>
      </c>
      <c r="T552" s="7" t="str">
        <f t="shared" si="199"/>
        <v/>
      </c>
      <c r="U552" s="7" t="str">
        <f t="shared" si="186"/>
        <v/>
      </c>
      <c r="V552" s="7" t="str">
        <f t="shared" si="187"/>
        <v/>
      </c>
      <c r="W552" s="7" t="str">
        <f>VLOOKUP(C552,'Tox Summary'!$N$3:$S$1048576,6,FALSE)</f>
        <v/>
      </c>
      <c r="X552" s="76" t="str">
        <f t="shared" si="196"/>
        <v/>
      </c>
      <c r="Y552" s="76" t="str">
        <f t="shared" si="189"/>
        <v/>
      </c>
      <c r="AA552" s="243"/>
    </row>
    <row r="553" spans="1:27">
      <c r="A553" s="265"/>
      <c r="B553" s="269" t="s">
        <v>121</v>
      </c>
      <c r="C553" s="269" t="s">
        <v>1259</v>
      </c>
      <c r="D553" s="280" t="str">
        <f>VLOOKUP(B553, 'Chem Props'!$1:$1048576,3,FALSE)</f>
        <v>No</v>
      </c>
      <c r="E553" s="598" t="str">
        <f t="shared" si="190"/>
        <v>No</v>
      </c>
      <c r="F553" s="7" t="str">
        <f t="shared" si="181"/>
        <v>No (not volatile)</v>
      </c>
      <c r="G553" s="270" t="str">
        <f t="shared" si="176"/>
        <v>No (not volatile)</v>
      </c>
      <c r="H553" s="76" t="str">
        <f t="shared" si="192"/>
        <v>--</v>
      </c>
      <c r="I553" s="271" t="str">
        <f t="shared" si="193"/>
        <v>--</v>
      </c>
      <c r="J553" s="272" t="str">
        <f t="shared" si="194"/>
        <v>--</v>
      </c>
      <c r="K553" s="272" t="str">
        <f t="shared" si="195"/>
        <v>--</v>
      </c>
      <c r="L553" s="273" t="str">
        <f t="shared" si="182"/>
        <v>--</v>
      </c>
      <c r="M553" s="7">
        <f t="shared" si="183"/>
        <v>8.0078288606028536E-5</v>
      </c>
      <c r="N553" s="7">
        <f t="shared" si="197"/>
        <v>8.0035999999999991E-5</v>
      </c>
      <c r="O553" s="326">
        <f t="shared" si="184"/>
        <v>25</v>
      </c>
      <c r="P553" s="224" t="str">
        <f t="shared" si="191"/>
        <v/>
      </c>
      <c r="Q553" s="224" t="str">
        <f t="shared" si="185"/>
        <v/>
      </c>
      <c r="R553" s="224"/>
      <c r="S553" s="271" t="str">
        <f t="shared" si="198"/>
        <v/>
      </c>
      <c r="T553" s="7" t="str">
        <f t="shared" si="199"/>
        <v/>
      </c>
      <c r="U553" s="7" t="str">
        <f t="shared" si="186"/>
        <v/>
      </c>
      <c r="V553" s="7" t="str">
        <f t="shared" si="187"/>
        <v/>
      </c>
      <c r="W553" s="7" t="str">
        <f>VLOOKUP(C553,'Tox Summary'!$N$3:$S$1048576,6,FALSE)</f>
        <v/>
      </c>
      <c r="X553" s="76" t="str">
        <f t="shared" si="196"/>
        <v/>
      </c>
      <c r="Y553" s="76" t="str">
        <f t="shared" si="189"/>
        <v/>
      </c>
      <c r="AA553" s="243"/>
    </row>
    <row r="554" spans="1:27">
      <c r="A554" s="265"/>
      <c r="B554" s="269" t="s">
        <v>122</v>
      </c>
      <c r="C554" s="269" t="s">
        <v>1260</v>
      </c>
      <c r="D554" s="280" t="str">
        <f>VLOOKUP(B554, 'Chem Props'!$1:$1048576,3,FALSE)</f>
        <v>Yes</v>
      </c>
      <c r="E554" s="598" t="str">
        <f t="shared" si="190"/>
        <v>Yes</v>
      </c>
      <c r="F554" s="7" t="str">
        <f t="shared" si="181"/>
        <v>Yes</v>
      </c>
      <c r="G554" s="270" t="str">
        <f t="shared" si="176"/>
        <v>Yes</v>
      </c>
      <c r="H554" s="76">
        <f t="shared" si="192"/>
        <v>0.31905594405594401</v>
      </c>
      <c r="I554" s="271" t="str">
        <f t="shared" si="193"/>
        <v>C</v>
      </c>
      <c r="J554" s="272">
        <f t="shared" si="194"/>
        <v>10.635198135198134</v>
      </c>
      <c r="K554" s="272">
        <f t="shared" si="195"/>
        <v>272.8606380363841</v>
      </c>
      <c r="L554" s="273" t="str">
        <f t="shared" si="182"/>
        <v>--</v>
      </c>
      <c r="M554" s="7">
        <f t="shared" si="183"/>
        <v>117717988.31102322</v>
      </c>
      <c r="N554" s="7">
        <f t="shared" si="197"/>
        <v>129792300.00000001</v>
      </c>
      <c r="O554" s="326">
        <f t="shared" si="184"/>
        <v>25</v>
      </c>
      <c r="P554" s="224" t="str">
        <f t="shared" si="191"/>
        <v/>
      </c>
      <c r="Q554" s="224" t="str">
        <f t="shared" si="185"/>
        <v/>
      </c>
      <c r="R554" s="224"/>
      <c r="S554" s="271">
        <f t="shared" si="198"/>
        <v>8.8000000000000004E-6</v>
      </c>
      <c r="T554" s="7" t="str">
        <f t="shared" si="199"/>
        <v>P</v>
      </c>
      <c r="U554" s="7">
        <f t="shared" si="186"/>
        <v>5.0000000000000001E-3</v>
      </c>
      <c r="V554" s="7" t="str">
        <f t="shared" si="187"/>
        <v>P</v>
      </c>
      <c r="W554" s="7" t="str">
        <f>VLOOKUP(C554,'Tox Summary'!$N$3:$S$1048576,6,FALSE)</f>
        <v/>
      </c>
      <c r="X554" s="76">
        <f t="shared" si="196"/>
        <v>0.31905594405594401</v>
      </c>
      <c r="Y554" s="76">
        <f t="shared" si="189"/>
        <v>5.2142857142857144</v>
      </c>
      <c r="AA554" s="243"/>
    </row>
    <row r="555" spans="1:27">
      <c r="A555" s="265"/>
      <c r="B555" s="344" t="s">
        <v>123</v>
      </c>
      <c r="C555" s="269" t="s">
        <v>1261</v>
      </c>
      <c r="D555" s="280" t="str">
        <f>VLOOKUP(B555, 'Chem Props'!$1:$1048576,3,FALSE)</f>
        <v>Yes</v>
      </c>
      <c r="E555" s="598" t="str">
        <f t="shared" si="190"/>
        <v>Yes</v>
      </c>
      <c r="F555" s="7" t="str">
        <f t="shared" si="181"/>
        <v>Yes</v>
      </c>
      <c r="G555" s="270" t="str">
        <f t="shared" ref="G555:G618" si="200">IF(LEFT(D555,2)="No","No (not volatile)",IF(D555="unknown","unknown",IF(H555="NVT","No",IF(AND(X555="",Y555=""),"No Inhal. Tox. Info",IF(MIN(X555:Y555)&gt;=N555,"No",IF(N555&gt;H555,"Yes","No"))))))</f>
        <v>Yes</v>
      </c>
      <c r="H555" s="76">
        <f t="shared" si="192"/>
        <v>1.0398860398860398E-3</v>
      </c>
      <c r="I555" s="271" t="str">
        <f t="shared" si="193"/>
        <v>C</v>
      </c>
      <c r="J555" s="272">
        <f t="shared" si="194"/>
        <v>3.466286799620133E-2</v>
      </c>
      <c r="K555" s="272">
        <f t="shared" si="195"/>
        <v>0.21374402168219356</v>
      </c>
      <c r="L555" s="273" t="str">
        <f t="shared" si="182"/>
        <v>--</v>
      </c>
      <c r="M555" s="7">
        <f t="shared" si="183"/>
        <v>82506353.559044957</v>
      </c>
      <c r="N555" s="7">
        <f t="shared" si="197"/>
        <v>82706700</v>
      </c>
      <c r="O555" s="326">
        <f t="shared" si="184"/>
        <v>25</v>
      </c>
      <c r="P555" s="224">
        <f t="shared" si="191"/>
        <v>2.6</v>
      </c>
      <c r="Q555" s="224" t="str">
        <f t="shared" si="185"/>
        <v>N</v>
      </c>
      <c r="R555" s="224"/>
      <c r="S555" s="271">
        <f t="shared" si="198"/>
        <v>2.7000000000000001E-3</v>
      </c>
      <c r="T555" s="7" t="str">
        <f t="shared" si="199"/>
        <v>H</v>
      </c>
      <c r="U555" s="7">
        <f t="shared" si="186"/>
        <v>0.02</v>
      </c>
      <c r="V555" s="7" t="str">
        <f t="shared" si="187"/>
        <v>I</v>
      </c>
      <c r="W555" s="7" t="str">
        <f>VLOOKUP(C555,'Tox Summary'!$N$3:$S$1048576,6,FALSE)</f>
        <v/>
      </c>
      <c r="X555" s="76">
        <f t="shared" si="196"/>
        <v>1.0398860398860398E-3</v>
      </c>
      <c r="Y555" s="76">
        <f t="shared" si="189"/>
        <v>20.857142857142858</v>
      </c>
      <c r="AA555" s="332"/>
    </row>
    <row r="556" spans="1:27">
      <c r="A556" s="265"/>
      <c r="B556" s="344" t="s">
        <v>218</v>
      </c>
      <c r="C556" s="269" t="s">
        <v>2358</v>
      </c>
      <c r="D556" s="280" t="str">
        <f>VLOOKUP(B556, 'Chem Props'!$1:$1048576,3,FALSE)</f>
        <v>No</v>
      </c>
      <c r="E556" s="598" t="str">
        <f t="shared" si="190"/>
        <v>Yes</v>
      </c>
      <c r="F556" s="7" t="str">
        <f t="shared" si="181"/>
        <v>No (not volatile)</v>
      </c>
      <c r="G556" s="270" t="str">
        <f t="shared" si="200"/>
        <v>No (not volatile)</v>
      </c>
      <c r="H556" s="76">
        <f t="shared" si="192"/>
        <v>2.5524475524475523E-2</v>
      </c>
      <c r="I556" s="271" t="str">
        <f t="shared" si="193"/>
        <v>C</v>
      </c>
      <c r="J556" s="272" t="str">
        <f t="shared" si="194"/>
        <v>NVT</v>
      </c>
      <c r="K556" s="272" t="str">
        <f t="shared" si="195"/>
        <v>NVT</v>
      </c>
      <c r="L556" s="273" t="str">
        <f t="shared" si="182"/>
        <v>--</v>
      </c>
      <c r="M556" s="7">
        <f t="shared" si="183"/>
        <v>0.74039296307792113</v>
      </c>
      <c r="N556" s="7">
        <f t="shared" si="197"/>
        <v>6.8008639999999995E-2</v>
      </c>
      <c r="O556" s="326">
        <f t="shared" si="184"/>
        <v>25</v>
      </c>
      <c r="P556" s="224" t="str">
        <f t="shared" si="191"/>
        <v/>
      </c>
      <c r="Q556" s="224" t="str">
        <f t="shared" si="185"/>
        <v/>
      </c>
      <c r="R556" s="224"/>
      <c r="S556" s="271">
        <f t="shared" si="198"/>
        <v>1.1E-4</v>
      </c>
      <c r="T556" s="7" t="str">
        <f t="shared" si="199"/>
        <v>CA</v>
      </c>
      <c r="U556" s="7" t="str">
        <f t="shared" si="186"/>
        <v/>
      </c>
      <c r="V556" s="7" t="str">
        <f t="shared" si="187"/>
        <v/>
      </c>
      <c r="W556" s="7" t="str">
        <f>VLOOKUP(C556,'Tox Summary'!$N$3:$S$1048576,6,FALSE)</f>
        <v/>
      </c>
      <c r="X556" s="76">
        <f t="shared" si="196"/>
        <v>2.5524475524475523E-2</v>
      </c>
      <c r="Y556" s="76" t="str">
        <f t="shared" si="189"/>
        <v/>
      </c>
      <c r="AA556" s="332"/>
    </row>
    <row r="557" spans="1:27">
      <c r="A557" s="265"/>
      <c r="B557" s="344" t="s">
        <v>128</v>
      </c>
      <c r="C557" s="269" t="s">
        <v>1265</v>
      </c>
      <c r="D557" s="280" t="str">
        <f>VLOOKUP(B557, 'Chem Props'!$1:$1048576,3,FALSE)</f>
        <v>No</v>
      </c>
      <c r="E557" s="598" t="str">
        <f t="shared" si="190"/>
        <v>Yes</v>
      </c>
      <c r="F557" s="7" t="str">
        <f t="shared" si="181"/>
        <v>No (not volatile)</v>
      </c>
      <c r="G557" s="270" t="str">
        <f t="shared" si="200"/>
        <v>No (not volatile)</v>
      </c>
      <c r="H557" s="76">
        <f t="shared" si="192"/>
        <v>3.5096153846153845E-3</v>
      </c>
      <c r="I557" s="271" t="str">
        <f t="shared" si="193"/>
        <v>C</v>
      </c>
      <c r="J557" s="272">
        <f t="shared" si="194"/>
        <v>0.11698717948717949</v>
      </c>
      <c r="K557" s="272">
        <f t="shared" si="195"/>
        <v>17698514.294580858</v>
      </c>
      <c r="L557" s="273" t="str">
        <f t="shared" si="182"/>
        <v>--</v>
      </c>
      <c r="M557" s="7">
        <f t="shared" si="183"/>
        <v>3608.9552532260986</v>
      </c>
      <c r="N557" s="7">
        <f t="shared" si="197"/>
        <v>198.29999999999998</v>
      </c>
      <c r="O557" s="326">
        <f t="shared" si="184"/>
        <v>25</v>
      </c>
      <c r="P557" s="224" t="str">
        <f t="shared" si="191"/>
        <v/>
      </c>
      <c r="Q557" s="224" t="str">
        <f t="shared" si="185"/>
        <v/>
      </c>
      <c r="R557" s="224"/>
      <c r="S557" s="271">
        <f t="shared" si="198"/>
        <v>8.0000000000000004E-4</v>
      </c>
      <c r="T557" s="7" t="str">
        <f t="shared" si="199"/>
        <v>CA</v>
      </c>
      <c r="U557" s="7" t="str">
        <f t="shared" si="186"/>
        <v/>
      </c>
      <c r="V557" s="7" t="str">
        <f t="shared" si="187"/>
        <v/>
      </c>
      <c r="W557" s="7" t="str">
        <f>VLOOKUP(C557,'Tox Summary'!$N$3:$S$1048576,6,FALSE)</f>
        <v/>
      </c>
      <c r="X557" s="76">
        <f t="shared" si="196"/>
        <v>3.5096153846153845E-3</v>
      </c>
      <c r="Y557" s="76" t="str">
        <f t="shared" si="189"/>
        <v/>
      </c>
      <c r="AA557" s="332"/>
    </row>
    <row r="558" spans="1:27">
      <c r="A558" s="265"/>
      <c r="B558" s="344" t="s">
        <v>129</v>
      </c>
      <c r="C558" s="269" t="s">
        <v>1266</v>
      </c>
      <c r="D558" s="280" t="str">
        <f>VLOOKUP(B558, 'Chem Props'!$1:$1048576,3,FALSE)</f>
        <v>No</v>
      </c>
      <c r="E558" s="598" t="str">
        <f t="shared" si="190"/>
        <v>Yes</v>
      </c>
      <c r="F558" s="7" t="str">
        <f t="shared" si="181"/>
        <v>No (not volatile)</v>
      </c>
      <c r="G558" s="270" t="str">
        <f t="shared" si="200"/>
        <v>No (not volatile)</v>
      </c>
      <c r="H558" s="76">
        <f t="shared" si="192"/>
        <v>2.3578811369509045E-5</v>
      </c>
      <c r="I558" s="271" t="str">
        <f t="shared" si="193"/>
        <v>C</v>
      </c>
      <c r="J558" s="272">
        <f t="shared" si="194"/>
        <v>7.8596037898363488E-4</v>
      </c>
      <c r="K558" s="272">
        <f t="shared" si="195"/>
        <v>0.15888686906677255</v>
      </c>
      <c r="L558" s="273" t="str">
        <f t="shared" si="182"/>
        <v>--</v>
      </c>
      <c r="M558" s="7">
        <f t="shared" si="183"/>
        <v>4726585.2545919465</v>
      </c>
      <c r="N558" s="7">
        <f t="shared" si="197"/>
        <v>15730400</v>
      </c>
      <c r="O558" s="326">
        <f t="shared" si="184"/>
        <v>25</v>
      </c>
      <c r="P558" s="224" t="str">
        <f t="shared" si="191"/>
        <v/>
      </c>
      <c r="Q558" s="224" t="str">
        <f t="shared" si="185"/>
        <v/>
      </c>
      <c r="R558" s="224"/>
      <c r="S558" s="271">
        <f t="shared" si="198"/>
        <v>4.2999999999999997E-2</v>
      </c>
      <c r="T558" s="7" t="str">
        <f t="shared" si="199"/>
        <v>I</v>
      </c>
      <c r="U558" s="7" t="str">
        <f t="shared" si="186"/>
        <v/>
      </c>
      <c r="V558" s="7" t="str">
        <f t="shared" si="187"/>
        <v/>
      </c>
      <c r="W558" s="7" t="str">
        <f>VLOOKUP(C558,'Tox Summary'!$N$3:$S$1048576,6,FALSE)</f>
        <v>Mut</v>
      </c>
      <c r="X558" s="76">
        <f t="shared" si="196"/>
        <v>2.3578811369509045E-5</v>
      </c>
      <c r="Y558" s="76" t="str">
        <f t="shared" si="189"/>
        <v/>
      </c>
      <c r="AA558" s="332"/>
    </row>
    <row r="559" spans="1:27">
      <c r="A559" s="265"/>
      <c r="B559" s="269" t="s">
        <v>130</v>
      </c>
      <c r="C559" s="269" t="s">
        <v>1267</v>
      </c>
      <c r="D559" s="280" t="str">
        <f>VLOOKUP(B559, 'Chem Props'!$1:$1048576,3,FALSE)</f>
        <v>Yes</v>
      </c>
      <c r="E559" s="598" t="str">
        <f t="shared" si="190"/>
        <v>Yes</v>
      </c>
      <c r="F559" s="7" t="str">
        <f t="shared" si="181"/>
        <v>Yes</v>
      </c>
      <c r="G559" s="270" t="str">
        <f t="shared" si="200"/>
        <v>Yes</v>
      </c>
      <c r="H559" s="76">
        <f t="shared" si="192"/>
        <v>7.2420634920634908E-5</v>
      </c>
      <c r="I559" s="271" t="str">
        <f t="shared" si="193"/>
        <v>C</v>
      </c>
      <c r="J559" s="272">
        <f t="shared" si="194"/>
        <v>2.4140211640211635E-3</v>
      </c>
      <c r="K559" s="272">
        <f t="shared" si="195"/>
        <v>0.97339563065369505</v>
      </c>
      <c r="L559" s="273" t="str">
        <f t="shared" si="182"/>
        <v>--</v>
      </c>
      <c r="M559" s="7">
        <f t="shared" si="183"/>
        <v>10763053.920781611</v>
      </c>
      <c r="N559" s="7">
        <f t="shared" si="197"/>
        <v>74400000</v>
      </c>
      <c r="O559" s="326">
        <f t="shared" si="184"/>
        <v>25</v>
      </c>
      <c r="P559" s="224" t="str">
        <f t="shared" si="191"/>
        <v/>
      </c>
      <c r="Q559" s="224" t="str">
        <f t="shared" si="185"/>
        <v/>
      </c>
      <c r="R559" s="224"/>
      <c r="S559" s="271">
        <f t="shared" si="198"/>
        <v>1.4E-2</v>
      </c>
      <c r="T559" s="7" t="str">
        <f t="shared" si="199"/>
        <v>I</v>
      </c>
      <c r="U559" s="7">
        <f t="shared" si="186"/>
        <v>4.0000000000000003E-5</v>
      </c>
      <c r="V559" s="7" t="str">
        <f t="shared" si="187"/>
        <v>X</v>
      </c>
      <c r="W559" s="7" t="str">
        <f>VLOOKUP(C559,'Tox Summary'!$N$3:$S$1048576,6,FALSE)</f>
        <v>Mut</v>
      </c>
      <c r="X559" s="76">
        <f t="shared" si="196"/>
        <v>7.2420634920634908E-5</v>
      </c>
      <c r="Y559" s="76">
        <f t="shared" si="189"/>
        <v>4.1714285714285711E-2</v>
      </c>
      <c r="AA559" s="243"/>
    </row>
    <row r="560" spans="1:27">
      <c r="A560" s="265"/>
      <c r="B560" s="344" t="s">
        <v>126</v>
      </c>
      <c r="C560" s="269" t="s">
        <v>1262</v>
      </c>
      <c r="D560" s="280" t="str">
        <f>VLOOKUP(B560, 'Chem Props'!$1:$1048576,3,FALSE)</f>
        <v>Yes</v>
      </c>
      <c r="E560" s="598" t="str">
        <f t="shared" si="190"/>
        <v>Yes</v>
      </c>
      <c r="F560" s="7" t="str">
        <f t="shared" si="181"/>
        <v>Yes</v>
      </c>
      <c r="G560" s="270" t="str">
        <f t="shared" si="200"/>
        <v>Yes</v>
      </c>
      <c r="H560" s="76">
        <f t="shared" si="192"/>
        <v>1.7548076923076922E-3</v>
      </c>
      <c r="I560" s="271" t="str">
        <f t="shared" si="193"/>
        <v>C</v>
      </c>
      <c r="J560" s="272">
        <f t="shared" si="194"/>
        <v>5.8493589743589744E-2</v>
      </c>
      <c r="K560" s="272">
        <f t="shared" si="195"/>
        <v>3.2514502358860327</v>
      </c>
      <c r="L560" s="273" t="str">
        <f t="shared" si="182"/>
        <v>--</v>
      </c>
      <c r="M560" s="7">
        <f t="shared" si="183"/>
        <v>399364.77140003152</v>
      </c>
      <c r="N560" s="7">
        <f t="shared" si="197"/>
        <v>685419.00000000012</v>
      </c>
      <c r="O560" s="326">
        <f t="shared" si="184"/>
        <v>25</v>
      </c>
      <c r="P560" s="224" t="str">
        <f t="shared" si="191"/>
        <v/>
      </c>
      <c r="Q560" s="224" t="str">
        <f t="shared" si="185"/>
        <v/>
      </c>
      <c r="R560" s="224"/>
      <c r="S560" s="271">
        <f t="shared" si="198"/>
        <v>1.6000000000000001E-3</v>
      </c>
      <c r="T560" s="7" t="str">
        <f t="shared" si="199"/>
        <v>I</v>
      </c>
      <c r="U560" s="7" t="str">
        <f t="shared" si="186"/>
        <v/>
      </c>
      <c r="V560" s="7" t="str">
        <f t="shared" si="187"/>
        <v/>
      </c>
      <c r="W560" s="7" t="str">
        <f>VLOOKUP(C560,'Tox Summary'!$N$3:$S$1048576,6,FALSE)</f>
        <v/>
      </c>
      <c r="X560" s="76">
        <f t="shared" si="196"/>
        <v>1.7548076923076922E-3</v>
      </c>
      <c r="Y560" s="76" t="str">
        <f t="shared" si="189"/>
        <v/>
      </c>
      <c r="AA560" s="332"/>
    </row>
    <row r="561" spans="1:27">
      <c r="A561" s="265"/>
      <c r="B561" s="344" t="s">
        <v>127</v>
      </c>
      <c r="C561" s="269" t="s">
        <v>1263</v>
      </c>
      <c r="D561" s="280" t="str">
        <f>VLOOKUP(B561, 'Chem Props'!$1:$1048576,3,FALSE)</f>
        <v>No</v>
      </c>
      <c r="E561" s="598" t="str">
        <f t="shared" si="190"/>
        <v>Yes</v>
      </c>
      <c r="F561" s="7" t="str">
        <f t="shared" si="181"/>
        <v>No (not volatile)</v>
      </c>
      <c r="G561" s="270" t="str">
        <f t="shared" si="200"/>
        <v>No (not volatile)</v>
      </c>
      <c r="H561" s="76">
        <f t="shared" si="192"/>
        <v>1.4038461538461537E-3</v>
      </c>
      <c r="I561" s="271" t="str">
        <f t="shared" si="193"/>
        <v>C</v>
      </c>
      <c r="J561" s="272">
        <f t="shared" si="194"/>
        <v>4.6794871794871795E-2</v>
      </c>
      <c r="K561" s="272">
        <f t="shared" si="195"/>
        <v>6.3811188811188808</v>
      </c>
      <c r="L561" s="273" t="str">
        <f t="shared" si="182"/>
        <v>--</v>
      </c>
      <c r="M561" s="7">
        <f t="shared" si="183"/>
        <v>602461.45907120174</v>
      </c>
      <c r="N561" s="7">
        <f t="shared" si="197"/>
        <v>2860000.0000000005</v>
      </c>
      <c r="O561" s="326">
        <f t="shared" si="184"/>
        <v>25</v>
      </c>
      <c r="P561" s="224" t="str">
        <f t="shared" si="191"/>
        <v/>
      </c>
      <c r="Q561" s="224" t="str">
        <f t="shared" si="185"/>
        <v/>
      </c>
      <c r="R561" s="224"/>
      <c r="S561" s="271">
        <f t="shared" si="198"/>
        <v>2E-3</v>
      </c>
      <c r="T561" s="7" t="str">
        <f t="shared" si="199"/>
        <v>CA</v>
      </c>
      <c r="U561" s="7" t="str">
        <f t="shared" si="186"/>
        <v/>
      </c>
      <c r="V561" s="7" t="str">
        <f t="shared" si="187"/>
        <v/>
      </c>
      <c r="W561" s="7" t="str">
        <f>VLOOKUP(C561,'Tox Summary'!$N$3:$S$1048576,6,FALSE)</f>
        <v/>
      </c>
      <c r="X561" s="76">
        <f t="shared" si="196"/>
        <v>1.4038461538461537E-3</v>
      </c>
      <c r="Y561" s="76" t="str">
        <f t="shared" si="189"/>
        <v/>
      </c>
      <c r="AA561" s="332"/>
    </row>
    <row r="562" spans="1:27">
      <c r="A562" s="265"/>
      <c r="B562" s="344" t="s">
        <v>131</v>
      </c>
      <c r="C562" s="269" t="s">
        <v>1268</v>
      </c>
      <c r="D562" s="280" t="str">
        <f>VLOOKUP(B562, 'Chem Props'!$1:$1048576,3,FALSE)</f>
        <v>No</v>
      </c>
      <c r="E562" s="598" t="str">
        <f t="shared" si="190"/>
        <v>Yes</v>
      </c>
      <c r="F562" s="7" t="str">
        <f t="shared" si="181"/>
        <v>No (not volatile)</v>
      </c>
      <c r="G562" s="270" t="str">
        <f t="shared" si="200"/>
        <v>No (not volatile)</v>
      </c>
      <c r="H562" s="76">
        <f t="shared" si="192"/>
        <v>1.0798816568047336</v>
      </c>
      <c r="I562" s="271" t="str">
        <f t="shared" si="193"/>
        <v>C</v>
      </c>
      <c r="J562" s="272">
        <f t="shared" si="194"/>
        <v>35.996055226824453</v>
      </c>
      <c r="K562" s="272">
        <f t="shared" si="195"/>
        <v>21815.791046560276</v>
      </c>
      <c r="L562" s="273" t="str">
        <f t="shared" si="182"/>
        <v>--</v>
      </c>
      <c r="M562" s="7">
        <f t="shared" si="183"/>
        <v>1066651.557845549</v>
      </c>
      <c r="N562" s="7">
        <f t="shared" si="197"/>
        <v>1732.4999999999998</v>
      </c>
      <c r="O562" s="326">
        <f t="shared" si="184"/>
        <v>25</v>
      </c>
      <c r="P562" s="224" t="str">
        <f t="shared" si="191"/>
        <v/>
      </c>
      <c r="Q562" s="224" t="str">
        <f t="shared" si="185"/>
        <v/>
      </c>
      <c r="R562" s="224"/>
      <c r="S562" s="271">
        <f t="shared" si="198"/>
        <v>2.6000000000000001E-6</v>
      </c>
      <c r="T562" s="7" t="str">
        <f t="shared" si="199"/>
        <v>CA</v>
      </c>
      <c r="U562" s="7" t="str">
        <f t="shared" si="186"/>
        <v/>
      </c>
      <c r="V562" s="7" t="str">
        <f t="shared" si="187"/>
        <v/>
      </c>
      <c r="W562" s="7" t="str">
        <f>VLOOKUP(C562,'Tox Summary'!$N$3:$S$1048576,6,FALSE)</f>
        <v/>
      </c>
      <c r="X562" s="76">
        <f t="shared" si="196"/>
        <v>1.0798816568047336</v>
      </c>
      <c r="Y562" s="76" t="str">
        <f t="shared" si="189"/>
        <v/>
      </c>
      <c r="AA562" s="332"/>
    </row>
    <row r="563" spans="1:27">
      <c r="A563" s="265"/>
      <c r="B563" s="344" t="s">
        <v>132</v>
      </c>
      <c r="C563" s="269" t="s">
        <v>1269</v>
      </c>
      <c r="D563" s="280" t="str">
        <f>VLOOKUP(B563, 'Chem Props'!$1:$1048576,3,FALSE)</f>
        <v>Yes</v>
      </c>
      <c r="E563" s="598" t="str">
        <f t="shared" si="190"/>
        <v>Yes</v>
      </c>
      <c r="F563" s="7" t="str">
        <f t="shared" si="181"/>
        <v>Yes</v>
      </c>
      <c r="G563" s="270" t="str">
        <f t="shared" si="200"/>
        <v>Yes</v>
      </c>
      <c r="H563" s="76">
        <f t="shared" si="192"/>
        <v>4.4566544566544567E-4</v>
      </c>
      <c r="I563" s="271" t="str">
        <f t="shared" si="193"/>
        <v>C</v>
      </c>
      <c r="J563" s="272">
        <f t="shared" si="194"/>
        <v>1.4855514855514855E-2</v>
      </c>
      <c r="K563" s="272">
        <f t="shared" si="195"/>
        <v>7.5664761573080757</v>
      </c>
      <c r="L563" s="273" t="str">
        <f t="shared" si="182"/>
        <v>--</v>
      </c>
      <c r="M563" s="7">
        <f t="shared" si="183"/>
        <v>5215201.313522093</v>
      </c>
      <c r="N563" s="7">
        <f t="shared" si="197"/>
        <v>17670000</v>
      </c>
      <c r="O563" s="326">
        <f t="shared" si="184"/>
        <v>25</v>
      </c>
      <c r="P563" s="224" t="str">
        <f t="shared" si="191"/>
        <v/>
      </c>
      <c r="Q563" s="224" t="str">
        <f t="shared" si="185"/>
        <v/>
      </c>
      <c r="R563" s="224"/>
      <c r="S563" s="271">
        <f t="shared" si="198"/>
        <v>6.3E-3</v>
      </c>
      <c r="T563" s="7" t="str">
        <f t="shared" si="199"/>
        <v>CA</v>
      </c>
      <c r="U563" s="7" t="str">
        <f t="shared" si="186"/>
        <v/>
      </c>
      <c r="V563" s="7" t="str">
        <f t="shared" si="187"/>
        <v/>
      </c>
      <c r="W563" s="7" t="str">
        <f>VLOOKUP(C563,'Tox Summary'!$N$3:$S$1048576,6,FALSE)</f>
        <v/>
      </c>
      <c r="X563" s="76">
        <f t="shared" si="196"/>
        <v>4.4566544566544567E-4</v>
      </c>
      <c r="Y563" s="76" t="str">
        <f t="shared" si="189"/>
        <v/>
      </c>
      <c r="AA563" s="332"/>
    </row>
    <row r="564" spans="1:27">
      <c r="A564" s="265"/>
      <c r="B564" s="344" t="s">
        <v>133</v>
      </c>
      <c r="C564" s="269" t="s">
        <v>606</v>
      </c>
      <c r="D564" s="280" t="str">
        <f>VLOOKUP(B564, 'Chem Props'!$1:$1048576,3,FALSE)</f>
        <v>No</v>
      </c>
      <c r="E564" s="598" t="str">
        <f t="shared" si="190"/>
        <v>Yes</v>
      </c>
      <c r="F564" s="7" t="str">
        <f t="shared" si="181"/>
        <v>No (not volatile)</v>
      </c>
      <c r="G564" s="270" t="str">
        <f t="shared" si="200"/>
        <v>No (not volatile)</v>
      </c>
      <c r="H564" s="76">
        <f t="shared" si="192"/>
        <v>1.4777327935222673E-3</v>
      </c>
      <c r="I564" s="271" t="str">
        <f t="shared" si="193"/>
        <v>C</v>
      </c>
      <c r="J564" s="272">
        <f t="shared" si="194"/>
        <v>4.925775978407558E-2</v>
      </c>
      <c r="K564" s="272">
        <f t="shared" si="195"/>
        <v>1475.3721980054584</v>
      </c>
      <c r="L564" s="273" t="str">
        <f t="shared" si="182"/>
        <v>--</v>
      </c>
      <c r="M564" s="7">
        <f t="shared" si="183"/>
        <v>224937.94280850046</v>
      </c>
      <c r="N564" s="7">
        <f t="shared" si="197"/>
        <v>1001600</v>
      </c>
      <c r="O564" s="326">
        <f t="shared" si="184"/>
        <v>25</v>
      </c>
      <c r="P564" s="224" t="str">
        <f t="shared" si="191"/>
        <v/>
      </c>
      <c r="Q564" s="224" t="str">
        <f t="shared" si="185"/>
        <v/>
      </c>
      <c r="R564" s="224"/>
      <c r="S564" s="271">
        <f t="shared" si="198"/>
        <v>1.9E-3</v>
      </c>
      <c r="T564" s="7" t="str">
        <f t="shared" si="199"/>
        <v>CA</v>
      </c>
      <c r="U564" s="7" t="str">
        <f t="shared" si="186"/>
        <v/>
      </c>
      <c r="V564" s="7" t="str">
        <f t="shared" si="187"/>
        <v/>
      </c>
      <c r="W564" s="7" t="str">
        <f>VLOOKUP(C564,'Tox Summary'!$N$3:$S$1048576,6,FALSE)</f>
        <v/>
      </c>
      <c r="X564" s="76">
        <f t="shared" si="196"/>
        <v>1.4777327935222673E-3</v>
      </c>
      <c r="Y564" s="76" t="str">
        <f t="shared" si="189"/>
        <v/>
      </c>
      <c r="AA564" s="332"/>
    </row>
    <row r="565" spans="1:27">
      <c r="A565" s="265"/>
      <c r="B565" s="344" t="s">
        <v>124</v>
      </c>
      <c r="C565" s="269" t="s">
        <v>1264</v>
      </c>
      <c r="D565" s="280" t="str">
        <f>VLOOKUP(B565, 'Chem Props'!$1:$1048576,3,FALSE)</f>
        <v>No</v>
      </c>
      <c r="E565" s="598" t="str">
        <f t="shared" si="190"/>
        <v>Yes</v>
      </c>
      <c r="F565" s="7" t="str">
        <f t="shared" si="181"/>
        <v>No (not volatile)</v>
      </c>
      <c r="G565" s="270" t="str">
        <f t="shared" si="200"/>
        <v>No (not volatile)</v>
      </c>
      <c r="H565" s="76">
        <f t="shared" si="192"/>
        <v>1.3167388167388167E-4</v>
      </c>
      <c r="I565" s="271" t="str">
        <f t="shared" si="193"/>
        <v>C</v>
      </c>
      <c r="J565" s="272">
        <f t="shared" si="194"/>
        <v>4.3891293891293896E-3</v>
      </c>
      <c r="K565" s="272">
        <f t="shared" si="195"/>
        <v>24399.414756306131</v>
      </c>
      <c r="L565" s="273" t="str">
        <f t="shared" si="182"/>
        <v>--</v>
      </c>
      <c r="M565" s="7">
        <f t="shared" si="183"/>
        <v>115318.30803052252</v>
      </c>
      <c r="N565" s="7">
        <f t="shared" si="197"/>
        <v>70.155799999999999</v>
      </c>
      <c r="O565" s="326">
        <f t="shared" si="184"/>
        <v>25</v>
      </c>
      <c r="P565" s="224" t="str">
        <f t="shared" ref="P565:P601" si="201">IF(VLOOKUP(B565,AllChemProps,32,FALSE)&gt;0,VLOOKUP(B565,AllChemProps,32,FALSE),"")</f>
        <v/>
      </c>
      <c r="Q565" s="224" t="str">
        <f t="shared" si="185"/>
        <v/>
      </c>
      <c r="R565" s="224"/>
      <c r="S565" s="271">
        <f t="shared" si="198"/>
        <v>7.7000000000000002E-3</v>
      </c>
      <c r="T565" s="7" t="str">
        <f t="shared" si="199"/>
        <v>CA</v>
      </c>
      <c r="U565" s="7" t="str">
        <f t="shared" si="186"/>
        <v/>
      </c>
      <c r="V565" s="7" t="str">
        <f t="shared" si="187"/>
        <v/>
      </c>
      <c r="W565" s="7" t="str">
        <f>VLOOKUP(C565,'Tox Summary'!$N$3:$S$1048576,6,FALSE)</f>
        <v>Mut</v>
      </c>
      <c r="X565" s="76">
        <f t="shared" si="196"/>
        <v>1.3167388167388167E-4</v>
      </c>
      <c r="Y565" s="76" t="str">
        <f t="shared" si="189"/>
        <v/>
      </c>
      <c r="AA565" s="332"/>
    </row>
    <row r="566" spans="1:27">
      <c r="A566" s="265"/>
      <c r="B566" s="344" t="s">
        <v>125</v>
      </c>
      <c r="C566" s="269" t="s">
        <v>605</v>
      </c>
      <c r="D566" s="280" t="str">
        <f>VLOOKUP(B566, 'Chem Props'!$1:$1048576,3,FALSE)</f>
        <v>No</v>
      </c>
      <c r="E566" s="598" t="str">
        <f t="shared" si="190"/>
        <v>Yes</v>
      </c>
      <c r="F566" s="7" t="str">
        <f t="shared" si="181"/>
        <v>No (not volatile)</v>
      </c>
      <c r="G566" s="270" t="str">
        <f t="shared" si="200"/>
        <v>No (not volatile)</v>
      </c>
      <c r="H566" s="76">
        <f t="shared" si="192"/>
        <v>2.9820261437908495E-5</v>
      </c>
      <c r="I566" s="271" t="str">
        <f t="shared" si="193"/>
        <v>C</v>
      </c>
      <c r="J566" s="272">
        <f t="shared" si="194"/>
        <v>9.9400871459694997E-4</v>
      </c>
      <c r="K566" s="272">
        <f t="shared" si="195"/>
        <v>7360.3014779485366</v>
      </c>
      <c r="L566" s="273" t="str">
        <f t="shared" si="182"/>
        <v>--</v>
      </c>
      <c r="M566" s="7">
        <f t="shared" si="183"/>
        <v>162515.66199231558</v>
      </c>
      <c r="N566" s="7">
        <f t="shared" si="197"/>
        <v>58.3416</v>
      </c>
      <c r="O566" s="326">
        <f t="shared" si="184"/>
        <v>25</v>
      </c>
      <c r="P566" s="224" t="str">
        <f t="shared" si="201"/>
        <v/>
      </c>
      <c r="Q566" s="224" t="str">
        <f t="shared" si="185"/>
        <v/>
      </c>
      <c r="R566" s="224"/>
      <c r="S566" s="271">
        <f t="shared" si="198"/>
        <v>3.4000000000000002E-2</v>
      </c>
      <c r="T566" s="7" t="str">
        <f t="shared" si="199"/>
        <v>CA</v>
      </c>
      <c r="U566" s="7" t="str">
        <f t="shared" si="186"/>
        <v/>
      </c>
      <c r="V566" s="7" t="str">
        <f t="shared" si="187"/>
        <v/>
      </c>
      <c r="W566" s="7" t="str">
        <f>VLOOKUP(C566,'Tox Summary'!$N$3:$S$1048576,6,FALSE)</f>
        <v>Mut</v>
      </c>
      <c r="X566" s="76">
        <f t="shared" si="196"/>
        <v>2.9820261437908495E-5</v>
      </c>
      <c r="Y566" s="76" t="str">
        <f t="shared" si="189"/>
        <v/>
      </c>
      <c r="AA566" s="332"/>
    </row>
    <row r="567" spans="1:27">
      <c r="A567" s="265"/>
      <c r="B567" s="344" t="s">
        <v>134</v>
      </c>
      <c r="C567" s="269" t="s">
        <v>607</v>
      </c>
      <c r="D567" s="280" t="str">
        <f>VLOOKUP(B567, 'Chem Props'!$1:$1048576,3,FALSE)</f>
        <v>No</v>
      </c>
      <c r="E567" s="598" t="str">
        <f t="shared" si="190"/>
        <v>Yes</v>
      </c>
      <c r="F567" s="7" t="str">
        <f t="shared" si="181"/>
        <v>No (not volatile)</v>
      </c>
      <c r="G567" s="270" t="str">
        <f t="shared" si="200"/>
        <v>No (not volatile)</v>
      </c>
      <c r="H567" s="76">
        <f t="shared" si="192"/>
        <v>1.0398860398860398E-3</v>
      </c>
      <c r="I567" s="271" t="str">
        <f t="shared" si="193"/>
        <v>C</v>
      </c>
      <c r="J567" s="272">
        <f t="shared" si="194"/>
        <v>3.466286799620133E-2</v>
      </c>
      <c r="K567" s="272">
        <f t="shared" si="195"/>
        <v>30.141624344522899</v>
      </c>
      <c r="L567" s="273" t="str">
        <f t="shared" si="182"/>
        <v>--</v>
      </c>
      <c r="M567" s="7">
        <f t="shared" si="183"/>
        <v>565089.1050891584</v>
      </c>
      <c r="N567" s="7">
        <f t="shared" si="197"/>
        <v>2639249.9999999995</v>
      </c>
      <c r="O567" s="326">
        <f t="shared" si="184"/>
        <v>25</v>
      </c>
      <c r="P567" s="224" t="str">
        <f t="shared" si="201"/>
        <v/>
      </c>
      <c r="Q567" s="224" t="str">
        <f t="shared" si="185"/>
        <v/>
      </c>
      <c r="R567" s="224"/>
      <c r="S567" s="271">
        <f t="shared" si="198"/>
        <v>2.7000000000000001E-3</v>
      </c>
      <c r="T567" s="7" t="str">
        <f t="shared" si="199"/>
        <v>CA</v>
      </c>
      <c r="U567" s="7" t="str">
        <f t="shared" si="186"/>
        <v/>
      </c>
      <c r="V567" s="7" t="str">
        <f t="shared" si="187"/>
        <v/>
      </c>
      <c r="W567" s="7" t="str">
        <f>VLOOKUP(C567,'Tox Summary'!$N$3:$S$1048576,6,FALSE)</f>
        <v/>
      </c>
      <c r="X567" s="76">
        <f t="shared" si="196"/>
        <v>1.0398860398860398E-3</v>
      </c>
      <c r="Y567" s="76" t="str">
        <f t="shared" si="189"/>
        <v/>
      </c>
      <c r="AA567" s="332"/>
    </row>
    <row r="568" spans="1:27">
      <c r="A568" s="265"/>
      <c r="B568" s="344" t="s">
        <v>135</v>
      </c>
      <c r="C568" s="269" t="s">
        <v>1270</v>
      </c>
      <c r="D568" s="280" t="str">
        <f>VLOOKUP(B568, 'Chem Props'!$1:$1048576,3,FALSE)</f>
        <v>No</v>
      </c>
      <c r="E568" s="598" t="str">
        <f t="shared" si="190"/>
        <v>Yes</v>
      </c>
      <c r="F568" s="7" t="str">
        <f t="shared" si="181"/>
        <v>No (not volatile)</v>
      </c>
      <c r="G568" s="270" t="str">
        <f t="shared" si="200"/>
        <v>No (not volatile)</v>
      </c>
      <c r="H568" s="76">
        <f t="shared" si="192"/>
        <v>4.6027742749054227E-3</v>
      </c>
      <c r="I568" s="271" t="str">
        <f t="shared" si="193"/>
        <v>C</v>
      </c>
      <c r="J568" s="272">
        <f t="shared" si="194"/>
        <v>0.15342580916351409</v>
      </c>
      <c r="K568" s="272">
        <f t="shared" si="195"/>
        <v>2302.3080606769822</v>
      </c>
      <c r="L568" s="273" t="str">
        <f t="shared" si="182"/>
        <v>--</v>
      </c>
      <c r="M568" s="7">
        <f t="shared" si="183"/>
        <v>323240.1371280725</v>
      </c>
      <c r="N568" s="7">
        <f t="shared" si="197"/>
        <v>1999199.9999999998</v>
      </c>
      <c r="O568" s="326">
        <f t="shared" si="184"/>
        <v>25</v>
      </c>
      <c r="P568" s="224" t="str">
        <f t="shared" si="201"/>
        <v/>
      </c>
      <c r="Q568" s="224" t="str">
        <f t="shared" si="185"/>
        <v/>
      </c>
      <c r="R568" s="224"/>
      <c r="S568" s="271">
        <f t="shared" si="198"/>
        <v>6.0999999999999997E-4</v>
      </c>
      <c r="T568" s="7" t="str">
        <f t="shared" si="199"/>
        <v>I</v>
      </c>
      <c r="U568" s="7" t="str">
        <f t="shared" si="186"/>
        <v/>
      </c>
      <c r="V568" s="7" t="str">
        <f t="shared" si="187"/>
        <v/>
      </c>
      <c r="W568" s="7" t="str">
        <f>VLOOKUP(C568,'Tox Summary'!$N$3:$S$1048576,6,FALSE)</f>
        <v/>
      </c>
      <c r="X568" s="76">
        <f t="shared" si="196"/>
        <v>4.6027742749054227E-3</v>
      </c>
      <c r="Y568" s="76" t="str">
        <f t="shared" si="189"/>
        <v/>
      </c>
      <c r="AA568" s="332"/>
    </row>
    <row r="569" spans="1:27">
      <c r="A569" s="265"/>
      <c r="B569" s="344" t="s">
        <v>136</v>
      </c>
      <c r="C569" s="269" t="s">
        <v>538</v>
      </c>
      <c r="D569" s="280" t="str">
        <f>VLOOKUP(B569, 'Chem Props'!$1:$1048576,3,FALSE)</f>
        <v>No</v>
      </c>
      <c r="E569" s="598" t="str">
        <f t="shared" si="190"/>
        <v>No</v>
      </c>
      <c r="F569" s="7" t="str">
        <f t="shared" si="181"/>
        <v>No (not volatile)</v>
      </c>
      <c r="G569" s="270" t="str">
        <f t="shared" si="200"/>
        <v>No (not volatile)</v>
      </c>
      <c r="H569" s="76" t="str">
        <f t="shared" si="192"/>
        <v>--</v>
      </c>
      <c r="I569" s="271" t="str">
        <f t="shared" si="193"/>
        <v>--</v>
      </c>
      <c r="J569" s="272" t="str">
        <f t="shared" si="194"/>
        <v>--</v>
      </c>
      <c r="K569" s="272" t="str">
        <f t="shared" si="195"/>
        <v>--</v>
      </c>
      <c r="L569" s="273" t="str">
        <f t="shared" si="182"/>
        <v>--</v>
      </c>
      <c r="M569" s="7">
        <f t="shared" si="183"/>
        <v>1512764.0569945215</v>
      </c>
      <c r="N569" s="7">
        <f t="shared" ref="N569:N599" si="202">IF(INDEX(HLC,MATCH(C569,ChemNameChem,0))="","No HLC",IF(INDEX(Sol,MATCH(C569,ChemNameChem,0))="No S","No S",INDEX(HLC,MATCH(C569,ChemNameChem,0))*INDEX(Sol,MATCH(C569,ChemNameChem,0))*1000000))</f>
        <v>190100.00000000003</v>
      </c>
      <c r="O569" s="326">
        <f t="shared" si="184"/>
        <v>25</v>
      </c>
      <c r="P569" s="224" t="str">
        <f t="shared" si="201"/>
        <v/>
      </c>
      <c r="Q569" s="224" t="str">
        <f t="shared" si="185"/>
        <v/>
      </c>
      <c r="R569" s="224"/>
      <c r="S569" s="271" t="str">
        <f t="shared" si="198"/>
        <v/>
      </c>
      <c r="T569" s="7" t="str">
        <f t="shared" si="199"/>
        <v/>
      </c>
      <c r="U569" s="7" t="str">
        <f t="shared" si="186"/>
        <v/>
      </c>
      <c r="V569" s="7" t="str">
        <f t="shared" si="187"/>
        <v/>
      </c>
      <c r="W569" s="7" t="str">
        <f>VLOOKUP(C569,'Tox Summary'!$N$3:$S$1048576,6,FALSE)</f>
        <v/>
      </c>
      <c r="X569" s="76" t="str">
        <f t="shared" si="196"/>
        <v/>
      </c>
      <c r="Y569" s="76" t="str">
        <f t="shared" si="189"/>
        <v/>
      </c>
      <c r="AA569" s="332"/>
    </row>
    <row r="570" spans="1:27">
      <c r="A570" s="265"/>
      <c r="B570" s="344" t="s">
        <v>137</v>
      </c>
      <c r="C570" s="269" t="s">
        <v>1271</v>
      </c>
      <c r="D570" s="280" t="str">
        <f>VLOOKUP(B570, 'Chem Props'!$1:$1048576,3,FALSE)</f>
        <v>Yes</v>
      </c>
      <c r="E570" s="598" t="str">
        <f t="shared" si="190"/>
        <v>No</v>
      </c>
      <c r="F570" s="7" t="str">
        <f t="shared" si="181"/>
        <v>No Inhal. Tox. Info</v>
      </c>
      <c r="G570" s="270" t="str">
        <f t="shared" si="200"/>
        <v>No Inhal. Tox. Info</v>
      </c>
      <c r="H570" s="76" t="str">
        <f t="shared" si="192"/>
        <v>--</v>
      </c>
      <c r="I570" s="271" t="str">
        <f t="shared" si="193"/>
        <v>--</v>
      </c>
      <c r="J570" s="272" t="str">
        <f t="shared" si="194"/>
        <v>--</v>
      </c>
      <c r="K570" s="272" t="str">
        <f t="shared" si="195"/>
        <v>--</v>
      </c>
      <c r="L570" s="273" t="str">
        <f t="shared" si="182"/>
        <v>--</v>
      </c>
      <c r="M570" s="7">
        <f t="shared" si="183"/>
        <v>1387315.3303169273</v>
      </c>
      <c r="N570" s="7">
        <f t="shared" si="202"/>
        <v>332149.99999999994</v>
      </c>
      <c r="O570" s="326">
        <f t="shared" si="184"/>
        <v>25</v>
      </c>
      <c r="P570" s="224">
        <f t="shared" si="201"/>
        <v>2.2000000000000002</v>
      </c>
      <c r="Q570" s="224" t="str">
        <f t="shared" si="185"/>
        <v>N</v>
      </c>
      <c r="R570" s="224"/>
      <c r="S570" s="271" t="str">
        <f t="shared" si="198"/>
        <v/>
      </c>
      <c r="T570" s="7" t="str">
        <f t="shared" si="199"/>
        <v/>
      </c>
      <c r="U570" s="7" t="str">
        <f t="shared" si="186"/>
        <v/>
      </c>
      <c r="V570" s="7" t="str">
        <f t="shared" si="187"/>
        <v/>
      </c>
      <c r="W570" s="7" t="str">
        <f>VLOOKUP(C570,'Tox Summary'!$N$3:$S$1048576,6,FALSE)</f>
        <v/>
      </c>
      <c r="X570" s="76" t="str">
        <f t="shared" si="196"/>
        <v/>
      </c>
      <c r="Y570" s="76" t="str">
        <f t="shared" si="189"/>
        <v/>
      </c>
      <c r="AA570" s="332"/>
    </row>
    <row r="571" spans="1:27">
      <c r="A571" s="265"/>
      <c r="B571" s="344" t="s">
        <v>138</v>
      </c>
      <c r="C571" s="269" t="s">
        <v>1272</v>
      </c>
      <c r="D571" s="280" t="str">
        <f>VLOOKUP(B571, 'Chem Props'!$1:$1048576,3,FALSE)</f>
        <v>No</v>
      </c>
      <c r="E571" s="598" t="str">
        <f t="shared" si="190"/>
        <v>No</v>
      </c>
      <c r="F571" s="7" t="str">
        <f t="shared" si="181"/>
        <v>No (not volatile)</v>
      </c>
      <c r="G571" s="270" t="str">
        <f t="shared" si="200"/>
        <v>No (not volatile)</v>
      </c>
      <c r="H571" s="76" t="str">
        <f t="shared" si="192"/>
        <v>--</v>
      </c>
      <c r="I571" s="271" t="str">
        <f t="shared" si="193"/>
        <v>--</v>
      </c>
      <c r="J571" s="272" t="str">
        <f t="shared" si="194"/>
        <v>--</v>
      </c>
      <c r="K571" s="272" t="str">
        <f t="shared" si="195"/>
        <v>--</v>
      </c>
      <c r="L571" s="273" t="str">
        <f t="shared" si="182"/>
        <v>--</v>
      </c>
      <c r="M571" s="7">
        <f t="shared" si="183"/>
        <v>115855.58875519018</v>
      </c>
      <c r="N571" s="7">
        <f t="shared" si="202"/>
        <v>101748.40000000001</v>
      </c>
      <c r="O571" s="326">
        <f t="shared" si="184"/>
        <v>25</v>
      </c>
      <c r="P571" s="224" t="str">
        <f t="shared" si="201"/>
        <v/>
      </c>
      <c r="Q571" s="224" t="str">
        <f t="shared" si="185"/>
        <v/>
      </c>
      <c r="R571" s="224"/>
      <c r="S571" s="271" t="str">
        <f t="shared" si="198"/>
        <v/>
      </c>
      <c r="T571" s="7" t="str">
        <f t="shared" si="199"/>
        <v/>
      </c>
      <c r="U571" s="7" t="str">
        <f t="shared" si="186"/>
        <v/>
      </c>
      <c r="V571" s="7" t="str">
        <f t="shared" si="187"/>
        <v/>
      </c>
      <c r="W571" s="7" t="str">
        <f>VLOOKUP(C571,'Tox Summary'!$N$3:$S$1048576,6,FALSE)</f>
        <v/>
      </c>
      <c r="X571" s="76" t="str">
        <f t="shared" si="196"/>
        <v/>
      </c>
      <c r="Y571" s="76" t="str">
        <f t="shared" si="189"/>
        <v/>
      </c>
      <c r="AA571" s="332"/>
    </row>
    <row r="572" spans="1:27">
      <c r="A572" s="265"/>
      <c r="B572" s="344" t="s">
        <v>139</v>
      </c>
      <c r="C572" s="269" t="s">
        <v>608</v>
      </c>
      <c r="D572" s="280" t="str">
        <f>VLOOKUP(B572, 'Chem Props'!$1:$1048576,3,FALSE)</f>
        <v>Yes</v>
      </c>
      <c r="E572" s="598" t="str">
        <f t="shared" si="190"/>
        <v>Yes</v>
      </c>
      <c r="F572" s="7" t="str">
        <f t="shared" si="181"/>
        <v>Yes</v>
      </c>
      <c r="G572" s="270" t="str">
        <f t="shared" si="200"/>
        <v>Yes</v>
      </c>
      <c r="H572" s="76">
        <f t="shared" si="192"/>
        <v>20.857142857142858</v>
      </c>
      <c r="I572" s="271" t="str">
        <f t="shared" si="193"/>
        <v>NC</v>
      </c>
      <c r="J572" s="272">
        <f t="shared" si="194"/>
        <v>695.2380952380953</v>
      </c>
      <c r="K572" s="272">
        <f t="shared" si="195"/>
        <v>0.1500487427174331</v>
      </c>
      <c r="L572" s="273" t="str">
        <f t="shared" si="182"/>
        <v>--</v>
      </c>
      <c r="M572" s="7">
        <f t="shared" si="183"/>
        <v>30711741.068518985</v>
      </c>
      <c r="N572" s="7">
        <f t="shared" si="202"/>
        <v>30580539</v>
      </c>
      <c r="O572" s="326">
        <f t="shared" si="184"/>
        <v>25</v>
      </c>
      <c r="P572" s="224" t="str">
        <f t="shared" si="201"/>
        <v/>
      </c>
      <c r="Q572" s="224" t="str">
        <f t="shared" si="185"/>
        <v/>
      </c>
      <c r="R572" s="224"/>
      <c r="S572" s="271" t="str">
        <f t="shared" si="198"/>
        <v/>
      </c>
      <c r="T572" s="7" t="str">
        <f t="shared" si="199"/>
        <v/>
      </c>
      <c r="U572" s="7">
        <f t="shared" si="186"/>
        <v>0.02</v>
      </c>
      <c r="V572" s="7" t="str">
        <f t="shared" si="187"/>
        <v>P</v>
      </c>
      <c r="W572" s="7" t="str">
        <f>VLOOKUP(C572,'Tox Summary'!$N$3:$S$1048576,6,FALSE)</f>
        <v/>
      </c>
      <c r="X572" s="76" t="str">
        <f t="shared" si="196"/>
        <v/>
      </c>
      <c r="Y572" s="76">
        <f t="shared" si="189"/>
        <v>20.857142857142858</v>
      </c>
      <c r="AA572" s="332"/>
    </row>
    <row r="573" spans="1:27">
      <c r="A573" s="265"/>
      <c r="B573" s="269" t="s">
        <v>140</v>
      </c>
      <c r="C573" s="269" t="s">
        <v>1273</v>
      </c>
      <c r="D573" s="280" t="str">
        <f>VLOOKUP(B573, 'Chem Props'!$1:$1048576,3,FALSE)</f>
        <v>No</v>
      </c>
      <c r="E573" s="598" t="str">
        <f t="shared" si="190"/>
        <v>No</v>
      </c>
      <c r="F573" s="7" t="str">
        <f t="shared" si="181"/>
        <v>No (not volatile)</v>
      </c>
      <c r="G573" s="270" t="str">
        <f t="shared" si="200"/>
        <v>No (not volatile)</v>
      </c>
      <c r="H573" s="76" t="str">
        <f t="shared" si="192"/>
        <v>--</v>
      </c>
      <c r="I573" s="271" t="str">
        <f t="shared" si="193"/>
        <v>--</v>
      </c>
      <c r="J573" s="272" t="str">
        <f t="shared" si="194"/>
        <v>--</v>
      </c>
      <c r="K573" s="272" t="str">
        <f t="shared" si="195"/>
        <v>--</v>
      </c>
      <c r="L573" s="273" t="str">
        <f t="shared" si="182"/>
        <v>--</v>
      </c>
      <c r="M573" s="7">
        <f t="shared" si="183"/>
        <v>0.47222929277610259</v>
      </c>
      <c r="N573" s="7">
        <f t="shared" si="202"/>
        <v>0.47257510000000003</v>
      </c>
      <c r="O573" s="326">
        <f t="shared" si="184"/>
        <v>25</v>
      </c>
      <c r="P573" s="224" t="str">
        <f t="shared" si="201"/>
        <v/>
      </c>
      <c r="Q573" s="224" t="str">
        <f t="shared" si="185"/>
        <v/>
      </c>
      <c r="R573" s="224"/>
      <c r="S573" s="271" t="str">
        <f t="shared" si="198"/>
        <v/>
      </c>
      <c r="T573" s="7" t="str">
        <f t="shared" si="199"/>
        <v/>
      </c>
      <c r="U573" s="7" t="str">
        <f t="shared" si="186"/>
        <v/>
      </c>
      <c r="V573" s="7" t="str">
        <f t="shared" si="187"/>
        <v/>
      </c>
      <c r="W573" s="7" t="str">
        <f>VLOOKUP(C573,'Tox Summary'!$N$3:$S$1048576,6,FALSE)</f>
        <v/>
      </c>
      <c r="X573" s="76" t="str">
        <f t="shared" si="196"/>
        <v/>
      </c>
      <c r="Y573" s="76" t="str">
        <f t="shared" si="189"/>
        <v/>
      </c>
      <c r="AA573" s="243"/>
    </row>
    <row r="574" spans="1:27">
      <c r="A574" s="265"/>
      <c r="B574" s="344" t="s">
        <v>142</v>
      </c>
      <c r="C574" s="269" t="s">
        <v>1274</v>
      </c>
      <c r="D574" s="280" t="str">
        <f>VLOOKUP(B574, 'Chem Props'!$1:$1048576,3,FALSE)</f>
        <v>No</v>
      </c>
      <c r="E574" s="598" t="str">
        <f t="shared" si="190"/>
        <v>No</v>
      </c>
      <c r="F574" s="7" t="str">
        <f t="shared" si="181"/>
        <v>No (not volatile)</v>
      </c>
      <c r="G574" s="270" t="str">
        <f t="shared" si="200"/>
        <v>No (not volatile)</v>
      </c>
      <c r="H574" s="76" t="str">
        <f t="shared" si="192"/>
        <v>--</v>
      </c>
      <c r="I574" s="271" t="str">
        <f t="shared" si="193"/>
        <v>--</v>
      </c>
      <c r="J574" s="272" t="str">
        <f t="shared" si="194"/>
        <v>--</v>
      </c>
      <c r="K574" s="272" t="str">
        <f t="shared" si="195"/>
        <v>--</v>
      </c>
      <c r="L574" s="273" t="str">
        <f t="shared" si="182"/>
        <v>--</v>
      </c>
      <c r="M574" s="7">
        <f t="shared" si="183"/>
        <v>547640.31493283447</v>
      </c>
      <c r="N574" s="7">
        <f t="shared" si="202"/>
        <v>3.3944909999999995E-8</v>
      </c>
      <c r="O574" s="326">
        <f t="shared" si="184"/>
        <v>25</v>
      </c>
      <c r="P574" s="224" t="str">
        <f t="shared" si="201"/>
        <v/>
      </c>
      <c r="Q574" s="224" t="str">
        <f t="shared" si="185"/>
        <v/>
      </c>
      <c r="R574" s="224"/>
      <c r="S574" s="271" t="str">
        <f t="shared" si="198"/>
        <v/>
      </c>
      <c r="T574" s="7" t="str">
        <f t="shared" si="199"/>
        <v/>
      </c>
      <c r="U574" s="7" t="str">
        <f t="shared" si="186"/>
        <v/>
      </c>
      <c r="V574" s="7" t="str">
        <f t="shared" si="187"/>
        <v/>
      </c>
      <c r="W574" s="7" t="str">
        <f>VLOOKUP(C574,'Tox Summary'!$N$3:$S$1048576,6,FALSE)</f>
        <v/>
      </c>
      <c r="X574" s="76" t="str">
        <f t="shared" si="196"/>
        <v/>
      </c>
      <c r="Y574" s="76" t="str">
        <f t="shared" si="189"/>
        <v/>
      </c>
      <c r="AA574" s="332"/>
    </row>
    <row r="575" spans="1:27">
      <c r="A575" s="265"/>
      <c r="B575" s="269" t="s">
        <v>143</v>
      </c>
      <c r="C575" s="269" t="s">
        <v>2047</v>
      </c>
      <c r="D575" s="280" t="str">
        <f>VLOOKUP(B575, 'Chem Props'!$1:$1048576,3,FALSE)</f>
        <v>No</v>
      </c>
      <c r="E575" s="598" t="str">
        <f t="shared" si="190"/>
        <v>No</v>
      </c>
      <c r="F575" s="7" t="str">
        <f t="shared" si="181"/>
        <v>No (not volatile)</v>
      </c>
      <c r="G575" s="270" t="str">
        <f t="shared" si="200"/>
        <v>No (not volatile)</v>
      </c>
      <c r="H575" s="76" t="str">
        <f t="shared" si="192"/>
        <v>--</v>
      </c>
      <c r="I575" s="271" t="str">
        <f t="shared" si="193"/>
        <v>--</v>
      </c>
      <c r="J575" s="272" t="str">
        <f t="shared" si="194"/>
        <v>--</v>
      </c>
      <c r="K575" s="272" t="str">
        <f t="shared" si="195"/>
        <v>--</v>
      </c>
      <c r="L575" s="273" t="str">
        <f t="shared" si="182"/>
        <v>--</v>
      </c>
      <c r="M575" s="7">
        <f t="shared" si="183"/>
        <v>5.2588832857088965E-7</v>
      </c>
      <c r="N575" s="7">
        <f t="shared" si="202"/>
        <v>0.17723</v>
      </c>
      <c r="O575" s="326">
        <f t="shared" si="184"/>
        <v>25</v>
      </c>
      <c r="P575" s="224" t="str">
        <f t="shared" si="201"/>
        <v/>
      </c>
      <c r="Q575" s="224" t="str">
        <f t="shared" si="185"/>
        <v/>
      </c>
      <c r="R575" s="224"/>
      <c r="S575" s="271" t="str">
        <f t="shared" si="198"/>
        <v/>
      </c>
      <c r="T575" s="7" t="str">
        <f t="shared" si="199"/>
        <v/>
      </c>
      <c r="U575" s="7" t="str">
        <f t="shared" si="186"/>
        <v/>
      </c>
      <c r="V575" s="7" t="str">
        <f t="shared" si="187"/>
        <v/>
      </c>
      <c r="W575" s="7" t="str">
        <f>VLOOKUP(C575,'Tox Summary'!$N$3:$S$1048576,6,FALSE)</f>
        <v/>
      </c>
      <c r="X575" s="76" t="str">
        <f t="shared" si="196"/>
        <v/>
      </c>
      <c r="Y575" s="76" t="str">
        <f t="shared" si="189"/>
        <v/>
      </c>
      <c r="AA575" s="243"/>
    </row>
    <row r="576" spans="1:27">
      <c r="A576" s="265"/>
      <c r="B576" s="344" t="s">
        <v>144</v>
      </c>
      <c r="C576" s="269" t="s">
        <v>1275</v>
      </c>
      <c r="D576" s="280" t="str">
        <f>VLOOKUP(B576, 'Chem Props'!$1:$1048576,3,FALSE)</f>
        <v>No</v>
      </c>
      <c r="E576" s="598" t="str">
        <f t="shared" si="190"/>
        <v>No</v>
      </c>
      <c r="F576" s="7" t="str">
        <f t="shared" si="181"/>
        <v>No (not volatile)</v>
      </c>
      <c r="G576" s="270" t="str">
        <f t="shared" si="200"/>
        <v>No (not volatile)</v>
      </c>
      <c r="H576" s="76" t="str">
        <f t="shared" si="192"/>
        <v>--</v>
      </c>
      <c r="I576" s="271" t="str">
        <f t="shared" si="193"/>
        <v>--</v>
      </c>
      <c r="J576" s="272" t="str">
        <f t="shared" si="194"/>
        <v>--</v>
      </c>
      <c r="K576" s="272" t="str">
        <f t="shared" si="195"/>
        <v>--</v>
      </c>
      <c r="L576" s="273" t="str">
        <f t="shared" si="182"/>
        <v>--</v>
      </c>
      <c r="M576" s="7">
        <f t="shared" si="183"/>
        <v>15402.76489094932</v>
      </c>
      <c r="N576" s="7">
        <f t="shared" si="202"/>
        <v>15401</v>
      </c>
      <c r="O576" s="326">
        <f t="shared" si="184"/>
        <v>25</v>
      </c>
      <c r="P576" s="224" t="str">
        <f t="shared" si="201"/>
        <v/>
      </c>
      <c r="Q576" s="224" t="str">
        <f t="shared" si="185"/>
        <v/>
      </c>
      <c r="R576" s="224"/>
      <c r="S576" s="271" t="str">
        <f t="shared" si="198"/>
        <v/>
      </c>
      <c r="T576" s="7" t="str">
        <f t="shared" si="199"/>
        <v/>
      </c>
      <c r="U576" s="7" t="str">
        <f t="shared" si="186"/>
        <v/>
      </c>
      <c r="V576" s="7" t="str">
        <f t="shared" si="187"/>
        <v/>
      </c>
      <c r="W576" s="7" t="str">
        <f>VLOOKUP(C576,'Tox Summary'!$N$3:$S$1048576,6,FALSE)</f>
        <v/>
      </c>
      <c r="X576" s="76" t="str">
        <f t="shared" si="196"/>
        <v/>
      </c>
      <c r="Y576" s="76" t="str">
        <f t="shared" si="189"/>
        <v/>
      </c>
      <c r="AA576" s="332"/>
    </row>
    <row r="577" spans="1:27">
      <c r="A577" s="265"/>
      <c r="B577" s="344" t="s">
        <v>2001</v>
      </c>
      <c r="C577" s="269" t="s">
        <v>2344</v>
      </c>
      <c r="D577" s="280" t="str">
        <f>VLOOKUP(B577, 'Chem Props'!$1:$1048576,3,FALSE)</f>
        <v>No</v>
      </c>
      <c r="E577" s="598" t="str">
        <f t="shared" si="190"/>
        <v>No</v>
      </c>
      <c r="F577" s="7" t="str">
        <f t="shared" si="181"/>
        <v>No (not volatile)</v>
      </c>
      <c r="G577" s="270" t="str">
        <f t="shared" si="200"/>
        <v>No (not volatile)</v>
      </c>
      <c r="H577" s="76" t="str">
        <f t="shared" si="192"/>
        <v>--</v>
      </c>
      <c r="I577" s="271" t="str">
        <f t="shared" si="193"/>
        <v>--</v>
      </c>
      <c r="J577" s="272" t="str">
        <f t="shared" si="194"/>
        <v>--</v>
      </c>
      <c r="K577" s="272" t="str">
        <f t="shared" si="195"/>
        <v>--</v>
      </c>
      <c r="L577" s="273" t="str">
        <f t="shared" si="182"/>
        <v>--</v>
      </c>
      <c r="M577" s="7">
        <f t="shared" si="183"/>
        <v>2.1016097409460524</v>
      </c>
      <c r="N577" s="7">
        <f t="shared" si="202"/>
        <v>2.3121999999999998</v>
      </c>
      <c r="O577" s="326">
        <f t="shared" si="184"/>
        <v>25</v>
      </c>
      <c r="P577" s="224" t="str">
        <f t="shared" si="201"/>
        <v/>
      </c>
      <c r="Q577" s="224" t="str">
        <f t="shared" si="185"/>
        <v/>
      </c>
      <c r="R577" s="224"/>
      <c r="S577" s="271" t="str">
        <f t="shared" si="198"/>
        <v/>
      </c>
      <c r="T577" s="7" t="str">
        <f t="shared" si="199"/>
        <v/>
      </c>
      <c r="U577" s="7" t="str">
        <f t="shared" si="186"/>
        <v/>
      </c>
      <c r="V577" s="7" t="str">
        <f t="shared" si="187"/>
        <v/>
      </c>
      <c r="W577" s="7" t="str">
        <f>VLOOKUP(C577,'Tox Summary'!$N$3:$S$1048576,6,FALSE)</f>
        <v/>
      </c>
      <c r="X577" s="76" t="str">
        <f t="shared" si="196"/>
        <v/>
      </c>
      <c r="Y577" s="76" t="str">
        <f t="shared" si="189"/>
        <v/>
      </c>
      <c r="AA577" s="332"/>
    </row>
    <row r="578" spans="1:27">
      <c r="A578" s="265"/>
      <c r="B578" s="344" t="s">
        <v>145</v>
      </c>
      <c r="C578" s="269" t="s">
        <v>1276</v>
      </c>
      <c r="D578" s="280" t="str">
        <f>VLOOKUP(B578, 'Chem Props'!$1:$1048576,3,FALSE)</f>
        <v>No</v>
      </c>
      <c r="E578" s="598" t="str">
        <f t="shared" si="190"/>
        <v>No</v>
      </c>
      <c r="F578" s="7" t="str">
        <f t="shared" si="181"/>
        <v>No (not volatile)</v>
      </c>
      <c r="G578" s="270" t="str">
        <f t="shared" si="200"/>
        <v>No (not volatile)</v>
      </c>
      <c r="H578" s="76" t="str">
        <f t="shared" si="192"/>
        <v>--</v>
      </c>
      <c r="I578" s="271" t="str">
        <f t="shared" si="193"/>
        <v>--</v>
      </c>
      <c r="J578" s="272" t="str">
        <f t="shared" si="194"/>
        <v>--</v>
      </c>
      <c r="K578" s="272" t="str">
        <f t="shared" si="195"/>
        <v>--</v>
      </c>
      <c r="L578" s="273" t="str">
        <f t="shared" si="182"/>
        <v>--</v>
      </c>
      <c r="M578" s="7">
        <f t="shared" si="183"/>
        <v>0.18171280721182448</v>
      </c>
      <c r="N578" s="7">
        <f t="shared" si="202"/>
        <v>0.19521750000000002</v>
      </c>
      <c r="O578" s="326">
        <f t="shared" si="184"/>
        <v>25</v>
      </c>
      <c r="P578" s="224" t="str">
        <f t="shared" si="201"/>
        <v/>
      </c>
      <c r="Q578" s="224" t="str">
        <f t="shared" si="185"/>
        <v/>
      </c>
      <c r="R578" s="224"/>
      <c r="S578" s="271" t="str">
        <f t="shared" si="198"/>
        <v/>
      </c>
      <c r="T578" s="7" t="str">
        <f t="shared" si="199"/>
        <v/>
      </c>
      <c r="U578" s="7" t="str">
        <f t="shared" si="186"/>
        <v/>
      </c>
      <c r="V578" s="7" t="str">
        <f t="shared" si="187"/>
        <v/>
      </c>
      <c r="W578" s="7" t="str">
        <f>VLOOKUP(C578,'Tox Summary'!$N$3:$S$1048576,6,FALSE)</f>
        <v/>
      </c>
      <c r="X578" s="76" t="str">
        <f t="shared" si="196"/>
        <v/>
      </c>
      <c r="Y578" s="76" t="str">
        <f t="shared" si="189"/>
        <v/>
      </c>
      <c r="AA578" s="332"/>
    </row>
    <row r="579" spans="1:27">
      <c r="A579" s="265"/>
      <c r="B579" s="344" t="s">
        <v>146</v>
      </c>
      <c r="C579" s="269" t="s">
        <v>1277</v>
      </c>
      <c r="D579" s="280" t="str">
        <f>VLOOKUP(B579, 'Chem Props'!$1:$1048576,3,FALSE)</f>
        <v>No</v>
      </c>
      <c r="E579" s="598" t="str">
        <f t="shared" si="190"/>
        <v>No</v>
      </c>
      <c r="F579" s="7" t="str">
        <f t="shared" si="181"/>
        <v>No (not volatile)</v>
      </c>
      <c r="G579" s="270" t="str">
        <f t="shared" si="200"/>
        <v>No (not volatile)</v>
      </c>
      <c r="H579" s="76" t="str">
        <f t="shared" si="192"/>
        <v>--</v>
      </c>
      <c r="I579" s="271" t="str">
        <f t="shared" si="193"/>
        <v>--</v>
      </c>
      <c r="J579" s="272" t="str">
        <f t="shared" si="194"/>
        <v>--</v>
      </c>
      <c r="K579" s="272" t="str">
        <f t="shared" si="195"/>
        <v>--</v>
      </c>
      <c r="L579" s="273" t="str">
        <f t="shared" si="182"/>
        <v>--</v>
      </c>
      <c r="M579" s="7">
        <f t="shared" si="183"/>
        <v>2.0805575916502099</v>
      </c>
      <c r="N579" s="7">
        <f t="shared" si="202"/>
        <v>2.0805400000000001</v>
      </c>
      <c r="O579" s="326">
        <f t="shared" si="184"/>
        <v>25</v>
      </c>
      <c r="P579" s="224" t="str">
        <f t="shared" si="201"/>
        <v/>
      </c>
      <c r="Q579" s="224" t="str">
        <f t="shared" si="185"/>
        <v/>
      </c>
      <c r="R579" s="224"/>
      <c r="S579" s="271" t="str">
        <f t="shared" si="198"/>
        <v/>
      </c>
      <c r="T579" s="7" t="str">
        <f t="shared" si="199"/>
        <v/>
      </c>
      <c r="U579" s="7" t="str">
        <f t="shared" si="186"/>
        <v/>
      </c>
      <c r="V579" s="7" t="str">
        <f t="shared" si="187"/>
        <v/>
      </c>
      <c r="W579" s="7" t="str">
        <f>VLOOKUP(C579,'Tox Summary'!$N$3:$S$1048576,6,FALSE)</f>
        <v/>
      </c>
      <c r="X579" s="76" t="str">
        <f t="shared" si="196"/>
        <v/>
      </c>
      <c r="Y579" s="76" t="str">
        <f t="shared" si="189"/>
        <v/>
      </c>
      <c r="AA579" s="332"/>
    </row>
    <row r="580" spans="1:27">
      <c r="A580" s="265"/>
      <c r="B580" s="344" t="s">
        <v>147</v>
      </c>
      <c r="C580" s="269" t="s">
        <v>1278</v>
      </c>
      <c r="D580" s="280" t="str">
        <f>VLOOKUP(B580, 'Chem Props'!$1:$1048576,3,FALSE)</f>
        <v>No</v>
      </c>
      <c r="E580" s="598" t="str">
        <f t="shared" si="190"/>
        <v>No</v>
      </c>
      <c r="F580" s="7" t="str">
        <f t="shared" si="181"/>
        <v>No (not volatile)</v>
      </c>
      <c r="G580" s="270" t="str">
        <f t="shared" si="200"/>
        <v>No (not volatile)</v>
      </c>
      <c r="H580" s="76" t="str">
        <f t="shared" si="192"/>
        <v>--</v>
      </c>
      <c r="I580" s="271" t="str">
        <f t="shared" si="193"/>
        <v>--</v>
      </c>
      <c r="J580" s="272" t="str">
        <f t="shared" si="194"/>
        <v>--</v>
      </c>
      <c r="K580" s="272" t="str">
        <f t="shared" si="195"/>
        <v>--</v>
      </c>
      <c r="L580" s="273" t="str">
        <f t="shared" si="182"/>
        <v>No (200)</v>
      </c>
      <c r="M580" s="7">
        <f t="shared" si="183"/>
        <v>2713.5662983322127</v>
      </c>
      <c r="N580" s="7">
        <f t="shared" si="202"/>
        <v>2713.0039999999999</v>
      </c>
      <c r="O580" s="326">
        <f t="shared" si="184"/>
        <v>25</v>
      </c>
      <c r="P580" s="224" t="str">
        <f t="shared" si="201"/>
        <v/>
      </c>
      <c r="Q580" s="224" t="str">
        <f t="shared" si="185"/>
        <v/>
      </c>
      <c r="R580" s="224"/>
      <c r="S580" s="271" t="str">
        <f t="shared" si="198"/>
        <v/>
      </c>
      <c r="T580" s="7" t="str">
        <f t="shared" si="199"/>
        <v/>
      </c>
      <c r="U580" s="7" t="str">
        <f t="shared" si="186"/>
        <v/>
      </c>
      <c r="V580" s="7" t="str">
        <f t="shared" si="187"/>
        <v/>
      </c>
      <c r="W580" s="7" t="str">
        <f>VLOOKUP(C580,'Tox Summary'!$N$3:$S$1048576,6,FALSE)</f>
        <v/>
      </c>
      <c r="X580" s="76" t="str">
        <f t="shared" si="196"/>
        <v/>
      </c>
      <c r="Y580" s="76" t="str">
        <f t="shared" si="189"/>
        <v/>
      </c>
      <c r="AA580" s="332"/>
    </row>
    <row r="581" spans="1:27">
      <c r="A581" s="265"/>
      <c r="B581" s="344" t="s">
        <v>955</v>
      </c>
      <c r="C581" s="269" t="s">
        <v>2316</v>
      </c>
      <c r="D581" s="280" t="str">
        <f>VLOOKUP(B581, 'Chem Props'!$1:$1048576,3,FALSE)</f>
        <v>No</v>
      </c>
      <c r="E581" s="598" t="str">
        <f t="shared" si="190"/>
        <v>No</v>
      </c>
      <c r="F581" s="7" t="str">
        <f t="shared" si="181"/>
        <v>No (not volatile)</v>
      </c>
      <c r="G581" s="270" t="str">
        <f t="shared" si="200"/>
        <v>No (not volatile)</v>
      </c>
      <c r="H581" s="76" t="str">
        <f t="shared" si="192"/>
        <v>--</v>
      </c>
      <c r="I581" s="271" t="str">
        <f t="shared" si="193"/>
        <v>--</v>
      </c>
      <c r="J581" s="272" t="str">
        <f t="shared" si="194"/>
        <v>--</v>
      </c>
      <c r="K581" s="272" t="str">
        <f t="shared" si="195"/>
        <v>--</v>
      </c>
      <c r="L581" s="273" t="str">
        <f t="shared" si="182"/>
        <v>--</v>
      </c>
      <c r="M581" s="7">
        <f t="shared" si="183"/>
        <v>3.8926351711477922</v>
      </c>
      <c r="N581" s="7">
        <f t="shared" si="202"/>
        <v>3.8860000000000006</v>
      </c>
      <c r="O581" s="326">
        <f t="shared" si="184"/>
        <v>25</v>
      </c>
      <c r="P581" s="224" t="str">
        <f t="shared" si="201"/>
        <v/>
      </c>
      <c r="Q581" s="224" t="str">
        <f t="shared" si="185"/>
        <v/>
      </c>
      <c r="R581" s="224"/>
      <c r="S581" s="271" t="str">
        <f t="shared" si="198"/>
        <v/>
      </c>
      <c r="T581" s="7" t="str">
        <f t="shared" si="199"/>
        <v/>
      </c>
      <c r="U581" s="7" t="str">
        <f t="shared" si="186"/>
        <v/>
      </c>
      <c r="V581" s="7" t="str">
        <f t="shared" si="187"/>
        <v/>
      </c>
      <c r="W581" s="7" t="str">
        <f>VLOOKUP(C581,'Tox Summary'!$N$3:$S$1048576,6,FALSE)</f>
        <v/>
      </c>
      <c r="X581" s="76" t="str">
        <f t="shared" si="196"/>
        <v/>
      </c>
      <c r="Y581" s="76" t="str">
        <f t="shared" si="189"/>
        <v/>
      </c>
      <c r="AA581" s="332"/>
    </row>
    <row r="582" spans="1:27">
      <c r="A582" s="265"/>
      <c r="B582" s="344" t="s">
        <v>148</v>
      </c>
      <c r="C582" s="269" t="s">
        <v>1279</v>
      </c>
      <c r="D582" s="280" t="str">
        <f>VLOOKUP(B582, 'Chem Props'!$1:$1048576,3,FALSE)</f>
        <v>No</v>
      </c>
      <c r="E582" s="598" t="str">
        <f t="shared" si="190"/>
        <v>No</v>
      </c>
      <c r="F582" s="7" t="str">
        <f t="shared" si="181"/>
        <v>No (not volatile)</v>
      </c>
      <c r="G582" s="270" t="str">
        <f t="shared" si="200"/>
        <v>No (not volatile)</v>
      </c>
      <c r="H582" s="76" t="str">
        <f t="shared" si="192"/>
        <v>--</v>
      </c>
      <c r="I582" s="271" t="str">
        <f t="shared" si="193"/>
        <v>--</v>
      </c>
      <c r="J582" s="272" t="str">
        <f t="shared" si="194"/>
        <v>--</v>
      </c>
      <c r="K582" s="272" t="str">
        <f t="shared" si="195"/>
        <v>--</v>
      </c>
      <c r="L582" s="273" t="str">
        <f t="shared" si="182"/>
        <v>--</v>
      </c>
      <c r="M582" s="7">
        <f t="shared" si="183"/>
        <v>0.11856765916928147</v>
      </c>
      <c r="N582" s="7">
        <f t="shared" si="202"/>
        <v>8.8012599999999996E-2</v>
      </c>
      <c r="O582" s="326">
        <f t="shared" si="184"/>
        <v>25</v>
      </c>
      <c r="P582" s="224" t="str">
        <f t="shared" si="201"/>
        <v/>
      </c>
      <c r="Q582" s="224" t="str">
        <f t="shared" si="185"/>
        <v/>
      </c>
      <c r="R582" s="224"/>
      <c r="S582" s="271" t="str">
        <f t="shared" si="198"/>
        <v/>
      </c>
      <c r="T582" s="7" t="str">
        <f t="shared" si="199"/>
        <v/>
      </c>
      <c r="U582" s="7" t="str">
        <f t="shared" si="186"/>
        <v/>
      </c>
      <c r="V582" s="7" t="str">
        <f t="shared" si="187"/>
        <v/>
      </c>
      <c r="W582" s="7" t="str">
        <f>VLOOKUP(C582,'Tox Summary'!$N$3:$S$1048576,6,FALSE)</f>
        <v/>
      </c>
      <c r="X582" s="76" t="str">
        <f t="shared" si="196"/>
        <v/>
      </c>
      <c r="Y582" s="76" t="str">
        <f t="shared" si="189"/>
        <v/>
      </c>
      <c r="AA582" s="332"/>
    </row>
    <row r="583" spans="1:27">
      <c r="A583" s="265"/>
      <c r="B583" s="344" t="s">
        <v>149</v>
      </c>
      <c r="C583" s="269" t="s">
        <v>1281</v>
      </c>
      <c r="D583" s="280" t="str">
        <f>VLOOKUP(B583, 'Chem Props'!$1:$1048576,3,FALSE)</f>
        <v>No</v>
      </c>
      <c r="E583" s="598" t="str">
        <f t="shared" si="190"/>
        <v>No</v>
      </c>
      <c r="F583" s="7" t="str">
        <f t="shared" si="181"/>
        <v>No (not volatile)</v>
      </c>
      <c r="G583" s="270" t="str">
        <f t="shared" si="200"/>
        <v>No (not volatile)</v>
      </c>
      <c r="H583" s="76" t="str">
        <f t="shared" si="192"/>
        <v>--</v>
      </c>
      <c r="I583" s="271" t="str">
        <f t="shared" si="193"/>
        <v>--</v>
      </c>
      <c r="J583" s="272" t="str">
        <f t="shared" si="194"/>
        <v>--</v>
      </c>
      <c r="K583" s="272" t="str">
        <f t="shared" si="195"/>
        <v>--</v>
      </c>
      <c r="L583" s="273" t="str">
        <f t="shared" si="182"/>
        <v>--</v>
      </c>
      <c r="M583" s="7">
        <f t="shared" si="183"/>
        <v>1.0378100487397013</v>
      </c>
      <c r="N583" s="7">
        <f t="shared" si="202"/>
        <v>8.1592000000000002</v>
      </c>
      <c r="O583" s="326">
        <f t="shared" si="184"/>
        <v>25</v>
      </c>
      <c r="P583" s="224" t="str">
        <f t="shared" si="201"/>
        <v/>
      </c>
      <c r="Q583" s="224" t="str">
        <f t="shared" si="185"/>
        <v/>
      </c>
      <c r="R583" s="224"/>
      <c r="S583" s="271" t="str">
        <f t="shared" si="198"/>
        <v/>
      </c>
      <c r="T583" s="7" t="str">
        <f t="shared" si="199"/>
        <v/>
      </c>
      <c r="U583" s="7" t="str">
        <f t="shared" si="186"/>
        <v/>
      </c>
      <c r="V583" s="7" t="str">
        <f t="shared" si="187"/>
        <v/>
      </c>
      <c r="W583" s="7" t="str">
        <f>VLOOKUP(C583,'Tox Summary'!$N$3:$S$1048576,6,FALSE)</f>
        <v/>
      </c>
      <c r="X583" s="76" t="str">
        <f t="shared" si="196"/>
        <v/>
      </c>
      <c r="Y583" s="76" t="str">
        <f t="shared" si="189"/>
        <v/>
      </c>
      <c r="AA583" s="332"/>
    </row>
    <row r="584" spans="1:27">
      <c r="A584" s="265"/>
      <c r="B584" s="344" t="s">
        <v>150</v>
      </c>
      <c r="C584" s="269" t="s">
        <v>1282</v>
      </c>
      <c r="D584" s="280" t="str">
        <f>VLOOKUP(B584, 'Chem Props'!$1:$1048576,3,FALSE)</f>
        <v>No</v>
      </c>
      <c r="E584" s="598" t="str">
        <f t="shared" si="190"/>
        <v>No</v>
      </c>
      <c r="F584" s="7" t="str">
        <f t="shared" si="181"/>
        <v>No (not volatile)</v>
      </c>
      <c r="G584" s="270" t="str">
        <f t="shared" si="200"/>
        <v>No (not volatile)</v>
      </c>
      <c r="H584" s="76" t="str">
        <f t="shared" si="192"/>
        <v>--</v>
      </c>
      <c r="I584" s="271" t="str">
        <f t="shared" si="193"/>
        <v>--</v>
      </c>
      <c r="J584" s="272" t="str">
        <f t="shared" si="194"/>
        <v>--</v>
      </c>
      <c r="K584" s="272" t="str">
        <f t="shared" si="195"/>
        <v>--</v>
      </c>
      <c r="L584" s="273" t="str">
        <f t="shared" si="182"/>
        <v>--</v>
      </c>
      <c r="M584" s="7">
        <f t="shared" si="183"/>
        <v>104.69127733897351</v>
      </c>
      <c r="N584" s="7">
        <f t="shared" si="202"/>
        <v>134.20000000000002</v>
      </c>
      <c r="O584" s="326">
        <f t="shared" si="184"/>
        <v>25</v>
      </c>
      <c r="P584" s="224" t="str">
        <f t="shared" si="201"/>
        <v/>
      </c>
      <c r="Q584" s="224" t="str">
        <f t="shared" si="185"/>
        <v/>
      </c>
      <c r="R584" s="224"/>
      <c r="S584" s="271" t="str">
        <f t="shared" si="198"/>
        <v/>
      </c>
      <c r="T584" s="7" t="str">
        <f t="shared" si="199"/>
        <v/>
      </c>
      <c r="U584" s="7" t="str">
        <f t="shared" si="186"/>
        <v/>
      </c>
      <c r="V584" s="7" t="str">
        <f t="shared" si="187"/>
        <v/>
      </c>
      <c r="W584" s="7" t="str">
        <f>VLOOKUP(C584,'Tox Summary'!$N$3:$S$1048576,6,FALSE)</f>
        <v/>
      </c>
      <c r="X584" s="76" t="str">
        <f t="shared" si="196"/>
        <v/>
      </c>
      <c r="Y584" s="76" t="str">
        <f t="shared" si="189"/>
        <v/>
      </c>
      <c r="AA584" s="332"/>
    </row>
    <row r="585" spans="1:27">
      <c r="A585" s="265"/>
      <c r="B585" s="344" t="s">
        <v>151</v>
      </c>
      <c r="C585" s="269" t="s">
        <v>1284</v>
      </c>
      <c r="D585" s="280" t="str">
        <f>VLOOKUP(B585, 'Chem Props'!$1:$1048576,3,FALSE)</f>
        <v>Yes</v>
      </c>
      <c r="E585" s="598" t="str">
        <f t="shared" si="190"/>
        <v>No</v>
      </c>
      <c r="F585" s="7" t="str">
        <f t="shared" si="181"/>
        <v>No Inhal. Tox. Info</v>
      </c>
      <c r="G585" s="270" t="str">
        <f t="shared" si="200"/>
        <v>No Inhal. Tox. Info</v>
      </c>
      <c r="H585" s="76" t="str">
        <f t="shared" si="192"/>
        <v>--</v>
      </c>
      <c r="I585" s="271" t="str">
        <f t="shared" si="193"/>
        <v>--</v>
      </c>
      <c r="J585" s="272" t="str">
        <f t="shared" si="194"/>
        <v>--</v>
      </c>
      <c r="K585" s="272" t="str">
        <f t="shared" si="195"/>
        <v>--</v>
      </c>
      <c r="L585" s="273" t="str">
        <f t="shared" si="182"/>
        <v>--</v>
      </c>
      <c r="M585" s="7">
        <f t="shared" si="183"/>
        <v>968368.4656448809</v>
      </c>
      <c r="N585" s="7">
        <f t="shared" si="202"/>
        <v>968930</v>
      </c>
      <c r="O585" s="326">
        <f t="shared" si="184"/>
        <v>25</v>
      </c>
      <c r="P585" s="224" t="str">
        <f t="shared" si="201"/>
        <v/>
      </c>
      <c r="Q585" s="224" t="str">
        <f t="shared" si="185"/>
        <v/>
      </c>
      <c r="R585" s="224"/>
      <c r="S585" s="271" t="str">
        <f t="shared" si="198"/>
        <v/>
      </c>
      <c r="T585" s="7" t="str">
        <f t="shared" si="199"/>
        <v/>
      </c>
      <c r="U585" s="7" t="str">
        <f t="shared" si="186"/>
        <v/>
      </c>
      <c r="V585" s="7" t="str">
        <f t="shared" si="187"/>
        <v/>
      </c>
      <c r="W585" s="7" t="str">
        <f>VLOOKUP(C585,'Tox Summary'!$N$3:$S$1048576,6,FALSE)</f>
        <v/>
      </c>
      <c r="X585" s="76" t="str">
        <f t="shared" si="196"/>
        <v/>
      </c>
      <c r="Y585" s="76" t="str">
        <f t="shared" si="189"/>
        <v/>
      </c>
      <c r="AA585" s="332"/>
    </row>
    <row r="586" spans="1:27">
      <c r="A586" s="265"/>
      <c r="B586" s="344" t="s">
        <v>152</v>
      </c>
      <c r="C586" s="269" t="s">
        <v>1285</v>
      </c>
      <c r="D586" s="280" t="str">
        <f>VLOOKUP(B586, 'Chem Props'!$1:$1048576,3,FALSE)</f>
        <v>No</v>
      </c>
      <c r="E586" s="598" t="str">
        <f t="shared" si="190"/>
        <v>No</v>
      </c>
      <c r="F586" s="7" t="str">
        <f t="shared" si="181"/>
        <v>No (not volatile)</v>
      </c>
      <c r="G586" s="270" t="str">
        <f t="shared" si="200"/>
        <v>No (not volatile)</v>
      </c>
      <c r="H586" s="76" t="str">
        <f t="shared" si="192"/>
        <v>--</v>
      </c>
      <c r="I586" s="271" t="str">
        <f t="shared" si="193"/>
        <v>--</v>
      </c>
      <c r="J586" s="272" t="str">
        <f t="shared" si="194"/>
        <v>--</v>
      </c>
      <c r="K586" s="272" t="str">
        <f t="shared" si="195"/>
        <v>--</v>
      </c>
      <c r="L586" s="273" t="str">
        <f t="shared" si="182"/>
        <v>--</v>
      </c>
      <c r="M586" s="7">
        <f t="shared" si="183"/>
        <v>220.99946255198293</v>
      </c>
      <c r="N586" s="7">
        <f t="shared" si="202"/>
        <v>11.549999999999999</v>
      </c>
      <c r="O586" s="326">
        <f t="shared" si="184"/>
        <v>25</v>
      </c>
      <c r="P586" s="224" t="str">
        <f t="shared" si="201"/>
        <v/>
      </c>
      <c r="Q586" s="224" t="str">
        <f t="shared" si="185"/>
        <v/>
      </c>
      <c r="R586" s="224"/>
      <c r="S586" s="271" t="str">
        <f t="shared" si="198"/>
        <v/>
      </c>
      <c r="T586" s="7" t="str">
        <f t="shared" si="199"/>
        <v/>
      </c>
      <c r="U586" s="7" t="str">
        <f t="shared" si="186"/>
        <v/>
      </c>
      <c r="V586" s="7" t="str">
        <f t="shared" si="187"/>
        <v/>
      </c>
      <c r="W586" s="7" t="str">
        <f>VLOOKUP(C586,'Tox Summary'!$N$3:$S$1048576,6,FALSE)</f>
        <v/>
      </c>
      <c r="X586" s="76" t="str">
        <f t="shared" si="196"/>
        <v/>
      </c>
      <c r="Y586" s="76" t="str">
        <f t="shared" si="189"/>
        <v/>
      </c>
      <c r="AA586" s="332"/>
    </row>
    <row r="587" spans="1:27">
      <c r="A587" s="265"/>
      <c r="B587" s="344" t="s">
        <v>153</v>
      </c>
      <c r="C587" s="269" t="s">
        <v>1286</v>
      </c>
      <c r="D587" s="280" t="str">
        <f>VLOOKUP(B587, 'Chem Props'!$1:$1048576,3,FALSE)</f>
        <v>Yes</v>
      </c>
      <c r="E587" s="598" t="str">
        <f t="shared" si="190"/>
        <v>No</v>
      </c>
      <c r="F587" s="7" t="str">
        <f t="shared" si="181"/>
        <v>No Inhal. Tox. Info</v>
      </c>
      <c r="G587" s="270" t="str">
        <f t="shared" si="200"/>
        <v>No Inhal. Tox. Info</v>
      </c>
      <c r="H587" s="76" t="str">
        <f t="shared" si="192"/>
        <v>--</v>
      </c>
      <c r="I587" s="271" t="str">
        <f t="shared" si="193"/>
        <v>--</v>
      </c>
      <c r="J587" s="272" t="str">
        <f t="shared" si="194"/>
        <v>--</v>
      </c>
      <c r="K587" s="272" t="str">
        <f t="shared" si="195"/>
        <v>--</v>
      </c>
      <c r="L587" s="273" t="str">
        <f t="shared" si="182"/>
        <v>--</v>
      </c>
      <c r="M587" s="7">
        <f t="shared" si="183"/>
        <v>0.94194377814628938</v>
      </c>
      <c r="N587" s="7">
        <f t="shared" si="202"/>
        <v>10.596959999999999</v>
      </c>
      <c r="O587" s="326">
        <f t="shared" si="184"/>
        <v>25</v>
      </c>
      <c r="P587" s="224" t="str">
        <f t="shared" si="201"/>
        <v/>
      </c>
      <c r="Q587" s="224" t="str">
        <f t="shared" si="185"/>
        <v/>
      </c>
      <c r="R587" s="224"/>
      <c r="S587" s="271" t="str">
        <f t="shared" si="198"/>
        <v/>
      </c>
      <c r="T587" s="7" t="str">
        <f t="shared" si="199"/>
        <v/>
      </c>
      <c r="U587" s="7" t="str">
        <f t="shared" si="186"/>
        <v/>
      </c>
      <c r="V587" s="7" t="str">
        <f t="shared" si="187"/>
        <v/>
      </c>
      <c r="W587" s="7" t="str">
        <f>VLOOKUP(C587,'Tox Summary'!$N$3:$S$1048576,6,FALSE)</f>
        <v/>
      </c>
      <c r="X587" s="76" t="str">
        <f t="shared" si="196"/>
        <v/>
      </c>
      <c r="Y587" s="76" t="str">
        <f t="shared" si="189"/>
        <v/>
      </c>
      <c r="AA587" s="332"/>
    </row>
    <row r="588" spans="1:27">
      <c r="A588" s="265"/>
      <c r="B588" s="344" t="s">
        <v>154</v>
      </c>
      <c r="C588" s="269" t="s">
        <v>539</v>
      </c>
      <c r="D588" s="280" t="str">
        <f>VLOOKUP(B588, 'Chem Props'!$1:$1048576,3,FALSE)</f>
        <v>No</v>
      </c>
      <c r="E588" s="598" t="str">
        <f t="shared" si="190"/>
        <v>No</v>
      </c>
      <c r="F588" s="7" t="str">
        <f t="shared" si="181"/>
        <v>No (not volatile)</v>
      </c>
      <c r="G588" s="270" t="str">
        <f t="shared" si="200"/>
        <v>No (not volatile)</v>
      </c>
      <c r="H588" s="76" t="str">
        <f t="shared" si="192"/>
        <v>--</v>
      </c>
      <c r="I588" s="271" t="str">
        <f t="shared" si="193"/>
        <v>--</v>
      </c>
      <c r="J588" s="272" t="str">
        <f t="shared" si="194"/>
        <v>--</v>
      </c>
      <c r="K588" s="272" t="str">
        <f t="shared" si="195"/>
        <v>--</v>
      </c>
      <c r="L588" s="273" t="str">
        <f t="shared" si="182"/>
        <v>--</v>
      </c>
      <c r="M588" s="7">
        <f t="shared" si="183"/>
        <v>0.94194377814628938</v>
      </c>
      <c r="N588" s="7">
        <f t="shared" si="202"/>
        <v>3.7885200000000001E-3</v>
      </c>
      <c r="O588" s="326">
        <f t="shared" si="184"/>
        <v>25</v>
      </c>
      <c r="P588" s="224" t="str">
        <f t="shared" si="201"/>
        <v/>
      </c>
      <c r="Q588" s="224" t="str">
        <f t="shared" si="185"/>
        <v/>
      </c>
      <c r="R588" s="224"/>
      <c r="S588" s="271" t="str">
        <f t="shared" si="198"/>
        <v/>
      </c>
      <c r="T588" s="7" t="str">
        <f t="shared" si="199"/>
        <v/>
      </c>
      <c r="U588" s="7" t="str">
        <f t="shared" si="186"/>
        <v/>
      </c>
      <c r="V588" s="7" t="str">
        <f t="shared" si="187"/>
        <v/>
      </c>
      <c r="W588" s="7" t="str">
        <f>VLOOKUP(C588,'Tox Summary'!$N$3:$S$1048576,6,FALSE)</f>
        <v/>
      </c>
      <c r="X588" s="76" t="str">
        <f t="shared" si="196"/>
        <v/>
      </c>
      <c r="Y588" s="76" t="str">
        <f t="shared" si="189"/>
        <v/>
      </c>
      <c r="AA588" s="332"/>
    </row>
    <row r="589" spans="1:27">
      <c r="A589" s="265"/>
      <c r="B589" s="344" t="s">
        <v>155</v>
      </c>
      <c r="C589" s="269" t="s">
        <v>1287</v>
      </c>
      <c r="D589" s="280" t="str">
        <f>VLOOKUP(B589, 'Chem Props'!$1:$1048576,3,FALSE)</f>
        <v>Yes</v>
      </c>
      <c r="E589" s="598" t="str">
        <f t="shared" si="190"/>
        <v>No</v>
      </c>
      <c r="F589" s="7" t="str">
        <f t="shared" si="181"/>
        <v>No Inhal. Tox. Info</v>
      </c>
      <c r="G589" s="270" t="str">
        <f t="shared" si="200"/>
        <v>No Inhal. Tox. Info</v>
      </c>
      <c r="H589" s="76" t="str">
        <f t="shared" si="192"/>
        <v>--</v>
      </c>
      <c r="I589" s="271" t="str">
        <f t="shared" si="193"/>
        <v>--</v>
      </c>
      <c r="J589" s="272" t="str">
        <f t="shared" si="194"/>
        <v>--</v>
      </c>
      <c r="K589" s="272" t="str">
        <f t="shared" si="195"/>
        <v>--</v>
      </c>
      <c r="L589" s="273" t="str">
        <f t="shared" si="182"/>
        <v>--</v>
      </c>
      <c r="M589" s="7">
        <f t="shared" si="183"/>
        <v>13605.196312413118</v>
      </c>
      <c r="N589" s="7">
        <f t="shared" si="202"/>
        <v>23883.604800000001</v>
      </c>
      <c r="O589" s="326">
        <f t="shared" si="184"/>
        <v>25</v>
      </c>
      <c r="P589" s="224" t="str">
        <f t="shared" si="201"/>
        <v/>
      </c>
      <c r="Q589" s="224" t="str">
        <f t="shared" si="185"/>
        <v/>
      </c>
      <c r="R589" s="224"/>
      <c r="S589" s="271" t="str">
        <f t="shared" si="198"/>
        <v/>
      </c>
      <c r="T589" s="7" t="str">
        <f t="shared" si="199"/>
        <v/>
      </c>
      <c r="U589" s="7" t="str">
        <f t="shared" si="186"/>
        <v/>
      </c>
      <c r="V589" s="7" t="str">
        <f t="shared" si="187"/>
        <v/>
      </c>
      <c r="W589" s="7" t="str">
        <f>VLOOKUP(C589,'Tox Summary'!$N$3:$S$1048576,6,FALSE)</f>
        <v/>
      </c>
      <c r="X589" s="76" t="str">
        <f t="shared" si="196"/>
        <v/>
      </c>
      <c r="Y589" s="76" t="str">
        <f t="shared" si="189"/>
        <v/>
      </c>
      <c r="AA589" s="332"/>
    </row>
    <row r="590" spans="1:27">
      <c r="A590" s="265"/>
      <c r="B590" s="344" t="s">
        <v>195</v>
      </c>
      <c r="C590" s="269" t="s">
        <v>2245</v>
      </c>
      <c r="D590" s="280" t="str">
        <f>VLOOKUP(B590, 'Chem Props'!$1:$1048576,3,FALSE)</f>
        <v>Yes</v>
      </c>
      <c r="E590" s="598" t="str">
        <f t="shared" si="190"/>
        <v>Yes</v>
      </c>
      <c r="F590" s="7" t="str">
        <f t="shared" si="181"/>
        <v>Yes</v>
      </c>
      <c r="G590" s="270" t="str">
        <f t="shared" si="200"/>
        <v>Yes</v>
      </c>
      <c r="H590" s="76">
        <f t="shared" si="192"/>
        <v>2.5524475524475523E-3</v>
      </c>
      <c r="I590" s="271" t="str">
        <f t="shared" si="193"/>
        <v>C</v>
      </c>
      <c r="J590" s="272">
        <f t="shared" si="194"/>
        <v>8.5081585081585087E-2</v>
      </c>
      <c r="K590" s="272">
        <f t="shared" si="195"/>
        <v>0.22061102969321711</v>
      </c>
      <c r="L590" s="273" t="str">
        <f t="shared" si="182"/>
        <v>--</v>
      </c>
      <c r="M590" s="7">
        <f t="shared" si="183"/>
        <v>114.71923544877124</v>
      </c>
      <c r="N590" s="7">
        <f t="shared" si="202"/>
        <v>39.33766</v>
      </c>
      <c r="O590" s="326">
        <f t="shared" si="184"/>
        <v>25</v>
      </c>
      <c r="P590" s="224" t="str">
        <f t="shared" si="201"/>
        <v/>
      </c>
      <c r="Q590" s="224" t="str">
        <f t="shared" si="185"/>
        <v/>
      </c>
      <c r="R590" s="224"/>
      <c r="S590" s="271">
        <f t="shared" si="198"/>
        <v>1.1000000000000001E-3</v>
      </c>
      <c r="T590" s="7" t="str">
        <f t="shared" si="199"/>
        <v>E</v>
      </c>
      <c r="U590" s="7">
        <f t="shared" si="186"/>
        <v>1.2999999999999999E-3</v>
      </c>
      <c r="V590" s="7" t="str">
        <f t="shared" si="187"/>
        <v>E</v>
      </c>
      <c r="W590" s="7" t="str">
        <f>VLOOKUP(C590,'Tox Summary'!$N$3:$S$1048576,6,FALSE)</f>
        <v/>
      </c>
      <c r="X590" s="76">
        <f t="shared" si="196"/>
        <v>2.5524475524475523E-3</v>
      </c>
      <c r="Y590" s="76">
        <f t="shared" si="189"/>
        <v>1.3557142857142854</v>
      </c>
      <c r="AA590" s="332"/>
    </row>
    <row r="591" spans="1:27">
      <c r="A591" s="265"/>
      <c r="B591" s="344" t="s">
        <v>196</v>
      </c>
      <c r="C591" s="269" t="s">
        <v>2246</v>
      </c>
      <c r="D591" s="280" t="str">
        <f>VLOOKUP(B591, 'Chem Props'!$1:$1048576,3,FALSE)</f>
        <v>Yes</v>
      </c>
      <c r="E591" s="598" t="str">
        <f t="shared" si="190"/>
        <v>Yes</v>
      </c>
      <c r="F591" s="7" t="str">
        <f t="shared" si="181"/>
        <v>Yes</v>
      </c>
      <c r="G591" s="270" t="str">
        <f t="shared" si="200"/>
        <v>Yes</v>
      </c>
      <c r="H591" s="76">
        <f t="shared" si="192"/>
        <v>2.5524475524475523E-3</v>
      </c>
      <c r="I591" s="271" t="str">
        <f t="shared" si="193"/>
        <v>C</v>
      </c>
      <c r="J591" s="272">
        <f t="shared" si="194"/>
        <v>8.5081585081585087E-2</v>
      </c>
      <c r="K591" s="272">
        <f t="shared" si="195"/>
        <v>0.67567967822097419</v>
      </c>
      <c r="L591" s="273" t="str">
        <f t="shared" si="182"/>
        <v>--</v>
      </c>
      <c r="M591" s="7">
        <f t="shared" si="183"/>
        <v>96.082409723591908</v>
      </c>
      <c r="N591" s="7">
        <f t="shared" si="202"/>
        <v>60.366047999999999</v>
      </c>
      <c r="O591" s="326">
        <f t="shared" si="184"/>
        <v>25</v>
      </c>
      <c r="P591" s="224" t="str">
        <f t="shared" si="201"/>
        <v/>
      </c>
      <c r="Q591" s="224" t="str">
        <f t="shared" si="185"/>
        <v/>
      </c>
      <c r="R591" s="224"/>
      <c r="S591" s="271">
        <f t="shared" si="198"/>
        <v>1.1000000000000001E-3</v>
      </c>
      <c r="T591" s="7" t="str">
        <f t="shared" si="199"/>
        <v>E</v>
      </c>
      <c r="U591" s="7">
        <f t="shared" si="186"/>
        <v>1.2999999999999999E-3</v>
      </c>
      <c r="V591" s="7" t="str">
        <f t="shared" si="187"/>
        <v>E</v>
      </c>
      <c r="W591" s="7" t="str">
        <f>VLOOKUP(C591,'Tox Summary'!$N$3:$S$1048576,6,FALSE)</f>
        <v/>
      </c>
      <c r="X591" s="76">
        <f t="shared" si="196"/>
        <v>2.5524475524475523E-3</v>
      </c>
      <c r="Y591" s="76">
        <f t="shared" si="189"/>
        <v>1.3557142857142854</v>
      </c>
      <c r="AA591" s="332"/>
    </row>
    <row r="592" spans="1:27">
      <c r="A592" s="265"/>
      <c r="B592" s="344" t="s">
        <v>194</v>
      </c>
      <c r="C592" s="269" t="s">
        <v>2247</v>
      </c>
      <c r="D592" s="280" t="str">
        <f>VLOOKUP(B592, 'Chem Props'!$1:$1048576,3,FALSE)</f>
        <v>Yes</v>
      </c>
      <c r="E592" s="598" t="str">
        <f t="shared" si="190"/>
        <v>Yes</v>
      </c>
      <c r="F592" s="7" t="str">
        <f t="shared" si="181"/>
        <v>Yes</v>
      </c>
      <c r="G592" s="270" t="str">
        <f t="shared" si="200"/>
        <v>Yes</v>
      </c>
      <c r="H592" s="76">
        <f t="shared" si="192"/>
        <v>2.5524475524475523E-3</v>
      </c>
      <c r="I592" s="271" t="str">
        <f t="shared" si="193"/>
        <v>C</v>
      </c>
      <c r="J592" s="272">
        <f t="shared" si="194"/>
        <v>8.5081585081585087E-2</v>
      </c>
      <c r="K592" s="272">
        <f t="shared" si="195"/>
        <v>0.21678125684308641</v>
      </c>
      <c r="L592" s="273" t="str">
        <f t="shared" si="182"/>
        <v>--</v>
      </c>
      <c r="M592" s="7">
        <f t="shared" si="183"/>
        <v>157.63136103464603</v>
      </c>
      <c r="N592" s="7">
        <f t="shared" si="202"/>
        <v>157.77561999999998</v>
      </c>
      <c r="O592" s="326">
        <f t="shared" si="184"/>
        <v>25</v>
      </c>
      <c r="P592" s="224" t="str">
        <f t="shared" si="201"/>
        <v/>
      </c>
      <c r="Q592" s="224" t="str">
        <f t="shared" si="185"/>
        <v/>
      </c>
      <c r="R592" s="224"/>
      <c r="S592" s="271">
        <f t="shared" si="198"/>
        <v>1.1000000000000001E-3</v>
      </c>
      <c r="T592" s="7" t="str">
        <f t="shared" si="199"/>
        <v>E</v>
      </c>
      <c r="U592" s="7">
        <f t="shared" si="186"/>
        <v>1.2999999999999999E-3</v>
      </c>
      <c r="V592" s="7" t="str">
        <f t="shared" si="187"/>
        <v>E</v>
      </c>
      <c r="W592" s="7" t="str">
        <f>VLOOKUP(C592,'Tox Summary'!$N$3:$S$1048576,6,FALSE)</f>
        <v/>
      </c>
      <c r="X592" s="76">
        <f t="shared" si="196"/>
        <v>2.5524475524475523E-3</v>
      </c>
      <c r="Y592" s="76">
        <f t="shared" si="189"/>
        <v>1.3557142857142854</v>
      </c>
      <c r="AA592" s="332"/>
    </row>
    <row r="593" spans="1:27">
      <c r="A593" s="265"/>
      <c r="B593" s="344" t="s">
        <v>193</v>
      </c>
      <c r="C593" s="269" t="s">
        <v>2248</v>
      </c>
      <c r="D593" s="280" t="str">
        <f>VLOOKUP(B593, 'Chem Props'!$1:$1048576,3,FALSE)</f>
        <v>Yes</v>
      </c>
      <c r="E593" s="598" t="str">
        <f t="shared" si="190"/>
        <v>Yes</v>
      </c>
      <c r="F593" s="7" t="str">
        <f t="shared" si="181"/>
        <v>Yes</v>
      </c>
      <c r="G593" s="270" t="str">
        <f t="shared" si="200"/>
        <v>Yes</v>
      </c>
      <c r="H593" s="76">
        <f t="shared" si="192"/>
        <v>2.5524475524475523E-3</v>
      </c>
      <c r="I593" s="271" t="str">
        <f t="shared" si="193"/>
        <v>C</v>
      </c>
      <c r="J593" s="272">
        <f t="shared" si="194"/>
        <v>8.5081585081585087E-2</v>
      </c>
      <c r="K593" s="272">
        <f t="shared" si="195"/>
        <v>0.32859336651916271</v>
      </c>
      <c r="L593" s="273" t="str">
        <f t="shared" si="182"/>
        <v>--</v>
      </c>
      <c r="M593" s="7">
        <f t="shared" si="183"/>
        <v>96.082409723591908</v>
      </c>
      <c r="N593" s="7">
        <f t="shared" si="202"/>
        <v>124.2848</v>
      </c>
      <c r="O593" s="326">
        <f t="shared" si="184"/>
        <v>25</v>
      </c>
      <c r="P593" s="224" t="str">
        <f t="shared" si="201"/>
        <v/>
      </c>
      <c r="Q593" s="224" t="str">
        <f t="shared" si="185"/>
        <v/>
      </c>
      <c r="R593" s="224"/>
      <c r="S593" s="271">
        <f t="shared" si="198"/>
        <v>1.1000000000000001E-3</v>
      </c>
      <c r="T593" s="7" t="str">
        <f t="shared" si="199"/>
        <v>E</v>
      </c>
      <c r="U593" s="7">
        <f t="shared" si="186"/>
        <v>1.2999999999999999E-3</v>
      </c>
      <c r="V593" s="7" t="str">
        <f t="shared" si="187"/>
        <v>E</v>
      </c>
      <c r="W593" s="7" t="str">
        <f>VLOOKUP(C593,'Tox Summary'!$N$3:$S$1048576,6,FALSE)</f>
        <v/>
      </c>
      <c r="X593" s="76">
        <f t="shared" si="196"/>
        <v>2.5524475524475523E-3</v>
      </c>
      <c r="Y593" s="76">
        <f t="shared" si="189"/>
        <v>1.3557142857142854</v>
      </c>
      <c r="AA593" s="332"/>
    </row>
    <row r="594" spans="1:27">
      <c r="A594" s="265"/>
      <c r="B594" s="344" t="s">
        <v>197</v>
      </c>
      <c r="C594" s="269" t="s">
        <v>2249</v>
      </c>
      <c r="D594" s="280" t="str">
        <f>VLOOKUP(B594, 'Chem Props'!$1:$1048576,3,FALSE)</f>
        <v>Yes</v>
      </c>
      <c r="E594" s="598" t="str">
        <f t="shared" si="190"/>
        <v>Yes</v>
      </c>
      <c r="F594" s="7" t="str">
        <f t="shared" ref="F594:F657" si="203">IF(LEFT(D594,2)="No","No (not volatile)",IF(D594="unknown","unknown",IF(H594="NVT","No",IF(AND(X594="",Y594=""),"No Inhal. Tox. Info",IF(MIN(X594:Y594)&gt;=M594,"No",IF(M594&gt;H594,"Yes","No"))))))</f>
        <v>Yes</v>
      </c>
      <c r="G594" s="270" t="str">
        <f t="shared" si="200"/>
        <v>Yes</v>
      </c>
      <c r="H594" s="76">
        <f t="shared" si="192"/>
        <v>7.3886639676113354E-7</v>
      </c>
      <c r="I594" s="271" t="str">
        <f t="shared" si="193"/>
        <v>C</v>
      </c>
      <c r="J594" s="272">
        <f t="shared" si="194"/>
        <v>2.4628879892037786E-5</v>
      </c>
      <c r="K594" s="272">
        <f t="shared" si="195"/>
        <v>9.5119132413441833E-5</v>
      </c>
      <c r="L594" s="273" t="str">
        <f t="shared" ref="L594:L657" si="204">IF(INDEX(MCL,MATCH(C594,ChemNameChem,0))="","--",IF(K594&lt;INDEX(MCL,MATCH(C594,ChemNameChem,0)),"Yes ("&amp;(INDEX(MCL,MATCH(C594,ChemNameChem,0)))&amp;")","No ("&amp;(INDEX(MCL,MATCH(C594,ChemNameChem,0)))&amp;")"))</f>
        <v>--</v>
      </c>
      <c r="M594" s="7">
        <f t="shared" ref="M594:M657" si="205">IF(INDEX(_VP25,MATCH(B594,CASNoChem,0))="No VP","No VP",IF(INDEX(MW,MATCH(B594,CASNoChem,0))="No MW","No MW",INDEX(MW,MATCH(B594,CASNoChem,0))*INDEX(_VP25,MATCH(B594,CASNoChem,0))*53808.7856452378))</f>
        <v>38.995054768989768</v>
      </c>
      <c r="N594" s="7">
        <f t="shared" si="202"/>
        <v>56.923991959999995</v>
      </c>
      <c r="O594" s="326">
        <f t="shared" ref="O594:O657" si="206">IF(INDEX(HTgw,MATCH(B594,CASNoChem,0),1)="",25,Tgw)</f>
        <v>25</v>
      </c>
      <c r="P594" s="224" t="str">
        <f t="shared" si="201"/>
        <v/>
      </c>
      <c r="Q594" s="224" t="str">
        <f t="shared" ref="Q594:Q657" si="207">IF(INDEX(LELsource,MATCH(B594,CASNoChem,0),1)="","",INDEX(LELsource,MATCH(B594,CASNoChem,0),1))</f>
        <v/>
      </c>
      <c r="R594" s="224"/>
      <c r="S594" s="271">
        <f t="shared" si="198"/>
        <v>3.8</v>
      </c>
      <c r="T594" s="7" t="str">
        <f t="shared" si="199"/>
        <v>E</v>
      </c>
      <c r="U594" s="7">
        <f t="shared" ref="U594:U657" si="208">IF(INDEX(RFC,MATCH(B594,CASNoTox,0))=" ","",INDEX(RFC,MATCH(B594,CASNoTox,0)))</f>
        <v>3.9999999999999998E-7</v>
      </c>
      <c r="V594" s="7" t="str">
        <f t="shared" ref="V594:V657" si="209">IF(INDEX(RFCSource,MATCH(B594,CASNoTox,0))="","",SUBSTITUTE(INDEX(RFCSource,MATCH(B594,CASNoTox,0)),"C","CA"))</f>
        <v>E</v>
      </c>
      <c r="W594" s="7" t="str">
        <f>VLOOKUP(C594,'Tox Summary'!$N$3:$S$1048576,6,FALSE)</f>
        <v/>
      </c>
      <c r="X594" s="76">
        <f t="shared" si="196"/>
        <v>7.3886639676113354E-7</v>
      </c>
      <c r="Y594" s="76">
        <f t="shared" ref="Y594:Y657" si="210">IF(U594="","",THQ*Atnc*365*24*U594*1000/(EF*ED*ET))</f>
        <v>4.1714285714285708E-4</v>
      </c>
      <c r="AA594" s="332"/>
    </row>
    <row r="595" spans="1:27">
      <c r="A595" s="265"/>
      <c r="B595" s="344" t="s">
        <v>156</v>
      </c>
      <c r="C595" s="269" t="s">
        <v>540</v>
      </c>
      <c r="D595" s="280" t="str">
        <f>VLOOKUP(B595, 'Chem Props'!$1:$1048576,3,FALSE)</f>
        <v>Yes</v>
      </c>
      <c r="E595" s="598" t="str">
        <f t="shared" ref="E595:E658" si="211">IF(OR(ISNUMBER(S595),ISNUMBER(U595)),"Yes","No")</f>
        <v>No</v>
      </c>
      <c r="F595" s="7" t="str">
        <f t="shared" si="203"/>
        <v>No Inhal. Tox. Info</v>
      </c>
      <c r="G595" s="270" t="str">
        <f t="shared" si="200"/>
        <v>No Inhal. Tox. Info</v>
      </c>
      <c r="H595" s="76" t="str">
        <f t="shared" si="192"/>
        <v>--</v>
      </c>
      <c r="I595" s="271" t="str">
        <f t="shared" si="193"/>
        <v>--</v>
      </c>
      <c r="J595" s="272" t="str">
        <f t="shared" si="194"/>
        <v>--</v>
      </c>
      <c r="K595" s="272" t="str">
        <f t="shared" si="195"/>
        <v>--</v>
      </c>
      <c r="L595" s="273" t="str">
        <f t="shared" si="204"/>
        <v>--</v>
      </c>
      <c r="M595" s="7">
        <f t="shared" si="205"/>
        <v>38099310.676110625</v>
      </c>
      <c r="N595" s="7">
        <f t="shared" si="202"/>
        <v>38863468</v>
      </c>
      <c r="O595" s="326">
        <f t="shared" si="206"/>
        <v>25</v>
      </c>
      <c r="P595" s="224" t="str">
        <f t="shared" si="201"/>
        <v/>
      </c>
      <c r="Q595" s="224" t="str">
        <f t="shared" si="207"/>
        <v/>
      </c>
      <c r="R595" s="224"/>
      <c r="S595" s="271" t="str">
        <f t="shared" si="198"/>
        <v/>
      </c>
      <c r="T595" s="7" t="str">
        <f t="shared" si="199"/>
        <v/>
      </c>
      <c r="U595" s="7" t="str">
        <f t="shared" si="208"/>
        <v/>
      </c>
      <c r="V595" s="7" t="str">
        <f t="shared" si="209"/>
        <v/>
      </c>
      <c r="W595" s="7" t="str">
        <f>VLOOKUP(C595,'Tox Summary'!$N$3:$S$1048576,6,FALSE)</f>
        <v/>
      </c>
      <c r="X595" s="76" t="str">
        <f t="shared" si="196"/>
        <v/>
      </c>
      <c r="Y595" s="76" t="str">
        <f t="shared" si="210"/>
        <v/>
      </c>
      <c r="AA595" s="332"/>
    </row>
    <row r="596" spans="1:27">
      <c r="A596" s="265"/>
      <c r="B596" s="344" t="s">
        <v>157</v>
      </c>
      <c r="C596" s="269" t="s">
        <v>1288</v>
      </c>
      <c r="D596" s="280" t="str">
        <f>VLOOKUP(B596, 'Chem Props'!$1:$1048576,3,FALSE)</f>
        <v>Yes</v>
      </c>
      <c r="E596" s="598" t="str">
        <f t="shared" si="211"/>
        <v>No</v>
      </c>
      <c r="F596" s="7" t="str">
        <f t="shared" si="203"/>
        <v>No Inhal. Tox. Info</v>
      </c>
      <c r="G596" s="270" t="str">
        <f t="shared" si="200"/>
        <v>No Inhal. Tox. Info</v>
      </c>
      <c r="H596" s="76" t="str">
        <f t="shared" si="192"/>
        <v>--</v>
      </c>
      <c r="I596" s="271" t="str">
        <f t="shared" si="193"/>
        <v>--</v>
      </c>
      <c r="J596" s="272" t="str">
        <f t="shared" si="194"/>
        <v>--</v>
      </c>
      <c r="K596" s="272" t="str">
        <f t="shared" si="195"/>
        <v>--</v>
      </c>
      <c r="L596" s="273" t="str">
        <f t="shared" si="204"/>
        <v>--</v>
      </c>
      <c r="M596" s="7">
        <f t="shared" si="205"/>
        <v>794.59433762322647</v>
      </c>
      <c r="N596" s="7">
        <f t="shared" si="202"/>
        <v>795.07999999999993</v>
      </c>
      <c r="O596" s="326">
        <f t="shared" si="206"/>
        <v>25</v>
      </c>
      <c r="P596" s="224" t="str">
        <f t="shared" si="201"/>
        <v/>
      </c>
      <c r="Q596" s="224" t="str">
        <f t="shared" si="207"/>
        <v/>
      </c>
      <c r="R596" s="224"/>
      <c r="S596" s="271" t="str">
        <f t="shared" si="198"/>
        <v/>
      </c>
      <c r="T596" s="7" t="str">
        <f t="shared" si="199"/>
        <v/>
      </c>
      <c r="U596" s="7" t="str">
        <f t="shared" si="208"/>
        <v/>
      </c>
      <c r="V596" s="7" t="str">
        <f t="shared" si="209"/>
        <v/>
      </c>
      <c r="W596" s="7" t="str">
        <f>VLOOKUP(C596,'Tox Summary'!$N$3:$S$1048576,6,FALSE)</f>
        <v/>
      </c>
      <c r="X596" s="76" t="str">
        <f t="shared" si="196"/>
        <v/>
      </c>
      <c r="Y596" s="76" t="str">
        <f t="shared" si="210"/>
        <v/>
      </c>
      <c r="AA596" s="332"/>
    </row>
    <row r="597" spans="1:27">
      <c r="A597" s="265"/>
      <c r="B597" s="344" t="s">
        <v>158</v>
      </c>
      <c r="C597" s="269" t="s">
        <v>393</v>
      </c>
      <c r="D597" s="280" t="str">
        <f>VLOOKUP(B597, 'Chem Props'!$1:$1048576,3,FALSE)</f>
        <v>No</v>
      </c>
      <c r="E597" s="598" t="str">
        <f t="shared" si="211"/>
        <v>Yes</v>
      </c>
      <c r="F597" s="7" t="str">
        <f t="shared" si="203"/>
        <v>No (not volatile)</v>
      </c>
      <c r="G597" s="270" t="str">
        <f t="shared" si="200"/>
        <v>No (not volatile)</v>
      </c>
      <c r="H597" s="76">
        <f t="shared" si="192"/>
        <v>0.55052790346907987</v>
      </c>
      <c r="I597" s="271" t="str">
        <f t="shared" si="193"/>
        <v>C</v>
      </c>
      <c r="J597" s="272">
        <f t="shared" si="194"/>
        <v>18.350930115635997</v>
      </c>
      <c r="K597" s="272" t="str">
        <f t="shared" si="195"/>
        <v>NVT</v>
      </c>
      <c r="L597" s="273" t="str">
        <f t="shared" si="204"/>
        <v>No (1)</v>
      </c>
      <c r="M597" s="7">
        <f t="shared" si="205"/>
        <v>1576.4575165627898</v>
      </c>
      <c r="N597" s="7">
        <f t="shared" si="202"/>
        <v>14.022400000000001</v>
      </c>
      <c r="O597" s="326">
        <f t="shared" si="206"/>
        <v>25</v>
      </c>
      <c r="P597" s="224" t="str">
        <f t="shared" si="201"/>
        <v/>
      </c>
      <c r="Q597" s="224" t="str">
        <f t="shared" si="207"/>
        <v/>
      </c>
      <c r="R597" s="224"/>
      <c r="S597" s="271">
        <f t="shared" si="198"/>
        <v>5.1000000000000003E-6</v>
      </c>
      <c r="T597" s="7" t="str">
        <f t="shared" si="199"/>
        <v>CA</v>
      </c>
      <c r="U597" s="7" t="str">
        <f t="shared" si="208"/>
        <v/>
      </c>
      <c r="V597" s="7" t="str">
        <f t="shared" si="209"/>
        <v/>
      </c>
      <c r="W597" s="7" t="str">
        <f>VLOOKUP(C597,'Tox Summary'!$N$3:$S$1048576,6,FALSE)</f>
        <v/>
      </c>
      <c r="X597" s="76">
        <f t="shared" si="196"/>
        <v>0.55052790346907987</v>
      </c>
      <c r="Y597" s="76" t="str">
        <f t="shared" si="210"/>
        <v/>
      </c>
      <c r="AA597" s="332"/>
    </row>
    <row r="598" spans="1:27">
      <c r="A598" s="265"/>
      <c r="B598" s="344" t="s">
        <v>1576</v>
      </c>
      <c r="C598" s="269" t="s">
        <v>1575</v>
      </c>
      <c r="D598" s="280" t="str">
        <f>VLOOKUP(B598, 'Chem Props'!$1:$1048576,3,FALSE)</f>
        <v>No</v>
      </c>
      <c r="E598" s="598" t="str">
        <f t="shared" si="211"/>
        <v>No</v>
      </c>
      <c r="F598" s="7" t="str">
        <f t="shared" si="203"/>
        <v>No (not volatile)</v>
      </c>
      <c r="G598" s="270" t="str">
        <f t="shared" si="200"/>
        <v>No (not volatile)</v>
      </c>
      <c r="H598" s="76" t="str">
        <f t="shared" ref="H598:H661" si="212">IF(ISNUMBER(M598),IF(AND(X598="",Y598=""),"--",IF(MIN(X598:Y598)&gt;=M598,"NVT",MIN(X598:Y598))),M598)</f>
        <v>--</v>
      </c>
      <c r="I598" s="271" t="str">
        <f t="shared" ref="I598:I661" si="213">IF(AND(S598="",U598=""),"--",IF(MIN(X598,Y598)=X598,"C","NC"))</f>
        <v>--</v>
      </c>
      <c r="J598" s="272" t="str">
        <f t="shared" ref="J598:J661" si="214">IF(ISNUMBER(H598),IF(OR(H598="--",H598="NVT"),H598,IF(H598/Afss&gt;=M598,"NVT",H598/Afss)),H598)</f>
        <v>--</v>
      </c>
      <c r="K598" s="272" t="str">
        <f t="shared" ref="K598:K661" si="215">IF(ISNUMBER(H598),IF(H598="--","--", IF(LEFT(N598,2)="No",N598,IF(H598*0.001/(INDEX(HLC,MATCH(C598,ChemNameChem,0))*AFgw)&gt;=1000*INDEX(PWCS,MATCH(C598,ChemNameChem,0)), "NVT", H598*0.001/(INDEX(HLC,MATCH(C598,ChemNameChem,0))*AFgw)))),H598)</f>
        <v>--</v>
      </c>
      <c r="L598" s="273" t="str">
        <f t="shared" si="204"/>
        <v>--</v>
      </c>
      <c r="M598" s="7">
        <f t="shared" si="205"/>
        <v>9.2710546741675837E-2</v>
      </c>
      <c r="N598" s="7">
        <f t="shared" si="202"/>
        <v>2.3205380000000004</v>
      </c>
      <c r="O598" s="326">
        <f t="shared" si="206"/>
        <v>25</v>
      </c>
      <c r="P598" s="224" t="str">
        <f t="shared" si="201"/>
        <v/>
      </c>
      <c r="Q598" s="224" t="str">
        <f t="shared" si="207"/>
        <v/>
      </c>
      <c r="R598" s="224"/>
      <c r="S598" s="271" t="str">
        <f t="shared" si="198"/>
        <v/>
      </c>
      <c r="T598" s="7" t="str">
        <f t="shared" si="199"/>
        <v/>
      </c>
      <c r="U598" s="7" t="str">
        <f t="shared" si="208"/>
        <v/>
      </c>
      <c r="V598" s="7" t="str">
        <f t="shared" si="209"/>
        <v/>
      </c>
      <c r="W598" s="7" t="str">
        <f>VLOOKUP(C598,'Tox Summary'!$N$3:$S$1048576,6,FALSE)</f>
        <v/>
      </c>
      <c r="X598" s="76" t="str">
        <f t="shared" ref="X598:X661" si="216">IF(S598="","",IF(W598&lt;&gt;"TCE",TCR/(IF(AND(W598="VC",Scenario="Residential"),S598,0)+(EF*IF(W598="Mut",MMOAAF,ED)*ET*S598/(Atc*365*24))), 1/((EF*MMOAAF*ET*mIURTCE/(TCR*Atc*365*24))+EF*ED*ET*IURTCE/(TCR*Atc*365*24))))</f>
        <v/>
      </c>
      <c r="Y598" s="76" t="str">
        <f t="shared" si="210"/>
        <v/>
      </c>
      <c r="AA598" s="332"/>
    </row>
    <row r="599" spans="1:27">
      <c r="A599" s="265"/>
      <c r="B599" s="344" t="s">
        <v>159</v>
      </c>
      <c r="C599" s="269" t="s">
        <v>609</v>
      </c>
      <c r="D599" s="280" t="str">
        <f>VLOOKUP(B599, 'Chem Props'!$1:$1048576,3,FALSE)</f>
        <v>Yes</v>
      </c>
      <c r="E599" s="598" t="str">
        <f t="shared" si="211"/>
        <v>Yes</v>
      </c>
      <c r="F599" s="7" t="str">
        <f t="shared" si="203"/>
        <v>Yes</v>
      </c>
      <c r="G599" s="270" t="str">
        <f t="shared" si="200"/>
        <v>Yes</v>
      </c>
      <c r="H599" s="76">
        <f t="shared" si="212"/>
        <v>1042.8571428571429</v>
      </c>
      <c r="I599" s="271" t="str">
        <f t="shared" si="213"/>
        <v>NC</v>
      </c>
      <c r="J599" s="272">
        <f t="shared" si="214"/>
        <v>34761.904761904763</v>
      </c>
      <c r="K599" s="272">
        <f t="shared" si="215"/>
        <v>20.406628575020139</v>
      </c>
      <c r="L599" s="273" t="str">
        <f t="shared" si="204"/>
        <v>--</v>
      </c>
      <c r="M599" s="7">
        <f t="shared" si="205"/>
        <v>1995531854.2480299</v>
      </c>
      <c r="N599" s="7">
        <f t="shared" si="202"/>
        <v>1941946033.9999998</v>
      </c>
      <c r="O599" s="326">
        <f t="shared" si="206"/>
        <v>25</v>
      </c>
      <c r="P599" s="224" t="str">
        <f t="shared" si="201"/>
        <v/>
      </c>
      <c r="Q599" s="224" t="str">
        <f t="shared" si="207"/>
        <v/>
      </c>
      <c r="R599" s="224"/>
      <c r="S599" s="271" t="str">
        <f t="shared" si="198"/>
        <v/>
      </c>
      <c r="T599" s="7" t="str">
        <f t="shared" si="199"/>
        <v/>
      </c>
      <c r="U599" s="7">
        <f t="shared" si="208"/>
        <v>1</v>
      </c>
      <c r="V599" s="7" t="str">
        <f t="shared" si="209"/>
        <v>P</v>
      </c>
      <c r="W599" s="7" t="str">
        <f>VLOOKUP(C599,'Tox Summary'!$N$3:$S$1048576,6,FALSE)</f>
        <v/>
      </c>
      <c r="X599" s="76" t="str">
        <f t="shared" si="216"/>
        <v/>
      </c>
      <c r="Y599" s="76">
        <f t="shared" si="210"/>
        <v>1042.8571428571429</v>
      </c>
      <c r="AA599" s="332"/>
    </row>
    <row r="600" spans="1:27">
      <c r="A600" s="265"/>
      <c r="B600" s="344" t="s">
        <v>160</v>
      </c>
      <c r="C600" s="269" t="s">
        <v>2378</v>
      </c>
      <c r="D600" s="280" t="str">
        <f>VLOOKUP(B600, 'Chem Props'!$1:$1048576,3,FALSE)</f>
        <v>No</v>
      </c>
      <c r="E600" s="598" t="str">
        <f t="shared" si="211"/>
        <v>No</v>
      </c>
      <c r="F600" s="7" t="str">
        <f t="shared" si="203"/>
        <v>No (not volatile)</v>
      </c>
      <c r="G600" s="270" t="str">
        <f t="shared" si="200"/>
        <v>No (not volatile)</v>
      </c>
      <c r="H600" s="76" t="str">
        <f t="shared" si="212"/>
        <v>No VP</v>
      </c>
      <c r="I600" s="271" t="str">
        <f t="shared" si="213"/>
        <v>--</v>
      </c>
      <c r="J600" s="272" t="str">
        <f t="shared" si="214"/>
        <v>No VP</v>
      </c>
      <c r="K600" s="272" t="str">
        <f t="shared" si="215"/>
        <v>No VP</v>
      </c>
      <c r="L600" s="273" t="str">
        <f t="shared" si="204"/>
        <v>No (1.5E+01(F))</v>
      </c>
      <c r="M600" s="7" t="str">
        <f t="shared" si="205"/>
        <v>No VP</v>
      </c>
      <c r="N600" s="7"/>
      <c r="O600" s="326">
        <f t="shared" si="206"/>
        <v>25</v>
      </c>
      <c r="P600" s="224" t="str">
        <f t="shared" si="201"/>
        <v/>
      </c>
      <c r="Q600" s="224" t="str">
        <f t="shared" si="207"/>
        <v/>
      </c>
      <c r="R600" s="224"/>
      <c r="S600" s="271" t="str">
        <f t="shared" si="198"/>
        <v/>
      </c>
      <c r="T600" s="7" t="str">
        <f t="shared" si="199"/>
        <v/>
      </c>
      <c r="U600" s="7" t="str">
        <f t="shared" si="208"/>
        <v/>
      </c>
      <c r="V600" s="7" t="str">
        <f t="shared" si="209"/>
        <v/>
      </c>
      <c r="W600" s="7" t="str">
        <f>VLOOKUP(C600,'Tox Summary'!$N$3:$S$1048576,6,FALSE)</f>
        <v/>
      </c>
      <c r="X600" s="76" t="str">
        <f t="shared" si="216"/>
        <v/>
      </c>
      <c r="Y600" s="76" t="str">
        <f t="shared" si="210"/>
        <v/>
      </c>
      <c r="AA600" s="332"/>
    </row>
    <row r="601" spans="1:27">
      <c r="A601" s="265"/>
      <c r="B601" s="344" t="s">
        <v>2126</v>
      </c>
      <c r="C601" s="269" t="s">
        <v>2429</v>
      </c>
      <c r="D601" s="280" t="str">
        <f>VLOOKUP(B601, 'Chem Props'!$1:$1048576,3,FALSE)</f>
        <v>No</v>
      </c>
      <c r="E601" s="598" t="str">
        <f t="shared" si="211"/>
        <v>No</v>
      </c>
      <c r="F601" s="7" t="str">
        <f t="shared" si="203"/>
        <v>No (not volatile)</v>
      </c>
      <c r="G601" s="270" t="str">
        <f t="shared" si="200"/>
        <v>No (not volatile)</v>
      </c>
      <c r="H601" s="76" t="str">
        <f t="shared" si="212"/>
        <v>No VP</v>
      </c>
      <c r="I601" s="271" t="str">
        <f t="shared" si="213"/>
        <v>--</v>
      </c>
      <c r="J601" s="272" t="str">
        <f t="shared" si="214"/>
        <v>No VP</v>
      </c>
      <c r="K601" s="272" t="str">
        <f t="shared" si="215"/>
        <v>No VP</v>
      </c>
      <c r="L601" s="273" t="str">
        <f t="shared" si="204"/>
        <v>--</v>
      </c>
      <c r="M601" s="7" t="str">
        <f t="shared" si="205"/>
        <v>No VP</v>
      </c>
      <c r="N601" s="7"/>
      <c r="O601" s="326">
        <f t="shared" si="206"/>
        <v>25</v>
      </c>
      <c r="P601" s="224" t="str">
        <f t="shared" si="201"/>
        <v/>
      </c>
      <c r="Q601" s="224" t="str">
        <f t="shared" si="207"/>
        <v/>
      </c>
      <c r="R601" s="224"/>
      <c r="S601" s="271" t="str">
        <f t="shared" si="198"/>
        <v/>
      </c>
      <c r="T601" s="7" t="str">
        <f t="shared" si="199"/>
        <v/>
      </c>
      <c r="U601" s="7" t="str">
        <f t="shared" si="208"/>
        <v/>
      </c>
      <c r="V601" s="7" t="str">
        <f t="shared" si="209"/>
        <v/>
      </c>
      <c r="W601" s="7" t="str">
        <f>VLOOKUP(C601,'Tox Summary'!$N$3:$S$1048576,6,FALSE)</f>
        <v/>
      </c>
      <c r="X601" s="76" t="str">
        <f t="shared" si="216"/>
        <v/>
      </c>
      <c r="Y601" s="76" t="str">
        <f t="shared" si="210"/>
        <v/>
      </c>
      <c r="AA601" s="332"/>
    </row>
    <row r="602" spans="1:27">
      <c r="A602" s="98"/>
      <c r="B602" s="509" t="s">
        <v>2454</v>
      </c>
      <c r="C602" s="509" t="s">
        <v>2453</v>
      </c>
      <c r="D602" s="280" t="str">
        <f>VLOOKUP(B602, 'Chem Props'!$1:$1048576,3,FALSE)</f>
        <v>No</v>
      </c>
      <c r="E602" s="598" t="str">
        <f t="shared" si="211"/>
        <v>No</v>
      </c>
      <c r="F602" s="7" t="str">
        <f t="shared" si="203"/>
        <v>No (not volatile)</v>
      </c>
      <c r="G602" s="270" t="str">
        <f t="shared" si="200"/>
        <v>No (not volatile)</v>
      </c>
      <c r="H602" s="76" t="str">
        <f t="shared" si="212"/>
        <v>No VP</v>
      </c>
      <c r="I602" s="271" t="str">
        <f t="shared" si="213"/>
        <v>--</v>
      </c>
      <c r="J602" s="272" t="str">
        <f t="shared" si="214"/>
        <v>No VP</v>
      </c>
      <c r="K602" s="272" t="str">
        <f t="shared" si="215"/>
        <v>No VP</v>
      </c>
      <c r="L602" s="273" t="str">
        <f t="shared" si="204"/>
        <v>--</v>
      </c>
      <c r="M602" s="7" t="str">
        <f t="shared" si="205"/>
        <v>No VP</v>
      </c>
      <c r="N602" s="7"/>
      <c r="O602" s="326">
        <f t="shared" si="206"/>
        <v>25</v>
      </c>
      <c r="P602" s="224"/>
      <c r="Q602" s="224" t="str">
        <f t="shared" si="207"/>
        <v/>
      </c>
      <c r="R602" s="224"/>
      <c r="S602" s="271" t="str">
        <f t="shared" si="198"/>
        <v/>
      </c>
      <c r="T602" s="7" t="str">
        <f t="shared" si="199"/>
        <v/>
      </c>
      <c r="U602" s="7" t="str">
        <f t="shared" si="208"/>
        <v/>
      </c>
      <c r="V602" s="7" t="str">
        <f t="shared" si="209"/>
        <v/>
      </c>
      <c r="W602" s="7" t="str">
        <f>VLOOKUP(C602,'Tox Summary'!$N$3:$S$1048576,6,FALSE)</f>
        <v/>
      </c>
      <c r="X602" s="76" t="str">
        <f t="shared" si="216"/>
        <v/>
      </c>
      <c r="Y602" s="76" t="str">
        <f t="shared" si="210"/>
        <v/>
      </c>
      <c r="Z602" s="243"/>
      <c r="AA602" s="243"/>
    </row>
    <row r="603" spans="1:27">
      <c r="A603" s="265"/>
      <c r="B603" s="269" t="s">
        <v>161</v>
      </c>
      <c r="C603" s="269" t="s">
        <v>1289</v>
      </c>
      <c r="D603" s="280" t="str">
        <f>VLOOKUP(B603, 'Chem Props'!$1:$1048576,3,FALSE)</f>
        <v>No</v>
      </c>
      <c r="E603" s="598" t="str">
        <f t="shared" si="211"/>
        <v>No</v>
      </c>
      <c r="F603" s="7" t="str">
        <f t="shared" si="203"/>
        <v>No (not volatile)</v>
      </c>
      <c r="G603" s="270" t="str">
        <f t="shared" si="200"/>
        <v>No (not volatile)</v>
      </c>
      <c r="H603" s="76" t="str">
        <f t="shared" si="212"/>
        <v>--</v>
      </c>
      <c r="I603" s="271" t="str">
        <f t="shared" si="213"/>
        <v>--</v>
      </c>
      <c r="J603" s="272" t="str">
        <f t="shared" si="214"/>
        <v>--</v>
      </c>
      <c r="K603" s="272" t="str">
        <f t="shared" si="215"/>
        <v>--</v>
      </c>
      <c r="L603" s="273" t="str">
        <f t="shared" si="204"/>
        <v>--</v>
      </c>
      <c r="M603" s="7">
        <f t="shared" si="205"/>
        <v>0.45900723654099779</v>
      </c>
      <c r="N603" s="7">
        <f t="shared" ref="N603:N618" si="217">IF(INDEX(HLC,MATCH(C603,ChemNameChem,0))="","No HLC",IF(INDEX(Sol,MATCH(C603,ChemNameChem,0))="No S","No S",INDEX(HLC,MATCH(C603,ChemNameChem,0))*INDEX(Sol,MATCH(C603,ChemNameChem,0))*1000000))</f>
        <v>0.45900000000000002</v>
      </c>
      <c r="O603" s="326">
        <f t="shared" si="206"/>
        <v>25</v>
      </c>
      <c r="P603" s="224" t="str">
        <f t="shared" ref="P603:P608" si="218">IF(VLOOKUP(B603,AllChemProps,32,FALSE)&gt;0,VLOOKUP(B603,AllChemProps,32,FALSE),"")</f>
        <v/>
      </c>
      <c r="Q603" s="224" t="str">
        <f t="shared" si="207"/>
        <v/>
      </c>
      <c r="R603" s="224"/>
      <c r="S603" s="271" t="str">
        <f t="shared" si="198"/>
        <v/>
      </c>
      <c r="T603" s="7" t="str">
        <f t="shared" si="199"/>
        <v/>
      </c>
      <c r="U603" s="7" t="str">
        <f t="shared" si="208"/>
        <v/>
      </c>
      <c r="V603" s="7" t="str">
        <f t="shared" si="209"/>
        <v/>
      </c>
      <c r="W603" s="7" t="str">
        <f>VLOOKUP(C603,'Tox Summary'!$N$3:$S$1048576,6,FALSE)</f>
        <v/>
      </c>
      <c r="X603" s="76" t="str">
        <f t="shared" si="216"/>
        <v/>
      </c>
      <c r="Y603" s="76" t="str">
        <f t="shared" si="210"/>
        <v/>
      </c>
      <c r="AA603" s="243"/>
    </row>
    <row r="604" spans="1:27">
      <c r="A604" s="265"/>
      <c r="B604" s="269" t="s">
        <v>162</v>
      </c>
      <c r="C604" s="269" t="s">
        <v>610</v>
      </c>
      <c r="D604" s="280" t="str">
        <f>VLOOKUP(B604, 'Chem Props'!$1:$1048576,3,FALSE)</f>
        <v>No</v>
      </c>
      <c r="E604" s="598" t="str">
        <f t="shared" si="211"/>
        <v>Yes</v>
      </c>
      <c r="F604" s="7" t="str">
        <f t="shared" si="203"/>
        <v>No (not volatile)</v>
      </c>
      <c r="G604" s="270" t="str">
        <f t="shared" si="200"/>
        <v>No (not volatile)</v>
      </c>
      <c r="H604" s="76">
        <f t="shared" si="212"/>
        <v>4.4566544566544568</v>
      </c>
      <c r="I604" s="271" t="str">
        <f t="shared" si="213"/>
        <v>C</v>
      </c>
      <c r="J604" s="272" t="str">
        <f t="shared" si="214"/>
        <v>NVT</v>
      </c>
      <c r="K604" s="272" t="str">
        <f t="shared" si="215"/>
        <v>NVT</v>
      </c>
      <c r="L604" s="273" t="str">
        <f t="shared" si="204"/>
        <v>--</v>
      </c>
      <c r="M604" s="7">
        <f t="shared" si="205"/>
        <v>6.6733785098309468</v>
      </c>
      <c r="N604" s="7">
        <f t="shared" si="217"/>
        <v>6.6704045999999995</v>
      </c>
      <c r="O604" s="326">
        <f t="shared" si="206"/>
        <v>25</v>
      </c>
      <c r="P604" s="224" t="str">
        <f t="shared" si="218"/>
        <v/>
      </c>
      <c r="Q604" s="224" t="str">
        <f t="shared" si="207"/>
        <v/>
      </c>
      <c r="R604" s="224"/>
      <c r="S604" s="271">
        <f t="shared" si="198"/>
        <v>6.3E-7</v>
      </c>
      <c r="T604" s="7" t="str">
        <f t="shared" si="199"/>
        <v>CA</v>
      </c>
      <c r="U604" s="7" t="str">
        <f t="shared" si="208"/>
        <v/>
      </c>
      <c r="V604" s="7" t="str">
        <f t="shared" si="209"/>
        <v/>
      </c>
      <c r="W604" s="7" t="str">
        <f>VLOOKUP(C604,'Tox Summary'!$N$3:$S$1048576,6,FALSE)</f>
        <v/>
      </c>
      <c r="X604" s="76">
        <f t="shared" si="216"/>
        <v>4.4566544566544568</v>
      </c>
      <c r="Y604" s="76" t="str">
        <f t="shared" si="210"/>
        <v/>
      </c>
      <c r="AA604" s="243"/>
    </row>
    <row r="605" spans="1:27">
      <c r="A605" s="265"/>
      <c r="B605" s="269" t="s">
        <v>163</v>
      </c>
      <c r="C605" s="269" t="s">
        <v>1290</v>
      </c>
      <c r="D605" s="280" t="str">
        <f>VLOOKUP(B605, 'Chem Props'!$1:$1048576,3,FALSE)</f>
        <v>No</v>
      </c>
      <c r="E605" s="598" t="str">
        <f t="shared" si="211"/>
        <v>No</v>
      </c>
      <c r="F605" s="7" t="str">
        <f t="shared" si="203"/>
        <v>No (not volatile)</v>
      </c>
      <c r="G605" s="270" t="str">
        <f t="shared" si="200"/>
        <v>No (not volatile)</v>
      </c>
      <c r="H605" s="76" t="str">
        <f t="shared" si="212"/>
        <v>--</v>
      </c>
      <c r="I605" s="271" t="str">
        <f t="shared" si="213"/>
        <v>--</v>
      </c>
      <c r="J605" s="272" t="str">
        <f t="shared" si="214"/>
        <v>--</v>
      </c>
      <c r="K605" s="272" t="str">
        <f t="shared" si="215"/>
        <v>--</v>
      </c>
      <c r="L605" s="273" t="str">
        <f t="shared" si="204"/>
        <v>--</v>
      </c>
      <c r="M605" s="7">
        <f t="shared" si="205"/>
        <v>1.6159854504977815E-4</v>
      </c>
      <c r="N605" s="7">
        <f t="shared" si="217"/>
        <v>1.6158600000000002E-4</v>
      </c>
      <c r="O605" s="326">
        <f t="shared" si="206"/>
        <v>25</v>
      </c>
      <c r="P605" s="224" t="str">
        <f t="shared" si="218"/>
        <v/>
      </c>
      <c r="Q605" s="224" t="str">
        <f t="shared" si="207"/>
        <v/>
      </c>
      <c r="R605" s="224"/>
      <c r="S605" s="271" t="str">
        <f t="shared" si="198"/>
        <v/>
      </c>
      <c r="T605" s="7" t="str">
        <f t="shared" si="199"/>
        <v/>
      </c>
      <c r="U605" s="7" t="str">
        <f t="shared" si="208"/>
        <v/>
      </c>
      <c r="V605" s="7" t="str">
        <f t="shared" si="209"/>
        <v/>
      </c>
      <c r="W605" s="7" t="str">
        <f>VLOOKUP(C605,'Tox Summary'!$N$3:$S$1048576,6,FALSE)</f>
        <v/>
      </c>
      <c r="X605" s="76" t="str">
        <f t="shared" si="216"/>
        <v/>
      </c>
      <c r="Y605" s="76" t="str">
        <f t="shared" si="210"/>
        <v/>
      </c>
      <c r="AA605" s="243"/>
    </row>
    <row r="606" spans="1:27">
      <c r="A606" s="265"/>
      <c r="B606" s="344" t="s">
        <v>164</v>
      </c>
      <c r="C606" s="269" t="s">
        <v>394</v>
      </c>
      <c r="D606" s="280" t="str">
        <f>VLOOKUP(B606, 'Chem Props'!$1:$1048576,3,FALSE)</f>
        <v>No</v>
      </c>
      <c r="E606" s="598" t="str">
        <f t="shared" si="211"/>
        <v>Yes</v>
      </c>
      <c r="F606" s="7" t="str">
        <f t="shared" si="203"/>
        <v>No (not volatile)</v>
      </c>
      <c r="G606" s="270" t="str">
        <f t="shared" si="200"/>
        <v>No (not volatile)</v>
      </c>
      <c r="H606" s="76">
        <f t="shared" si="212"/>
        <v>208.57142857142858</v>
      </c>
      <c r="I606" s="271" t="str">
        <f t="shared" si="213"/>
        <v>NC</v>
      </c>
      <c r="J606" s="272">
        <f t="shared" si="214"/>
        <v>6952.3809523809532</v>
      </c>
      <c r="K606" s="272">
        <f t="shared" si="215"/>
        <v>15336134.453781512</v>
      </c>
      <c r="L606" s="273" t="str">
        <f t="shared" si="204"/>
        <v>--</v>
      </c>
      <c r="M606" s="7">
        <f t="shared" si="205"/>
        <v>1772456.0182755685</v>
      </c>
      <c r="N606" s="7">
        <f t="shared" si="217"/>
        <v>1126080</v>
      </c>
      <c r="O606" s="326">
        <f t="shared" si="206"/>
        <v>25</v>
      </c>
      <c r="P606" s="224" t="str">
        <f t="shared" si="218"/>
        <v/>
      </c>
      <c r="Q606" s="224" t="str">
        <f t="shared" si="207"/>
        <v/>
      </c>
      <c r="R606" s="224"/>
      <c r="S606" s="271" t="str">
        <f t="shared" si="198"/>
        <v/>
      </c>
      <c r="T606" s="7" t="str">
        <f t="shared" si="199"/>
        <v/>
      </c>
      <c r="U606" s="7">
        <f t="shared" si="208"/>
        <v>0.2</v>
      </c>
      <c r="V606" s="7" t="str">
        <f t="shared" si="209"/>
        <v>CA</v>
      </c>
      <c r="W606" s="7" t="str">
        <f>VLOOKUP(C606,'Tox Summary'!$N$3:$S$1048576,6,FALSE)</f>
        <v/>
      </c>
      <c r="X606" s="76" t="str">
        <f t="shared" si="216"/>
        <v/>
      </c>
      <c r="Y606" s="76">
        <f t="shared" si="210"/>
        <v>208.57142857142858</v>
      </c>
      <c r="AA606" s="332"/>
    </row>
    <row r="607" spans="1:27">
      <c r="A607" s="265"/>
      <c r="B607" s="344" t="s">
        <v>679</v>
      </c>
      <c r="C607" s="269" t="s">
        <v>2430</v>
      </c>
      <c r="D607" s="280" t="str">
        <f>VLOOKUP(B607, 'Chem Props'!$1:$1048576,3,FALSE)</f>
        <v>No</v>
      </c>
      <c r="E607" s="598" t="str">
        <f t="shared" si="211"/>
        <v>No</v>
      </c>
      <c r="F607" s="7" t="str">
        <f t="shared" si="203"/>
        <v>No (not volatile)</v>
      </c>
      <c r="G607" s="270" t="str">
        <f t="shared" si="200"/>
        <v>No (not volatile)</v>
      </c>
      <c r="H607" s="76" t="str">
        <f t="shared" si="212"/>
        <v>--</v>
      </c>
      <c r="I607" s="271" t="str">
        <f t="shared" si="213"/>
        <v>--</v>
      </c>
      <c r="J607" s="272" t="str">
        <f t="shared" si="214"/>
        <v>--</v>
      </c>
      <c r="K607" s="272" t="str">
        <f t="shared" si="215"/>
        <v>--</v>
      </c>
      <c r="L607" s="273" t="str">
        <f t="shared" si="204"/>
        <v>--</v>
      </c>
      <c r="M607" s="7">
        <f t="shared" si="205"/>
        <v>236.44925632158618</v>
      </c>
      <c r="N607" s="7">
        <f t="shared" si="217"/>
        <v>108.74118</v>
      </c>
      <c r="O607" s="326">
        <f t="shared" si="206"/>
        <v>25</v>
      </c>
      <c r="P607" s="224" t="str">
        <f t="shared" si="218"/>
        <v/>
      </c>
      <c r="Q607" s="224" t="str">
        <f t="shared" si="207"/>
        <v/>
      </c>
      <c r="R607" s="224"/>
      <c r="S607" s="271" t="str">
        <f t="shared" si="198"/>
        <v/>
      </c>
      <c r="T607" s="7" t="str">
        <f t="shared" si="199"/>
        <v/>
      </c>
      <c r="U607" s="7" t="str">
        <f t="shared" si="208"/>
        <v/>
      </c>
      <c r="V607" s="7" t="str">
        <f t="shared" si="209"/>
        <v/>
      </c>
      <c r="W607" s="7" t="str">
        <f>VLOOKUP(C607,'Tox Summary'!$N$3:$S$1048576,6,FALSE)</f>
        <v/>
      </c>
      <c r="X607" s="76" t="str">
        <f t="shared" si="216"/>
        <v/>
      </c>
      <c r="Y607" s="76" t="str">
        <f t="shared" si="210"/>
        <v/>
      </c>
      <c r="AA607" s="332"/>
    </row>
    <row r="608" spans="1:27">
      <c r="A608" s="265"/>
      <c r="B608" s="344" t="s">
        <v>1579</v>
      </c>
      <c r="C608" s="269" t="s">
        <v>1578</v>
      </c>
      <c r="D608" s="280" t="str">
        <f>VLOOKUP(B608, 'Chem Props'!$1:$1048576,3,FALSE)</f>
        <v>No</v>
      </c>
      <c r="E608" s="598" t="str">
        <f t="shared" si="211"/>
        <v>No</v>
      </c>
      <c r="F608" s="7" t="str">
        <f t="shared" si="203"/>
        <v>No (not volatile)</v>
      </c>
      <c r="G608" s="270" t="str">
        <f t="shared" si="200"/>
        <v>No (not volatile)</v>
      </c>
      <c r="H608" s="76" t="str">
        <f t="shared" si="212"/>
        <v>--</v>
      </c>
      <c r="I608" s="271" t="str">
        <f t="shared" si="213"/>
        <v>--</v>
      </c>
      <c r="J608" s="272" t="str">
        <f t="shared" si="214"/>
        <v>--</v>
      </c>
      <c r="K608" s="272" t="str">
        <f t="shared" si="215"/>
        <v>--</v>
      </c>
      <c r="L608" s="273" t="str">
        <f t="shared" si="204"/>
        <v>--</v>
      </c>
      <c r="M608" s="7">
        <f t="shared" si="205"/>
        <v>9.5434831750108593</v>
      </c>
      <c r="N608" s="7">
        <f t="shared" si="217"/>
        <v>1.8200730000000001</v>
      </c>
      <c r="O608" s="326">
        <f t="shared" si="206"/>
        <v>25</v>
      </c>
      <c r="P608" s="224" t="str">
        <f t="shared" si="218"/>
        <v/>
      </c>
      <c r="Q608" s="224" t="str">
        <f t="shared" si="207"/>
        <v/>
      </c>
      <c r="R608" s="224"/>
      <c r="S608" s="271" t="str">
        <f t="shared" si="198"/>
        <v/>
      </c>
      <c r="T608" s="7" t="str">
        <f t="shared" si="199"/>
        <v/>
      </c>
      <c r="U608" s="7" t="str">
        <f t="shared" si="208"/>
        <v/>
      </c>
      <c r="V608" s="7" t="str">
        <f t="shared" si="209"/>
        <v/>
      </c>
      <c r="W608" s="7" t="str">
        <f>VLOOKUP(C608,'Tox Summary'!$N$3:$S$1048576,6,FALSE)</f>
        <v/>
      </c>
      <c r="X608" s="76" t="str">
        <f t="shared" si="216"/>
        <v/>
      </c>
      <c r="Y608" s="76" t="str">
        <f t="shared" si="210"/>
        <v/>
      </c>
      <c r="AA608" s="332"/>
    </row>
    <row r="609" spans="1:27">
      <c r="A609" s="98"/>
      <c r="B609" s="509" t="s">
        <v>2456</v>
      </c>
      <c r="C609" s="509" t="s">
        <v>2455</v>
      </c>
      <c r="D609" s="280" t="str">
        <f>VLOOKUP(B609, 'Chem Props'!$1:$1048576,3,FALSE)</f>
        <v>Yes</v>
      </c>
      <c r="E609" s="598" t="str">
        <f t="shared" si="211"/>
        <v>No</v>
      </c>
      <c r="F609" s="7" t="str">
        <f t="shared" si="203"/>
        <v>No Inhal. Tox. Info</v>
      </c>
      <c r="G609" s="270" t="str">
        <f t="shared" si="200"/>
        <v>No Inhal. Tox. Info</v>
      </c>
      <c r="H609" s="76" t="str">
        <f t="shared" si="212"/>
        <v>--</v>
      </c>
      <c r="I609" s="271" t="str">
        <f t="shared" si="213"/>
        <v>--</v>
      </c>
      <c r="J609" s="272" t="str">
        <f t="shared" si="214"/>
        <v>--</v>
      </c>
      <c r="K609" s="272" t="str">
        <f t="shared" si="215"/>
        <v>--</v>
      </c>
      <c r="L609" s="273" t="str">
        <f t="shared" si="204"/>
        <v>--</v>
      </c>
      <c r="M609" s="7">
        <f t="shared" si="205"/>
        <v>10911614.597069547</v>
      </c>
      <c r="N609" s="7">
        <f t="shared" si="217"/>
        <v>10915900.73</v>
      </c>
      <c r="O609" s="326">
        <f t="shared" si="206"/>
        <v>25</v>
      </c>
      <c r="P609" s="224"/>
      <c r="Q609" s="224" t="str">
        <f t="shared" si="207"/>
        <v/>
      </c>
      <c r="R609" s="224"/>
      <c r="S609" s="271" t="str">
        <f t="shared" si="198"/>
        <v/>
      </c>
      <c r="T609" s="7" t="str">
        <f t="shared" si="199"/>
        <v/>
      </c>
      <c r="U609" s="7" t="str">
        <f t="shared" si="208"/>
        <v/>
      </c>
      <c r="V609" s="7" t="str">
        <f t="shared" si="209"/>
        <v/>
      </c>
      <c r="W609" s="7" t="str">
        <f>VLOOKUP(C609,'Tox Summary'!$N$3:$S$1048576,6,FALSE)</f>
        <v/>
      </c>
      <c r="X609" s="76" t="str">
        <f t="shared" si="216"/>
        <v/>
      </c>
      <c r="Y609" s="76" t="str">
        <f t="shared" si="210"/>
        <v/>
      </c>
      <c r="Z609" s="243"/>
      <c r="AA609" s="243"/>
    </row>
    <row r="610" spans="1:27">
      <c r="A610" s="265"/>
      <c r="B610" s="344" t="s">
        <v>165</v>
      </c>
      <c r="C610" s="269" t="s">
        <v>1291</v>
      </c>
      <c r="D610" s="280" t="str">
        <f>VLOOKUP(B610, 'Chem Props'!$1:$1048576,3,FALSE)</f>
        <v>No</v>
      </c>
      <c r="E610" s="598" t="str">
        <f t="shared" si="211"/>
        <v>No</v>
      </c>
      <c r="F610" s="7" t="str">
        <f t="shared" si="203"/>
        <v>No (not volatile)</v>
      </c>
      <c r="G610" s="270" t="str">
        <f t="shared" si="200"/>
        <v>No (not volatile)</v>
      </c>
      <c r="H610" s="76" t="str">
        <f t="shared" si="212"/>
        <v>--</v>
      </c>
      <c r="I610" s="271" t="str">
        <f t="shared" si="213"/>
        <v>--</v>
      </c>
      <c r="J610" s="272" t="str">
        <f t="shared" si="214"/>
        <v>--</v>
      </c>
      <c r="K610" s="272" t="str">
        <f t="shared" si="215"/>
        <v>--</v>
      </c>
      <c r="L610" s="273" t="str">
        <f t="shared" si="204"/>
        <v>--</v>
      </c>
      <c r="M610" s="7">
        <f t="shared" si="205"/>
        <v>12161.463546522871</v>
      </c>
      <c r="N610" s="7">
        <f t="shared" si="217"/>
        <v>12162.751999999999</v>
      </c>
      <c r="O610" s="326">
        <f t="shared" si="206"/>
        <v>25</v>
      </c>
      <c r="P610" s="224" t="str">
        <f t="shared" ref="P610:P641" si="219">IF(VLOOKUP(B610,AllChemProps,32,FALSE)&gt;0,VLOOKUP(B610,AllChemProps,32,FALSE),"")</f>
        <v/>
      </c>
      <c r="Q610" s="224" t="str">
        <f t="shared" si="207"/>
        <v/>
      </c>
      <c r="R610" s="224"/>
      <c r="S610" s="271" t="str">
        <f t="shared" si="198"/>
        <v/>
      </c>
      <c r="T610" s="7" t="str">
        <f t="shared" si="199"/>
        <v/>
      </c>
      <c r="U610" s="7" t="str">
        <f t="shared" si="208"/>
        <v/>
      </c>
      <c r="V610" s="7" t="str">
        <f t="shared" si="209"/>
        <v/>
      </c>
      <c r="W610" s="7" t="str">
        <f>VLOOKUP(C610,'Tox Summary'!$N$3:$S$1048576,6,FALSE)</f>
        <v/>
      </c>
      <c r="X610" s="76" t="str">
        <f t="shared" si="216"/>
        <v/>
      </c>
      <c r="Y610" s="76" t="str">
        <f t="shared" si="210"/>
        <v/>
      </c>
      <c r="AA610" s="332"/>
    </row>
    <row r="611" spans="1:27">
      <c r="A611" s="265"/>
      <c r="B611" s="269" t="s">
        <v>166</v>
      </c>
      <c r="C611" s="269" t="s">
        <v>1292</v>
      </c>
      <c r="D611" s="280" t="str">
        <f>VLOOKUP(B611, 'Chem Props'!$1:$1048576,3,FALSE)</f>
        <v>No</v>
      </c>
      <c r="E611" s="598" t="str">
        <f t="shared" si="211"/>
        <v>No</v>
      </c>
      <c r="F611" s="7" t="str">
        <f t="shared" si="203"/>
        <v>No (not volatile)</v>
      </c>
      <c r="G611" s="270" t="str">
        <f t="shared" si="200"/>
        <v>No (not volatile)</v>
      </c>
      <c r="H611" s="76" t="str">
        <f t="shared" si="212"/>
        <v>--</v>
      </c>
      <c r="I611" s="271" t="str">
        <f t="shared" si="213"/>
        <v>--</v>
      </c>
      <c r="J611" s="272" t="str">
        <f t="shared" si="214"/>
        <v>--</v>
      </c>
      <c r="K611" s="272" t="str">
        <f t="shared" si="215"/>
        <v>--</v>
      </c>
      <c r="L611" s="273" t="str">
        <f t="shared" si="204"/>
        <v>--</v>
      </c>
      <c r="M611" s="7">
        <f t="shared" si="205"/>
        <v>11986.897084132594</v>
      </c>
      <c r="N611" s="7">
        <f t="shared" si="217"/>
        <v>11892.144</v>
      </c>
      <c r="O611" s="326">
        <f t="shared" si="206"/>
        <v>25</v>
      </c>
      <c r="P611" s="224" t="str">
        <f t="shared" si="219"/>
        <v/>
      </c>
      <c r="Q611" s="224" t="str">
        <f t="shared" si="207"/>
        <v/>
      </c>
      <c r="R611" s="224"/>
      <c r="S611" s="271" t="str">
        <f t="shared" si="198"/>
        <v/>
      </c>
      <c r="T611" s="7" t="str">
        <f t="shared" si="199"/>
        <v/>
      </c>
      <c r="U611" s="7" t="str">
        <f t="shared" si="208"/>
        <v/>
      </c>
      <c r="V611" s="7" t="str">
        <f t="shared" si="209"/>
        <v/>
      </c>
      <c r="W611" s="7" t="str">
        <f>VLOOKUP(C611,'Tox Summary'!$N$3:$S$1048576,6,FALSE)</f>
        <v/>
      </c>
      <c r="X611" s="76" t="str">
        <f t="shared" si="216"/>
        <v/>
      </c>
      <c r="Y611" s="76" t="str">
        <f t="shared" si="210"/>
        <v/>
      </c>
      <c r="AA611" s="243"/>
    </row>
    <row r="612" spans="1:27">
      <c r="A612" s="265"/>
      <c r="B612" s="269" t="s">
        <v>167</v>
      </c>
      <c r="C612" s="269" t="s">
        <v>1293</v>
      </c>
      <c r="D612" s="280" t="str">
        <f>VLOOKUP(B612, 'Chem Props'!$1:$1048576,3,FALSE)</f>
        <v>No</v>
      </c>
      <c r="E612" s="598" t="str">
        <f t="shared" si="211"/>
        <v>No</v>
      </c>
      <c r="F612" s="7" t="str">
        <f t="shared" si="203"/>
        <v>No (not volatile)</v>
      </c>
      <c r="G612" s="270" t="str">
        <f t="shared" si="200"/>
        <v>No (not volatile)</v>
      </c>
      <c r="H612" s="76" t="str">
        <f t="shared" si="212"/>
        <v>--</v>
      </c>
      <c r="I612" s="271" t="str">
        <f t="shared" si="213"/>
        <v>--</v>
      </c>
      <c r="J612" s="272" t="str">
        <f t="shared" si="214"/>
        <v>--</v>
      </c>
      <c r="K612" s="272" t="str">
        <f t="shared" si="215"/>
        <v>--</v>
      </c>
      <c r="L612" s="273" t="str">
        <f t="shared" si="204"/>
        <v>--</v>
      </c>
      <c r="M612" s="7">
        <f t="shared" si="205"/>
        <v>29094.410398380081</v>
      </c>
      <c r="N612" s="7">
        <f t="shared" si="217"/>
        <v>1018.0180000000001</v>
      </c>
      <c r="O612" s="326">
        <f t="shared" si="206"/>
        <v>25</v>
      </c>
      <c r="P612" s="224" t="str">
        <f t="shared" si="219"/>
        <v/>
      </c>
      <c r="Q612" s="224" t="str">
        <f t="shared" si="207"/>
        <v/>
      </c>
      <c r="R612" s="224"/>
      <c r="S612" s="271" t="str">
        <f t="shared" si="198"/>
        <v/>
      </c>
      <c r="T612" s="7" t="str">
        <f t="shared" si="199"/>
        <v/>
      </c>
      <c r="U612" s="7" t="str">
        <f t="shared" si="208"/>
        <v/>
      </c>
      <c r="V612" s="7" t="str">
        <f t="shared" si="209"/>
        <v/>
      </c>
      <c r="W612" s="7" t="str">
        <f>VLOOKUP(C612,'Tox Summary'!$N$3:$S$1048576,6,FALSE)</f>
        <v/>
      </c>
      <c r="X612" s="76" t="str">
        <f t="shared" si="216"/>
        <v/>
      </c>
      <c r="Y612" s="76" t="str">
        <f t="shared" si="210"/>
        <v/>
      </c>
      <c r="AA612" s="243"/>
    </row>
    <row r="613" spans="1:27">
      <c r="A613" s="265"/>
      <c r="B613" s="344" t="s">
        <v>61</v>
      </c>
      <c r="C613" s="269" t="s">
        <v>2339</v>
      </c>
      <c r="D613" s="280" t="str">
        <f>VLOOKUP(B613, 'Chem Props'!$1:$1048576,3,FALSE)</f>
        <v>No</v>
      </c>
      <c r="E613" s="598" t="str">
        <f t="shared" si="211"/>
        <v>No</v>
      </c>
      <c r="F613" s="7" t="str">
        <f t="shared" si="203"/>
        <v>No (not volatile)</v>
      </c>
      <c r="G613" s="270" t="str">
        <f t="shared" si="200"/>
        <v>No (not volatile)</v>
      </c>
      <c r="H613" s="76" t="str">
        <f t="shared" si="212"/>
        <v>--</v>
      </c>
      <c r="I613" s="271" t="str">
        <f t="shared" si="213"/>
        <v>--</v>
      </c>
      <c r="J613" s="272" t="str">
        <f t="shared" si="214"/>
        <v>--</v>
      </c>
      <c r="K613" s="272" t="str">
        <f t="shared" si="215"/>
        <v>--</v>
      </c>
      <c r="L613" s="273" t="str">
        <f t="shared" si="204"/>
        <v>--</v>
      </c>
      <c r="M613" s="7">
        <f t="shared" si="205"/>
        <v>108.71742286906425</v>
      </c>
      <c r="N613" s="7">
        <f t="shared" si="217"/>
        <v>101.12179999999999</v>
      </c>
      <c r="O613" s="326">
        <f t="shared" si="206"/>
        <v>25</v>
      </c>
      <c r="P613" s="224" t="str">
        <f t="shared" si="219"/>
        <v/>
      </c>
      <c r="Q613" s="224" t="str">
        <f t="shared" si="207"/>
        <v/>
      </c>
      <c r="R613" s="224"/>
      <c r="S613" s="271" t="str">
        <f t="shared" ref="S613:S676" si="220">IF(INDEX(IUR,MATCH(B613,CASNoTox,0))=" ","",IF(W613="TCE","see note",INDEX(IUR,MATCH(B613,CASNoTox,0))))</f>
        <v/>
      </c>
      <c r="T613" s="7" t="str">
        <f t="shared" ref="T613:T676" si="221">IF(INDEX(IURSource,MATCH(B613,CASNoTox,0))="","",SUBSTITUTE(INDEX(IURSource,MATCH(B613,CASNoTox,0)),"C","CA"))</f>
        <v/>
      </c>
      <c r="U613" s="7" t="str">
        <f t="shared" si="208"/>
        <v/>
      </c>
      <c r="V613" s="7" t="str">
        <f t="shared" si="209"/>
        <v/>
      </c>
      <c r="W613" s="7" t="str">
        <f>VLOOKUP(C613,'Tox Summary'!$N$3:$S$1048576,6,FALSE)</f>
        <v/>
      </c>
      <c r="X613" s="76" t="str">
        <f t="shared" si="216"/>
        <v/>
      </c>
      <c r="Y613" s="76" t="str">
        <f t="shared" si="210"/>
        <v/>
      </c>
      <c r="AA613" s="332"/>
    </row>
    <row r="614" spans="1:27">
      <c r="A614" s="265"/>
      <c r="B614" s="344" t="s">
        <v>168</v>
      </c>
      <c r="C614" s="269" t="s">
        <v>1294</v>
      </c>
      <c r="D614" s="280" t="str">
        <f>VLOOKUP(B614, 'Chem Props'!$1:$1048576,3,FALSE)</f>
        <v>No</v>
      </c>
      <c r="E614" s="598" t="str">
        <f t="shared" si="211"/>
        <v>No</v>
      </c>
      <c r="F614" s="7" t="str">
        <f t="shared" si="203"/>
        <v>No (not volatile)</v>
      </c>
      <c r="G614" s="270" t="str">
        <f t="shared" si="200"/>
        <v>No (not volatile)</v>
      </c>
      <c r="H614" s="76" t="str">
        <f t="shared" si="212"/>
        <v>--</v>
      </c>
      <c r="I614" s="271" t="str">
        <f t="shared" si="213"/>
        <v>--</v>
      </c>
      <c r="J614" s="272" t="str">
        <f t="shared" si="214"/>
        <v>--</v>
      </c>
      <c r="K614" s="272" t="str">
        <f t="shared" si="215"/>
        <v>--</v>
      </c>
      <c r="L614" s="273" t="str">
        <f t="shared" si="204"/>
        <v>--</v>
      </c>
      <c r="M614" s="7">
        <f t="shared" si="205"/>
        <v>18317.586809351851</v>
      </c>
      <c r="N614" s="7">
        <f t="shared" si="217"/>
        <v>30030</v>
      </c>
      <c r="O614" s="326">
        <f t="shared" si="206"/>
        <v>25</v>
      </c>
      <c r="P614" s="224" t="str">
        <f t="shared" si="219"/>
        <v/>
      </c>
      <c r="Q614" s="224" t="str">
        <f t="shared" si="207"/>
        <v/>
      </c>
      <c r="R614" s="224"/>
      <c r="S614" s="271" t="str">
        <f t="shared" si="220"/>
        <v/>
      </c>
      <c r="T614" s="7" t="str">
        <f t="shared" si="221"/>
        <v/>
      </c>
      <c r="U614" s="7" t="str">
        <f t="shared" si="208"/>
        <v/>
      </c>
      <c r="V614" s="7" t="str">
        <f t="shared" si="209"/>
        <v/>
      </c>
      <c r="W614" s="7" t="str">
        <f>VLOOKUP(C614,'Tox Summary'!$N$3:$S$1048576,6,FALSE)</f>
        <v/>
      </c>
      <c r="X614" s="76" t="str">
        <f t="shared" si="216"/>
        <v/>
      </c>
      <c r="Y614" s="76" t="str">
        <f t="shared" si="210"/>
        <v/>
      </c>
      <c r="AA614" s="332"/>
    </row>
    <row r="615" spans="1:27">
      <c r="A615" s="265"/>
      <c r="B615" s="344" t="s">
        <v>169</v>
      </c>
      <c r="C615" s="269" t="s">
        <v>1295</v>
      </c>
      <c r="D615" s="280" t="str">
        <f>VLOOKUP(B615, 'Chem Props'!$1:$1048576,3,FALSE)</f>
        <v>No</v>
      </c>
      <c r="E615" s="598" t="str">
        <f t="shared" si="211"/>
        <v>No</v>
      </c>
      <c r="F615" s="7" t="str">
        <f t="shared" si="203"/>
        <v>No (not volatile)</v>
      </c>
      <c r="G615" s="270" t="str">
        <f t="shared" si="200"/>
        <v>No (not volatile)</v>
      </c>
      <c r="H615" s="76" t="str">
        <f t="shared" si="212"/>
        <v>--</v>
      </c>
      <c r="I615" s="271" t="str">
        <f t="shared" si="213"/>
        <v>--</v>
      </c>
      <c r="J615" s="272" t="str">
        <f t="shared" si="214"/>
        <v>--</v>
      </c>
      <c r="K615" s="272" t="str">
        <f t="shared" si="215"/>
        <v>--</v>
      </c>
      <c r="L615" s="273" t="str">
        <f t="shared" si="204"/>
        <v>--</v>
      </c>
      <c r="M615" s="7">
        <f t="shared" si="205"/>
        <v>8938.8467648238784</v>
      </c>
      <c r="N615" s="7">
        <f t="shared" si="217"/>
        <v>8935</v>
      </c>
      <c r="O615" s="326">
        <f t="shared" si="206"/>
        <v>25</v>
      </c>
      <c r="P615" s="224" t="str">
        <f t="shared" si="219"/>
        <v/>
      </c>
      <c r="Q615" s="224" t="str">
        <f t="shared" si="207"/>
        <v/>
      </c>
      <c r="R615" s="224"/>
      <c r="S615" s="271" t="str">
        <f t="shared" si="220"/>
        <v/>
      </c>
      <c r="T615" s="7" t="str">
        <f t="shared" si="221"/>
        <v/>
      </c>
      <c r="U615" s="7" t="str">
        <f t="shared" si="208"/>
        <v/>
      </c>
      <c r="V615" s="7" t="str">
        <f t="shared" si="209"/>
        <v/>
      </c>
      <c r="W615" s="7" t="str">
        <f>VLOOKUP(C615,'Tox Summary'!$N$3:$S$1048576,6,FALSE)</f>
        <v/>
      </c>
      <c r="X615" s="76" t="str">
        <f t="shared" si="216"/>
        <v/>
      </c>
      <c r="Y615" s="76" t="str">
        <f t="shared" si="210"/>
        <v/>
      </c>
      <c r="AA615" s="332"/>
    </row>
    <row r="616" spans="1:27">
      <c r="A616" s="265"/>
      <c r="B616" s="344" t="s">
        <v>170</v>
      </c>
      <c r="C616" s="269" t="s">
        <v>1296</v>
      </c>
      <c r="D616" s="280" t="str">
        <f>VLOOKUP(B616, 'Chem Props'!$1:$1048576,3,FALSE)</f>
        <v>Yes</v>
      </c>
      <c r="E616" s="598" t="str">
        <f t="shared" si="211"/>
        <v>Yes</v>
      </c>
      <c r="F616" s="7" t="str">
        <f t="shared" si="203"/>
        <v>Yes</v>
      </c>
      <c r="G616" s="270" t="str">
        <f t="shared" si="200"/>
        <v>Yes</v>
      </c>
      <c r="H616" s="76">
        <f t="shared" si="212"/>
        <v>0.31285714285714278</v>
      </c>
      <c r="I616" s="271" t="str">
        <f t="shared" si="213"/>
        <v>NC</v>
      </c>
      <c r="J616" s="272">
        <f t="shared" si="214"/>
        <v>10.428571428571427</v>
      </c>
      <c r="K616" s="272">
        <f t="shared" si="215"/>
        <v>0.45823270609366423</v>
      </c>
      <c r="L616" s="273" t="str">
        <f t="shared" si="204"/>
        <v>--</v>
      </c>
      <c r="M616" s="7">
        <f t="shared" si="205"/>
        <v>7547451975.2320423</v>
      </c>
      <c r="N616" s="7">
        <f t="shared" si="217"/>
        <v>4660091696.1499996</v>
      </c>
      <c r="O616" s="326">
        <f t="shared" si="206"/>
        <v>25</v>
      </c>
      <c r="P616" s="224" t="str">
        <f t="shared" si="219"/>
        <v/>
      </c>
      <c r="Q616" s="224" t="str">
        <f t="shared" si="207"/>
        <v/>
      </c>
      <c r="R616" s="224"/>
      <c r="S616" s="271" t="str">
        <f t="shared" si="220"/>
        <v/>
      </c>
      <c r="T616" s="7" t="str">
        <f t="shared" si="221"/>
        <v/>
      </c>
      <c r="U616" s="7">
        <f t="shared" si="208"/>
        <v>2.9999999999999997E-4</v>
      </c>
      <c r="V616" s="7" t="str">
        <f t="shared" si="209"/>
        <v>I</v>
      </c>
      <c r="W616" s="7" t="str">
        <f>VLOOKUP(C616,'Tox Summary'!$N$3:$S$1048576,6,FALSE)</f>
        <v/>
      </c>
      <c r="X616" s="76" t="str">
        <f t="shared" si="216"/>
        <v/>
      </c>
      <c r="Y616" s="76">
        <f t="shared" si="210"/>
        <v>0.31285714285714278</v>
      </c>
      <c r="AA616" s="332"/>
    </row>
    <row r="617" spans="1:27">
      <c r="A617" s="265"/>
      <c r="B617" s="344" t="s">
        <v>171</v>
      </c>
      <c r="C617" s="269" t="s">
        <v>1297</v>
      </c>
      <c r="D617" s="280" t="str">
        <f>VLOOKUP(B617, 'Chem Props'!$1:$1048576,3,FALSE)</f>
        <v>No</v>
      </c>
      <c r="E617" s="598" t="str">
        <f t="shared" si="211"/>
        <v>No</v>
      </c>
      <c r="F617" s="7" t="str">
        <f t="shared" si="203"/>
        <v>No (not volatile)</v>
      </c>
      <c r="G617" s="270" t="str">
        <f t="shared" si="200"/>
        <v>No (not volatile)</v>
      </c>
      <c r="H617" s="76" t="str">
        <f t="shared" si="212"/>
        <v>--</v>
      </c>
      <c r="I617" s="271" t="str">
        <f t="shared" si="213"/>
        <v>--</v>
      </c>
      <c r="J617" s="272" t="str">
        <f t="shared" si="214"/>
        <v>--</v>
      </c>
      <c r="K617" s="272" t="str">
        <f t="shared" si="215"/>
        <v>--</v>
      </c>
      <c r="L617" s="273" t="str">
        <f t="shared" si="204"/>
        <v>--</v>
      </c>
      <c r="M617" s="7">
        <f t="shared" si="205"/>
        <v>8.3665558918639586</v>
      </c>
      <c r="N617" s="7">
        <f t="shared" si="217"/>
        <v>8.3594399999999993</v>
      </c>
      <c r="O617" s="326">
        <f t="shared" si="206"/>
        <v>25</v>
      </c>
      <c r="P617" s="224" t="str">
        <f t="shared" si="219"/>
        <v/>
      </c>
      <c r="Q617" s="224" t="str">
        <f t="shared" si="207"/>
        <v/>
      </c>
      <c r="R617" s="224"/>
      <c r="S617" s="271" t="str">
        <f t="shared" si="220"/>
        <v/>
      </c>
      <c r="T617" s="7" t="str">
        <f t="shared" si="221"/>
        <v/>
      </c>
      <c r="U617" s="7" t="str">
        <f t="shared" si="208"/>
        <v/>
      </c>
      <c r="V617" s="7" t="str">
        <f t="shared" si="209"/>
        <v/>
      </c>
      <c r="W617" s="7" t="str">
        <f>VLOOKUP(C617,'Tox Summary'!$N$3:$S$1048576,6,FALSE)</f>
        <v/>
      </c>
      <c r="X617" s="76" t="str">
        <f t="shared" si="216"/>
        <v/>
      </c>
      <c r="Y617" s="76" t="str">
        <f t="shared" si="210"/>
        <v/>
      </c>
      <c r="AA617" s="332"/>
    </row>
    <row r="618" spans="1:27">
      <c r="A618" s="265"/>
      <c r="B618" s="344" t="s">
        <v>172</v>
      </c>
      <c r="C618" s="269" t="s">
        <v>1298</v>
      </c>
      <c r="D618" s="280" t="str">
        <f>VLOOKUP(B618, 'Chem Props'!$1:$1048576,3,FALSE)</f>
        <v>Yes</v>
      </c>
      <c r="E618" s="598" t="str">
        <f t="shared" si="211"/>
        <v>Yes</v>
      </c>
      <c r="F618" s="7" t="str">
        <f t="shared" si="203"/>
        <v>Yes</v>
      </c>
      <c r="G618" s="270" t="str">
        <f t="shared" si="200"/>
        <v>Yes</v>
      </c>
      <c r="H618" s="76">
        <f t="shared" si="212"/>
        <v>0.31285714285714278</v>
      </c>
      <c r="I618" s="271" t="str">
        <f t="shared" si="213"/>
        <v>NC</v>
      </c>
      <c r="J618" s="272">
        <f t="shared" si="214"/>
        <v>10.428571428571427</v>
      </c>
      <c r="K618" s="272">
        <f t="shared" si="215"/>
        <v>0.31348411107930141</v>
      </c>
      <c r="L618" s="273" t="str">
        <f t="shared" si="204"/>
        <v>--</v>
      </c>
      <c r="M618" s="7">
        <f t="shared" si="205"/>
        <v>53601159064.947075</v>
      </c>
      <c r="N618" s="7">
        <f t="shared" si="217"/>
        <v>259480000000</v>
      </c>
      <c r="O618" s="326">
        <f t="shared" si="206"/>
        <v>25</v>
      </c>
      <c r="P618" s="224">
        <f t="shared" si="219"/>
        <v>1.79</v>
      </c>
      <c r="Q618" s="224" t="str">
        <f t="shared" si="207"/>
        <v>N</v>
      </c>
      <c r="R618" s="224"/>
      <c r="S618" s="271" t="str">
        <f t="shared" si="220"/>
        <v/>
      </c>
      <c r="T618" s="7" t="str">
        <f t="shared" si="221"/>
        <v/>
      </c>
      <c r="U618" s="7">
        <f t="shared" si="208"/>
        <v>2.9999999999999997E-4</v>
      </c>
      <c r="V618" s="7" t="str">
        <f t="shared" si="209"/>
        <v>I</v>
      </c>
      <c r="W618" s="7" t="str">
        <f>VLOOKUP(C618,'Tox Summary'!$N$3:$S$1048576,6,FALSE)</f>
        <v/>
      </c>
      <c r="X618" s="76" t="str">
        <f t="shared" si="216"/>
        <v/>
      </c>
      <c r="Y618" s="76">
        <f t="shared" si="210"/>
        <v>0.31285714285714278</v>
      </c>
      <c r="AA618" s="332"/>
    </row>
    <row r="619" spans="1:27">
      <c r="A619" s="265"/>
      <c r="B619" s="344" t="s">
        <v>173</v>
      </c>
      <c r="C619" s="269" t="s">
        <v>1299</v>
      </c>
      <c r="D619" s="280" t="str">
        <f>VLOOKUP(B619, 'Chem Props'!$1:$1048576,3,FALSE)</f>
        <v>No</v>
      </c>
      <c r="E619" s="598" t="str">
        <f t="shared" si="211"/>
        <v>Yes</v>
      </c>
      <c r="F619" s="7" t="str">
        <f t="shared" si="203"/>
        <v>No (not volatile)</v>
      </c>
      <c r="G619" s="270" t="str">
        <f t="shared" ref="G619:G682" si="222">IF(LEFT(D619,2)="No","No (not volatile)",IF(D619="unknown","unknown",IF(H619="NVT","No",IF(AND(X619="",Y619=""),"No Inhal. Tox. Info",IF(MIN(X619:Y619)&gt;=N619,"No",IF(N619&gt;H619,"Yes","No"))))))</f>
        <v>No (not volatile)</v>
      </c>
      <c r="H619" s="76">
        <f t="shared" si="212"/>
        <v>10.428571428571429</v>
      </c>
      <c r="I619" s="271" t="str">
        <f t="shared" si="213"/>
        <v>NC</v>
      </c>
      <c r="J619" s="272">
        <f t="shared" si="214"/>
        <v>347.61904761904765</v>
      </c>
      <c r="K619" s="272" t="str">
        <f t="shared" si="215"/>
        <v>No S</v>
      </c>
      <c r="L619" s="273" t="str">
        <f t="shared" si="204"/>
        <v>--</v>
      </c>
      <c r="M619" s="7">
        <f t="shared" si="205"/>
        <v>158189.75847915234</v>
      </c>
      <c r="N619" s="7" t="s">
        <v>2440</v>
      </c>
      <c r="O619" s="326">
        <f t="shared" si="206"/>
        <v>25</v>
      </c>
      <c r="P619" s="224" t="str">
        <f t="shared" si="219"/>
        <v/>
      </c>
      <c r="Q619" s="224" t="str">
        <f t="shared" si="207"/>
        <v/>
      </c>
      <c r="R619" s="224"/>
      <c r="S619" s="271" t="str">
        <f t="shared" si="220"/>
        <v/>
      </c>
      <c r="T619" s="7" t="str">
        <f t="shared" si="221"/>
        <v/>
      </c>
      <c r="U619" s="7">
        <f t="shared" si="208"/>
        <v>0.01</v>
      </c>
      <c r="V619" s="7" t="str">
        <f t="shared" si="209"/>
        <v>I</v>
      </c>
      <c r="W619" s="7" t="str">
        <f>VLOOKUP(C619,'Tox Summary'!$N$3:$S$1048576,6,FALSE)</f>
        <v/>
      </c>
      <c r="X619" s="76" t="str">
        <f t="shared" si="216"/>
        <v/>
      </c>
      <c r="Y619" s="76">
        <f t="shared" si="210"/>
        <v>10.428571428571429</v>
      </c>
      <c r="AA619" s="332"/>
    </row>
    <row r="620" spans="1:27">
      <c r="A620" s="265"/>
      <c r="B620" s="344" t="s">
        <v>174</v>
      </c>
      <c r="C620" s="269" t="s">
        <v>1300</v>
      </c>
      <c r="D620" s="280" t="str">
        <f>VLOOKUP(B620, 'Chem Props'!$1:$1048576,3,FALSE)</f>
        <v>Yes</v>
      </c>
      <c r="E620" s="598" t="str">
        <f t="shared" si="211"/>
        <v>No</v>
      </c>
      <c r="F620" s="7" t="str">
        <f t="shared" si="203"/>
        <v>No Inhal. Tox. Info</v>
      </c>
      <c r="G620" s="270" t="str">
        <f t="shared" si="222"/>
        <v>No Inhal. Tox. Info</v>
      </c>
      <c r="H620" s="76" t="str">
        <f t="shared" si="212"/>
        <v>--</v>
      </c>
      <c r="I620" s="271" t="str">
        <f t="shared" si="213"/>
        <v>--</v>
      </c>
      <c r="J620" s="272" t="str">
        <f t="shared" si="214"/>
        <v>--</v>
      </c>
      <c r="K620" s="272" t="str">
        <f t="shared" si="215"/>
        <v>--</v>
      </c>
      <c r="L620" s="273" t="str">
        <f t="shared" si="204"/>
        <v>--</v>
      </c>
      <c r="M620" s="7">
        <f t="shared" si="205"/>
        <v>41666.833164389893</v>
      </c>
      <c r="N620" s="7">
        <f t="shared" ref="N620:N629" si="223">IF(INDEX(HLC,MATCH(C620,ChemNameChem,0))="","No HLC",IF(INDEX(Sol,MATCH(C620,ChemNameChem,0))="No S","No S",INDEX(HLC,MATCH(C620,ChemNameChem,0))*INDEX(Sol,MATCH(C620,ChemNameChem,0))*1000000))</f>
        <v>258000</v>
      </c>
      <c r="O620" s="326">
        <f t="shared" si="206"/>
        <v>25</v>
      </c>
      <c r="P620" s="224" t="str">
        <f t="shared" si="219"/>
        <v/>
      </c>
      <c r="Q620" s="224" t="str">
        <f t="shared" si="207"/>
        <v/>
      </c>
      <c r="R620" s="224"/>
      <c r="S620" s="271" t="str">
        <f t="shared" si="220"/>
        <v/>
      </c>
      <c r="T620" s="7" t="str">
        <f t="shared" si="221"/>
        <v/>
      </c>
      <c r="U620" s="7" t="str">
        <f t="shared" si="208"/>
        <v/>
      </c>
      <c r="V620" s="7" t="str">
        <f t="shared" si="209"/>
        <v/>
      </c>
      <c r="W620" s="7" t="str">
        <f>VLOOKUP(C620,'Tox Summary'!$N$3:$S$1048576,6,FALSE)</f>
        <v/>
      </c>
      <c r="X620" s="76" t="str">
        <f t="shared" si="216"/>
        <v/>
      </c>
      <c r="Y620" s="76" t="str">
        <f t="shared" si="210"/>
        <v/>
      </c>
      <c r="AA620" s="332"/>
    </row>
    <row r="621" spans="1:27">
      <c r="A621" s="265"/>
      <c r="B621" s="269" t="s">
        <v>175</v>
      </c>
      <c r="C621" s="269" t="s">
        <v>2345</v>
      </c>
      <c r="D621" s="280" t="str">
        <f>VLOOKUP(B621, 'Chem Props'!$1:$1048576,3,FALSE)</f>
        <v>No</v>
      </c>
      <c r="E621" s="598" t="str">
        <f t="shared" si="211"/>
        <v>No</v>
      </c>
      <c r="F621" s="7" t="str">
        <f t="shared" si="203"/>
        <v>No (not volatile)</v>
      </c>
      <c r="G621" s="270" t="str">
        <f t="shared" si="222"/>
        <v>No (not volatile)</v>
      </c>
      <c r="H621" s="76" t="str">
        <f t="shared" si="212"/>
        <v>--</v>
      </c>
      <c r="I621" s="271" t="str">
        <f t="shared" si="213"/>
        <v>--</v>
      </c>
      <c r="J621" s="272" t="str">
        <f t="shared" si="214"/>
        <v>--</v>
      </c>
      <c r="K621" s="272" t="str">
        <f t="shared" si="215"/>
        <v>--</v>
      </c>
      <c r="L621" s="273" t="str">
        <f t="shared" si="204"/>
        <v>--</v>
      </c>
      <c r="M621" s="7">
        <f t="shared" si="205"/>
        <v>82.241132745038868</v>
      </c>
      <c r="N621" s="7">
        <f t="shared" si="223"/>
        <v>2.3790000000000004E-4</v>
      </c>
      <c r="O621" s="326">
        <f t="shared" si="206"/>
        <v>25</v>
      </c>
      <c r="P621" s="224" t="str">
        <f t="shared" si="219"/>
        <v/>
      </c>
      <c r="Q621" s="224" t="str">
        <f t="shared" si="207"/>
        <v/>
      </c>
      <c r="R621" s="224"/>
      <c r="S621" s="271" t="str">
        <f t="shared" si="220"/>
        <v/>
      </c>
      <c r="T621" s="7" t="str">
        <f t="shared" si="221"/>
        <v/>
      </c>
      <c r="U621" s="7" t="str">
        <f t="shared" si="208"/>
        <v/>
      </c>
      <c r="V621" s="7" t="str">
        <f t="shared" si="209"/>
        <v/>
      </c>
      <c r="W621" s="7" t="str">
        <f>VLOOKUP(C621,'Tox Summary'!$N$3:$S$1048576,6,FALSE)</f>
        <v/>
      </c>
      <c r="X621" s="76" t="str">
        <f t="shared" si="216"/>
        <v/>
      </c>
      <c r="Y621" s="76" t="str">
        <f t="shared" si="210"/>
        <v/>
      </c>
      <c r="AA621" s="243"/>
    </row>
    <row r="622" spans="1:27">
      <c r="A622" s="265"/>
      <c r="B622" s="344" t="s">
        <v>176</v>
      </c>
      <c r="C622" s="269" t="s">
        <v>2346</v>
      </c>
      <c r="D622" s="280" t="str">
        <f>VLOOKUP(B622, 'Chem Props'!$1:$1048576,3,FALSE)</f>
        <v>No</v>
      </c>
      <c r="E622" s="598" t="str">
        <f t="shared" si="211"/>
        <v>Yes</v>
      </c>
      <c r="F622" s="7" t="str">
        <f t="shared" si="203"/>
        <v>No (not volatile)</v>
      </c>
      <c r="G622" s="270" t="str">
        <f t="shared" si="222"/>
        <v>No (not volatile)</v>
      </c>
      <c r="H622" s="76">
        <f t="shared" si="212"/>
        <v>20.857142857142858</v>
      </c>
      <c r="I622" s="271" t="str">
        <f t="shared" si="213"/>
        <v>NC</v>
      </c>
      <c r="J622" s="272">
        <f t="shared" si="214"/>
        <v>695.2380952380953</v>
      </c>
      <c r="K622" s="272" t="str">
        <f t="shared" si="215"/>
        <v>NVT</v>
      </c>
      <c r="L622" s="273" t="str">
        <f t="shared" si="204"/>
        <v>--</v>
      </c>
      <c r="M622" s="7">
        <f t="shared" si="205"/>
        <v>4120.571339492446</v>
      </c>
      <c r="N622" s="7">
        <f t="shared" si="223"/>
        <v>4131.6180000000004</v>
      </c>
      <c r="O622" s="326">
        <f t="shared" si="206"/>
        <v>25</v>
      </c>
      <c r="P622" s="224" t="str">
        <f t="shared" si="219"/>
        <v/>
      </c>
      <c r="Q622" s="224" t="str">
        <f t="shared" si="207"/>
        <v/>
      </c>
      <c r="R622" s="224"/>
      <c r="S622" s="271" t="str">
        <f t="shared" si="220"/>
        <v/>
      </c>
      <c r="T622" s="7" t="str">
        <f t="shared" si="221"/>
        <v/>
      </c>
      <c r="U622" s="7">
        <f t="shared" si="208"/>
        <v>0.02</v>
      </c>
      <c r="V622" s="7" t="str">
        <f t="shared" si="209"/>
        <v>CA</v>
      </c>
      <c r="W622" s="7" t="str">
        <f>VLOOKUP(C622,'Tox Summary'!$N$3:$S$1048576,6,FALSE)</f>
        <v/>
      </c>
      <c r="X622" s="76" t="str">
        <f t="shared" si="216"/>
        <v/>
      </c>
      <c r="Y622" s="76">
        <f t="shared" si="210"/>
        <v>20.857142857142858</v>
      </c>
      <c r="AA622" s="332"/>
    </row>
    <row r="623" spans="1:27">
      <c r="A623" s="265"/>
      <c r="B623" s="344" t="s">
        <v>177</v>
      </c>
      <c r="C623" s="269" t="s">
        <v>1301</v>
      </c>
      <c r="D623" s="280" t="str">
        <f>VLOOKUP(B623, 'Chem Props'!$1:$1048576,3,FALSE)</f>
        <v>No</v>
      </c>
      <c r="E623" s="598" t="str">
        <f t="shared" si="211"/>
        <v>No</v>
      </c>
      <c r="F623" s="7" t="str">
        <f t="shared" si="203"/>
        <v>No (not volatile)</v>
      </c>
      <c r="G623" s="270" t="str">
        <f t="shared" si="222"/>
        <v>No (not volatile)</v>
      </c>
      <c r="H623" s="76" t="str">
        <f t="shared" si="212"/>
        <v>--</v>
      </c>
      <c r="I623" s="271" t="str">
        <f t="shared" si="213"/>
        <v>--</v>
      </c>
      <c r="J623" s="272" t="str">
        <f t="shared" si="214"/>
        <v>--</v>
      </c>
      <c r="K623" s="272" t="str">
        <f t="shared" si="215"/>
        <v>--</v>
      </c>
      <c r="L623" s="273" t="str">
        <f t="shared" si="204"/>
        <v>No (500)</v>
      </c>
      <c r="M623" s="7">
        <f t="shared" si="205"/>
        <v>9.3677146243492659E-4</v>
      </c>
      <c r="N623" s="7">
        <f t="shared" si="223"/>
        <v>9.3696999999999997E-4</v>
      </c>
      <c r="O623" s="326">
        <f t="shared" si="206"/>
        <v>25</v>
      </c>
      <c r="P623" s="224" t="str">
        <f t="shared" si="219"/>
        <v/>
      </c>
      <c r="Q623" s="224" t="str">
        <f t="shared" si="207"/>
        <v/>
      </c>
      <c r="R623" s="224"/>
      <c r="S623" s="271" t="str">
        <f t="shared" si="220"/>
        <v/>
      </c>
      <c r="T623" s="7" t="str">
        <f t="shared" si="221"/>
        <v/>
      </c>
      <c r="U623" s="7" t="str">
        <f t="shared" si="208"/>
        <v/>
      </c>
      <c r="V623" s="7" t="str">
        <f t="shared" si="209"/>
        <v/>
      </c>
      <c r="W623" s="7" t="str">
        <f>VLOOKUP(C623,'Tox Summary'!$N$3:$S$1048576,6,FALSE)</f>
        <v/>
      </c>
      <c r="X623" s="76" t="str">
        <f t="shared" si="216"/>
        <v/>
      </c>
      <c r="Y623" s="76" t="str">
        <f t="shared" si="210"/>
        <v/>
      </c>
      <c r="AA623" s="332"/>
    </row>
    <row r="624" spans="1:27">
      <c r="A624" s="265"/>
      <c r="B624" s="269" t="s">
        <v>178</v>
      </c>
      <c r="C624" s="269" t="s">
        <v>541</v>
      </c>
      <c r="D624" s="280" t="str">
        <f>VLOOKUP(B624, 'Chem Props'!$1:$1048576,3,FALSE)</f>
        <v>No</v>
      </c>
      <c r="E624" s="598" t="str">
        <f t="shared" si="211"/>
        <v>No</v>
      </c>
      <c r="F624" s="7" t="str">
        <f t="shared" si="203"/>
        <v>No (not volatile)</v>
      </c>
      <c r="G624" s="270" t="str">
        <f t="shared" si="222"/>
        <v>No (not volatile)</v>
      </c>
      <c r="H624" s="76" t="str">
        <f t="shared" si="212"/>
        <v>--</v>
      </c>
      <c r="I624" s="271" t="str">
        <f t="shared" si="213"/>
        <v>--</v>
      </c>
      <c r="J624" s="272" t="str">
        <f t="shared" si="214"/>
        <v>--</v>
      </c>
      <c r="K624" s="272" t="str">
        <f t="shared" si="215"/>
        <v>--</v>
      </c>
      <c r="L624" s="273" t="str">
        <f t="shared" si="204"/>
        <v>--</v>
      </c>
      <c r="M624" s="7">
        <f t="shared" si="205"/>
        <v>4.4571926454347768</v>
      </c>
      <c r="N624" s="7">
        <f t="shared" si="223"/>
        <v>0.55804000000000009</v>
      </c>
      <c r="O624" s="326">
        <f t="shared" si="206"/>
        <v>25</v>
      </c>
      <c r="P624" s="224" t="str">
        <f t="shared" si="219"/>
        <v/>
      </c>
      <c r="Q624" s="224" t="str">
        <f t="shared" si="207"/>
        <v/>
      </c>
      <c r="R624" s="224"/>
      <c r="S624" s="271" t="str">
        <f t="shared" si="220"/>
        <v/>
      </c>
      <c r="T624" s="7" t="str">
        <f t="shared" si="221"/>
        <v/>
      </c>
      <c r="U624" s="7" t="str">
        <f t="shared" si="208"/>
        <v/>
      </c>
      <c r="V624" s="7" t="str">
        <f t="shared" si="209"/>
        <v/>
      </c>
      <c r="W624" s="7" t="str">
        <f>VLOOKUP(C624,'Tox Summary'!$N$3:$S$1048576,6,FALSE)</f>
        <v/>
      </c>
      <c r="X624" s="76" t="str">
        <f t="shared" si="216"/>
        <v/>
      </c>
      <c r="Y624" s="76" t="str">
        <f t="shared" si="210"/>
        <v/>
      </c>
      <c r="AA624" s="243"/>
    </row>
    <row r="625" spans="1:27">
      <c r="A625" s="265"/>
      <c r="B625" s="344" t="s">
        <v>2285</v>
      </c>
      <c r="C625" s="269" t="s">
        <v>2286</v>
      </c>
      <c r="D625" s="280" t="str">
        <f>VLOOKUP(B625, 'Chem Props'!$1:$1048576,3,FALSE)</f>
        <v>No</v>
      </c>
      <c r="E625" s="598" t="str">
        <f t="shared" si="211"/>
        <v>No</v>
      </c>
      <c r="F625" s="7" t="str">
        <f t="shared" si="203"/>
        <v>No (not volatile)</v>
      </c>
      <c r="G625" s="270" t="str">
        <f t="shared" si="222"/>
        <v>No (not volatile)</v>
      </c>
      <c r="H625" s="76" t="str">
        <f t="shared" si="212"/>
        <v>--</v>
      </c>
      <c r="I625" s="271" t="str">
        <f t="shared" si="213"/>
        <v>--</v>
      </c>
      <c r="J625" s="272" t="str">
        <f t="shared" si="214"/>
        <v>--</v>
      </c>
      <c r="K625" s="272" t="str">
        <f t="shared" si="215"/>
        <v>--</v>
      </c>
      <c r="L625" s="273" t="str">
        <f t="shared" si="204"/>
        <v>--</v>
      </c>
      <c r="M625" s="7">
        <f t="shared" si="205"/>
        <v>9.2460981593853244</v>
      </c>
      <c r="N625" s="7">
        <f t="shared" si="223"/>
        <v>8.8264999999999993</v>
      </c>
      <c r="O625" s="326">
        <f t="shared" si="206"/>
        <v>25</v>
      </c>
      <c r="P625" s="224" t="str">
        <f t="shared" si="219"/>
        <v/>
      </c>
      <c r="Q625" s="224" t="str">
        <f t="shared" si="207"/>
        <v/>
      </c>
      <c r="R625" s="224"/>
      <c r="S625" s="271" t="str">
        <f t="shared" si="220"/>
        <v/>
      </c>
      <c r="T625" s="7" t="str">
        <f t="shared" si="221"/>
        <v/>
      </c>
      <c r="U625" s="7" t="str">
        <f t="shared" si="208"/>
        <v/>
      </c>
      <c r="V625" s="7" t="str">
        <f t="shared" si="209"/>
        <v/>
      </c>
      <c r="W625" s="7" t="str">
        <f>VLOOKUP(C625,'Tox Summary'!$N$3:$S$1048576,6,FALSE)</f>
        <v/>
      </c>
      <c r="X625" s="76" t="str">
        <f t="shared" si="216"/>
        <v/>
      </c>
      <c r="Y625" s="76" t="str">
        <f t="shared" si="210"/>
        <v/>
      </c>
      <c r="AA625" s="332"/>
    </row>
    <row r="626" spans="1:27">
      <c r="A626" s="265"/>
      <c r="B626" s="344" t="s">
        <v>179</v>
      </c>
      <c r="C626" s="269" t="s">
        <v>1302</v>
      </c>
      <c r="D626" s="280" t="str">
        <f>VLOOKUP(B626, 'Chem Props'!$1:$1048576,3,FALSE)</f>
        <v>No</v>
      </c>
      <c r="E626" s="598" t="str">
        <f t="shared" si="211"/>
        <v>No</v>
      </c>
      <c r="F626" s="7" t="str">
        <f t="shared" si="203"/>
        <v>No (not volatile)</v>
      </c>
      <c r="G626" s="270" t="str">
        <f t="shared" si="222"/>
        <v>No (not volatile)</v>
      </c>
      <c r="H626" s="76" t="str">
        <f t="shared" si="212"/>
        <v>--</v>
      </c>
      <c r="I626" s="271" t="str">
        <f t="shared" si="213"/>
        <v>--</v>
      </c>
      <c r="J626" s="272" t="str">
        <f t="shared" si="214"/>
        <v>--</v>
      </c>
      <c r="K626" s="272" t="str">
        <f t="shared" si="215"/>
        <v>--</v>
      </c>
      <c r="L626" s="273" t="str">
        <f t="shared" si="204"/>
        <v>--</v>
      </c>
      <c r="M626" s="7">
        <f t="shared" si="205"/>
        <v>246.44961913375363</v>
      </c>
      <c r="N626" s="7">
        <f t="shared" si="223"/>
        <v>246.81999999999996</v>
      </c>
      <c r="O626" s="326">
        <f t="shared" si="206"/>
        <v>25</v>
      </c>
      <c r="P626" s="224" t="str">
        <f t="shared" si="219"/>
        <v/>
      </c>
      <c r="Q626" s="224" t="str">
        <f t="shared" si="207"/>
        <v/>
      </c>
      <c r="R626" s="224"/>
      <c r="S626" s="271" t="str">
        <f t="shared" si="220"/>
        <v/>
      </c>
      <c r="T626" s="7" t="str">
        <f t="shared" si="221"/>
        <v/>
      </c>
      <c r="U626" s="7" t="str">
        <f t="shared" si="208"/>
        <v/>
      </c>
      <c r="V626" s="7" t="str">
        <f t="shared" si="209"/>
        <v/>
      </c>
      <c r="W626" s="7" t="str">
        <f>VLOOKUP(C626,'Tox Summary'!$N$3:$S$1048576,6,FALSE)</f>
        <v/>
      </c>
      <c r="X626" s="76" t="str">
        <f t="shared" si="216"/>
        <v/>
      </c>
      <c r="Y626" s="76" t="str">
        <f t="shared" si="210"/>
        <v/>
      </c>
      <c r="AA626" s="332"/>
    </row>
    <row r="627" spans="1:27">
      <c r="A627" s="265"/>
      <c r="B627" s="344" t="s">
        <v>180</v>
      </c>
      <c r="C627" s="269" t="s">
        <v>1303</v>
      </c>
      <c r="D627" s="280" t="str">
        <f>VLOOKUP(B627, 'Chem Props'!$1:$1048576,3,FALSE)</f>
        <v>No</v>
      </c>
      <c r="E627" s="598" t="str">
        <f t="shared" si="211"/>
        <v>Yes</v>
      </c>
      <c r="F627" s="7" t="str">
        <f t="shared" si="203"/>
        <v>No (not volatile)</v>
      </c>
      <c r="G627" s="270" t="str">
        <f t="shared" si="222"/>
        <v>No (not volatile)</v>
      </c>
      <c r="H627" s="76" t="str">
        <f t="shared" si="212"/>
        <v>No VP</v>
      </c>
      <c r="I627" s="271" t="str">
        <f t="shared" si="213"/>
        <v>C</v>
      </c>
      <c r="J627" s="272" t="str">
        <f t="shared" si="214"/>
        <v>No VP</v>
      </c>
      <c r="K627" s="272" t="str">
        <f t="shared" si="215"/>
        <v>No VP</v>
      </c>
      <c r="L627" s="273" t="str">
        <f t="shared" si="204"/>
        <v>--</v>
      </c>
      <c r="M627" s="7" t="str">
        <f t="shared" si="205"/>
        <v>No VP</v>
      </c>
      <c r="N627" s="7" t="str">
        <f t="shared" si="223"/>
        <v>No S</v>
      </c>
      <c r="O627" s="326">
        <f t="shared" si="206"/>
        <v>25</v>
      </c>
      <c r="P627" s="224" t="str">
        <f t="shared" si="219"/>
        <v/>
      </c>
      <c r="Q627" s="224" t="str">
        <f t="shared" si="207"/>
        <v/>
      </c>
      <c r="R627" s="224"/>
      <c r="S627" s="271">
        <f t="shared" si="220"/>
        <v>8.6E-3</v>
      </c>
      <c r="T627" s="7" t="str">
        <f t="shared" si="221"/>
        <v>CA</v>
      </c>
      <c r="U627" s="7" t="str">
        <f t="shared" si="208"/>
        <v/>
      </c>
      <c r="V627" s="7" t="str">
        <f t="shared" si="209"/>
        <v/>
      </c>
      <c r="W627" s="7" t="str">
        <f>VLOOKUP(C627,'Tox Summary'!$N$3:$S$1048576,6,FALSE)</f>
        <v/>
      </c>
      <c r="X627" s="76">
        <f t="shared" si="216"/>
        <v>3.2647584973166367E-4</v>
      </c>
      <c r="Y627" s="76" t="str">
        <f t="shared" si="210"/>
        <v/>
      </c>
      <c r="AA627" s="332"/>
    </row>
    <row r="628" spans="1:27">
      <c r="A628" s="265"/>
      <c r="B628" s="344" t="s">
        <v>200</v>
      </c>
      <c r="C628" s="269" t="s">
        <v>1304</v>
      </c>
      <c r="D628" s="280" t="str">
        <f>VLOOKUP(B628, 'Chem Props'!$1:$1048576,3,FALSE)</f>
        <v>No</v>
      </c>
      <c r="E628" s="598" t="str">
        <f t="shared" si="211"/>
        <v>Yes</v>
      </c>
      <c r="F628" s="7" t="str">
        <f t="shared" si="203"/>
        <v>No (not volatile)</v>
      </c>
      <c r="G628" s="270" t="str">
        <f t="shared" si="222"/>
        <v>No (not volatile)</v>
      </c>
      <c r="H628" s="76" t="str">
        <f t="shared" si="212"/>
        <v>NVT</v>
      </c>
      <c r="I628" s="271" t="str">
        <f t="shared" si="213"/>
        <v>NC</v>
      </c>
      <c r="J628" s="272" t="str">
        <f t="shared" si="214"/>
        <v>NVT</v>
      </c>
      <c r="K628" s="272" t="str">
        <f t="shared" si="215"/>
        <v>NVT</v>
      </c>
      <c r="L628" s="273" t="str">
        <f t="shared" si="204"/>
        <v>--</v>
      </c>
      <c r="M628" s="7">
        <f t="shared" si="205"/>
        <v>1.4920031746553765E-5</v>
      </c>
      <c r="N628" s="7">
        <f t="shared" si="223"/>
        <v>9.5149109999999993E-10</v>
      </c>
      <c r="O628" s="326">
        <f t="shared" si="206"/>
        <v>25</v>
      </c>
      <c r="P628" s="224" t="str">
        <f t="shared" si="219"/>
        <v/>
      </c>
      <c r="Q628" s="224" t="str">
        <f t="shared" si="207"/>
        <v/>
      </c>
      <c r="R628" s="224"/>
      <c r="S628" s="271" t="str">
        <f t="shared" si="220"/>
        <v/>
      </c>
      <c r="T628" s="7" t="str">
        <f t="shared" si="221"/>
        <v/>
      </c>
      <c r="U628" s="7">
        <f t="shared" si="208"/>
        <v>5.9999999999999995E-4</v>
      </c>
      <c r="V628" s="7" t="str">
        <f t="shared" si="209"/>
        <v>I</v>
      </c>
      <c r="W628" s="7" t="str">
        <f>VLOOKUP(C628,'Tox Summary'!$N$3:$S$1048576,6,FALSE)</f>
        <v/>
      </c>
      <c r="X628" s="76" t="str">
        <f t="shared" si="216"/>
        <v/>
      </c>
      <c r="Y628" s="76">
        <f t="shared" si="210"/>
        <v>0.62571428571428556</v>
      </c>
      <c r="AA628" s="332"/>
    </row>
    <row r="629" spans="1:27">
      <c r="A629" s="265"/>
      <c r="B629" s="344" t="s">
        <v>1595</v>
      </c>
      <c r="C629" s="269" t="s">
        <v>2394</v>
      </c>
      <c r="D629" s="280" t="str">
        <f>VLOOKUP(B629, 'Chem Props'!$1:$1048576,3,FALSE)</f>
        <v>No</v>
      </c>
      <c r="E629" s="598" t="str">
        <f t="shared" si="211"/>
        <v>No</v>
      </c>
      <c r="F629" s="7" t="str">
        <f t="shared" si="203"/>
        <v>No (not volatile)</v>
      </c>
      <c r="G629" s="270" t="str">
        <f t="shared" si="222"/>
        <v>No (not volatile)</v>
      </c>
      <c r="H629" s="76" t="str">
        <f t="shared" si="212"/>
        <v>No VP</v>
      </c>
      <c r="I629" s="271" t="str">
        <f t="shared" si="213"/>
        <v>--</v>
      </c>
      <c r="J629" s="272" t="str">
        <f t="shared" si="214"/>
        <v>No VP</v>
      </c>
      <c r="K629" s="272" t="str">
        <f t="shared" si="215"/>
        <v>No VP</v>
      </c>
      <c r="L629" s="273" t="str">
        <f t="shared" si="204"/>
        <v>--</v>
      </c>
      <c r="M629" s="7" t="str">
        <f t="shared" si="205"/>
        <v>No VP</v>
      </c>
      <c r="N629" s="7" t="str">
        <f t="shared" si="223"/>
        <v>No S</v>
      </c>
      <c r="O629" s="326">
        <f t="shared" si="206"/>
        <v>25</v>
      </c>
      <c r="P629" s="224" t="str">
        <f t="shared" si="219"/>
        <v/>
      </c>
      <c r="Q629" s="224" t="str">
        <f t="shared" si="207"/>
        <v/>
      </c>
      <c r="R629" s="224"/>
      <c r="S629" s="271" t="str">
        <f t="shared" si="220"/>
        <v/>
      </c>
      <c r="T629" s="7" t="str">
        <f t="shared" si="221"/>
        <v/>
      </c>
      <c r="U629" s="7" t="str">
        <f t="shared" si="208"/>
        <v/>
      </c>
      <c r="V629" s="7" t="str">
        <f t="shared" si="209"/>
        <v/>
      </c>
      <c r="W629" s="7" t="str">
        <f>VLOOKUP(C629,'Tox Summary'!$N$3:$S$1048576,6,FALSE)</f>
        <v/>
      </c>
      <c r="X629" s="76" t="str">
        <f t="shared" si="216"/>
        <v/>
      </c>
      <c r="Y629" s="76" t="str">
        <f t="shared" si="210"/>
        <v/>
      </c>
      <c r="AA629" s="332"/>
    </row>
    <row r="630" spans="1:27">
      <c r="A630" s="265"/>
      <c r="B630" s="344" t="s">
        <v>795</v>
      </c>
      <c r="C630" s="269" t="s">
        <v>2365</v>
      </c>
      <c r="D630" s="280" t="str">
        <f>VLOOKUP(B630, 'Chem Props'!$1:$1048576,3,FALSE)</f>
        <v>No</v>
      </c>
      <c r="E630" s="598" t="str">
        <f t="shared" si="211"/>
        <v>No</v>
      </c>
      <c r="F630" s="7" t="str">
        <f t="shared" si="203"/>
        <v>No (not volatile)</v>
      </c>
      <c r="G630" s="270" t="str">
        <f t="shared" si="222"/>
        <v>No (not volatile)</v>
      </c>
      <c r="H630" s="76" t="str">
        <f t="shared" si="212"/>
        <v>--</v>
      </c>
      <c r="I630" s="271" t="str">
        <f t="shared" si="213"/>
        <v>--</v>
      </c>
      <c r="J630" s="272" t="str">
        <f t="shared" si="214"/>
        <v>--</v>
      </c>
      <c r="K630" s="272" t="str">
        <f t="shared" si="215"/>
        <v>--</v>
      </c>
      <c r="L630" s="273" t="str">
        <f t="shared" si="204"/>
        <v>--</v>
      </c>
      <c r="M630" s="7">
        <f t="shared" si="205"/>
        <v>0</v>
      </c>
      <c r="N630" s="7"/>
      <c r="O630" s="326">
        <f t="shared" si="206"/>
        <v>25</v>
      </c>
      <c r="P630" s="224" t="str">
        <f t="shared" si="219"/>
        <v/>
      </c>
      <c r="Q630" s="224" t="str">
        <f t="shared" si="207"/>
        <v/>
      </c>
      <c r="R630" s="224"/>
      <c r="S630" s="271" t="str">
        <f t="shared" si="220"/>
        <v/>
      </c>
      <c r="T630" s="7" t="str">
        <f t="shared" si="221"/>
        <v/>
      </c>
      <c r="U630" s="7" t="str">
        <f t="shared" si="208"/>
        <v/>
      </c>
      <c r="V630" s="7" t="str">
        <f t="shared" si="209"/>
        <v/>
      </c>
      <c r="W630" s="7" t="str">
        <f>VLOOKUP(C630,'Tox Summary'!$N$3:$S$1048576,6,FALSE)</f>
        <v/>
      </c>
      <c r="X630" s="76" t="str">
        <f t="shared" si="216"/>
        <v/>
      </c>
      <c r="Y630" s="76" t="str">
        <f t="shared" si="210"/>
        <v/>
      </c>
      <c r="AA630" s="332"/>
    </row>
    <row r="631" spans="1:27">
      <c r="A631" s="265"/>
      <c r="B631" s="344" t="s">
        <v>220</v>
      </c>
      <c r="C631" s="269" t="s">
        <v>2379</v>
      </c>
      <c r="D631" s="280" t="str">
        <f>VLOOKUP(B631, 'Chem Props'!$1:$1048576,3,FALSE)</f>
        <v>No</v>
      </c>
      <c r="E631" s="598" t="str">
        <f t="shared" si="211"/>
        <v>No</v>
      </c>
      <c r="F631" s="7" t="str">
        <f t="shared" si="203"/>
        <v>No (not volatile)</v>
      </c>
      <c r="G631" s="270" t="str">
        <f t="shared" si="222"/>
        <v>No (not volatile)</v>
      </c>
      <c r="H631" s="76" t="str">
        <f t="shared" si="212"/>
        <v>No VP</v>
      </c>
      <c r="I631" s="271" t="str">
        <f t="shared" si="213"/>
        <v>--</v>
      </c>
      <c r="J631" s="272" t="str">
        <f t="shared" si="214"/>
        <v>No VP</v>
      </c>
      <c r="K631" s="272" t="str">
        <f t="shared" si="215"/>
        <v>No VP</v>
      </c>
      <c r="L631" s="273" t="str">
        <f t="shared" si="204"/>
        <v>--</v>
      </c>
      <c r="M631" s="7" t="str">
        <f t="shared" si="205"/>
        <v>No VP</v>
      </c>
      <c r="N631" s="7"/>
      <c r="O631" s="326">
        <f t="shared" si="206"/>
        <v>25</v>
      </c>
      <c r="P631" s="224" t="str">
        <f t="shared" si="219"/>
        <v/>
      </c>
      <c r="Q631" s="224" t="str">
        <f t="shared" si="207"/>
        <v/>
      </c>
      <c r="R631" s="224"/>
      <c r="S631" s="271" t="str">
        <f t="shared" si="220"/>
        <v/>
      </c>
      <c r="T631" s="7" t="str">
        <f t="shared" si="221"/>
        <v/>
      </c>
      <c r="U631" s="7" t="str">
        <f t="shared" si="208"/>
        <v/>
      </c>
      <c r="V631" s="7" t="str">
        <f t="shared" si="209"/>
        <v/>
      </c>
      <c r="W631" s="7" t="str">
        <f>VLOOKUP(C631,'Tox Summary'!$N$3:$S$1048576,6,FALSE)</f>
        <v/>
      </c>
      <c r="X631" s="76" t="str">
        <f t="shared" si="216"/>
        <v/>
      </c>
      <c r="Y631" s="76" t="str">
        <f t="shared" si="210"/>
        <v/>
      </c>
      <c r="AA631" s="332"/>
    </row>
    <row r="632" spans="1:27">
      <c r="A632" s="265"/>
      <c r="B632" s="344" t="s">
        <v>2128</v>
      </c>
      <c r="C632" s="269" t="s">
        <v>2127</v>
      </c>
      <c r="D632" s="280" t="str">
        <f>VLOOKUP(B632, 'Chem Props'!$1:$1048576,3,FALSE)</f>
        <v>No</v>
      </c>
      <c r="E632" s="598" t="str">
        <f t="shared" si="211"/>
        <v>No</v>
      </c>
      <c r="F632" s="7" t="str">
        <f t="shared" si="203"/>
        <v>No (not volatile)</v>
      </c>
      <c r="G632" s="270" t="str">
        <f t="shared" si="222"/>
        <v>No (not volatile)</v>
      </c>
      <c r="H632" s="76" t="str">
        <f t="shared" si="212"/>
        <v>--</v>
      </c>
      <c r="I632" s="271" t="str">
        <f t="shared" si="213"/>
        <v>--</v>
      </c>
      <c r="J632" s="272" t="str">
        <f t="shared" si="214"/>
        <v>--</v>
      </c>
      <c r="K632" s="272" t="str">
        <f t="shared" si="215"/>
        <v>--</v>
      </c>
      <c r="L632" s="273" t="str">
        <f t="shared" si="204"/>
        <v>--</v>
      </c>
      <c r="M632" s="7">
        <f t="shared" si="205"/>
        <v>1.6650797793887118</v>
      </c>
      <c r="N632" s="7">
        <f t="shared" ref="N632:N662" si="224">IF(INDEX(HLC,MATCH(C632,ChemNameChem,0))="","No HLC",IF(INDEX(Sol,MATCH(C632,ChemNameChem,0))="No S","No S",INDEX(HLC,MATCH(C632,ChemNameChem,0))*INDEX(Sol,MATCH(C632,ChemNameChem,0))*1000000))</f>
        <v>1.6585799999999999</v>
      </c>
      <c r="O632" s="326">
        <f t="shared" si="206"/>
        <v>25</v>
      </c>
      <c r="P632" s="224" t="str">
        <f t="shared" si="219"/>
        <v/>
      </c>
      <c r="Q632" s="224" t="str">
        <f t="shared" si="207"/>
        <v/>
      </c>
      <c r="R632" s="224"/>
      <c r="S632" s="271" t="str">
        <f t="shared" si="220"/>
        <v/>
      </c>
      <c r="T632" s="7" t="str">
        <f t="shared" si="221"/>
        <v/>
      </c>
      <c r="U632" s="7" t="str">
        <f t="shared" si="208"/>
        <v/>
      </c>
      <c r="V632" s="7" t="str">
        <f t="shared" si="209"/>
        <v/>
      </c>
      <c r="W632" s="7" t="str">
        <f>VLOOKUP(C632,'Tox Summary'!$N$3:$S$1048576,6,FALSE)</f>
        <v/>
      </c>
      <c r="X632" s="76" t="str">
        <f t="shared" si="216"/>
        <v/>
      </c>
      <c r="Y632" s="76" t="str">
        <f t="shared" si="210"/>
        <v/>
      </c>
      <c r="AA632" s="332"/>
    </row>
    <row r="633" spans="1:27">
      <c r="A633" s="265"/>
      <c r="B633" s="344" t="s">
        <v>796</v>
      </c>
      <c r="C633" s="269" t="s">
        <v>2366</v>
      </c>
      <c r="D633" s="280" t="str">
        <f>VLOOKUP(B633, 'Chem Props'!$1:$1048576,3,FALSE)</f>
        <v>No</v>
      </c>
      <c r="E633" s="598" t="str">
        <f t="shared" si="211"/>
        <v>No</v>
      </c>
      <c r="F633" s="7" t="str">
        <f t="shared" si="203"/>
        <v>No (not volatile)</v>
      </c>
      <c r="G633" s="270" t="str">
        <f t="shared" si="222"/>
        <v>No (not volatile)</v>
      </c>
      <c r="H633" s="76" t="str">
        <f t="shared" si="212"/>
        <v>No VP</v>
      </c>
      <c r="I633" s="271" t="str">
        <f t="shared" si="213"/>
        <v>--</v>
      </c>
      <c r="J633" s="272" t="str">
        <f t="shared" si="214"/>
        <v>No VP</v>
      </c>
      <c r="K633" s="272" t="str">
        <f t="shared" si="215"/>
        <v>No VP</v>
      </c>
      <c r="L633" s="273" t="str">
        <f t="shared" si="204"/>
        <v>--</v>
      </c>
      <c r="M633" s="7" t="str">
        <f t="shared" si="205"/>
        <v>No VP</v>
      </c>
      <c r="N633" s="7" t="str">
        <f t="shared" si="224"/>
        <v>No S</v>
      </c>
      <c r="O633" s="326">
        <f t="shared" si="206"/>
        <v>25</v>
      </c>
      <c r="P633" s="224" t="str">
        <f t="shared" si="219"/>
        <v/>
      </c>
      <c r="Q633" s="224" t="str">
        <f t="shared" si="207"/>
        <v/>
      </c>
      <c r="R633" s="224"/>
      <c r="S633" s="271" t="str">
        <f t="shared" si="220"/>
        <v/>
      </c>
      <c r="T633" s="7" t="str">
        <f t="shared" si="221"/>
        <v/>
      </c>
      <c r="U633" s="7" t="str">
        <f t="shared" si="208"/>
        <v/>
      </c>
      <c r="V633" s="7" t="str">
        <f t="shared" si="209"/>
        <v/>
      </c>
      <c r="W633" s="7" t="str">
        <f>VLOOKUP(C633,'Tox Summary'!$N$3:$S$1048576,6,FALSE)</f>
        <v/>
      </c>
      <c r="X633" s="76" t="str">
        <f t="shared" si="216"/>
        <v/>
      </c>
      <c r="Y633" s="76" t="str">
        <f t="shared" si="210"/>
        <v/>
      </c>
      <c r="AA633" s="332"/>
    </row>
    <row r="634" spans="1:27">
      <c r="A634" s="265"/>
      <c r="B634" s="344" t="s">
        <v>1596</v>
      </c>
      <c r="C634" s="269" t="s">
        <v>2395</v>
      </c>
      <c r="D634" s="280" t="str">
        <f>VLOOKUP(B634, 'Chem Props'!$1:$1048576,3,FALSE)</f>
        <v>No</v>
      </c>
      <c r="E634" s="598" t="str">
        <f t="shared" si="211"/>
        <v>No</v>
      </c>
      <c r="F634" s="7" t="str">
        <f t="shared" si="203"/>
        <v>No (not volatile)</v>
      </c>
      <c r="G634" s="270" t="str">
        <f t="shared" si="222"/>
        <v>No (not volatile)</v>
      </c>
      <c r="H634" s="76" t="str">
        <f t="shared" si="212"/>
        <v>No VP</v>
      </c>
      <c r="I634" s="271" t="str">
        <f t="shared" si="213"/>
        <v>--</v>
      </c>
      <c r="J634" s="272" t="str">
        <f t="shared" si="214"/>
        <v>No VP</v>
      </c>
      <c r="K634" s="272" t="str">
        <f t="shared" si="215"/>
        <v>No VP</v>
      </c>
      <c r="L634" s="273" t="str">
        <f t="shared" si="204"/>
        <v>--</v>
      </c>
      <c r="M634" s="7" t="str">
        <f t="shared" si="205"/>
        <v>No VP</v>
      </c>
      <c r="N634" s="7" t="str">
        <f t="shared" si="224"/>
        <v>No S</v>
      </c>
      <c r="O634" s="326">
        <f t="shared" si="206"/>
        <v>25</v>
      </c>
      <c r="P634" s="224" t="str">
        <f t="shared" si="219"/>
        <v/>
      </c>
      <c r="Q634" s="224" t="str">
        <f t="shared" si="207"/>
        <v/>
      </c>
      <c r="R634" s="224"/>
      <c r="S634" s="271" t="str">
        <f t="shared" si="220"/>
        <v/>
      </c>
      <c r="T634" s="7" t="str">
        <f t="shared" si="221"/>
        <v/>
      </c>
      <c r="U634" s="7" t="str">
        <f t="shared" si="208"/>
        <v/>
      </c>
      <c r="V634" s="7" t="str">
        <f t="shared" si="209"/>
        <v/>
      </c>
      <c r="W634" s="7" t="str">
        <f>VLOOKUP(C634,'Tox Summary'!$N$3:$S$1048576,6,FALSE)</f>
        <v/>
      </c>
      <c r="X634" s="76" t="str">
        <f t="shared" si="216"/>
        <v/>
      </c>
      <c r="Y634" s="76" t="str">
        <f t="shared" si="210"/>
        <v/>
      </c>
      <c r="AA634" s="332"/>
    </row>
    <row r="635" spans="1:27">
      <c r="A635" s="265"/>
      <c r="B635" s="344" t="s">
        <v>221</v>
      </c>
      <c r="C635" s="269" t="s">
        <v>1305</v>
      </c>
      <c r="D635" s="280" t="str">
        <f>VLOOKUP(B635, 'Chem Props'!$1:$1048576,3,FALSE)</f>
        <v>No</v>
      </c>
      <c r="E635" s="598" t="str">
        <f t="shared" si="211"/>
        <v>No</v>
      </c>
      <c r="F635" s="7" t="str">
        <f t="shared" si="203"/>
        <v>No (not volatile)</v>
      </c>
      <c r="G635" s="270" t="str">
        <f t="shared" si="222"/>
        <v>No (not volatile)</v>
      </c>
      <c r="H635" s="76" t="str">
        <f t="shared" si="212"/>
        <v>--</v>
      </c>
      <c r="I635" s="271" t="str">
        <f t="shared" si="213"/>
        <v>--</v>
      </c>
      <c r="J635" s="272" t="str">
        <f t="shared" si="214"/>
        <v>--</v>
      </c>
      <c r="K635" s="272" t="str">
        <f t="shared" si="215"/>
        <v>--</v>
      </c>
      <c r="L635" s="273" t="str">
        <f t="shared" si="204"/>
        <v>--</v>
      </c>
      <c r="M635" s="7">
        <f t="shared" si="205"/>
        <v>22.903015476560647</v>
      </c>
      <c r="N635" s="7">
        <f t="shared" si="224"/>
        <v>22.796319999999998</v>
      </c>
      <c r="O635" s="326">
        <f t="shared" si="206"/>
        <v>25</v>
      </c>
      <c r="P635" s="224" t="str">
        <f t="shared" si="219"/>
        <v/>
      </c>
      <c r="Q635" s="224" t="str">
        <f t="shared" si="207"/>
        <v/>
      </c>
      <c r="R635" s="224"/>
      <c r="S635" s="271" t="str">
        <f t="shared" si="220"/>
        <v/>
      </c>
      <c r="T635" s="7" t="str">
        <f t="shared" si="221"/>
        <v/>
      </c>
      <c r="U635" s="7" t="str">
        <f t="shared" si="208"/>
        <v/>
      </c>
      <c r="V635" s="7" t="str">
        <f t="shared" si="209"/>
        <v/>
      </c>
      <c r="W635" s="7" t="str">
        <f>VLOOKUP(C635,'Tox Summary'!$N$3:$S$1048576,6,FALSE)</f>
        <v/>
      </c>
      <c r="X635" s="76" t="str">
        <f t="shared" si="216"/>
        <v/>
      </c>
      <c r="Y635" s="76" t="str">
        <f t="shared" si="210"/>
        <v/>
      </c>
      <c r="AA635" s="332"/>
    </row>
    <row r="636" spans="1:27">
      <c r="A636" s="265"/>
      <c r="B636" s="344" t="s">
        <v>222</v>
      </c>
      <c r="C636" s="269" t="s">
        <v>1306</v>
      </c>
      <c r="D636" s="280" t="str">
        <f>VLOOKUP(B636, 'Chem Props'!$1:$1048576,3,FALSE)</f>
        <v>Yes</v>
      </c>
      <c r="E636" s="598" t="str">
        <f t="shared" si="211"/>
        <v>No</v>
      </c>
      <c r="F636" s="7" t="str">
        <f t="shared" si="203"/>
        <v>No Inhal. Tox. Info</v>
      </c>
      <c r="G636" s="270" t="str">
        <f t="shared" si="222"/>
        <v>No Inhal. Tox. Info</v>
      </c>
      <c r="H636" s="76" t="str">
        <f t="shared" si="212"/>
        <v>--</v>
      </c>
      <c r="I636" s="271" t="str">
        <f t="shared" si="213"/>
        <v>--</v>
      </c>
      <c r="J636" s="272" t="str">
        <f t="shared" si="214"/>
        <v>--</v>
      </c>
      <c r="K636" s="272" t="str">
        <f t="shared" si="215"/>
        <v>--</v>
      </c>
      <c r="L636" s="273" t="str">
        <f t="shared" si="204"/>
        <v>--</v>
      </c>
      <c r="M636" s="7">
        <f t="shared" si="205"/>
        <v>1177.3308490392385</v>
      </c>
      <c r="N636" s="7">
        <f t="shared" si="224"/>
        <v>1185.6100000000001</v>
      </c>
      <c r="O636" s="326">
        <f t="shared" si="206"/>
        <v>25</v>
      </c>
      <c r="P636" s="224" t="str">
        <f t="shared" si="219"/>
        <v/>
      </c>
      <c r="Q636" s="224" t="str">
        <f t="shared" si="207"/>
        <v/>
      </c>
      <c r="R636" s="224"/>
      <c r="S636" s="271" t="str">
        <f t="shared" si="220"/>
        <v/>
      </c>
      <c r="T636" s="7" t="str">
        <f t="shared" si="221"/>
        <v/>
      </c>
      <c r="U636" s="7" t="str">
        <f t="shared" si="208"/>
        <v/>
      </c>
      <c r="V636" s="7" t="str">
        <f t="shared" si="209"/>
        <v/>
      </c>
      <c r="W636" s="7" t="str">
        <f>VLOOKUP(C636,'Tox Summary'!$N$3:$S$1048576,6,FALSE)</f>
        <v/>
      </c>
      <c r="X636" s="76" t="str">
        <f t="shared" si="216"/>
        <v/>
      </c>
      <c r="Y636" s="76" t="str">
        <f t="shared" si="210"/>
        <v/>
      </c>
      <c r="AA636" s="332"/>
    </row>
    <row r="637" spans="1:27">
      <c r="A637" s="265"/>
      <c r="B637" s="344" t="s">
        <v>223</v>
      </c>
      <c r="C637" s="269" t="s">
        <v>1307</v>
      </c>
      <c r="D637" s="280" t="str">
        <f>VLOOKUP(B637, 'Chem Props'!$1:$1048576,3,FALSE)</f>
        <v>No</v>
      </c>
      <c r="E637" s="598" t="str">
        <f t="shared" si="211"/>
        <v>No</v>
      </c>
      <c r="F637" s="7" t="str">
        <f t="shared" si="203"/>
        <v>No (not volatile)</v>
      </c>
      <c r="G637" s="270" t="str">
        <f t="shared" si="222"/>
        <v>No (not volatile)</v>
      </c>
      <c r="H637" s="76" t="str">
        <f t="shared" si="212"/>
        <v>--</v>
      </c>
      <c r="I637" s="271" t="str">
        <f t="shared" si="213"/>
        <v>--</v>
      </c>
      <c r="J637" s="272" t="str">
        <f t="shared" si="214"/>
        <v>--</v>
      </c>
      <c r="K637" s="272" t="str">
        <f t="shared" si="215"/>
        <v>--</v>
      </c>
      <c r="L637" s="273" t="str">
        <f t="shared" si="204"/>
        <v>--</v>
      </c>
      <c r="M637" s="7">
        <f t="shared" si="205"/>
        <v>27.883174633505778</v>
      </c>
      <c r="N637" s="7">
        <f t="shared" si="224"/>
        <v>27.872250000000001</v>
      </c>
      <c r="O637" s="326">
        <f t="shared" si="206"/>
        <v>25</v>
      </c>
      <c r="P637" s="224" t="str">
        <f t="shared" si="219"/>
        <v/>
      </c>
      <c r="Q637" s="224" t="str">
        <f t="shared" si="207"/>
        <v/>
      </c>
      <c r="R637" s="224"/>
      <c r="S637" s="271" t="str">
        <f t="shared" si="220"/>
        <v/>
      </c>
      <c r="T637" s="7" t="str">
        <f t="shared" si="221"/>
        <v/>
      </c>
      <c r="U637" s="7" t="str">
        <f t="shared" si="208"/>
        <v/>
      </c>
      <c r="V637" s="7" t="str">
        <f t="shared" si="209"/>
        <v/>
      </c>
      <c r="W637" s="7" t="str">
        <f>VLOOKUP(C637,'Tox Summary'!$N$3:$S$1048576,6,FALSE)</f>
        <v/>
      </c>
      <c r="X637" s="76" t="str">
        <f t="shared" si="216"/>
        <v/>
      </c>
      <c r="Y637" s="76" t="str">
        <f t="shared" si="210"/>
        <v/>
      </c>
      <c r="AA637" s="332"/>
    </row>
    <row r="638" spans="1:27">
      <c r="A638" s="265"/>
      <c r="B638" s="344" t="s">
        <v>224</v>
      </c>
      <c r="C638" s="269" t="s">
        <v>1308</v>
      </c>
      <c r="D638" s="280" t="str">
        <f>VLOOKUP(B638, 'Chem Props'!$1:$1048576,3,FALSE)</f>
        <v>No</v>
      </c>
      <c r="E638" s="598" t="str">
        <f t="shared" si="211"/>
        <v>No</v>
      </c>
      <c r="F638" s="7" t="str">
        <f t="shared" si="203"/>
        <v>No (not volatile)</v>
      </c>
      <c r="G638" s="270" t="str">
        <f t="shared" si="222"/>
        <v>No (not volatile)</v>
      </c>
      <c r="H638" s="76" t="str">
        <f t="shared" si="212"/>
        <v>--</v>
      </c>
      <c r="I638" s="271" t="str">
        <f t="shared" si="213"/>
        <v>--</v>
      </c>
      <c r="J638" s="272" t="str">
        <f t="shared" si="214"/>
        <v>--</v>
      </c>
      <c r="K638" s="272" t="str">
        <f t="shared" si="215"/>
        <v>--</v>
      </c>
      <c r="L638" s="273" t="str">
        <f t="shared" si="204"/>
        <v>--</v>
      </c>
      <c r="M638" s="7">
        <f t="shared" si="205"/>
        <v>16.104237744134899</v>
      </c>
      <c r="N638" s="7">
        <f t="shared" si="224"/>
        <v>16.054829999999999</v>
      </c>
      <c r="O638" s="326">
        <f t="shared" si="206"/>
        <v>25</v>
      </c>
      <c r="P638" s="224" t="str">
        <f t="shared" si="219"/>
        <v/>
      </c>
      <c r="Q638" s="224" t="str">
        <f t="shared" si="207"/>
        <v/>
      </c>
      <c r="R638" s="224"/>
      <c r="S638" s="271" t="str">
        <f t="shared" si="220"/>
        <v/>
      </c>
      <c r="T638" s="7" t="str">
        <f t="shared" si="221"/>
        <v/>
      </c>
      <c r="U638" s="7" t="str">
        <f t="shared" si="208"/>
        <v/>
      </c>
      <c r="V638" s="7" t="str">
        <f t="shared" si="209"/>
        <v/>
      </c>
      <c r="W638" s="7" t="str">
        <f>VLOOKUP(C638,'Tox Summary'!$N$3:$S$1048576,6,FALSE)</f>
        <v/>
      </c>
      <c r="X638" s="76" t="str">
        <f t="shared" si="216"/>
        <v/>
      </c>
      <c r="Y638" s="76" t="str">
        <f t="shared" si="210"/>
        <v/>
      </c>
      <c r="AA638" s="332"/>
    </row>
    <row r="639" spans="1:27">
      <c r="A639" s="265"/>
      <c r="B639" s="344" t="s">
        <v>225</v>
      </c>
      <c r="C639" s="269" t="s">
        <v>1309</v>
      </c>
      <c r="D639" s="280" t="str">
        <f>VLOOKUP(B639, 'Chem Props'!$1:$1048576,3,FALSE)</f>
        <v>No</v>
      </c>
      <c r="E639" s="598" t="str">
        <f t="shared" si="211"/>
        <v>No</v>
      </c>
      <c r="F639" s="7" t="str">
        <f t="shared" si="203"/>
        <v>No (not volatile)</v>
      </c>
      <c r="G639" s="270" t="str">
        <f t="shared" si="222"/>
        <v>No (not volatile)</v>
      </c>
      <c r="H639" s="76" t="str">
        <f t="shared" si="212"/>
        <v>--</v>
      </c>
      <c r="I639" s="271" t="str">
        <f t="shared" si="213"/>
        <v>--</v>
      </c>
      <c r="J639" s="272" t="str">
        <f t="shared" si="214"/>
        <v>--</v>
      </c>
      <c r="K639" s="272" t="str">
        <f t="shared" si="215"/>
        <v>--</v>
      </c>
      <c r="L639" s="273" t="str">
        <f t="shared" si="204"/>
        <v>--</v>
      </c>
      <c r="M639" s="7">
        <f t="shared" si="205"/>
        <v>2619.8798216452897</v>
      </c>
      <c r="N639" s="7">
        <f t="shared" si="224"/>
        <v>8526</v>
      </c>
      <c r="O639" s="326">
        <f t="shared" si="206"/>
        <v>25</v>
      </c>
      <c r="P639" s="224" t="str">
        <f t="shared" si="219"/>
        <v/>
      </c>
      <c r="Q639" s="224" t="str">
        <f t="shared" si="207"/>
        <v/>
      </c>
      <c r="R639" s="224"/>
      <c r="S639" s="271" t="str">
        <f t="shared" si="220"/>
        <v/>
      </c>
      <c r="T639" s="7" t="str">
        <f t="shared" si="221"/>
        <v/>
      </c>
      <c r="U639" s="7" t="str">
        <f t="shared" si="208"/>
        <v/>
      </c>
      <c r="V639" s="7" t="str">
        <f t="shared" si="209"/>
        <v/>
      </c>
      <c r="W639" s="7" t="str">
        <f>VLOOKUP(C639,'Tox Summary'!$N$3:$S$1048576,6,FALSE)</f>
        <v/>
      </c>
      <c r="X639" s="76" t="str">
        <f t="shared" si="216"/>
        <v/>
      </c>
      <c r="Y639" s="76" t="str">
        <f t="shared" si="210"/>
        <v/>
      </c>
      <c r="AA639" s="332"/>
    </row>
    <row r="640" spans="1:27">
      <c r="A640" s="265"/>
      <c r="B640" s="344" t="s">
        <v>226</v>
      </c>
      <c r="C640" s="269" t="s">
        <v>1310</v>
      </c>
      <c r="D640" s="280" t="str">
        <f>VLOOKUP(B640, 'Chem Props'!$1:$1048576,3,FALSE)</f>
        <v>No</v>
      </c>
      <c r="E640" s="598" t="str">
        <f t="shared" si="211"/>
        <v>No</v>
      </c>
      <c r="F640" s="7" t="str">
        <f t="shared" si="203"/>
        <v>No (not volatile)</v>
      </c>
      <c r="G640" s="270" t="str">
        <f t="shared" si="222"/>
        <v>No (not volatile)</v>
      </c>
      <c r="H640" s="76" t="str">
        <f t="shared" si="212"/>
        <v>--</v>
      </c>
      <c r="I640" s="271" t="str">
        <f t="shared" si="213"/>
        <v>--</v>
      </c>
      <c r="J640" s="272" t="str">
        <f t="shared" si="214"/>
        <v>--</v>
      </c>
      <c r="K640" s="272" t="str">
        <f t="shared" si="215"/>
        <v>--</v>
      </c>
      <c r="L640" s="273" t="str">
        <f t="shared" si="204"/>
        <v>--</v>
      </c>
      <c r="M640" s="7">
        <f t="shared" si="205"/>
        <v>10.655034935950221</v>
      </c>
      <c r="N640" s="7">
        <f t="shared" si="224"/>
        <v>10.62632</v>
      </c>
      <c r="O640" s="326">
        <f t="shared" si="206"/>
        <v>25</v>
      </c>
      <c r="P640" s="224" t="str">
        <f t="shared" si="219"/>
        <v/>
      </c>
      <c r="Q640" s="224" t="str">
        <f t="shared" si="207"/>
        <v/>
      </c>
      <c r="R640" s="224"/>
      <c r="S640" s="271" t="str">
        <f t="shared" si="220"/>
        <v/>
      </c>
      <c r="T640" s="7" t="str">
        <f t="shared" si="221"/>
        <v/>
      </c>
      <c r="U640" s="7" t="str">
        <f t="shared" si="208"/>
        <v/>
      </c>
      <c r="V640" s="7" t="str">
        <f t="shared" si="209"/>
        <v/>
      </c>
      <c r="W640" s="7" t="str">
        <f>VLOOKUP(C640,'Tox Summary'!$N$3:$S$1048576,6,FALSE)</f>
        <v/>
      </c>
      <c r="X640" s="76" t="str">
        <f t="shared" si="216"/>
        <v/>
      </c>
      <c r="Y640" s="76" t="str">
        <f t="shared" si="210"/>
        <v/>
      </c>
      <c r="AA640" s="332"/>
    </row>
    <row r="641" spans="1:27">
      <c r="A641" s="265"/>
      <c r="B641" s="344" t="s">
        <v>227</v>
      </c>
      <c r="C641" s="269" t="s">
        <v>1311</v>
      </c>
      <c r="D641" s="280" t="str">
        <f>VLOOKUP(B641, 'Chem Props'!$1:$1048576,3,FALSE)</f>
        <v>No</v>
      </c>
      <c r="E641" s="598" t="str">
        <f t="shared" si="211"/>
        <v>No</v>
      </c>
      <c r="F641" s="7" t="str">
        <f t="shared" si="203"/>
        <v>No (not volatile)</v>
      </c>
      <c r="G641" s="270" t="str">
        <f t="shared" si="222"/>
        <v>No (not volatile)</v>
      </c>
      <c r="H641" s="76" t="str">
        <f t="shared" si="212"/>
        <v>--</v>
      </c>
      <c r="I641" s="271" t="str">
        <f t="shared" si="213"/>
        <v>--</v>
      </c>
      <c r="J641" s="272" t="str">
        <f t="shared" si="214"/>
        <v>--</v>
      </c>
      <c r="K641" s="272" t="str">
        <f t="shared" si="215"/>
        <v>--</v>
      </c>
      <c r="L641" s="273" t="str">
        <f t="shared" si="204"/>
        <v>--</v>
      </c>
      <c r="M641" s="7">
        <f t="shared" si="205"/>
        <v>5.6576709578828828</v>
      </c>
      <c r="N641" s="7">
        <f t="shared" si="224"/>
        <v>5.633</v>
      </c>
      <c r="O641" s="326">
        <f t="shared" si="206"/>
        <v>25</v>
      </c>
      <c r="P641" s="224" t="str">
        <f t="shared" si="219"/>
        <v/>
      </c>
      <c r="Q641" s="224" t="str">
        <f t="shared" si="207"/>
        <v/>
      </c>
      <c r="R641" s="224"/>
      <c r="S641" s="271" t="str">
        <f t="shared" si="220"/>
        <v/>
      </c>
      <c r="T641" s="7" t="str">
        <f t="shared" si="221"/>
        <v/>
      </c>
      <c r="U641" s="7" t="str">
        <f t="shared" si="208"/>
        <v/>
      </c>
      <c r="V641" s="7" t="str">
        <f t="shared" si="209"/>
        <v/>
      </c>
      <c r="W641" s="7" t="str">
        <f>VLOOKUP(C641,'Tox Summary'!$N$3:$S$1048576,6,FALSE)</f>
        <v/>
      </c>
      <c r="X641" s="76" t="str">
        <f t="shared" si="216"/>
        <v/>
      </c>
      <c r="Y641" s="76" t="str">
        <f t="shared" si="210"/>
        <v/>
      </c>
      <c r="AA641" s="332"/>
    </row>
    <row r="642" spans="1:27">
      <c r="A642" s="265"/>
      <c r="B642" s="344" t="s">
        <v>228</v>
      </c>
      <c r="C642" s="269" t="s">
        <v>1312</v>
      </c>
      <c r="D642" s="280" t="str">
        <f>VLOOKUP(B642, 'Chem Props'!$1:$1048576,3,FALSE)</f>
        <v>Yes</v>
      </c>
      <c r="E642" s="598" t="str">
        <f t="shared" si="211"/>
        <v>No</v>
      </c>
      <c r="F642" s="7" t="str">
        <f t="shared" si="203"/>
        <v>No Inhal. Tox. Info</v>
      </c>
      <c r="G642" s="270" t="str">
        <f t="shared" si="222"/>
        <v>No Inhal. Tox. Info</v>
      </c>
      <c r="H642" s="76" t="str">
        <f t="shared" si="212"/>
        <v>--</v>
      </c>
      <c r="I642" s="271" t="str">
        <f t="shared" si="213"/>
        <v>--</v>
      </c>
      <c r="J642" s="272" t="str">
        <f t="shared" si="214"/>
        <v>--</v>
      </c>
      <c r="K642" s="272" t="str">
        <f t="shared" si="215"/>
        <v>--</v>
      </c>
      <c r="L642" s="273" t="str">
        <f t="shared" si="204"/>
        <v>--</v>
      </c>
      <c r="M642" s="7">
        <f t="shared" si="205"/>
        <v>47061917.248324007</v>
      </c>
      <c r="N642" s="7">
        <f t="shared" si="224"/>
        <v>47000000</v>
      </c>
      <c r="O642" s="326">
        <f t="shared" si="206"/>
        <v>25</v>
      </c>
      <c r="P642" s="224" t="str">
        <f t="shared" ref="P642:P673" si="225">IF(VLOOKUP(B642,AllChemProps,32,FALSE)&gt;0,VLOOKUP(B642,AllChemProps,32,FALSE),"")</f>
        <v/>
      </c>
      <c r="Q642" s="224" t="str">
        <f t="shared" si="207"/>
        <v/>
      </c>
      <c r="R642" s="224"/>
      <c r="S642" s="271" t="str">
        <f t="shared" si="220"/>
        <v/>
      </c>
      <c r="T642" s="7" t="str">
        <f t="shared" si="221"/>
        <v/>
      </c>
      <c r="U642" s="7" t="str">
        <f t="shared" si="208"/>
        <v/>
      </c>
      <c r="V642" s="7" t="str">
        <f t="shared" si="209"/>
        <v/>
      </c>
      <c r="W642" s="7" t="str">
        <f>VLOOKUP(C642,'Tox Summary'!$N$3:$S$1048576,6,FALSE)</f>
        <v/>
      </c>
      <c r="X642" s="76" t="str">
        <f t="shared" si="216"/>
        <v/>
      </c>
      <c r="Y642" s="76" t="str">
        <f t="shared" si="210"/>
        <v/>
      </c>
      <c r="AA642" s="332"/>
    </row>
    <row r="643" spans="1:27">
      <c r="A643" s="265"/>
      <c r="B643" s="344" t="s">
        <v>229</v>
      </c>
      <c r="C643" s="269" t="s">
        <v>1313</v>
      </c>
      <c r="D643" s="280" t="str">
        <f>VLOOKUP(B643, 'Chem Props'!$1:$1048576,3,FALSE)</f>
        <v>No</v>
      </c>
      <c r="E643" s="598" t="str">
        <f t="shared" si="211"/>
        <v>No</v>
      </c>
      <c r="F643" s="7" t="str">
        <f t="shared" si="203"/>
        <v>No (not volatile)</v>
      </c>
      <c r="G643" s="270" t="str">
        <f t="shared" si="222"/>
        <v>No (not volatile)</v>
      </c>
      <c r="H643" s="76" t="str">
        <f t="shared" si="212"/>
        <v>--</v>
      </c>
      <c r="I643" s="271" t="str">
        <f t="shared" si="213"/>
        <v>--</v>
      </c>
      <c r="J643" s="272" t="str">
        <f t="shared" si="214"/>
        <v>--</v>
      </c>
      <c r="K643" s="272" t="str">
        <f t="shared" si="215"/>
        <v>--</v>
      </c>
      <c r="L643" s="273" t="str">
        <f t="shared" si="204"/>
        <v>--</v>
      </c>
      <c r="M643" s="7">
        <f t="shared" si="205"/>
        <v>1.6192145157243523</v>
      </c>
      <c r="N643" s="7">
        <f t="shared" si="224"/>
        <v>1.617316</v>
      </c>
      <c r="O643" s="326">
        <f t="shared" si="206"/>
        <v>25</v>
      </c>
      <c r="P643" s="224" t="str">
        <f t="shared" si="225"/>
        <v/>
      </c>
      <c r="Q643" s="224" t="str">
        <f t="shared" si="207"/>
        <v/>
      </c>
      <c r="R643" s="224"/>
      <c r="S643" s="271" t="str">
        <f t="shared" si="220"/>
        <v/>
      </c>
      <c r="T643" s="7" t="str">
        <f t="shared" si="221"/>
        <v/>
      </c>
      <c r="U643" s="7" t="str">
        <f t="shared" si="208"/>
        <v/>
      </c>
      <c r="V643" s="7" t="str">
        <f t="shared" si="209"/>
        <v/>
      </c>
      <c r="W643" s="7" t="str">
        <f>VLOOKUP(C643,'Tox Summary'!$N$3:$S$1048576,6,FALSE)</f>
        <v/>
      </c>
      <c r="X643" s="76" t="str">
        <f t="shared" si="216"/>
        <v/>
      </c>
      <c r="Y643" s="76" t="str">
        <f t="shared" si="210"/>
        <v/>
      </c>
      <c r="AA643" s="332"/>
    </row>
    <row r="644" spans="1:27">
      <c r="A644" s="265"/>
      <c r="B644" s="344" t="s">
        <v>230</v>
      </c>
      <c r="C644" s="269" t="s">
        <v>1314</v>
      </c>
      <c r="D644" s="280" t="str">
        <f>VLOOKUP(B644, 'Chem Props'!$1:$1048576,3,FALSE)</f>
        <v>No</v>
      </c>
      <c r="E644" s="598" t="str">
        <f t="shared" si="211"/>
        <v>No</v>
      </c>
      <c r="F644" s="7" t="str">
        <f t="shared" si="203"/>
        <v>No (not volatile)</v>
      </c>
      <c r="G644" s="270" t="str">
        <f t="shared" si="222"/>
        <v>No (not volatile)</v>
      </c>
      <c r="H644" s="76" t="str">
        <f t="shared" si="212"/>
        <v>--</v>
      </c>
      <c r="I644" s="271" t="str">
        <f t="shared" si="213"/>
        <v>--</v>
      </c>
      <c r="J644" s="272" t="str">
        <f t="shared" si="214"/>
        <v>--</v>
      </c>
      <c r="K644" s="272" t="str">
        <f t="shared" si="215"/>
        <v>--</v>
      </c>
      <c r="L644" s="273" t="str">
        <f t="shared" si="204"/>
        <v>--</v>
      </c>
      <c r="M644" s="7">
        <f t="shared" si="205"/>
        <v>1350.1054788675324</v>
      </c>
      <c r="N644" s="7">
        <f t="shared" si="224"/>
        <v>1346.5275000000001</v>
      </c>
      <c r="O644" s="326">
        <f t="shared" si="206"/>
        <v>25</v>
      </c>
      <c r="P644" s="224" t="str">
        <f t="shared" si="225"/>
        <v/>
      </c>
      <c r="Q644" s="224" t="str">
        <f t="shared" si="207"/>
        <v/>
      </c>
      <c r="R644" s="224"/>
      <c r="S644" s="271" t="str">
        <f t="shared" si="220"/>
        <v/>
      </c>
      <c r="T644" s="7" t="str">
        <f t="shared" si="221"/>
        <v/>
      </c>
      <c r="U644" s="7" t="str">
        <f t="shared" si="208"/>
        <v/>
      </c>
      <c r="V644" s="7" t="str">
        <f t="shared" si="209"/>
        <v/>
      </c>
      <c r="W644" s="7" t="str">
        <f>VLOOKUP(C644,'Tox Summary'!$N$3:$S$1048576,6,FALSE)</f>
        <v/>
      </c>
      <c r="X644" s="76" t="str">
        <f t="shared" si="216"/>
        <v/>
      </c>
      <c r="Y644" s="76" t="str">
        <f t="shared" si="210"/>
        <v/>
      </c>
      <c r="AA644" s="332"/>
    </row>
    <row r="645" spans="1:27">
      <c r="A645" s="265"/>
      <c r="B645" s="344" t="s">
        <v>231</v>
      </c>
      <c r="C645" s="269" t="s">
        <v>1315</v>
      </c>
      <c r="D645" s="280" t="str">
        <f>VLOOKUP(B645, 'Chem Props'!$1:$1048576,3,FALSE)</f>
        <v>No</v>
      </c>
      <c r="E645" s="598" t="str">
        <f t="shared" si="211"/>
        <v>No</v>
      </c>
      <c r="F645" s="7" t="str">
        <f t="shared" si="203"/>
        <v>No (not volatile)</v>
      </c>
      <c r="G645" s="270" t="str">
        <f t="shared" si="222"/>
        <v>No (not volatile)</v>
      </c>
      <c r="H645" s="76" t="str">
        <f t="shared" si="212"/>
        <v>--</v>
      </c>
      <c r="I645" s="271" t="str">
        <f t="shared" si="213"/>
        <v>--</v>
      </c>
      <c r="J645" s="272" t="str">
        <f t="shared" si="214"/>
        <v>--</v>
      </c>
      <c r="K645" s="272" t="str">
        <f t="shared" si="215"/>
        <v>--</v>
      </c>
      <c r="L645" s="273" t="str">
        <f t="shared" si="204"/>
        <v>--</v>
      </c>
      <c r="M645" s="7">
        <f t="shared" si="205"/>
        <v>7.7342918987752878</v>
      </c>
      <c r="N645" s="7">
        <f t="shared" si="224"/>
        <v>7.7350899999999996</v>
      </c>
      <c r="O645" s="326">
        <f t="shared" si="206"/>
        <v>25</v>
      </c>
      <c r="P645" s="224" t="str">
        <f t="shared" si="225"/>
        <v/>
      </c>
      <c r="Q645" s="224" t="str">
        <f t="shared" si="207"/>
        <v/>
      </c>
      <c r="R645" s="224"/>
      <c r="S645" s="271" t="str">
        <f t="shared" si="220"/>
        <v/>
      </c>
      <c r="T645" s="7" t="str">
        <f t="shared" si="221"/>
        <v/>
      </c>
      <c r="U645" s="7" t="str">
        <f t="shared" si="208"/>
        <v/>
      </c>
      <c r="V645" s="7" t="str">
        <f t="shared" si="209"/>
        <v/>
      </c>
      <c r="W645" s="7" t="str">
        <f>VLOOKUP(C645,'Tox Summary'!$N$3:$S$1048576,6,FALSE)</f>
        <v/>
      </c>
      <c r="X645" s="76" t="str">
        <f t="shared" si="216"/>
        <v/>
      </c>
      <c r="Y645" s="76" t="str">
        <f t="shared" si="210"/>
        <v/>
      </c>
      <c r="AA645" s="332"/>
    </row>
    <row r="646" spans="1:27">
      <c r="A646" s="265"/>
      <c r="B646" s="344" t="s">
        <v>232</v>
      </c>
      <c r="C646" s="269" t="s">
        <v>611</v>
      </c>
      <c r="D646" s="280" t="str">
        <f>VLOOKUP(B646, 'Chem Props'!$1:$1048576,3,FALSE)</f>
        <v>Yes</v>
      </c>
      <c r="E646" s="598" t="str">
        <f t="shared" si="211"/>
        <v>Yes</v>
      </c>
      <c r="F646" s="7" t="str">
        <f t="shared" si="203"/>
        <v>Yes</v>
      </c>
      <c r="G646" s="270" t="str">
        <f t="shared" si="222"/>
        <v>Yes</v>
      </c>
      <c r="H646" s="76">
        <f t="shared" si="212"/>
        <v>8.3428571428571434</v>
      </c>
      <c r="I646" s="271" t="str">
        <f t="shared" si="213"/>
        <v>NC</v>
      </c>
      <c r="J646" s="272">
        <f t="shared" si="214"/>
        <v>278.09523809523813</v>
      </c>
      <c r="K646" s="272">
        <f t="shared" si="215"/>
        <v>2780.2109913546865</v>
      </c>
      <c r="L646" s="273" t="str">
        <f t="shared" si="204"/>
        <v>--</v>
      </c>
      <c r="M646" s="7">
        <f t="shared" si="205"/>
        <v>990084927.44654286</v>
      </c>
      <c r="N646" s="7">
        <f t="shared" si="224"/>
        <v>918244800</v>
      </c>
      <c r="O646" s="326">
        <f t="shared" si="206"/>
        <v>25</v>
      </c>
      <c r="P646" s="224" t="str">
        <f t="shared" si="225"/>
        <v/>
      </c>
      <c r="Q646" s="224" t="str">
        <f t="shared" si="207"/>
        <v/>
      </c>
      <c r="R646" s="224"/>
      <c r="S646" s="271" t="str">
        <f t="shared" si="220"/>
        <v/>
      </c>
      <c r="T646" s="7" t="str">
        <f t="shared" si="221"/>
        <v/>
      </c>
      <c r="U646" s="7">
        <f t="shared" si="208"/>
        <v>8.0000000000000002E-3</v>
      </c>
      <c r="V646" s="7" t="str">
        <f t="shared" si="209"/>
        <v>I</v>
      </c>
      <c r="W646" s="7" t="str">
        <f>VLOOKUP(C646,'Tox Summary'!$N$3:$S$1048576,6,FALSE)</f>
        <v/>
      </c>
      <c r="X646" s="76" t="str">
        <f t="shared" si="216"/>
        <v/>
      </c>
      <c r="Y646" s="76">
        <f t="shared" si="210"/>
        <v>8.3428571428571434</v>
      </c>
      <c r="AA646" s="332"/>
    </row>
    <row r="647" spans="1:27">
      <c r="A647" s="265"/>
      <c r="B647" s="344" t="s">
        <v>233</v>
      </c>
      <c r="C647" s="269" t="s">
        <v>612</v>
      </c>
      <c r="D647" s="280" t="str">
        <f>VLOOKUP(B647, 'Chem Props'!$1:$1048576,3,FALSE)</f>
        <v>Yes</v>
      </c>
      <c r="E647" s="598" t="str">
        <f t="shared" si="211"/>
        <v>Yes</v>
      </c>
      <c r="F647" s="7" t="str">
        <f t="shared" si="203"/>
        <v>Yes</v>
      </c>
      <c r="G647" s="270" t="str">
        <f t="shared" si="222"/>
        <v>Yes</v>
      </c>
      <c r="H647" s="76">
        <f t="shared" si="212"/>
        <v>1042.8571428571429</v>
      </c>
      <c r="I647" s="271" t="str">
        <f t="shared" si="213"/>
        <v>NC</v>
      </c>
      <c r="J647" s="272">
        <f t="shared" si="214"/>
        <v>34761.904761904763</v>
      </c>
      <c r="K647" s="272">
        <f t="shared" si="215"/>
        <v>2429.3604382512985</v>
      </c>
      <c r="L647" s="273" t="str">
        <f t="shared" si="204"/>
        <v>--</v>
      </c>
      <c r="M647" s="7">
        <f t="shared" si="205"/>
        <v>22119930.838186935</v>
      </c>
      <c r="N647" s="7">
        <f t="shared" si="224"/>
        <v>22408014.059999999</v>
      </c>
      <c r="O647" s="326">
        <f t="shared" si="206"/>
        <v>25</v>
      </c>
      <c r="P647" s="224">
        <f t="shared" si="225"/>
        <v>0.8</v>
      </c>
      <c r="Q647" s="224" t="str">
        <f t="shared" si="207"/>
        <v>M</v>
      </c>
      <c r="R647" s="224"/>
      <c r="S647" s="271" t="str">
        <f t="shared" si="220"/>
        <v/>
      </c>
      <c r="T647" s="7" t="str">
        <f t="shared" si="221"/>
        <v/>
      </c>
      <c r="U647" s="7">
        <f t="shared" si="208"/>
        <v>1</v>
      </c>
      <c r="V647" s="7" t="str">
        <f t="shared" si="209"/>
        <v>X</v>
      </c>
      <c r="W647" s="7" t="str">
        <f>VLOOKUP(C647,'Tox Summary'!$N$3:$S$1048576,6,FALSE)</f>
        <v/>
      </c>
      <c r="X647" s="76" t="str">
        <f t="shared" si="216"/>
        <v/>
      </c>
      <c r="Y647" s="76">
        <f t="shared" si="210"/>
        <v>1042.8571428571429</v>
      </c>
      <c r="AA647" s="332"/>
    </row>
    <row r="648" spans="1:27">
      <c r="A648" s="265"/>
      <c r="B648" s="344" t="s">
        <v>234</v>
      </c>
      <c r="C648" s="269" t="s">
        <v>613</v>
      </c>
      <c r="D648" s="280" t="str">
        <f>VLOOKUP(B648, 'Chem Props'!$1:$1048576,3,FALSE)</f>
        <v>Yes</v>
      </c>
      <c r="E648" s="598" t="str">
        <f t="shared" si="211"/>
        <v>Yes</v>
      </c>
      <c r="F648" s="7" t="str">
        <f t="shared" si="203"/>
        <v>Yes</v>
      </c>
      <c r="G648" s="270" t="str">
        <f t="shared" si="222"/>
        <v>Yes</v>
      </c>
      <c r="H648" s="76">
        <f t="shared" si="212"/>
        <v>3128.5714285714284</v>
      </c>
      <c r="I648" s="271" t="str">
        <f t="shared" si="213"/>
        <v>NC</v>
      </c>
      <c r="J648" s="272">
        <f t="shared" si="214"/>
        <v>104285.71428571429</v>
      </c>
      <c r="K648" s="272">
        <f t="shared" si="215"/>
        <v>390.43294381758005</v>
      </c>
      <c r="L648" s="273" t="str">
        <f t="shared" si="204"/>
        <v>--</v>
      </c>
      <c r="M648" s="7">
        <f t="shared" si="205"/>
        <v>19677006050.92672</v>
      </c>
      <c r="N648" s="7">
        <f t="shared" si="224"/>
        <v>1602616520</v>
      </c>
      <c r="O648" s="326">
        <f t="shared" si="206"/>
        <v>25</v>
      </c>
      <c r="P648" s="224">
        <f t="shared" si="225"/>
        <v>2</v>
      </c>
      <c r="Q648" s="224" t="str">
        <f t="shared" si="207"/>
        <v>E</v>
      </c>
      <c r="R648" s="224"/>
      <c r="S648" s="271" t="str">
        <f t="shared" si="220"/>
        <v/>
      </c>
      <c r="T648" s="7" t="str">
        <f t="shared" si="221"/>
        <v/>
      </c>
      <c r="U648" s="7">
        <f t="shared" si="208"/>
        <v>3</v>
      </c>
      <c r="V648" s="7" t="str">
        <f t="shared" si="209"/>
        <v>CA</v>
      </c>
      <c r="W648" s="7" t="str">
        <f>VLOOKUP(C648,'Tox Summary'!$N$3:$S$1048576,6,FALSE)</f>
        <v/>
      </c>
      <c r="X648" s="76" t="str">
        <f t="shared" si="216"/>
        <v/>
      </c>
      <c r="Y648" s="76">
        <f t="shared" si="210"/>
        <v>3128.5714285714284</v>
      </c>
      <c r="AA648" s="332"/>
    </row>
    <row r="649" spans="1:27">
      <c r="A649" s="265"/>
      <c r="B649" s="344" t="s">
        <v>235</v>
      </c>
      <c r="C649" s="269" t="s">
        <v>1316</v>
      </c>
      <c r="D649" s="280" t="str">
        <f>VLOOKUP(B649, 'Chem Props'!$1:$1048576,3,FALSE)</f>
        <v>No</v>
      </c>
      <c r="E649" s="598" t="str">
        <f t="shared" si="211"/>
        <v>No</v>
      </c>
      <c r="F649" s="7" t="str">
        <f t="shared" si="203"/>
        <v>No (not volatile)</v>
      </c>
      <c r="G649" s="270" t="str">
        <f t="shared" si="222"/>
        <v>No (not volatile)</v>
      </c>
      <c r="H649" s="76" t="str">
        <f t="shared" si="212"/>
        <v>--</v>
      </c>
      <c r="I649" s="271" t="str">
        <f t="shared" si="213"/>
        <v>--</v>
      </c>
      <c r="J649" s="272" t="str">
        <f t="shared" si="214"/>
        <v>--</v>
      </c>
      <c r="K649" s="272" t="str">
        <f t="shared" si="215"/>
        <v>--</v>
      </c>
      <c r="L649" s="273" t="str">
        <f t="shared" si="204"/>
        <v>--</v>
      </c>
      <c r="M649" s="7">
        <f t="shared" si="205"/>
        <v>528207.70246734202</v>
      </c>
      <c r="N649" s="7">
        <f t="shared" si="224"/>
        <v>527389.99999999988</v>
      </c>
      <c r="O649" s="326">
        <f t="shared" si="206"/>
        <v>25</v>
      </c>
      <c r="P649" s="224" t="str">
        <f t="shared" si="225"/>
        <v/>
      </c>
      <c r="Q649" s="224" t="str">
        <f t="shared" si="207"/>
        <v/>
      </c>
      <c r="R649" s="224"/>
      <c r="S649" s="271" t="str">
        <f t="shared" si="220"/>
        <v/>
      </c>
      <c r="T649" s="7" t="str">
        <f t="shared" si="221"/>
        <v/>
      </c>
      <c r="U649" s="7" t="str">
        <f t="shared" si="208"/>
        <v/>
      </c>
      <c r="V649" s="7" t="str">
        <f t="shared" si="209"/>
        <v/>
      </c>
      <c r="W649" s="7" t="str">
        <f>VLOOKUP(C649,'Tox Summary'!$N$3:$S$1048576,6,FALSE)</f>
        <v/>
      </c>
      <c r="X649" s="76" t="str">
        <f t="shared" si="216"/>
        <v/>
      </c>
      <c r="Y649" s="76" t="str">
        <f t="shared" si="210"/>
        <v/>
      </c>
      <c r="AA649" s="332"/>
    </row>
    <row r="650" spans="1:27">
      <c r="A650" s="265"/>
      <c r="B650" s="344" t="s">
        <v>236</v>
      </c>
      <c r="C650" s="269" t="s">
        <v>1317</v>
      </c>
      <c r="D650" s="280" t="str">
        <f>VLOOKUP(B650, 'Chem Props'!$1:$1048576,3,FALSE)</f>
        <v>No</v>
      </c>
      <c r="E650" s="598" t="str">
        <f t="shared" si="211"/>
        <v>Yes</v>
      </c>
      <c r="F650" s="7" t="str">
        <f t="shared" si="203"/>
        <v>No (not volatile)</v>
      </c>
      <c r="G650" s="270" t="str">
        <f t="shared" si="222"/>
        <v>No (not volatile)</v>
      </c>
      <c r="H650" s="76">
        <f t="shared" si="212"/>
        <v>0.28157142857142858</v>
      </c>
      <c r="I650" s="271" t="str">
        <f t="shared" si="213"/>
        <v>NC</v>
      </c>
      <c r="J650" s="272">
        <f t="shared" si="214"/>
        <v>9.3857142857142861</v>
      </c>
      <c r="K650" s="272">
        <f t="shared" si="215"/>
        <v>7313.5435992578859</v>
      </c>
      <c r="L650" s="273" t="str">
        <f t="shared" si="204"/>
        <v>--</v>
      </c>
      <c r="M650" s="7">
        <f t="shared" si="205"/>
        <v>3378224.2565550325</v>
      </c>
      <c r="N650" s="7">
        <f t="shared" si="224"/>
        <v>125583.15000000001</v>
      </c>
      <c r="O650" s="326">
        <f t="shared" si="206"/>
        <v>25</v>
      </c>
      <c r="P650" s="224" t="str">
        <f t="shared" si="225"/>
        <v/>
      </c>
      <c r="Q650" s="224" t="str">
        <f t="shared" si="207"/>
        <v/>
      </c>
      <c r="R650" s="224"/>
      <c r="S650" s="271" t="str">
        <f t="shared" si="220"/>
        <v/>
      </c>
      <c r="T650" s="7" t="str">
        <f t="shared" si="221"/>
        <v/>
      </c>
      <c r="U650" s="7">
        <f t="shared" si="208"/>
        <v>2.7E-4</v>
      </c>
      <c r="V650" s="7" t="str">
        <f t="shared" si="209"/>
        <v>A</v>
      </c>
      <c r="W650" s="7" t="str">
        <f>VLOOKUP(C650,'Tox Summary'!$N$3:$S$1048576,6,FALSE)</f>
        <v/>
      </c>
      <c r="X650" s="76" t="str">
        <f t="shared" si="216"/>
        <v/>
      </c>
      <c r="Y650" s="76">
        <f t="shared" si="210"/>
        <v>0.28157142857142858</v>
      </c>
      <c r="AA650" s="332"/>
    </row>
    <row r="651" spans="1:27">
      <c r="A651" s="265"/>
      <c r="B651" s="269" t="s">
        <v>237</v>
      </c>
      <c r="C651" s="269" t="s">
        <v>1318</v>
      </c>
      <c r="D651" s="280" t="str">
        <f>VLOOKUP(B651, 'Chem Props'!$1:$1048576,3,FALSE)</f>
        <v>Yes</v>
      </c>
      <c r="E651" s="598" t="str">
        <f t="shared" si="211"/>
        <v>Yes</v>
      </c>
      <c r="F651" s="7" t="str">
        <f t="shared" si="203"/>
        <v>Yes</v>
      </c>
      <c r="G651" s="270" t="str">
        <f t="shared" si="222"/>
        <v>Yes</v>
      </c>
      <c r="H651" s="76">
        <f t="shared" si="212"/>
        <v>2085.7142857142858</v>
      </c>
      <c r="I651" s="271" t="str">
        <f t="shared" si="213"/>
        <v>NC</v>
      </c>
      <c r="J651" s="272">
        <f t="shared" si="214"/>
        <v>69523.809523809527</v>
      </c>
      <c r="K651" s="272">
        <f t="shared" si="215"/>
        <v>55471124.620060794</v>
      </c>
      <c r="L651" s="273" t="str">
        <f t="shared" si="204"/>
        <v>--</v>
      </c>
      <c r="M651" s="7">
        <f t="shared" si="205"/>
        <v>60617614.858822085</v>
      </c>
      <c r="N651" s="7">
        <f t="shared" si="224"/>
        <v>37600000</v>
      </c>
      <c r="O651" s="326">
        <f t="shared" si="206"/>
        <v>25</v>
      </c>
      <c r="P651" s="224">
        <f t="shared" si="225"/>
        <v>1.6</v>
      </c>
      <c r="Q651" s="224" t="str">
        <f t="shared" si="207"/>
        <v>N</v>
      </c>
      <c r="R651" s="224"/>
      <c r="S651" s="271" t="str">
        <f t="shared" si="220"/>
        <v/>
      </c>
      <c r="T651" s="7" t="str">
        <f t="shared" si="221"/>
        <v/>
      </c>
      <c r="U651" s="7">
        <f t="shared" si="208"/>
        <v>2</v>
      </c>
      <c r="V651" s="7" t="str">
        <f t="shared" si="209"/>
        <v>I</v>
      </c>
      <c r="W651" s="7" t="str">
        <f>VLOOKUP(C651,'Tox Summary'!$N$3:$S$1048576,6,FALSE)</f>
        <v/>
      </c>
      <c r="X651" s="76" t="str">
        <f t="shared" si="216"/>
        <v/>
      </c>
      <c r="Y651" s="76">
        <f t="shared" si="210"/>
        <v>2085.7142857142858</v>
      </c>
      <c r="AA651" s="243"/>
    </row>
    <row r="652" spans="1:27">
      <c r="A652" s="265"/>
      <c r="B652" s="344" t="s">
        <v>238</v>
      </c>
      <c r="C652" s="269" t="s">
        <v>1319</v>
      </c>
      <c r="D652" s="280" t="str">
        <f>VLOOKUP(B652, 'Chem Props'!$1:$1048576,3,FALSE)</f>
        <v>Yes</v>
      </c>
      <c r="E652" s="598" t="str">
        <f t="shared" si="211"/>
        <v>Yes</v>
      </c>
      <c r="F652" s="7" t="str">
        <f t="shared" si="203"/>
        <v>Yes</v>
      </c>
      <c r="G652" s="270" t="str">
        <f t="shared" si="222"/>
        <v>Yes</v>
      </c>
      <c r="H652" s="76">
        <f t="shared" si="212"/>
        <v>0.75883575883575871</v>
      </c>
      <c r="I652" s="271" t="str">
        <f t="shared" si="213"/>
        <v>C</v>
      </c>
      <c r="J652" s="272">
        <f t="shared" si="214"/>
        <v>25.29452529452529</v>
      </c>
      <c r="K652" s="272">
        <f t="shared" si="215"/>
        <v>266.67923346890132</v>
      </c>
      <c r="L652" s="273" t="str">
        <f t="shared" si="204"/>
        <v>--</v>
      </c>
      <c r="M652" s="7">
        <f t="shared" si="205"/>
        <v>1681394226.5348485</v>
      </c>
      <c r="N652" s="7">
        <f t="shared" si="224"/>
        <v>1678845000</v>
      </c>
      <c r="O652" s="326">
        <f t="shared" si="206"/>
        <v>25</v>
      </c>
      <c r="P652" s="224" t="str">
        <f t="shared" si="225"/>
        <v/>
      </c>
      <c r="Q652" s="224" t="str">
        <f t="shared" si="207"/>
        <v/>
      </c>
      <c r="R652" s="224"/>
      <c r="S652" s="271">
        <f t="shared" si="220"/>
        <v>3.7000000000000002E-6</v>
      </c>
      <c r="T652" s="7" t="str">
        <f t="shared" si="221"/>
        <v>I</v>
      </c>
      <c r="U652" s="7">
        <f t="shared" si="208"/>
        <v>0.03</v>
      </c>
      <c r="V652" s="7" t="str">
        <f t="shared" si="209"/>
        <v>I</v>
      </c>
      <c r="W652" s="7" t="str">
        <f>VLOOKUP(C652,'Tox Summary'!$N$3:$S$1048576,6,FALSE)</f>
        <v/>
      </c>
      <c r="X652" s="76">
        <f t="shared" si="216"/>
        <v>0.75883575883575871</v>
      </c>
      <c r="Y652" s="76">
        <f t="shared" si="210"/>
        <v>31.285714285714285</v>
      </c>
      <c r="AA652" s="332"/>
    </row>
    <row r="653" spans="1:27">
      <c r="A653" s="265"/>
      <c r="B653" s="344" t="s">
        <v>36</v>
      </c>
      <c r="C653" s="269" t="s">
        <v>2317</v>
      </c>
      <c r="D653" s="280" t="str">
        <f>VLOOKUP(B653, 'Chem Props'!$1:$1048576,3,FALSE)</f>
        <v>No</v>
      </c>
      <c r="E653" s="598" t="str">
        <f t="shared" si="211"/>
        <v>No</v>
      </c>
      <c r="F653" s="7" t="str">
        <f t="shared" si="203"/>
        <v>No (not volatile)</v>
      </c>
      <c r="G653" s="270" t="str">
        <f t="shared" si="222"/>
        <v>No (not volatile)</v>
      </c>
      <c r="H653" s="76" t="str">
        <f t="shared" si="212"/>
        <v>--</v>
      </c>
      <c r="I653" s="271" t="str">
        <f t="shared" si="213"/>
        <v>--</v>
      </c>
      <c r="J653" s="272" t="str">
        <f t="shared" si="214"/>
        <v>--</v>
      </c>
      <c r="K653" s="272" t="str">
        <f t="shared" si="215"/>
        <v>--</v>
      </c>
      <c r="L653" s="273" t="str">
        <f t="shared" si="204"/>
        <v>--</v>
      </c>
      <c r="M653" s="7">
        <f t="shared" si="205"/>
        <v>5.9951892562819191</v>
      </c>
      <c r="N653" s="7">
        <f t="shared" si="224"/>
        <v>5.9914500000000004</v>
      </c>
      <c r="O653" s="326">
        <f t="shared" si="206"/>
        <v>25</v>
      </c>
      <c r="P653" s="224" t="str">
        <f t="shared" si="225"/>
        <v/>
      </c>
      <c r="Q653" s="224" t="str">
        <f t="shared" si="207"/>
        <v/>
      </c>
      <c r="R653" s="224"/>
      <c r="S653" s="271" t="str">
        <f t="shared" si="220"/>
        <v/>
      </c>
      <c r="T653" s="7" t="str">
        <f t="shared" si="221"/>
        <v/>
      </c>
      <c r="U653" s="7" t="str">
        <f t="shared" si="208"/>
        <v/>
      </c>
      <c r="V653" s="7" t="str">
        <f t="shared" si="209"/>
        <v/>
      </c>
      <c r="W653" s="7" t="str">
        <f>VLOOKUP(C653,'Tox Summary'!$N$3:$S$1048576,6,FALSE)</f>
        <v/>
      </c>
      <c r="X653" s="76" t="str">
        <f t="shared" si="216"/>
        <v/>
      </c>
      <c r="Y653" s="76" t="str">
        <f t="shared" si="210"/>
        <v/>
      </c>
      <c r="AA653" s="332"/>
    </row>
    <row r="654" spans="1:27">
      <c r="A654" s="265"/>
      <c r="B654" s="344" t="s">
        <v>219</v>
      </c>
      <c r="C654" s="269" t="s">
        <v>2336</v>
      </c>
      <c r="D654" s="280" t="str">
        <f>VLOOKUP(B654, 'Chem Props'!$1:$1048576,3,FALSE)</f>
        <v>Yes</v>
      </c>
      <c r="E654" s="598" t="str">
        <f t="shared" si="211"/>
        <v>No</v>
      </c>
      <c r="F654" s="7" t="str">
        <f t="shared" si="203"/>
        <v>No Inhal. Tox. Info</v>
      </c>
      <c r="G654" s="270" t="str">
        <f t="shared" si="222"/>
        <v>No Inhal. Tox. Info</v>
      </c>
      <c r="H654" s="76" t="str">
        <f t="shared" si="212"/>
        <v>--</v>
      </c>
      <c r="I654" s="271" t="str">
        <f t="shared" si="213"/>
        <v>--</v>
      </c>
      <c r="J654" s="272" t="str">
        <f t="shared" si="214"/>
        <v>--</v>
      </c>
      <c r="K654" s="272" t="str">
        <f t="shared" si="215"/>
        <v>--</v>
      </c>
      <c r="L654" s="273" t="str">
        <f t="shared" si="204"/>
        <v>--</v>
      </c>
      <c r="M654" s="7">
        <f t="shared" si="205"/>
        <v>48.975142430726081</v>
      </c>
      <c r="N654" s="7">
        <f t="shared" si="224"/>
        <v>65.677500000000009</v>
      </c>
      <c r="O654" s="326">
        <f t="shared" si="206"/>
        <v>25</v>
      </c>
      <c r="P654" s="224" t="str">
        <f t="shared" si="225"/>
        <v/>
      </c>
      <c r="Q654" s="224" t="str">
        <f t="shared" si="207"/>
        <v/>
      </c>
      <c r="R654" s="224"/>
      <c r="S654" s="271" t="str">
        <f t="shared" si="220"/>
        <v/>
      </c>
      <c r="T654" s="7" t="str">
        <f t="shared" si="221"/>
        <v/>
      </c>
      <c r="U654" s="7" t="str">
        <f t="shared" si="208"/>
        <v/>
      </c>
      <c r="V654" s="7" t="str">
        <f t="shared" si="209"/>
        <v/>
      </c>
      <c r="W654" s="7" t="str">
        <f>VLOOKUP(C654,'Tox Summary'!$N$3:$S$1048576,6,FALSE)</f>
        <v/>
      </c>
      <c r="X654" s="76" t="str">
        <f t="shared" si="216"/>
        <v/>
      </c>
      <c r="Y654" s="76" t="str">
        <f t="shared" si="210"/>
        <v/>
      </c>
      <c r="AA654" s="332"/>
    </row>
    <row r="655" spans="1:27">
      <c r="A655" s="265"/>
      <c r="B655" s="358" t="s">
        <v>241</v>
      </c>
      <c r="C655" s="269" t="s">
        <v>1421</v>
      </c>
      <c r="D655" s="280" t="str">
        <f>VLOOKUP(B655, 'Chem Props'!$1:$1048576,3,FALSE)</f>
        <v>Yes</v>
      </c>
      <c r="E655" s="598" t="str">
        <f t="shared" si="211"/>
        <v>No</v>
      </c>
      <c r="F655" s="7" t="str">
        <f t="shared" si="203"/>
        <v>No Inhal. Tox. Info</v>
      </c>
      <c r="G655" s="270" t="str">
        <f t="shared" si="222"/>
        <v>No Inhal. Tox. Info</v>
      </c>
      <c r="H655" s="76" t="str">
        <f t="shared" si="212"/>
        <v>--</v>
      </c>
      <c r="I655" s="271" t="str">
        <f t="shared" si="213"/>
        <v>--</v>
      </c>
      <c r="J655" s="272" t="str">
        <f t="shared" si="214"/>
        <v>--</v>
      </c>
      <c r="K655" s="272" t="str">
        <f t="shared" si="215"/>
        <v>--</v>
      </c>
      <c r="L655" s="273" t="str">
        <f t="shared" si="204"/>
        <v>--</v>
      </c>
      <c r="M655" s="7">
        <f t="shared" si="205"/>
        <v>88532757.291879699</v>
      </c>
      <c r="N655" s="7">
        <f t="shared" si="224"/>
        <v>449700000</v>
      </c>
      <c r="O655" s="326">
        <f t="shared" si="206"/>
        <v>25</v>
      </c>
      <c r="P655" s="224">
        <f t="shared" si="225"/>
        <v>1.8</v>
      </c>
      <c r="Q655" s="224" t="str">
        <f t="shared" si="207"/>
        <v>N</v>
      </c>
      <c r="R655" s="224"/>
      <c r="S655" s="271" t="str">
        <f t="shared" si="220"/>
        <v/>
      </c>
      <c r="T655" s="7" t="str">
        <f t="shared" si="221"/>
        <v/>
      </c>
      <c r="U655" s="7" t="str">
        <f t="shared" si="208"/>
        <v/>
      </c>
      <c r="V655" s="7" t="str">
        <f t="shared" si="209"/>
        <v/>
      </c>
      <c r="W655" s="7" t="str">
        <f>VLOOKUP(C655,'Tox Summary'!$N$3:$S$1048576,6,FALSE)</f>
        <v/>
      </c>
      <c r="X655" s="76" t="str">
        <f t="shared" si="216"/>
        <v/>
      </c>
      <c r="Y655" s="76" t="str">
        <f t="shared" si="210"/>
        <v/>
      </c>
      <c r="AA655" s="332"/>
    </row>
    <row r="656" spans="1:27">
      <c r="A656" s="265"/>
      <c r="B656" s="344" t="s">
        <v>242</v>
      </c>
      <c r="C656" s="269" t="s">
        <v>1320</v>
      </c>
      <c r="D656" s="280" t="str">
        <f>VLOOKUP(B656, 'Chem Props'!$1:$1048576,3,FALSE)</f>
        <v>No</v>
      </c>
      <c r="E656" s="598" t="str">
        <f t="shared" si="211"/>
        <v>No</v>
      </c>
      <c r="F656" s="7" t="str">
        <f t="shared" si="203"/>
        <v>No (not volatile)</v>
      </c>
      <c r="G656" s="270" t="str">
        <f t="shared" si="222"/>
        <v>No (not volatile)</v>
      </c>
      <c r="H656" s="76" t="str">
        <f t="shared" si="212"/>
        <v>--</v>
      </c>
      <c r="I656" s="271" t="str">
        <f t="shared" si="213"/>
        <v>--</v>
      </c>
      <c r="J656" s="272" t="str">
        <f t="shared" si="214"/>
        <v>--</v>
      </c>
      <c r="K656" s="272" t="str">
        <f t="shared" si="215"/>
        <v>--</v>
      </c>
      <c r="L656" s="273" t="str">
        <f t="shared" si="204"/>
        <v>--</v>
      </c>
      <c r="M656" s="7">
        <f t="shared" si="205"/>
        <v>41.733017970733535</v>
      </c>
      <c r="N656" s="7">
        <f t="shared" si="224"/>
        <v>41.733999999999995</v>
      </c>
      <c r="O656" s="326">
        <f t="shared" si="206"/>
        <v>25</v>
      </c>
      <c r="P656" s="224" t="str">
        <f t="shared" si="225"/>
        <v/>
      </c>
      <c r="Q656" s="224" t="str">
        <f t="shared" si="207"/>
        <v/>
      </c>
      <c r="R656" s="224"/>
      <c r="S656" s="271" t="str">
        <f t="shared" si="220"/>
        <v/>
      </c>
      <c r="T656" s="7" t="str">
        <f t="shared" si="221"/>
        <v/>
      </c>
      <c r="U656" s="7" t="str">
        <f t="shared" si="208"/>
        <v/>
      </c>
      <c r="V656" s="7" t="str">
        <f t="shared" si="209"/>
        <v/>
      </c>
      <c r="W656" s="7" t="str">
        <f>VLOOKUP(C656,'Tox Summary'!$N$3:$S$1048576,6,FALSE)</f>
        <v/>
      </c>
      <c r="X656" s="76" t="str">
        <f t="shared" si="216"/>
        <v/>
      </c>
      <c r="Y656" s="76" t="str">
        <f t="shared" si="210"/>
        <v/>
      </c>
      <c r="AA656" s="332"/>
    </row>
    <row r="657" spans="1:27">
      <c r="A657" s="265"/>
      <c r="B657" s="344" t="s">
        <v>243</v>
      </c>
      <c r="C657" s="269" t="s">
        <v>1321</v>
      </c>
      <c r="D657" s="280" t="str">
        <f>VLOOKUP(B657, 'Chem Props'!$1:$1048576,3,FALSE)</f>
        <v>No</v>
      </c>
      <c r="E657" s="598" t="str">
        <f t="shared" si="211"/>
        <v>No</v>
      </c>
      <c r="F657" s="7" t="str">
        <f t="shared" si="203"/>
        <v>No (not volatile)</v>
      </c>
      <c r="G657" s="270" t="str">
        <f t="shared" si="222"/>
        <v>No (not volatile)</v>
      </c>
      <c r="H657" s="76" t="str">
        <f t="shared" si="212"/>
        <v>--</v>
      </c>
      <c r="I657" s="271" t="str">
        <f t="shared" si="213"/>
        <v>--</v>
      </c>
      <c r="J657" s="272" t="str">
        <f t="shared" si="214"/>
        <v>--</v>
      </c>
      <c r="K657" s="272" t="str">
        <f t="shared" si="215"/>
        <v>--</v>
      </c>
      <c r="L657" s="273" t="str">
        <f t="shared" si="204"/>
        <v>--</v>
      </c>
      <c r="M657" s="7">
        <f t="shared" si="205"/>
        <v>416996.56523633481</v>
      </c>
      <c r="N657" s="7">
        <f t="shared" si="224"/>
        <v>417313.00000000006</v>
      </c>
      <c r="O657" s="326">
        <f t="shared" si="206"/>
        <v>25</v>
      </c>
      <c r="P657" s="224" t="str">
        <f t="shared" si="225"/>
        <v/>
      </c>
      <c r="Q657" s="224" t="str">
        <f t="shared" si="207"/>
        <v/>
      </c>
      <c r="R657" s="224"/>
      <c r="S657" s="271" t="str">
        <f t="shared" si="220"/>
        <v/>
      </c>
      <c r="T657" s="7" t="str">
        <f t="shared" si="221"/>
        <v/>
      </c>
      <c r="U657" s="7" t="str">
        <f t="shared" si="208"/>
        <v/>
      </c>
      <c r="V657" s="7" t="str">
        <f t="shared" si="209"/>
        <v/>
      </c>
      <c r="W657" s="7" t="str">
        <f>VLOOKUP(C657,'Tox Summary'!$N$3:$S$1048576,6,FALSE)</f>
        <v/>
      </c>
      <c r="X657" s="76" t="str">
        <f t="shared" si="216"/>
        <v/>
      </c>
      <c r="Y657" s="76" t="str">
        <f t="shared" si="210"/>
        <v/>
      </c>
      <c r="AA657" s="332"/>
    </row>
    <row r="658" spans="1:27">
      <c r="A658" s="265"/>
      <c r="B658" s="269" t="s">
        <v>672</v>
      </c>
      <c r="C658" s="269" t="s">
        <v>2318</v>
      </c>
      <c r="D658" s="280" t="str">
        <f>VLOOKUP(B658, 'Chem Props'!$1:$1048576,3,FALSE)</f>
        <v>No</v>
      </c>
      <c r="E658" s="598" t="str">
        <f t="shared" si="211"/>
        <v>No</v>
      </c>
      <c r="F658" s="7" t="str">
        <f t="shared" ref="F658:F721" si="226">IF(LEFT(D658,2)="No","No (not volatile)",IF(D658="unknown","unknown",IF(H658="NVT","No",IF(AND(X658="",Y658=""),"No Inhal. Tox. Info",IF(MIN(X658:Y658)&gt;=M658,"No",IF(M658&gt;H658,"Yes","No"))))))</f>
        <v>No (not volatile)</v>
      </c>
      <c r="G658" s="270" t="str">
        <f t="shared" si="222"/>
        <v>No (not volatile)</v>
      </c>
      <c r="H658" s="76" t="str">
        <f t="shared" si="212"/>
        <v>--</v>
      </c>
      <c r="I658" s="271" t="str">
        <f t="shared" si="213"/>
        <v>--</v>
      </c>
      <c r="J658" s="272" t="str">
        <f t="shared" si="214"/>
        <v>--</v>
      </c>
      <c r="K658" s="272" t="str">
        <f t="shared" si="215"/>
        <v>--</v>
      </c>
      <c r="L658" s="273" t="str">
        <f t="shared" ref="L658:L721" si="227">IF(INDEX(MCL,MATCH(C658,ChemNameChem,0))="","--",IF(K658&lt;INDEX(MCL,MATCH(C658,ChemNameChem,0)),"Yes ("&amp;(INDEX(MCL,MATCH(C658,ChemNameChem,0)))&amp;")","No ("&amp;(INDEX(MCL,MATCH(C658,ChemNameChem,0)))&amp;")"))</f>
        <v>--</v>
      </c>
      <c r="M658" s="7">
        <f t="shared" ref="M658:M721" si="228">IF(INDEX(_VP25,MATCH(B658,CASNoChem,0))="No VP","No VP",IF(INDEX(MW,MATCH(B658,CASNoChem,0))="No MW","No MW",INDEX(MW,MATCH(B658,CASNoChem,0))*INDEX(_VP25,MATCH(B658,CASNoChem,0))*53808.7856452378))</f>
        <v>0.13019234241284317</v>
      </c>
      <c r="N658" s="7">
        <f t="shared" si="224"/>
        <v>0.13000800000000001</v>
      </c>
      <c r="O658" s="326">
        <f t="shared" ref="O658:O721" si="229">IF(INDEX(HTgw,MATCH(B658,CASNoChem,0),1)="",25,Tgw)</f>
        <v>25</v>
      </c>
      <c r="P658" s="224" t="str">
        <f t="shared" si="225"/>
        <v/>
      </c>
      <c r="Q658" s="224" t="str">
        <f t="shared" ref="Q658:Q721" si="230">IF(INDEX(LELsource,MATCH(B658,CASNoChem,0),1)="","",INDEX(LELsource,MATCH(B658,CASNoChem,0),1))</f>
        <v/>
      </c>
      <c r="R658" s="224"/>
      <c r="S658" s="271" t="str">
        <f t="shared" si="220"/>
        <v/>
      </c>
      <c r="T658" s="7" t="str">
        <f t="shared" si="221"/>
        <v/>
      </c>
      <c r="U658" s="7" t="str">
        <f t="shared" ref="U658:U721" si="231">IF(INDEX(RFC,MATCH(B658,CASNoTox,0))=" ","",INDEX(RFC,MATCH(B658,CASNoTox,0)))</f>
        <v/>
      </c>
      <c r="V658" s="7" t="str">
        <f t="shared" ref="V658:V721" si="232">IF(INDEX(RFCSource,MATCH(B658,CASNoTox,0))="","",SUBSTITUTE(INDEX(RFCSource,MATCH(B658,CASNoTox,0)),"C","CA"))</f>
        <v/>
      </c>
      <c r="W658" s="7" t="str">
        <f>VLOOKUP(C658,'Tox Summary'!$N$3:$S$1048576,6,FALSE)</f>
        <v/>
      </c>
      <c r="X658" s="76" t="str">
        <f t="shared" si="216"/>
        <v/>
      </c>
      <c r="Y658" s="76" t="str">
        <f t="shared" ref="Y658:Y721" si="233">IF(U658="","",THQ*Atnc*365*24*U658*1000/(EF*ED*ET))</f>
        <v/>
      </c>
      <c r="AA658" s="243"/>
    </row>
    <row r="659" spans="1:27">
      <c r="A659" s="265"/>
      <c r="B659" s="344" t="s">
        <v>244</v>
      </c>
      <c r="C659" s="269" t="s">
        <v>1323</v>
      </c>
      <c r="D659" s="280" t="str">
        <f>VLOOKUP(B659, 'Chem Props'!$1:$1048576,3,FALSE)</f>
        <v>No</v>
      </c>
      <c r="E659" s="598" t="str">
        <f t="shared" ref="E659:E722" si="234">IF(OR(ISNUMBER(S659),ISNUMBER(U659)),"Yes","No")</f>
        <v>No</v>
      </c>
      <c r="F659" s="7" t="str">
        <f t="shared" si="226"/>
        <v>No (not volatile)</v>
      </c>
      <c r="G659" s="270" t="str">
        <f t="shared" si="222"/>
        <v>No (not volatile)</v>
      </c>
      <c r="H659" s="76" t="str">
        <f t="shared" si="212"/>
        <v>--</v>
      </c>
      <c r="I659" s="271" t="str">
        <f t="shared" si="213"/>
        <v>--</v>
      </c>
      <c r="J659" s="272" t="str">
        <f t="shared" si="214"/>
        <v>--</v>
      </c>
      <c r="K659" s="272" t="str">
        <f t="shared" si="215"/>
        <v>--</v>
      </c>
      <c r="L659" s="273" t="str">
        <f t="shared" si="227"/>
        <v>--</v>
      </c>
      <c r="M659" s="7">
        <f t="shared" si="228"/>
        <v>0.20579089356842728</v>
      </c>
      <c r="N659" s="7">
        <f t="shared" si="224"/>
        <v>0.20607745999999999</v>
      </c>
      <c r="O659" s="326">
        <f t="shared" si="229"/>
        <v>25</v>
      </c>
      <c r="P659" s="224" t="str">
        <f t="shared" si="225"/>
        <v/>
      </c>
      <c r="Q659" s="224" t="str">
        <f t="shared" si="230"/>
        <v/>
      </c>
      <c r="R659" s="224"/>
      <c r="S659" s="271" t="str">
        <f t="shared" si="220"/>
        <v/>
      </c>
      <c r="T659" s="7" t="str">
        <f t="shared" si="221"/>
        <v/>
      </c>
      <c r="U659" s="7" t="str">
        <f t="shared" si="231"/>
        <v/>
      </c>
      <c r="V659" s="7" t="str">
        <f t="shared" si="232"/>
        <v/>
      </c>
      <c r="W659" s="7" t="str">
        <f>VLOOKUP(C659,'Tox Summary'!$N$3:$S$1048576,6,FALSE)</f>
        <v/>
      </c>
      <c r="X659" s="76" t="str">
        <f t="shared" si="216"/>
        <v/>
      </c>
      <c r="Y659" s="76" t="str">
        <f t="shared" si="233"/>
        <v/>
      </c>
      <c r="AA659" s="332"/>
    </row>
    <row r="660" spans="1:27">
      <c r="A660" s="265"/>
      <c r="B660" s="344" t="s">
        <v>245</v>
      </c>
      <c r="C660" s="269" t="s">
        <v>1324</v>
      </c>
      <c r="D660" s="280" t="str">
        <f>VLOOKUP(B660, 'Chem Props'!$1:$1048576,3,FALSE)</f>
        <v>Yes</v>
      </c>
      <c r="E660" s="598" t="str">
        <f t="shared" si="234"/>
        <v>No</v>
      </c>
      <c r="F660" s="7" t="str">
        <f t="shared" si="226"/>
        <v>No Inhal. Tox. Info</v>
      </c>
      <c r="G660" s="270" t="str">
        <f t="shared" si="222"/>
        <v>No Inhal. Tox. Info</v>
      </c>
      <c r="H660" s="76" t="str">
        <f t="shared" si="212"/>
        <v>--</v>
      </c>
      <c r="I660" s="271" t="str">
        <f t="shared" si="213"/>
        <v>--</v>
      </c>
      <c r="J660" s="272" t="str">
        <f t="shared" si="214"/>
        <v>--</v>
      </c>
      <c r="K660" s="272" t="str">
        <f t="shared" si="215"/>
        <v>--</v>
      </c>
      <c r="L660" s="273" t="str">
        <f t="shared" si="227"/>
        <v>--</v>
      </c>
      <c r="M660" s="7">
        <f t="shared" si="228"/>
        <v>1297.666126816966</v>
      </c>
      <c r="N660" s="7">
        <f t="shared" si="224"/>
        <v>1308.3000000000002</v>
      </c>
      <c r="O660" s="326">
        <f t="shared" si="229"/>
        <v>25</v>
      </c>
      <c r="P660" s="224" t="str">
        <f t="shared" si="225"/>
        <v/>
      </c>
      <c r="Q660" s="224" t="str">
        <f t="shared" si="230"/>
        <v/>
      </c>
      <c r="R660" s="224"/>
      <c r="S660" s="271" t="str">
        <f t="shared" si="220"/>
        <v/>
      </c>
      <c r="T660" s="7" t="str">
        <f t="shared" si="221"/>
        <v/>
      </c>
      <c r="U660" s="7" t="str">
        <f t="shared" si="231"/>
        <v/>
      </c>
      <c r="V660" s="7" t="str">
        <f t="shared" si="232"/>
        <v/>
      </c>
      <c r="W660" s="7" t="str">
        <f>VLOOKUP(C660,'Tox Summary'!$N$3:$S$1048576,6,FALSE)</f>
        <v/>
      </c>
      <c r="X660" s="76" t="str">
        <f t="shared" si="216"/>
        <v/>
      </c>
      <c r="Y660" s="76" t="str">
        <f t="shared" si="233"/>
        <v/>
      </c>
      <c r="AA660" s="332"/>
    </row>
    <row r="661" spans="1:27">
      <c r="A661" s="265"/>
      <c r="B661" s="344" t="s">
        <v>246</v>
      </c>
      <c r="C661" s="269" t="s">
        <v>1325</v>
      </c>
      <c r="D661" s="280" t="str">
        <f>VLOOKUP(B661, 'Chem Props'!$1:$1048576,3,FALSE)</f>
        <v>No</v>
      </c>
      <c r="E661" s="598" t="str">
        <f t="shared" si="234"/>
        <v>No</v>
      </c>
      <c r="F661" s="7" t="str">
        <f t="shared" si="226"/>
        <v>No (not volatile)</v>
      </c>
      <c r="G661" s="270" t="str">
        <f t="shared" si="222"/>
        <v>No (not volatile)</v>
      </c>
      <c r="H661" s="76" t="str">
        <f t="shared" si="212"/>
        <v>--</v>
      </c>
      <c r="I661" s="271" t="str">
        <f t="shared" si="213"/>
        <v>--</v>
      </c>
      <c r="J661" s="272" t="str">
        <f t="shared" si="214"/>
        <v>--</v>
      </c>
      <c r="K661" s="272" t="str">
        <f t="shared" si="215"/>
        <v>--</v>
      </c>
      <c r="L661" s="273" t="str">
        <f t="shared" si="227"/>
        <v>--</v>
      </c>
      <c r="M661" s="7">
        <f t="shared" si="228"/>
        <v>1.4729316729503493E-2</v>
      </c>
      <c r="N661" s="7">
        <f t="shared" si="224"/>
        <v>9.1579999999999998E-7</v>
      </c>
      <c r="O661" s="326">
        <f t="shared" si="229"/>
        <v>25</v>
      </c>
      <c r="P661" s="224" t="str">
        <f t="shared" si="225"/>
        <v/>
      </c>
      <c r="Q661" s="224" t="str">
        <f t="shared" si="230"/>
        <v/>
      </c>
      <c r="R661" s="224"/>
      <c r="S661" s="271" t="str">
        <f t="shared" si="220"/>
        <v/>
      </c>
      <c r="T661" s="7" t="str">
        <f t="shared" si="221"/>
        <v/>
      </c>
      <c r="U661" s="7" t="str">
        <f t="shared" si="231"/>
        <v/>
      </c>
      <c r="V661" s="7" t="str">
        <f t="shared" si="232"/>
        <v/>
      </c>
      <c r="W661" s="7" t="str">
        <f>VLOOKUP(C661,'Tox Summary'!$N$3:$S$1048576,6,FALSE)</f>
        <v/>
      </c>
      <c r="X661" s="76" t="str">
        <f t="shared" si="216"/>
        <v/>
      </c>
      <c r="Y661" s="76" t="str">
        <f t="shared" si="233"/>
        <v/>
      </c>
      <c r="AA661" s="332"/>
    </row>
    <row r="662" spans="1:27">
      <c r="A662" s="265"/>
      <c r="B662" s="344" t="s">
        <v>247</v>
      </c>
      <c r="C662" s="269" t="s">
        <v>614</v>
      </c>
      <c r="D662" s="280" t="str">
        <f>VLOOKUP(B662, 'Chem Props'!$1:$1048576,3,FALSE)</f>
        <v>No</v>
      </c>
      <c r="E662" s="598" t="str">
        <f t="shared" si="234"/>
        <v>Yes</v>
      </c>
      <c r="F662" s="7" t="str">
        <f t="shared" si="226"/>
        <v>No (not volatile)</v>
      </c>
      <c r="G662" s="270" t="str">
        <f t="shared" si="222"/>
        <v>No (not volatile)</v>
      </c>
      <c r="H662" s="76">
        <f t="shared" ref="H662:H725" si="235">IF(ISNUMBER(M662),IF(AND(X662="",Y662=""),"--",IF(MIN(X662:Y662)&gt;=M662,"NVT",MIN(X662:Y662))),M662)</f>
        <v>1.6093474426807756E-2</v>
      </c>
      <c r="I662" s="271" t="str">
        <f t="shared" ref="I662:I725" si="236">IF(AND(S662="",U662=""),"--",IF(MIN(X662,Y662)=X662,"C","NC"))</f>
        <v>C</v>
      </c>
      <c r="J662" s="272">
        <f t="shared" ref="J662:J725" si="237">IF(ISNUMBER(H662),IF(OR(H662="--",H662="NVT"),H662,IF(H662/Afss&gt;=M662,"NVT",H662/Afss)),H662)</f>
        <v>0.53644914756025852</v>
      </c>
      <c r="K662" s="272">
        <f t="shared" ref="K662:K725" si="238">IF(ISNUMBER(H662),IF(H662="--","--", IF(LEFT(N662,2)="No",N662,IF(H662*0.001/(INDEX(HLC,MATCH(C662,ChemNameChem,0))*AFgw)&gt;=1000*INDEX(PWCS,MATCH(C662,ChemNameChem,0)), "NVT", H662*0.001/(INDEX(HLC,MATCH(C662,ChemNameChem,0))*AFgw)))),H662)</f>
        <v>43.402034592253926</v>
      </c>
      <c r="L662" s="273" t="str">
        <f t="shared" si="227"/>
        <v>--</v>
      </c>
      <c r="M662" s="7">
        <f t="shared" si="228"/>
        <v>539343.86112690903</v>
      </c>
      <c r="N662" s="7">
        <f t="shared" si="224"/>
        <v>44866.799999999996</v>
      </c>
      <c r="O662" s="326">
        <f t="shared" si="229"/>
        <v>25</v>
      </c>
      <c r="P662" s="224" t="str">
        <f t="shared" si="225"/>
        <v/>
      </c>
      <c r="Q662" s="224" t="str">
        <f t="shared" si="230"/>
        <v/>
      </c>
      <c r="R662" s="224"/>
      <c r="S662" s="271">
        <f t="shared" si="220"/>
        <v>6.3E-5</v>
      </c>
      <c r="T662" s="7" t="str">
        <f t="shared" si="221"/>
        <v>CA</v>
      </c>
      <c r="U662" s="7" t="str">
        <f t="shared" si="231"/>
        <v/>
      </c>
      <c r="V662" s="7" t="str">
        <f t="shared" si="232"/>
        <v/>
      </c>
      <c r="W662" s="7" t="str">
        <f>VLOOKUP(C662,'Tox Summary'!$N$3:$S$1048576,6,FALSE)</f>
        <v>Mut</v>
      </c>
      <c r="X662" s="76">
        <f t="shared" ref="X662:X725" si="239">IF(S662="","",IF(W662&lt;&gt;"TCE",TCR/(IF(AND(W662="VC",Scenario="Residential"),S662,0)+(EF*IF(W662="Mut",MMOAAF,ED)*ET*S662/(Atc*365*24))), 1/((EF*MMOAAF*ET*mIURTCE/(TCR*Atc*365*24))+EF*ED*ET*IURTCE/(TCR*Atc*365*24))))</f>
        <v>1.6093474426807756E-2</v>
      </c>
      <c r="Y662" s="76" t="str">
        <f t="shared" si="233"/>
        <v/>
      </c>
      <c r="AA662" s="332"/>
    </row>
    <row r="663" spans="1:27">
      <c r="A663" s="265"/>
      <c r="B663" s="344" t="s">
        <v>249</v>
      </c>
      <c r="C663" s="269" t="s">
        <v>1326</v>
      </c>
      <c r="D663" s="280" t="str">
        <f>VLOOKUP(B663, 'Chem Props'!$1:$1048576,3,FALSE)</f>
        <v>No</v>
      </c>
      <c r="E663" s="598" t="str">
        <f t="shared" si="234"/>
        <v>No</v>
      </c>
      <c r="F663" s="7" t="str">
        <f t="shared" si="226"/>
        <v>No (not volatile)</v>
      </c>
      <c r="G663" s="270" t="str">
        <f t="shared" si="222"/>
        <v>No (not volatile)</v>
      </c>
      <c r="H663" s="76" t="str">
        <f t="shared" si="235"/>
        <v>No VP</v>
      </c>
      <c r="I663" s="271" t="str">
        <f t="shared" si="236"/>
        <v>--</v>
      </c>
      <c r="J663" s="272" t="str">
        <f t="shared" si="237"/>
        <v>No VP</v>
      </c>
      <c r="K663" s="272" t="str">
        <f t="shared" si="238"/>
        <v>No VP</v>
      </c>
      <c r="L663" s="273" t="str">
        <f t="shared" si="227"/>
        <v>--</v>
      </c>
      <c r="M663" s="7" t="str">
        <f t="shared" si="228"/>
        <v>No VP</v>
      </c>
      <c r="N663" s="7"/>
      <c r="O663" s="326">
        <f t="shared" si="229"/>
        <v>25</v>
      </c>
      <c r="P663" s="224" t="str">
        <f t="shared" si="225"/>
        <v/>
      </c>
      <c r="Q663" s="224" t="str">
        <f t="shared" si="230"/>
        <v/>
      </c>
      <c r="R663" s="224"/>
      <c r="S663" s="271" t="str">
        <f t="shared" si="220"/>
        <v/>
      </c>
      <c r="T663" s="7" t="str">
        <f t="shared" si="221"/>
        <v/>
      </c>
      <c r="U663" s="7" t="str">
        <f t="shared" si="231"/>
        <v/>
      </c>
      <c r="V663" s="7" t="str">
        <f t="shared" si="232"/>
        <v/>
      </c>
      <c r="W663" s="7" t="str">
        <f>VLOOKUP(C663,'Tox Summary'!$N$3:$S$1048576,6,FALSE)</f>
        <v/>
      </c>
      <c r="X663" s="76" t="str">
        <f t="shared" si="239"/>
        <v/>
      </c>
      <c r="Y663" s="76" t="str">
        <f t="shared" si="233"/>
        <v/>
      </c>
      <c r="AA663" s="332"/>
    </row>
    <row r="664" spans="1:27">
      <c r="A664" s="265"/>
      <c r="B664" s="344" t="s">
        <v>250</v>
      </c>
      <c r="C664" s="269" t="s">
        <v>1327</v>
      </c>
      <c r="D664" s="280" t="str">
        <f>VLOOKUP(B664, 'Chem Props'!$1:$1048576,3,FALSE)</f>
        <v>No</v>
      </c>
      <c r="E664" s="598" t="str">
        <f t="shared" si="234"/>
        <v>Yes</v>
      </c>
      <c r="F664" s="7" t="str">
        <f t="shared" si="226"/>
        <v>No (not volatile)</v>
      </c>
      <c r="G664" s="270" t="str">
        <f t="shared" si="222"/>
        <v>No (not volatile)</v>
      </c>
      <c r="H664" s="76" t="str">
        <f t="shared" si="235"/>
        <v>NVT</v>
      </c>
      <c r="I664" s="271" t="str">
        <f t="shared" si="236"/>
        <v>NC</v>
      </c>
      <c r="J664" s="272" t="str">
        <f t="shared" si="237"/>
        <v>NVT</v>
      </c>
      <c r="K664" s="272" t="str">
        <f t="shared" si="238"/>
        <v>NVT</v>
      </c>
      <c r="L664" s="273" t="str">
        <f t="shared" si="227"/>
        <v>No (50)</v>
      </c>
      <c r="M664" s="7">
        <f t="shared" si="228"/>
        <v>6.033213234658126E-4</v>
      </c>
      <c r="N664" s="7" t="str">
        <f>IF(INDEX(HLC,MATCH(C664,ChemNameChem,0))="","No HLC",IF(INDEX(Sol,MATCH(C664,ChemNameChem,0))="No S","No S",INDEX(HLC,MATCH(C664,ChemNameChem,0))*INDEX(Sol,MATCH(C664,ChemNameChem,0))*1000000))</f>
        <v>No HLC</v>
      </c>
      <c r="O664" s="326">
        <f t="shared" si="229"/>
        <v>25</v>
      </c>
      <c r="P664" s="224" t="str">
        <f t="shared" si="225"/>
        <v/>
      </c>
      <c r="Q664" s="224" t="str">
        <f t="shared" si="230"/>
        <v/>
      </c>
      <c r="R664" s="224"/>
      <c r="S664" s="271" t="str">
        <f t="shared" si="220"/>
        <v/>
      </c>
      <c r="T664" s="7" t="str">
        <f t="shared" si="221"/>
        <v/>
      </c>
      <c r="U664" s="7">
        <f t="shared" si="231"/>
        <v>0.02</v>
      </c>
      <c r="V664" s="7" t="str">
        <f t="shared" si="232"/>
        <v>CA</v>
      </c>
      <c r="W664" s="7" t="str">
        <f>VLOOKUP(C664,'Tox Summary'!$N$3:$S$1048576,6,FALSE)</f>
        <v/>
      </c>
      <c r="X664" s="76" t="str">
        <f t="shared" si="239"/>
        <v/>
      </c>
      <c r="Y664" s="76">
        <f t="shared" si="233"/>
        <v>20.857142857142858</v>
      </c>
      <c r="AA664" s="332"/>
    </row>
    <row r="665" spans="1:27">
      <c r="A665" s="265"/>
      <c r="B665" s="344" t="s">
        <v>251</v>
      </c>
      <c r="C665" s="269" t="s">
        <v>615</v>
      </c>
      <c r="D665" s="280" t="str">
        <f>VLOOKUP(B665, 'Chem Props'!$1:$1048576,3,FALSE)</f>
        <v>No</v>
      </c>
      <c r="E665" s="598" t="str">
        <f t="shared" si="234"/>
        <v>Yes</v>
      </c>
      <c r="F665" s="7" t="str">
        <f t="shared" si="226"/>
        <v>No (not volatile)</v>
      </c>
      <c r="G665" s="270" t="str">
        <f t="shared" si="222"/>
        <v>No (not volatile)</v>
      </c>
      <c r="H665" s="76" t="str">
        <f t="shared" si="235"/>
        <v>No VP</v>
      </c>
      <c r="I665" s="271" t="str">
        <f t="shared" si="236"/>
        <v>NC</v>
      </c>
      <c r="J665" s="272" t="str">
        <f t="shared" si="237"/>
        <v>No VP</v>
      </c>
      <c r="K665" s="272" t="str">
        <f t="shared" si="238"/>
        <v>No VP</v>
      </c>
      <c r="L665" s="273" t="str">
        <f t="shared" si="227"/>
        <v>--</v>
      </c>
      <c r="M665" s="7" t="str">
        <f t="shared" si="228"/>
        <v>No VP</v>
      </c>
      <c r="N665" s="7" t="str">
        <f>IF(INDEX(HLC,MATCH(C665,ChemNameChem,0))="","No HLC",IF(INDEX(Sol,MATCH(C665,ChemNameChem,0))="No S","No S",INDEX(HLC,MATCH(C665,ChemNameChem,0))*INDEX(Sol,MATCH(C665,ChemNameChem,0))*1000000))</f>
        <v>No S</v>
      </c>
      <c r="O665" s="326">
        <f t="shared" si="229"/>
        <v>25</v>
      </c>
      <c r="P665" s="224" t="str">
        <f t="shared" si="225"/>
        <v/>
      </c>
      <c r="Q665" s="224" t="str">
        <f t="shared" si="230"/>
        <v/>
      </c>
      <c r="R665" s="224"/>
      <c r="S665" s="271" t="str">
        <f t="shared" si="220"/>
        <v/>
      </c>
      <c r="T665" s="7" t="str">
        <f t="shared" si="221"/>
        <v/>
      </c>
      <c r="U665" s="7">
        <f t="shared" si="231"/>
        <v>0.02</v>
      </c>
      <c r="V665" s="7" t="str">
        <f t="shared" si="232"/>
        <v>CA</v>
      </c>
      <c r="W665" s="7" t="str">
        <f>VLOOKUP(C665,'Tox Summary'!$N$3:$S$1048576,6,FALSE)</f>
        <v/>
      </c>
      <c r="X665" s="76" t="str">
        <f t="shared" si="239"/>
        <v/>
      </c>
      <c r="Y665" s="76">
        <f t="shared" si="233"/>
        <v>20.857142857142858</v>
      </c>
      <c r="AA665" s="332"/>
    </row>
    <row r="666" spans="1:27">
      <c r="A666" s="265"/>
      <c r="B666" s="269" t="s">
        <v>252</v>
      </c>
      <c r="C666" s="269" t="s">
        <v>1328</v>
      </c>
      <c r="D666" s="280" t="str">
        <f>VLOOKUP(B666, 'Chem Props'!$1:$1048576,3,FALSE)</f>
        <v>No</v>
      </c>
      <c r="E666" s="598" t="str">
        <f t="shared" si="234"/>
        <v>No</v>
      </c>
      <c r="F666" s="7" t="str">
        <f t="shared" si="226"/>
        <v>No (not volatile)</v>
      </c>
      <c r="G666" s="270" t="str">
        <f t="shared" si="222"/>
        <v>No (not volatile)</v>
      </c>
      <c r="H666" s="76" t="str">
        <f t="shared" si="235"/>
        <v>--</v>
      </c>
      <c r="I666" s="271" t="str">
        <f t="shared" si="236"/>
        <v>--</v>
      </c>
      <c r="J666" s="272" t="str">
        <f t="shared" si="237"/>
        <v>--</v>
      </c>
      <c r="K666" s="272" t="str">
        <f t="shared" si="238"/>
        <v>--</v>
      </c>
      <c r="L666" s="273" t="str">
        <f t="shared" si="227"/>
        <v>--</v>
      </c>
      <c r="M666" s="7">
        <f t="shared" si="228"/>
        <v>2.8194942737534281</v>
      </c>
      <c r="N666" s="7">
        <f>IF(INDEX(HLC,MATCH(C666,ChemNameChem,0))="","No HLC",IF(INDEX(Sol,MATCH(C666,ChemNameChem,0))="No S","No S",INDEX(HLC,MATCH(C666,ChemNameChem,0))*INDEX(Sol,MATCH(C666,ChemNameChem,0))*1000000))</f>
        <v>2.20775E-2</v>
      </c>
      <c r="O666" s="326">
        <f t="shared" si="229"/>
        <v>25</v>
      </c>
      <c r="P666" s="224" t="str">
        <f t="shared" si="225"/>
        <v/>
      </c>
      <c r="Q666" s="224" t="str">
        <f t="shared" si="230"/>
        <v/>
      </c>
      <c r="R666" s="224"/>
      <c r="S666" s="271" t="str">
        <f t="shared" si="220"/>
        <v/>
      </c>
      <c r="T666" s="7" t="str">
        <f t="shared" si="221"/>
        <v/>
      </c>
      <c r="U666" s="7" t="str">
        <f t="shared" si="231"/>
        <v/>
      </c>
      <c r="V666" s="7" t="str">
        <f t="shared" si="232"/>
        <v/>
      </c>
      <c r="W666" s="7" t="str">
        <f>VLOOKUP(C666,'Tox Summary'!$N$3:$S$1048576,6,FALSE)</f>
        <v/>
      </c>
      <c r="X666" s="76" t="str">
        <f t="shared" si="239"/>
        <v/>
      </c>
      <c r="Y666" s="76" t="str">
        <f t="shared" si="233"/>
        <v/>
      </c>
      <c r="AA666" s="243"/>
    </row>
    <row r="667" spans="1:27">
      <c r="A667" s="265"/>
      <c r="B667" s="269" t="s">
        <v>253</v>
      </c>
      <c r="C667" s="269" t="s">
        <v>616</v>
      </c>
      <c r="D667" s="280" t="str">
        <f>VLOOKUP(B667, 'Chem Props'!$1:$1048576,3,FALSE)</f>
        <v>No</v>
      </c>
      <c r="E667" s="598" t="str">
        <f t="shared" si="234"/>
        <v>Yes</v>
      </c>
      <c r="F667" s="7" t="str">
        <f t="shared" si="226"/>
        <v>No (not volatile)</v>
      </c>
      <c r="G667" s="270" t="str">
        <f t="shared" si="222"/>
        <v>No (not volatile)</v>
      </c>
      <c r="H667" s="76" t="str">
        <f t="shared" si="235"/>
        <v>No VP</v>
      </c>
      <c r="I667" s="271" t="str">
        <f t="shared" si="236"/>
        <v>NC</v>
      </c>
      <c r="J667" s="272" t="str">
        <f t="shared" si="237"/>
        <v>No VP</v>
      </c>
      <c r="K667" s="272" t="str">
        <f t="shared" si="238"/>
        <v>No VP</v>
      </c>
      <c r="L667" s="273" t="str">
        <f t="shared" si="227"/>
        <v>--</v>
      </c>
      <c r="M667" s="7" t="str">
        <f t="shared" si="228"/>
        <v>No VP</v>
      </c>
      <c r="N667" s="7" t="str">
        <f>IF(INDEX(HLC,MATCH(C667,ChemNameChem,0))="","No HLC",IF(INDEX(Sol,MATCH(C667,ChemNameChem,0))="No S","No S",INDEX(HLC,MATCH(C667,ChemNameChem,0))*INDEX(Sol,MATCH(C667,ChemNameChem,0))*1000000))</f>
        <v>No S</v>
      </c>
      <c r="O667" s="326">
        <f t="shared" si="229"/>
        <v>25</v>
      </c>
      <c r="P667" s="224" t="str">
        <f t="shared" si="225"/>
        <v/>
      </c>
      <c r="Q667" s="224" t="str">
        <f t="shared" si="230"/>
        <v/>
      </c>
      <c r="R667" s="224"/>
      <c r="S667" s="271" t="str">
        <f t="shared" si="220"/>
        <v/>
      </c>
      <c r="T667" s="7" t="str">
        <f t="shared" si="221"/>
        <v/>
      </c>
      <c r="U667" s="7">
        <f t="shared" si="231"/>
        <v>3.0000000000000001E-3</v>
      </c>
      <c r="V667" s="7" t="str">
        <f t="shared" si="232"/>
        <v>CA</v>
      </c>
      <c r="W667" s="7" t="str">
        <f>VLOOKUP(C667,'Tox Summary'!$N$3:$S$1048576,6,FALSE)</f>
        <v/>
      </c>
      <c r="X667" s="76" t="str">
        <f t="shared" si="239"/>
        <v/>
      </c>
      <c r="Y667" s="76">
        <f t="shared" si="233"/>
        <v>3.1285714285714286</v>
      </c>
      <c r="AA667" s="243"/>
    </row>
    <row r="668" spans="1:27">
      <c r="A668" s="265"/>
      <c r="B668" s="269" t="s">
        <v>254</v>
      </c>
      <c r="C668" s="269" t="s">
        <v>1329</v>
      </c>
      <c r="D668" s="280" t="str">
        <f>VLOOKUP(B668, 'Chem Props'!$1:$1048576,3,FALSE)</f>
        <v>No</v>
      </c>
      <c r="E668" s="598" t="str">
        <f t="shared" si="234"/>
        <v>No</v>
      </c>
      <c r="F668" s="7" t="str">
        <f t="shared" si="226"/>
        <v>No (not volatile)</v>
      </c>
      <c r="G668" s="270" t="str">
        <f t="shared" si="222"/>
        <v>No (not volatile)</v>
      </c>
      <c r="H668" s="76" t="str">
        <f t="shared" si="235"/>
        <v>--</v>
      </c>
      <c r="I668" s="271" t="str">
        <f t="shared" si="236"/>
        <v>--</v>
      </c>
      <c r="J668" s="272" t="str">
        <f t="shared" si="237"/>
        <v>--</v>
      </c>
      <c r="K668" s="272" t="str">
        <f t="shared" si="238"/>
        <v>--</v>
      </c>
      <c r="L668" s="273" t="str">
        <f t="shared" si="227"/>
        <v>--</v>
      </c>
      <c r="M668" s="7">
        <f t="shared" si="228"/>
        <v>0</v>
      </c>
      <c r="N668" s="7" t="str">
        <f>IF(INDEX(HLC,MATCH(C668,ChemNameChem,0))="","No HLC",IF(INDEX(Sol,MATCH(C668,ChemNameChem,0))="No S","No S",INDEX(HLC,MATCH(C668,ChemNameChem,0))*INDEX(Sol,MATCH(C668,ChemNameChem,0))*1000000))</f>
        <v>No S</v>
      </c>
      <c r="O668" s="326">
        <f t="shared" si="229"/>
        <v>25</v>
      </c>
      <c r="P668" s="224" t="str">
        <f t="shared" si="225"/>
        <v/>
      </c>
      <c r="Q668" s="224" t="str">
        <f t="shared" si="230"/>
        <v/>
      </c>
      <c r="R668" s="224"/>
      <c r="S668" s="271" t="str">
        <f t="shared" si="220"/>
        <v/>
      </c>
      <c r="T668" s="7" t="str">
        <f t="shared" si="221"/>
        <v/>
      </c>
      <c r="U668" s="7" t="str">
        <f t="shared" si="231"/>
        <v/>
      </c>
      <c r="V668" s="7" t="str">
        <f t="shared" si="232"/>
        <v/>
      </c>
      <c r="W668" s="7" t="str">
        <f>VLOOKUP(C668,'Tox Summary'!$N$3:$S$1048576,6,FALSE)</f>
        <v/>
      </c>
      <c r="X668" s="76" t="str">
        <f t="shared" si="239"/>
        <v/>
      </c>
      <c r="Y668" s="76" t="str">
        <f t="shared" si="233"/>
        <v/>
      </c>
      <c r="AA668" s="243"/>
    </row>
    <row r="669" spans="1:27">
      <c r="A669" s="265"/>
      <c r="B669" s="269" t="s">
        <v>797</v>
      </c>
      <c r="C669" s="269" t="s">
        <v>2367</v>
      </c>
      <c r="D669" s="280" t="str">
        <f>VLOOKUP(B669, 'Chem Props'!$1:$1048576,3,FALSE)</f>
        <v>No</v>
      </c>
      <c r="E669" s="598" t="str">
        <f t="shared" si="234"/>
        <v>No</v>
      </c>
      <c r="F669" s="7" t="str">
        <f t="shared" si="226"/>
        <v>No (not volatile)</v>
      </c>
      <c r="G669" s="270" t="str">
        <f t="shared" si="222"/>
        <v>No (not volatile)</v>
      </c>
      <c r="H669" s="76" t="str">
        <f t="shared" si="235"/>
        <v>No VP</v>
      </c>
      <c r="I669" s="271" t="str">
        <f t="shared" si="236"/>
        <v>--</v>
      </c>
      <c r="J669" s="272" t="str">
        <f t="shared" si="237"/>
        <v>No VP</v>
      </c>
      <c r="K669" s="272" t="str">
        <f t="shared" si="238"/>
        <v>No VP</v>
      </c>
      <c r="L669" s="273" t="str">
        <f t="shared" si="227"/>
        <v>--</v>
      </c>
      <c r="M669" s="7" t="str">
        <f t="shared" si="228"/>
        <v>No VP</v>
      </c>
      <c r="N669" s="7"/>
      <c r="O669" s="326">
        <f t="shared" si="229"/>
        <v>25</v>
      </c>
      <c r="P669" s="224" t="str">
        <f t="shared" si="225"/>
        <v/>
      </c>
      <c r="Q669" s="224" t="str">
        <f t="shared" si="230"/>
        <v/>
      </c>
      <c r="R669" s="224"/>
      <c r="S669" s="271" t="str">
        <f t="shared" si="220"/>
        <v/>
      </c>
      <c r="T669" s="7" t="str">
        <f t="shared" si="221"/>
        <v/>
      </c>
      <c r="U669" s="7" t="str">
        <f t="shared" si="231"/>
        <v/>
      </c>
      <c r="V669" s="7" t="str">
        <f t="shared" si="232"/>
        <v/>
      </c>
      <c r="W669" s="7" t="str">
        <f>VLOOKUP(C669,'Tox Summary'!$N$3:$S$1048576,6,FALSE)</f>
        <v/>
      </c>
      <c r="X669" s="76" t="str">
        <f t="shared" si="239"/>
        <v/>
      </c>
      <c r="Y669" s="76" t="str">
        <f t="shared" si="233"/>
        <v/>
      </c>
      <c r="AA669" s="243"/>
    </row>
    <row r="670" spans="1:27">
      <c r="A670" s="265"/>
      <c r="B670" s="269" t="s">
        <v>255</v>
      </c>
      <c r="C670" s="269" t="s">
        <v>1330</v>
      </c>
      <c r="D670" s="280" t="str">
        <f>VLOOKUP(B670, 'Chem Props'!$1:$1048576,3,FALSE)</f>
        <v>No</v>
      </c>
      <c r="E670" s="598" t="str">
        <f t="shared" si="234"/>
        <v>No</v>
      </c>
      <c r="F670" s="7" t="str">
        <f t="shared" si="226"/>
        <v>No (not volatile)</v>
      </c>
      <c r="G670" s="270" t="str">
        <f t="shared" si="222"/>
        <v>No (not volatile)</v>
      </c>
      <c r="H670" s="76" t="str">
        <f t="shared" si="235"/>
        <v>--</v>
      </c>
      <c r="I670" s="271" t="str">
        <f t="shared" si="236"/>
        <v>--</v>
      </c>
      <c r="J670" s="272" t="str">
        <f t="shared" si="237"/>
        <v>--</v>
      </c>
      <c r="K670" s="272" t="str">
        <f t="shared" si="238"/>
        <v>--</v>
      </c>
      <c r="L670" s="273" t="str">
        <f t="shared" si="227"/>
        <v>No (4)</v>
      </c>
      <c r="M670" s="7">
        <f t="shared" si="228"/>
        <v>0.23980886166213225</v>
      </c>
      <c r="N670" s="7">
        <f t="shared" ref="N670:N675" si="240">IF(INDEX(HLC,MATCH(C670,ChemNameChem,0))="","No HLC",IF(INDEX(Sol,MATCH(C670,ChemNameChem,0))="No S","No S",INDEX(HLC,MATCH(C670,ChemNameChem,0))*INDEX(Sol,MATCH(C670,ChemNameChem,0))*1000000))</f>
        <v>0.23877440000000003</v>
      </c>
      <c r="O670" s="326">
        <f t="shared" si="229"/>
        <v>25</v>
      </c>
      <c r="P670" s="224" t="str">
        <f t="shared" si="225"/>
        <v/>
      </c>
      <c r="Q670" s="224" t="str">
        <f t="shared" si="230"/>
        <v/>
      </c>
      <c r="R670" s="224"/>
      <c r="S670" s="271" t="str">
        <f t="shared" si="220"/>
        <v/>
      </c>
      <c r="T670" s="7" t="str">
        <f t="shared" si="221"/>
        <v/>
      </c>
      <c r="U670" s="7" t="str">
        <f t="shared" si="231"/>
        <v/>
      </c>
      <c r="V670" s="7" t="str">
        <f t="shared" si="232"/>
        <v/>
      </c>
      <c r="W670" s="7" t="str">
        <f>VLOOKUP(C670,'Tox Summary'!$N$3:$S$1048576,6,FALSE)</f>
        <v/>
      </c>
      <c r="X670" s="76" t="str">
        <f t="shared" si="239"/>
        <v/>
      </c>
      <c r="Y670" s="76" t="str">
        <f t="shared" si="233"/>
        <v/>
      </c>
      <c r="AA670" s="243"/>
    </row>
    <row r="671" spans="1:27">
      <c r="A671" s="265"/>
      <c r="B671" s="344" t="s">
        <v>1597</v>
      </c>
      <c r="C671" s="269" t="s">
        <v>2396</v>
      </c>
      <c r="D671" s="280" t="str">
        <f>VLOOKUP(B671, 'Chem Props'!$1:$1048576,3,FALSE)</f>
        <v>No</v>
      </c>
      <c r="E671" s="598" t="str">
        <f t="shared" si="234"/>
        <v>No</v>
      </c>
      <c r="F671" s="7" t="str">
        <f t="shared" si="226"/>
        <v>No (not volatile)</v>
      </c>
      <c r="G671" s="270" t="str">
        <f t="shared" si="222"/>
        <v>No (not volatile)</v>
      </c>
      <c r="H671" s="76" t="str">
        <f t="shared" si="235"/>
        <v>No VP</v>
      </c>
      <c r="I671" s="271" t="str">
        <f t="shared" si="236"/>
        <v>--</v>
      </c>
      <c r="J671" s="272" t="str">
        <f t="shared" si="237"/>
        <v>No VP</v>
      </c>
      <c r="K671" s="272" t="str">
        <f t="shared" si="238"/>
        <v>No VP</v>
      </c>
      <c r="L671" s="273" t="str">
        <f t="shared" si="227"/>
        <v>--</v>
      </c>
      <c r="M671" s="7" t="str">
        <f t="shared" si="228"/>
        <v>No VP</v>
      </c>
      <c r="N671" s="7" t="str">
        <f t="shared" si="240"/>
        <v>No S</v>
      </c>
      <c r="O671" s="326">
        <f t="shared" si="229"/>
        <v>25</v>
      </c>
      <c r="P671" s="224" t="str">
        <f t="shared" si="225"/>
        <v/>
      </c>
      <c r="Q671" s="224" t="str">
        <f t="shared" si="230"/>
        <v/>
      </c>
      <c r="R671" s="224"/>
      <c r="S671" s="271" t="str">
        <f t="shared" si="220"/>
        <v/>
      </c>
      <c r="T671" s="7" t="str">
        <f t="shared" si="221"/>
        <v/>
      </c>
      <c r="U671" s="7" t="str">
        <f t="shared" si="231"/>
        <v/>
      </c>
      <c r="V671" s="7" t="str">
        <f t="shared" si="232"/>
        <v/>
      </c>
      <c r="W671" s="7" t="str">
        <f>VLOOKUP(C671,'Tox Summary'!$N$3:$S$1048576,6,FALSE)</f>
        <v/>
      </c>
      <c r="X671" s="76" t="str">
        <f t="shared" si="239"/>
        <v/>
      </c>
      <c r="Y671" s="76" t="str">
        <f t="shared" si="233"/>
        <v/>
      </c>
      <c r="AA671" s="332"/>
    </row>
    <row r="672" spans="1:27">
      <c r="A672" s="265"/>
      <c r="B672" s="344" t="s">
        <v>256</v>
      </c>
      <c r="C672" s="269" t="s">
        <v>1331</v>
      </c>
      <c r="D672" s="280" t="str">
        <f>VLOOKUP(B672, 'Chem Props'!$1:$1048576,3,FALSE)</f>
        <v>No</v>
      </c>
      <c r="E672" s="598" t="str">
        <f t="shared" si="234"/>
        <v>No</v>
      </c>
      <c r="F672" s="7" t="str">
        <f t="shared" si="226"/>
        <v>No (not volatile)</v>
      </c>
      <c r="G672" s="270" t="str">
        <f t="shared" si="222"/>
        <v>No (not volatile)</v>
      </c>
      <c r="H672" s="76" t="str">
        <f t="shared" si="235"/>
        <v>--</v>
      </c>
      <c r="I672" s="271" t="str">
        <f t="shared" si="236"/>
        <v>--</v>
      </c>
      <c r="J672" s="272" t="str">
        <f t="shared" si="237"/>
        <v>--</v>
      </c>
      <c r="K672" s="272" t="str">
        <f t="shared" si="238"/>
        <v>--</v>
      </c>
      <c r="L672" s="273" t="str">
        <f t="shared" si="227"/>
        <v>--</v>
      </c>
      <c r="M672" s="7">
        <f t="shared" si="228"/>
        <v>0.20127647097475593</v>
      </c>
      <c r="N672" s="7">
        <f t="shared" si="240"/>
        <v>618.35</v>
      </c>
      <c r="O672" s="326">
        <f t="shared" si="229"/>
        <v>25</v>
      </c>
      <c r="P672" s="224" t="str">
        <f t="shared" si="225"/>
        <v/>
      </c>
      <c r="Q672" s="224" t="str">
        <f t="shared" si="230"/>
        <v/>
      </c>
      <c r="R672" s="224"/>
      <c r="S672" s="271" t="str">
        <f t="shared" si="220"/>
        <v/>
      </c>
      <c r="T672" s="7" t="str">
        <f t="shared" si="221"/>
        <v/>
      </c>
      <c r="U672" s="7" t="str">
        <f t="shared" si="231"/>
        <v/>
      </c>
      <c r="V672" s="7" t="str">
        <f t="shared" si="232"/>
        <v/>
      </c>
      <c r="W672" s="7" t="str">
        <f>VLOOKUP(C672,'Tox Summary'!$N$3:$S$1048576,6,FALSE)</f>
        <v/>
      </c>
      <c r="X672" s="76" t="str">
        <f t="shared" si="239"/>
        <v/>
      </c>
      <c r="Y672" s="76" t="str">
        <f t="shared" si="233"/>
        <v/>
      </c>
      <c r="AA672" s="332"/>
    </row>
    <row r="673" spans="1:27">
      <c r="A673" s="265"/>
      <c r="B673" s="344" t="s">
        <v>1598</v>
      </c>
      <c r="C673" s="269" t="s">
        <v>2397</v>
      </c>
      <c r="D673" s="280" t="str">
        <f>VLOOKUP(B673, 'Chem Props'!$1:$1048576,3,FALSE)</f>
        <v>No</v>
      </c>
      <c r="E673" s="598" t="str">
        <f t="shared" si="234"/>
        <v>No</v>
      </c>
      <c r="F673" s="7" t="str">
        <f t="shared" si="226"/>
        <v>No (not volatile)</v>
      </c>
      <c r="G673" s="270" t="str">
        <f t="shared" si="222"/>
        <v>No (not volatile)</v>
      </c>
      <c r="H673" s="76" t="str">
        <f t="shared" si="235"/>
        <v>No VP</v>
      </c>
      <c r="I673" s="271" t="str">
        <f t="shared" si="236"/>
        <v>--</v>
      </c>
      <c r="J673" s="272" t="str">
        <f t="shared" si="237"/>
        <v>No VP</v>
      </c>
      <c r="K673" s="272" t="str">
        <f t="shared" si="238"/>
        <v>No VP</v>
      </c>
      <c r="L673" s="273" t="str">
        <f t="shared" si="227"/>
        <v>--</v>
      </c>
      <c r="M673" s="7" t="str">
        <f t="shared" si="228"/>
        <v>No VP</v>
      </c>
      <c r="N673" s="7" t="str">
        <f t="shared" si="240"/>
        <v>No S</v>
      </c>
      <c r="O673" s="326">
        <f t="shared" si="229"/>
        <v>25</v>
      </c>
      <c r="P673" s="224" t="str">
        <f t="shared" si="225"/>
        <v/>
      </c>
      <c r="Q673" s="224" t="str">
        <f t="shared" si="230"/>
        <v/>
      </c>
      <c r="R673" s="224"/>
      <c r="S673" s="271" t="str">
        <f t="shared" si="220"/>
        <v/>
      </c>
      <c r="T673" s="7" t="str">
        <f t="shared" si="221"/>
        <v/>
      </c>
      <c r="U673" s="7" t="str">
        <f t="shared" si="231"/>
        <v/>
      </c>
      <c r="V673" s="7" t="str">
        <f t="shared" si="232"/>
        <v/>
      </c>
      <c r="W673" s="7" t="str">
        <f>VLOOKUP(C673,'Tox Summary'!$N$3:$S$1048576,6,FALSE)</f>
        <v/>
      </c>
      <c r="X673" s="76" t="str">
        <f t="shared" si="239"/>
        <v/>
      </c>
      <c r="Y673" s="76" t="str">
        <f t="shared" si="233"/>
        <v/>
      </c>
      <c r="AA673" s="332"/>
    </row>
    <row r="674" spans="1:27">
      <c r="A674" s="265"/>
      <c r="B674" s="344" t="s">
        <v>1599</v>
      </c>
      <c r="C674" s="269" t="s">
        <v>2398</v>
      </c>
      <c r="D674" s="280" t="str">
        <f>VLOOKUP(B674, 'Chem Props'!$1:$1048576,3,FALSE)</f>
        <v>No</v>
      </c>
      <c r="E674" s="598" t="str">
        <f t="shared" si="234"/>
        <v>No</v>
      </c>
      <c r="F674" s="7" t="str">
        <f t="shared" si="226"/>
        <v>No (not volatile)</v>
      </c>
      <c r="G674" s="270" t="str">
        <f t="shared" si="222"/>
        <v>No (not volatile)</v>
      </c>
      <c r="H674" s="76" t="str">
        <f t="shared" si="235"/>
        <v>No VP</v>
      </c>
      <c r="I674" s="271" t="str">
        <f t="shared" si="236"/>
        <v>--</v>
      </c>
      <c r="J674" s="272" t="str">
        <f t="shared" si="237"/>
        <v>No VP</v>
      </c>
      <c r="K674" s="272" t="str">
        <f t="shared" si="238"/>
        <v>No VP</v>
      </c>
      <c r="L674" s="273" t="str">
        <f t="shared" si="227"/>
        <v>--</v>
      </c>
      <c r="M674" s="7" t="str">
        <f t="shared" si="228"/>
        <v>No VP</v>
      </c>
      <c r="N674" s="7" t="str">
        <f t="shared" si="240"/>
        <v>No S</v>
      </c>
      <c r="O674" s="326">
        <f t="shared" si="229"/>
        <v>25</v>
      </c>
      <c r="P674" s="224" t="str">
        <f t="shared" ref="P674:P705" si="241">IF(VLOOKUP(B674,AllChemProps,32,FALSE)&gt;0,VLOOKUP(B674,AllChemProps,32,FALSE),"")</f>
        <v/>
      </c>
      <c r="Q674" s="224" t="str">
        <f t="shared" si="230"/>
        <v/>
      </c>
      <c r="R674" s="224"/>
      <c r="S674" s="271" t="str">
        <f t="shared" si="220"/>
        <v/>
      </c>
      <c r="T674" s="7" t="str">
        <f t="shared" si="221"/>
        <v/>
      </c>
      <c r="U674" s="7" t="str">
        <f t="shared" si="231"/>
        <v/>
      </c>
      <c r="V674" s="7" t="str">
        <f t="shared" si="232"/>
        <v/>
      </c>
      <c r="W674" s="7" t="str">
        <f>VLOOKUP(C674,'Tox Summary'!$N$3:$S$1048576,6,FALSE)</f>
        <v/>
      </c>
      <c r="X674" s="76" t="str">
        <f t="shared" si="239"/>
        <v/>
      </c>
      <c r="Y674" s="76" t="str">
        <f t="shared" si="233"/>
        <v/>
      </c>
      <c r="AA674" s="332"/>
    </row>
    <row r="675" spans="1:27">
      <c r="A675" s="265"/>
      <c r="B675" s="269" t="s">
        <v>1600</v>
      </c>
      <c r="C675" s="269" t="s">
        <v>2399</v>
      </c>
      <c r="D675" s="280" t="str">
        <f>VLOOKUP(B675, 'Chem Props'!$1:$1048576,3,FALSE)</f>
        <v>No</v>
      </c>
      <c r="E675" s="598" t="str">
        <f t="shared" si="234"/>
        <v>No</v>
      </c>
      <c r="F675" s="7" t="str">
        <f t="shared" si="226"/>
        <v>No (not volatile)</v>
      </c>
      <c r="G675" s="270" t="str">
        <f t="shared" si="222"/>
        <v>No (not volatile)</v>
      </c>
      <c r="H675" s="76" t="str">
        <f t="shared" si="235"/>
        <v>No VP</v>
      </c>
      <c r="I675" s="271" t="str">
        <f t="shared" si="236"/>
        <v>--</v>
      </c>
      <c r="J675" s="272" t="str">
        <f t="shared" si="237"/>
        <v>No VP</v>
      </c>
      <c r="K675" s="272" t="str">
        <f t="shared" si="238"/>
        <v>No VP</v>
      </c>
      <c r="L675" s="273" t="str">
        <f t="shared" si="227"/>
        <v>--</v>
      </c>
      <c r="M675" s="7" t="str">
        <f t="shared" si="228"/>
        <v>No VP</v>
      </c>
      <c r="N675" s="7" t="str">
        <f t="shared" si="240"/>
        <v>No S</v>
      </c>
      <c r="O675" s="326">
        <f t="shared" si="229"/>
        <v>25</v>
      </c>
      <c r="P675" s="224" t="str">
        <f t="shared" si="241"/>
        <v/>
      </c>
      <c r="Q675" s="224" t="str">
        <f t="shared" si="230"/>
        <v/>
      </c>
      <c r="R675" s="224"/>
      <c r="S675" s="271" t="str">
        <f t="shared" si="220"/>
        <v/>
      </c>
      <c r="T675" s="7" t="str">
        <f t="shared" si="221"/>
        <v/>
      </c>
      <c r="U675" s="7" t="str">
        <f t="shared" si="231"/>
        <v/>
      </c>
      <c r="V675" s="7" t="str">
        <f t="shared" si="232"/>
        <v/>
      </c>
      <c r="W675" s="7" t="str">
        <f>VLOOKUP(C675,'Tox Summary'!$N$3:$S$1048576,6,FALSE)</f>
        <v/>
      </c>
      <c r="X675" s="76" t="str">
        <f t="shared" si="239"/>
        <v/>
      </c>
      <c r="Y675" s="76" t="str">
        <f t="shared" si="233"/>
        <v/>
      </c>
      <c r="AA675" s="243"/>
    </row>
    <row r="676" spans="1:27">
      <c r="A676" s="265"/>
      <c r="B676" s="269" t="s">
        <v>257</v>
      </c>
      <c r="C676" s="269" t="s">
        <v>1332</v>
      </c>
      <c r="D676" s="280" t="str">
        <f>VLOOKUP(B676, 'Chem Props'!$1:$1048576,3,FALSE)</f>
        <v>No</v>
      </c>
      <c r="E676" s="598" t="str">
        <f t="shared" si="234"/>
        <v>No</v>
      </c>
      <c r="F676" s="7" t="str">
        <f t="shared" si="226"/>
        <v>No (not volatile)</v>
      </c>
      <c r="G676" s="270" t="str">
        <f t="shared" si="222"/>
        <v>No (not volatile)</v>
      </c>
      <c r="H676" s="76" t="str">
        <f t="shared" si="235"/>
        <v>No VP</v>
      </c>
      <c r="I676" s="271" t="str">
        <f t="shared" si="236"/>
        <v>--</v>
      </c>
      <c r="J676" s="272" t="str">
        <f t="shared" si="237"/>
        <v>No VP</v>
      </c>
      <c r="K676" s="272" t="str">
        <f t="shared" si="238"/>
        <v>No VP</v>
      </c>
      <c r="L676" s="273" t="str">
        <f t="shared" si="227"/>
        <v>--</v>
      </c>
      <c r="M676" s="7" t="str">
        <f t="shared" si="228"/>
        <v>No VP</v>
      </c>
      <c r="N676" s="7"/>
      <c r="O676" s="326">
        <f t="shared" si="229"/>
        <v>25</v>
      </c>
      <c r="P676" s="224" t="str">
        <f t="shared" si="241"/>
        <v/>
      </c>
      <c r="Q676" s="224" t="str">
        <f t="shared" si="230"/>
        <v/>
      </c>
      <c r="R676" s="224"/>
      <c r="S676" s="271" t="str">
        <f t="shared" si="220"/>
        <v/>
      </c>
      <c r="T676" s="7" t="str">
        <f t="shared" si="221"/>
        <v/>
      </c>
      <c r="U676" s="7" t="str">
        <f t="shared" si="231"/>
        <v/>
      </c>
      <c r="V676" s="7" t="str">
        <f t="shared" si="232"/>
        <v/>
      </c>
      <c r="W676" s="7" t="str">
        <f>VLOOKUP(C676,'Tox Summary'!$N$3:$S$1048576,6,FALSE)</f>
        <v/>
      </c>
      <c r="X676" s="76" t="str">
        <f t="shared" si="239"/>
        <v/>
      </c>
      <c r="Y676" s="76" t="str">
        <f t="shared" si="233"/>
        <v/>
      </c>
      <c r="AA676" s="243"/>
    </row>
    <row r="677" spans="1:27">
      <c r="A677" s="265"/>
      <c r="B677" s="344" t="s">
        <v>798</v>
      </c>
      <c r="C677" s="269" t="s">
        <v>2368</v>
      </c>
      <c r="D677" s="280" t="str">
        <f>VLOOKUP(B677, 'Chem Props'!$1:$1048576,3,FALSE)</f>
        <v>No</v>
      </c>
      <c r="E677" s="598" t="str">
        <f t="shared" si="234"/>
        <v>No</v>
      </c>
      <c r="F677" s="7" t="str">
        <f t="shared" si="226"/>
        <v>No (not volatile)</v>
      </c>
      <c r="G677" s="270" t="str">
        <f t="shared" si="222"/>
        <v>No (not volatile)</v>
      </c>
      <c r="H677" s="76" t="str">
        <f t="shared" si="235"/>
        <v>--</v>
      </c>
      <c r="I677" s="271" t="str">
        <f t="shared" si="236"/>
        <v>--</v>
      </c>
      <c r="J677" s="272" t="str">
        <f t="shared" si="237"/>
        <v>--</v>
      </c>
      <c r="K677" s="272" t="str">
        <f t="shared" si="238"/>
        <v>--</v>
      </c>
      <c r="L677" s="273" t="str">
        <f t="shared" si="227"/>
        <v>No (200)</v>
      </c>
      <c r="M677" s="7">
        <f t="shared" si="228"/>
        <v>0</v>
      </c>
      <c r="N677" s="7"/>
      <c r="O677" s="326">
        <f t="shared" si="229"/>
        <v>25</v>
      </c>
      <c r="P677" s="224" t="str">
        <f t="shared" si="241"/>
        <v/>
      </c>
      <c r="Q677" s="224" t="str">
        <f t="shared" si="230"/>
        <v/>
      </c>
      <c r="R677" s="224"/>
      <c r="S677" s="271" t="str">
        <f t="shared" ref="S677:S740" si="242">IF(INDEX(IUR,MATCH(B677,CASNoTox,0))=" ","",IF(W677="TCE","see note",INDEX(IUR,MATCH(B677,CASNoTox,0))))</f>
        <v/>
      </c>
      <c r="T677" s="7" t="str">
        <f t="shared" ref="T677:T740" si="243">IF(INDEX(IURSource,MATCH(B677,CASNoTox,0))="","",SUBSTITUTE(INDEX(IURSource,MATCH(B677,CASNoTox,0)),"C","CA"))</f>
        <v/>
      </c>
      <c r="U677" s="7" t="str">
        <f t="shared" si="231"/>
        <v/>
      </c>
      <c r="V677" s="7" t="str">
        <f t="shared" si="232"/>
        <v/>
      </c>
      <c r="W677" s="7" t="str">
        <f>VLOOKUP(C677,'Tox Summary'!$N$3:$S$1048576,6,FALSE)</f>
        <v/>
      </c>
      <c r="X677" s="76" t="str">
        <f t="shared" si="239"/>
        <v/>
      </c>
      <c r="Y677" s="76" t="str">
        <f t="shared" si="233"/>
        <v/>
      </c>
      <c r="AA677" s="332"/>
    </row>
    <row r="678" spans="1:27">
      <c r="A678" s="265"/>
      <c r="B678" s="344" t="s">
        <v>258</v>
      </c>
      <c r="C678" s="269" t="s">
        <v>1333</v>
      </c>
      <c r="D678" s="280" t="str">
        <f>VLOOKUP(B678, 'Chem Props'!$1:$1048576,3,FALSE)</f>
        <v>No</v>
      </c>
      <c r="E678" s="598" t="str">
        <f t="shared" si="234"/>
        <v>No</v>
      </c>
      <c r="F678" s="7" t="str">
        <f t="shared" si="226"/>
        <v>No (not volatile)</v>
      </c>
      <c r="G678" s="270" t="str">
        <f t="shared" si="222"/>
        <v>No (not volatile)</v>
      </c>
      <c r="H678" s="76" t="str">
        <f t="shared" si="235"/>
        <v>--</v>
      </c>
      <c r="I678" s="271" t="str">
        <f t="shared" si="236"/>
        <v>--</v>
      </c>
      <c r="J678" s="272" t="str">
        <f t="shared" si="237"/>
        <v>--</v>
      </c>
      <c r="K678" s="272" t="str">
        <f t="shared" si="238"/>
        <v>--</v>
      </c>
      <c r="L678" s="273" t="str">
        <f t="shared" si="227"/>
        <v>--</v>
      </c>
      <c r="M678" s="7">
        <f t="shared" si="228"/>
        <v>7.5547561950306697E-3</v>
      </c>
      <c r="N678" s="7"/>
      <c r="O678" s="326">
        <f t="shared" si="229"/>
        <v>25</v>
      </c>
      <c r="P678" s="224" t="str">
        <f t="shared" si="241"/>
        <v/>
      </c>
      <c r="Q678" s="224" t="str">
        <f t="shared" si="230"/>
        <v/>
      </c>
      <c r="R678" s="224"/>
      <c r="S678" s="271" t="str">
        <f t="shared" si="242"/>
        <v/>
      </c>
      <c r="T678" s="7" t="str">
        <f t="shared" si="243"/>
        <v/>
      </c>
      <c r="U678" s="7" t="str">
        <f t="shared" si="231"/>
        <v/>
      </c>
      <c r="V678" s="7" t="str">
        <f t="shared" si="232"/>
        <v/>
      </c>
      <c r="W678" s="7" t="str">
        <f>VLOOKUP(C678,'Tox Summary'!$N$3:$S$1048576,6,FALSE)</f>
        <v/>
      </c>
      <c r="X678" s="76" t="str">
        <f t="shared" si="239"/>
        <v/>
      </c>
      <c r="Y678" s="76" t="str">
        <f t="shared" si="233"/>
        <v/>
      </c>
      <c r="AA678" s="332"/>
    </row>
    <row r="679" spans="1:27">
      <c r="A679" s="265"/>
      <c r="B679" s="344" t="s">
        <v>259</v>
      </c>
      <c r="C679" s="269" t="s">
        <v>617</v>
      </c>
      <c r="D679" s="280" t="str">
        <f>VLOOKUP(B679, 'Chem Props'!$1:$1048576,3,FALSE)</f>
        <v>No</v>
      </c>
      <c r="E679" s="598" t="str">
        <f t="shared" si="234"/>
        <v>Yes</v>
      </c>
      <c r="F679" s="7" t="str">
        <f t="shared" si="226"/>
        <v>No (not volatile)</v>
      </c>
      <c r="G679" s="270" t="str">
        <f t="shared" si="222"/>
        <v>No (not volatile)</v>
      </c>
      <c r="H679" s="76" t="str">
        <f t="shared" si="235"/>
        <v>NVT</v>
      </c>
      <c r="I679" s="271" t="str">
        <f t="shared" si="236"/>
        <v>NC</v>
      </c>
      <c r="J679" s="272" t="str">
        <f t="shared" si="237"/>
        <v>NVT</v>
      </c>
      <c r="K679" s="272" t="str">
        <f t="shared" si="238"/>
        <v>NVT</v>
      </c>
      <c r="L679" s="273" t="str">
        <f t="shared" si="227"/>
        <v>--</v>
      </c>
      <c r="M679" s="7">
        <f t="shared" si="228"/>
        <v>0</v>
      </c>
      <c r="N679" s="7"/>
      <c r="O679" s="326">
        <f t="shared" si="229"/>
        <v>25</v>
      </c>
      <c r="P679" s="224" t="str">
        <f t="shared" si="241"/>
        <v/>
      </c>
      <c r="Q679" s="224" t="str">
        <f t="shared" si="230"/>
        <v/>
      </c>
      <c r="R679" s="224"/>
      <c r="S679" s="271" t="str">
        <f t="shared" si="242"/>
        <v/>
      </c>
      <c r="T679" s="7" t="str">
        <f t="shared" si="243"/>
        <v/>
      </c>
      <c r="U679" s="7">
        <f t="shared" si="231"/>
        <v>1.2999999999999999E-2</v>
      </c>
      <c r="V679" s="7" t="str">
        <f t="shared" si="232"/>
        <v>CA</v>
      </c>
      <c r="W679" s="7" t="str">
        <f>VLOOKUP(C679,'Tox Summary'!$N$3:$S$1048576,6,FALSE)</f>
        <v/>
      </c>
      <c r="X679" s="76" t="str">
        <f t="shared" si="239"/>
        <v/>
      </c>
      <c r="Y679" s="76">
        <f t="shared" si="233"/>
        <v>13.557142857142855</v>
      </c>
      <c r="AA679" s="332"/>
    </row>
    <row r="680" spans="1:27">
      <c r="A680" s="265"/>
      <c r="B680" s="344" t="s">
        <v>260</v>
      </c>
      <c r="C680" s="269" t="s">
        <v>1334</v>
      </c>
      <c r="D680" s="280" t="str">
        <f>VLOOKUP(B680, 'Chem Props'!$1:$1048576,3,FALSE)</f>
        <v>No</v>
      </c>
      <c r="E680" s="598" t="str">
        <f t="shared" si="234"/>
        <v>No</v>
      </c>
      <c r="F680" s="7" t="str">
        <f t="shared" si="226"/>
        <v>No (not volatile)</v>
      </c>
      <c r="G680" s="270" t="str">
        <f t="shared" si="222"/>
        <v>No (not volatile)</v>
      </c>
      <c r="H680" s="76" t="str">
        <f t="shared" si="235"/>
        <v>--</v>
      </c>
      <c r="I680" s="271" t="str">
        <f t="shared" si="236"/>
        <v>--</v>
      </c>
      <c r="J680" s="272" t="str">
        <f t="shared" si="237"/>
        <v>--</v>
      </c>
      <c r="K680" s="272" t="str">
        <f t="shared" si="238"/>
        <v>--</v>
      </c>
      <c r="L680" s="273" t="str">
        <f t="shared" si="227"/>
        <v>--</v>
      </c>
      <c r="M680" s="7">
        <f t="shared" si="228"/>
        <v>3.5201503095729119</v>
      </c>
      <c r="N680" s="7">
        <f>IF(INDEX(HLC,MATCH(C680,ChemNameChem,0))="","No HLC",IF(INDEX(Sol,MATCH(C680,ChemNameChem,0))="No S","No S",INDEX(HLC,MATCH(C680,ChemNameChem,0))*INDEX(Sol,MATCH(C680,ChemNameChem,0))*1000000))</f>
        <v>49506000</v>
      </c>
      <c r="O680" s="326">
        <f t="shared" si="229"/>
        <v>25</v>
      </c>
      <c r="P680" s="224" t="str">
        <f t="shared" si="241"/>
        <v/>
      </c>
      <c r="Q680" s="224" t="str">
        <f t="shared" si="230"/>
        <v/>
      </c>
      <c r="R680" s="224"/>
      <c r="S680" s="271" t="str">
        <f t="shared" si="242"/>
        <v/>
      </c>
      <c r="T680" s="7" t="str">
        <f t="shared" si="243"/>
        <v/>
      </c>
      <c r="U680" s="7" t="str">
        <f t="shared" si="231"/>
        <v/>
      </c>
      <c r="V680" s="7" t="str">
        <f t="shared" si="232"/>
        <v/>
      </c>
      <c r="W680" s="7" t="str">
        <f>VLOOKUP(C680,'Tox Summary'!$N$3:$S$1048576,6,FALSE)</f>
        <v/>
      </c>
      <c r="X680" s="76" t="str">
        <f t="shared" si="239"/>
        <v/>
      </c>
      <c r="Y680" s="76" t="str">
        <f t="shared" si="233"/>
        <v/>
      </c>
      <c r="AA680" s="332"/>
    </row>
    <row r="681" spans="1:27">
      <c r="A681" s="265"/>
      <c r="B681" s="344" t="s">
        <v>1601</v>
      </c>
      <c r="C681" s="269" t="s">
        <v>2400</v>
      </c>
      <c r="D681" s="280" t="str">
        <f>VLOOKUP(B681, 'Chem Props'!$1:$1048576,3,FALSE)</f>
        <v>No</v>
      </c>
      <c r="E681" s="598" t="str">
        <f t="shared" si="234"/>
        <v>No</v>
      </c>
      <c r="F681" s="7" t="str">
        <f t="shared" si="226"/>
        <v>No (not volatile)</v>
      </c>
      <c r="G681" s="270" t="str">
        <f t="shared" si="222"/>
        <v>No (not volatile)</v>
      </c>
      <c r="H681" s="76" t="str">
        <f t="shared" si="235"/>
        <v>No VP</v>
      </c>
      <c r="I681" s="271" t="str">
        <f t="shared" si="236"/>
        <v>--</v>
      </c>
      <c r="J681" s="272" t="str">
        <f t="shared" si="237"/>
        <v>No VP</v>
      </c>
      <c r="K681" s="272" t="str">
        <f t="shared" si="238"/>
        <v>No VP</v>
      </c>
      <c r="L681" s="273" t="str">
        <f t="shared" si="227"/>
        <v>--</v>
      </c>
      <c r="M681" s="7" t="str">
        <f t="shared" si="228"/>
        <v>No VP</v>
      </c>
      <c r="N681" s="7" t="str">
        <f>IF(INDEX(HLC,MATCH(C681,ChemNameChem,0))="","No HLC",IF(INDEX(Sol,MATCH(C681,ChemNameChem,0))="No S","No S",INDEX(HLC,MATCH(C681,ChemNameChem,0))*INDEX(Sol,MATCH(C681,ChemNameChem,0))*1000000))</f>
        <v>No S</v>
      </c>
      <c r="O681" s="326">
        <f t="shared" si="229"/>
        <v>25</v>
      </c>
      <c r="P681" s="224" t="str">
        <f t="shared" si="241"/>
        <v/>
      </c>
      <c r="Q681" s="224" t="str">
        <f t="shared" si="230"/>
        <v/>
      </c>
      <c r="R681" s="224"/>
      <c r="S681" s="271" t="str">
        <f t="shared" si="242"/>
        <v/>
      </c>
      <c r="T681" s="7" t="str">
        <f t="shared" si="243"/>
        <v/>
      </c>
      <c r="U681" s="7" t="str">
        <f t="shared" si="231"/>
        <v/>
      </c>
      <c r="V681" s="7" t="str">
        <f t="shared" si="232"/>
        <v/>
      </c>
      <c r="W681" s="7" t="str">
        <f>VLOOKUP(C681,'Tox Summary'!$N$3:$S$1048576,6,FALSE)</f>
        <v/>
      </c>
      <c r="X681" s="76" t="str">
        <f t="shared" si="239"/>
        <v/>
      </c>
      <c r="Y681" s="76" t="str">
        <f t="shared" si="233"/>
        <v/>
      </c>
      <c r="AA681" s="332"/>
    </row>
    <row r="682" spans="1:27">
      <c r="A682" s="265"/>
      <c r="B682" s="344" t="s">
        <v>261</v>
      </c>
      <c r="C682" s="269" t="s">
        <v>1335</v>
      </c>
      <c r="D682" s="280" t="str">
        <f>VLOOKUP(B682, 'Chem Props'!$1:$1048576,3,FALSE)</f>
        <v>No</v>
      </c>
      <c r="E682" s="598" t="str">
        <f t="shared" si="234"/>
        <v>No</v>
      </c>
      <c r="F682" s="7" t="str">
        <f t="shared" si="226"/>
        <v>No (not volatile)</v>
      </c>
      <c r="G682" s="270" t="str">
        <f t="shared" si="222"/>
        <v>No (not volatile)</v>
      </c>
      <c r="H682" s="76" t="str">
        <f t="shared" si="235"/>
        <v>No VP</v>
      </c>
      <c r="I682" s="271" t="str">
        <f t="shared" si="236"/>
        <v>--</v>
      </c>
      <c r="J682" s="272" t="str">
        <f t="shared" si="237"/>
        <v>No VP</v>
      </c>
      <c r="K682" s="272" t="str">
        <f t="shared" si="238"/>
        <v>No VP</v>
      </c>
      <c r="L682" s="273" t="str">
        <f t="shared" si="227"/>
        <v>--</v>
      </c>
      <c r="M682" s="7" t="str">
        <f t="shared" si="228"/>
        <v>No VP</v>
      </c>
      <c r="N682" s="7"/>
      <c r="O682" s="326">
        <f t="shared" si="229"/>
        <v>25</v>
      </c>
      <c r="P682" s="224" t="str">
        <f t="shared" si="241"/>
        <v/>
      </c>
      <c r="Q682" s="224" t="str">
        <f t="shared" si="230"/>
        <v/>
      </c>
      <c r="R682" s="224"/>
      <c r="S682" s="271" t="str">
        <f t="shared" si="242"/>
        <v/>
      </c>
      <c r="T682" s="7" t="str">
        <f t="shared" si="243"/>
        <v/>
      </c>
      <c r="U682" s="7" t="str">
        <f t="shared" si="231"/>
        <v/>
      </c>
      <c r="V682" s="7" t="str">
        <f t="shared" si="232"/>
        <v/>
      </c>
      <c r="W682" s="7" t="str">
        <f>VLOOKUP(C682,'Tox Summary'!$N$3:$S$1048576,6,FALSE)</f>
        <v/>
      </c>
      <c r="X682" s="76" t="str">
        <f t="shared" si="239"/>
        <v/>
      </c>
      <c r="Y682" s="76" t="str">
        <f t="shared" si="233"/>
        <v/>
      </c>
      <c r="AA682" s="332"/>
    </row>
    <row r="683" spans="1:27">
      <c r="A683" s="265"/>
      <c r="B683" s="344" t="s">
        <v>262</v>
      </c>
      <c r="C683" s="269" t="s">
        <v>2380</v>
      </c>
      <c r="D683" s="280" t="str">
        <f>VLOOKUP(B683, 'Chem Props'!$1:$1048576,3,FALSE)</f>
        <v>No</v>
      </c>
      <c r="E683" s="598" t="str">
        <f t="shared" si="234"/>
        <v>No</v>
      </c>
      <c r="F683" s="7" t="str">
        <f t="shared" si="226"/>
        <v>No (not volatile)</v>
      </c>
      <c r="G683" s="270" t="str">
        <f t="shared" ref="G683:G743" si="244">IF(LEFT(D683,2)="No","No (not volatile)",IF(D683="unknown","unknown",IF(H683="NVT","No",IF(AND(X683="",Y683=""),"No Inhal. Tox. Info",IF(MIN(X683:Y683)&gt;=N683,"No",IF(N683&gt;H683,"Yes","No"))))))</f>
        <v>No (not volatile)</v>
      </c>
      <c r="H683" s="76" t="str">
        <f t="shared" si="235"/>
        <v>No VP</v>
      </c>
      <c r="I683" s="271" t="str">
        <f t="shared" si="236"/>
        <v>--</v>
      </c>
      <c r="J683" s="272" t="str">
        <f t="shared" si="237"/>
        <v>No VP</v>
      </c>
      <c r="K683" s="272" t="str">
        <f t="shared" si="238"/>
        <v>No VP</v>
      </c>
      <c r="L683" s="273" t="str">
        <f t="shared" si="227"/>
        <v>--</v>
      </c>
      <c r="M683" s="7" t="str">
        <f t="shared" si="228"/>
        <v>No VP</v>
      </c>
      <c r="N683" s="7"/>
      <c r="O683" s="326">
        <f t="shared" si="229"/>
        <v>25</v>
      </c>
      <c r="P683" s="224" t="str">
        <f t="shared" si="241"/>
        <v/>
      </c>
      <c r="Q683" s="224" t="str">
        <f t="shared" si="230"/>
        <v/>
      </c>
      <c r="R683" s="224"/>
      <c r="S683" s="271" t="str">
        <f t="shared" si="242"/>
        <v/>
      </c>
      <c r="T683" s="7" t="str">
        <f t="shared" si="243"/>
        <v/>
      </c>
      <c r="U683" s="7" t="str">
        <f t="shared" si="231"/>
        <v/>
      </c>
      <c r="V683" s="7" t="str">
        <f t="shared" si="232"/>
        <v/>
      </c>
      <c r="W683" s="7" t="str">
        <f>VLOOKUP(C683,'Tox Summary'!$N$3:$S$1048576,6,FALSE)</f>
        <v/>
      </c>
      <c r="X683" s="76" t="str">
        <f t="shared" si="239"/>
        <v/>
      </c>
      <c r="Y683" s="76" t="str">
        <f t="shared" si="233"/>
        <v/>
      </c>
      <c r="AA683" s="332"/>
    </row>
    <row r="684" spans="1:27">
      <c r="A684" s="265"/>
      <c r="B684" s="344" t="s">
        <v>1602</v>
      </c>
      <c r="C684" s="269" t="s">
        <v>2401</v>
      </c>
      <c r="D684" s="280" t="str">
        <f>VLOOKUP(B684, 'Chem Props'!$1:$1048576,3,FALSE)</f>
        <v>No</v>
      </c>
      <c r="E684" s="598" t="str">
        <f t="shared" si="234"/>
        <v>No</v>
      </c>
      <c r="F684" s="7" t="str">
        <f t="shared" si="226"/>
        <v>No (not volatile)</v>
      </c>
      <c r="G684" s="270" t="str">
        <f t="shared" si="244"/>
        <v>No (not volatile)</v>
      </c>
      <c r="H684" s="76" t="str">
        <f t="shared" si="235"/>
        <v>No VP</v>
      </c>
      <c r="I684" s="271" t="str">
        <f t="shared" si="236"/>
        <v>--</v>
      </c>
      <c r="J684" s="272" t="str">
        <f t="shared" si="237"/>
        <v>No VP</v>
      </c>
      <c r="K684" s="272" t="str">
        <f t="shared" si="238"/>
        <v>No VP</v>
      </c>
      <c r="L684" s="273" t="str">
        <f t="shared" si="227"/>
        <v>--</v>
      </c>
      <c r="M684" s="7" t="str">
        <f t="shared" si="228"/>
        <v>No VP</v>
      </c>
      <c r="N684" s="7" t="str">
        <f>IF(INDEX(HLC,MATCH(C684,ChemNameChem,0))="","No HLC",IF(INDEX(Sol,MATCH(C684,ChemNameChem,0))="No S","No S",INDEX(HLC,MATCH(C684,ChemNameChem,0))*INDEX(Sol,MATCH(C684,ChemNameChem,0))*1000000))</f>
        <v>No S</v>
      </c>
      <c r="O684" s="326">
        <f t="shared" si="229"/>
        <v>25</v>
      </c>
      <c r="P684" s="224" t="str">
        <f t="shared" si="241"/>
        <v/>
      </c>
      <c r="Q684" s="224" t="str">
        <f t="shared" si="230"/>
        <v/>
      </c>
      <c r="R684" s="224"/>
      <c r="S684" s="271" t="str">
        <f t="shared" si="242"/>
        <v/>
      </c>
      <c r="T684" s="7" t="str">
        <f t="shared" si="243"/>
        <v/>
      </c>
      <c r="U684" s="7" t="str">
        <f t="shared" si="231"/>
        <v/>
      </c>
      <c r="V684" s="7" t="str">
        <f t="shared" si="232"/>
        <v/>
      </c>
      <c r="W684" s="7" t="str">
        <f>VLOOKUP(C684,'Tox Summary'!$N$3:$S$1048576,6,FALSE)</f>
        <v/>
      </c>
      <c r="X684" s="76" t="str">
        <f t="shared" si="239"/>
        <v/>
      </c>
      <c r="Y684" s="76" t="str">
        <f t="shared" si="233"/>
        <v/>
      </c>
      <c r="AA684" s="332"/>
    </row>
    <row r="685" spans="1:27">
      <c r="A685" s="265"/>
      <c r="B685" s="344" t="s">
        <v>1603</v>
      </c>
      <c r="C685" s="269" t="s">
        <v>2402</v>
      </c>
      <c r="D685" s="280" t="str">
        <f>VLOOKUP(B685, 'Chem Props'!$1:$1048576,3,FALSE)</f>
        <v>No</v>
      </c>
      <c r="E685" s="598" t="str">
        <f t="shared" si="234"/>
        <v>No</v>
      </c>
      <c r="F685" s="7" t="str">
        <f t="shared" si="226"/>
        <v>No (not volatile)</v>
      </c>
      <c r="G685" s="270" t="str">
        <f t="shared" si="244"/>
        <v>No (not volatile)</v>
      </c>
      <c r="H685" s="76" t="str">
        <f t="shared" si="235"/>
        <v>No VP</v>
      </c>
      <c r="I685" s="271" t="str">
        <f t="shared" si="236"/>
        <v>--</v>
      </c>
      <c r="J685" s="272" t="str">
        <f t="shared" si="237"/>
        <v>No VP</v>
      </c>
      <c r="K685" s="272" t="str">
        <f t="shared" si="238"/>
        <v>No VP</v>
      </c>
      <c r="L685" s="273" t="str">
        <f t="shared" si="227"/>
        <v>--</v>
      </c>
      <c r="M685" s="7" t="str">
        <f t="shared" si="228"/>
        <v>No VP</v>
      </c>
      <c r="N685" s="7" t="str">
        <f>IF(INDEX(HLC,MATCH(C685,ChemNameChem,0))="","No HLC",IF(INDEX(Sol,MATCH(C685,ChemNameChem,0))="No S","No S",INDEX(HLC,MATCH(C685,ChemNameChem,0))*INDEX(Sol,MATCH(C685,ChemNameChem,0))*1000000))</f>
        <v>No S</v>
      </c>
      <c r="O685" s="326">
        <f t="shared" si="229"/>
        <v>25</v>
      </c>
      <c r="P685" s="224" t="str">
        <f t="shared" si="241"/>
        <v/>
      </c>
      <c r="Q685" s="224" t="str">
        <f t="shared" si="230"/>
        <v/>
      </c>
      <c r="R685" s="224"/>
      <c r="S685" s="271" t="str">
        <f t="shared" si="242"/>
        <v/>
      </c>
      <c r="T685" s="7" t="str">
        <f t="shared" si="243"/>
        <v/>
      </c>
      <c r="U685" s="7" t="str">
        <f t="shared" si="231"/>
        <v/>
      </c>
      <c r="V685" s="7" t="str">
        <f t="shared" si="232"/>
        <v/>
      </c>
      <c r="W685" s="7" t="str">
        <f>VLOOKUP(C685,'Tox Summary'!$N$3:$S$1048576,6,FALSE)</f>
        <v/>
      </c>
      <c r="X685" s="76" t="str">
        <f t="shared" si="239"/>
        <v/>
      </c>
      <c r="Y685" s="76" t="str">
        <f t="shared" si="233"/>
        <v/>
      </c>
      <c r="AA685" s="332"/>
    </row>
    <row r="686" spans="1:27">
      <c r="A686" s="265"/>
      <c r="B686" s="344" t="s">
        <v>1604</v>
      </c>
      <c r="C686" s="269" t="s">
        <v>2403</v>
      </c>
      <c r="D686" s="280" t="str">
        <f>VLOOKUP(B686, 'Chem Props'!$1:$1048576,3,FALSE)</f>
        <v>No</v>
      </c>
      <c r="E686" s="598" t="str">
        <f t="shared" si="234"/>
        <v>No</v>
      </c>
      <c r="F686" s="7" t="str">
        <f t="shared" si="226"/>
        <v>No (not volatile)</v>
      </c>
      <c r="G686" s="270" t="str">
        <f t="shared" si="244"/>
        <v>No (not volatile)</v>
      </c>
      <c r="H686" s="76" t="str">
        <f t="shared" si="235"/>
        <v>No VP</v>
      </c>
      <c r="I686" s="271" t="str">
        <f t="shared" si="236"/>
        <v>--</v>
      </c>
      <c r="J686" s="272" t="str">
        <f t="shared" si="237"/>
        <v>No VP</v>
      </c>
      <c r="K686" s="272" t="str">
        <f t="shared" si="238"/>
        <v>No VP</v>
      </c>
      <c r="L686" s="273" t="str">
        <f t="shared" si="227"/>
        <v>--</v>
      </c>
      <c r="M686" s="7" t="str">
        <f t="shared" si="228"/>
        <v>No VP</v>
      </c>
      <c r="N686" s="7" t="str">
        <f>IF(INDEX(HLC,MATCH(C686,ChemNameChem,0))="","No HLC",IF(INDEX(Sol,MATCH(C686,ChemNameChem,0))="No S","No S",INDEX(HLC,MATCH(C686,ChemNameChem,0))*INDEX(Sol,MATCH(C686,ChemNameChem,0))*1000000))</f>
        <v>No S</v>
      </c>
      <c r="O686" s="326">
        <f t="shared" si="229"/>
        <v>25</v>
      </c>
      <c r="P686" s="224" t="str">
        <f t="shared" si="241"/>
        <v/>
      </c>
      <c r="Q686" s="224" t="str">
        <f t="shared" si="230"/>
        <v/>
      </c>
      <c r="R686" s="224"/>
      <c r="S686" s="271" t="str">
        <f t="shared" si="242"/>
        <v/>
      </c>
      <c r="T686" s="7" t="str">
        <f t="shared" si="243"/>
        <v/>
      </c>
      <c r="U686" s="7" t="str">
        <f t="shared" si="231"/>
        <v/>
      </c>
      <c r="V686" s="7" t="str">
        <f t="shared" si="232"/>
        <v/>
      </c>
      <c r="W686" s="7" t="str">
        <f>VLOOKUP(C686,'Tox Summary'!$N$3:$S$1048576,6,FALSE)</f>
        <v/>
      </c>
      <c r="X686" s="76" t="str">
        <f t="shared" si="239"/>
        <v/>
      </c>
      <c r="Y686" s="76" t="str">
        <f t="shared" si="233"/>
        <v/>
      </c>
      <c r="AA686" s="332"/>
    </row>
    <row r="687" spans="1:27">
      <c r="A687" s="265"/>
      <c r="B687" s="344" t="s">
        <v>2287</v>
      </c>
      <c r="C687" s="269" t="s">
        <v>2289</v>
      </c>
      <c r="D687" s="280" t="str">
        <f>VLOOKUP(B687, 'Chem Props'!$1:$1048576,3,FALSE)</f>
        <v>No</v>
      </c>
      <c r="E687" s="598" t="str">
        <f t="shared" si="234"/>
        <v>No</v>
      </c>
      <c r="F687" s="7" t="str">
        <f t="shared" si="226"/>
        <v>No (not volatile)</v>
      </c>
      <c r="G687" s="270" t="str">
        <f t="shared" si="244"/>
        <v>No (not volatile)</v>
      </c>
      <c r="H687" s="76" t="str">
        <f t="shared" si="235"/>
        <v>No VP</v>
      </c>
      <c r="I687" s="271" t="str">
        <f t="shared" si="236"/>
        <v>--</v>
      </c>
      <c r="J687" s="272" t="str">
        <f t="shared" si="237"/>
        <v>No VP</v>
      </c>
      <c r="K687" s="272" t="str">
        <f t="shared" si="238"/>
        <v>No VP</v>
      </c>
      <c r="L687" s="273" t="str">
        <f t="shared" si="227"/>
        <v>--</v>
      </c>
      <c r="M687" s="7" t="str">
        <f t="shared" si="228"/>
        <v>No VP</v>
      </c>
      <c r="N687" s="7"/>
      <c r="O687" s="326">
        <f t="shared" si="229"/>
        <v>25</v>
      </c>
      <c r="P687" s="224" t="str">
        <f t="shared" si="241"/>
        <v/>
      </c>
      <c r="Q687" s="224" t="str">
        <f t="shared" si="230"/>
        <v/>
      </c>
      <c r="R687" s="224"/>
      <c r="S687" s="271" t="str">
        <f t="shared" si="242"/>
        <v/>
      </c>
      <c r="T687" s="7" t="str">
        <f t="shared" si="243"/>
        <v/>
      </c>
      <c r="U687" s="7" t="str">
        <f t="shared" si="231"/>
        <v/>
      </c>
      <c r="V687" s="7" t="str">
        <f t="shared" si="232"/>
        <v/>
      </c>
      <c r="W687" s="7" t="str">
        <f>VLOOKUP(C687,'Tox Summary'!$N$3:$S$1048576,6,FALSE)</f>
        <v/>
      </c>
      <c r="X687" s="76" t="str">
        <f t="shared" si="239"/>
        <v/>
      </c>
      <c r="Y687" s="76" t="str">
        <f t="shared" si="233"/>
        <v/>
      </c>
      <c r="AA687" s="332"/>
    </row>
    <row r="688" spans="1:27">
      <c r="A688" s="265"/>
      <c r="B688" s="344" t="s">
        <v>2288</v>
      </c>
      <c r="C688" s="269" t="s">
        <v>2290</v>
      </c>
      <c r="D688" s="280" t="str">
        <f>VLOOKUP(B688, 'Chem Props'!$1:$1048576,3,FALSE)</f>
        <v>No</v>
      </c>
      <c r="E688" s="598" t="str">
        <f t="shared" si="234"/>
        <v>No</v>
      </c>
      <c r="F688" s="7" t="str">
        <f t="shared" si="226"/>
        <v>No (not volatile)</v>
      </c>
      <c r="G688" s="270" t="str">
        <f t="shared" si="244"/>
        <v>No (not volatile)</v>
      </c>
      <c r="H688" s="76" t="str">
        <f t="shared" si="235"/>
        <v>No VP</v>
      </c>
      <c r="I688" s="271" t="str">
        <f t="shared" si="236"/>
        <v>--</v>
      </c>
      <c r="J688" s="272" t="str">
        <f t="shared" si="237"/>
        <v>No VP</v>
      </c>
      <c r="K688" s="272" t="str">
        <f t="shared" si="238"/>
        <v>No VP</v>
      </c>
      <c r="L688" s="273" t="str">
        <f t="shared" si="227"/>
        <v>--</v>
      </c>
      <c r="M688" s="7" t="str">
        <f t="shared" si="228"/>
        <v>No VP</v>
      </c>
      <c r="N688" s="7"/>
      <c r="O688" s="326">
        <f t="shared" si="229"/>
        <v>25</v>
      </c>
      <c r="P688" s="224" t="str">
        <f t="shared" si="241"/>
        <v/>
      </c>
      <c r="Q688" s="224" t="str">
        <f t="shared" si="230"/>
        <v/>
      </c>
      <c r="R688" s="224"/>
      <c r="S688" s="271" t="str">
        <f t="shared" si="242"/>
        <v/>
      </c>
      <c r="T688" s="7" t="str">
        <f t="shared" si="243"/>
        <v/>
      </c>
      <c r="U688" s="7" t="str">
        <f t="shared" si="231"/>
        <v/>
      </c>
      <c r="V688" s="7" t="str">
        <f t="shared" si="232"/>
        <v/>
      </c>
      <c r="W688" s="7" t="str">
        <f>VLOOKUP(C688,'Tox Summary'!$N$3:$S$1048576,6,FALSE)</f>
        <v/>
      </c>
      <c r="X688" s="76" t="str">
        <f t="shared" si="239"/>
        <v/>
      </c>
      <c r="Y688" s="76" t="str">
        <f t="shared" si="233"/>
        <v/>
      </c>
      <c r="AA688" s="332"/>
    </row>
    <row r="689" spans="1:27">
      <c r="A689" s="265"/>
      <c r="B689" s="344" t="s">
        <v>263</v>
      </c>
      <c r="C689" s="269" t="s">
        <v>1336</v>
      </c>
      <c r="D689" s="280" t="str">
        <f>VLOOKUP(B689, 'Chem Props'!$1:$1048576,3,FALSE)</f>
        <v>No</v>
      </c>
      <c r="E689" s="598" t="str">
        <f t="shared" si="234"/>
        <v>No</v>
      </c>
      <c r="F689" s="7" t="str">
        <f t="shared" si="226"/>
        <v>No (not volatile)</v>
      </c>
      <c r="G689" s="270" t="str">
        <f t="shared" si="244"/>
        <v>No (not volatile)</v>
      </c>
      <c r="H689" s="76" t="str">
        <f t="shared" si="235"/>
        <v>--</v>
      </c>
      <c r="I689" s="271" t="str">
        <f t="shared" si="236"/>
        <v>--</v>
      </c>
      <c r="J689" s="272" t="str">
        <f t="shared" si="237"/>
        <v>--</v>
      </c>
      <c r="K689" s="272" t="str">
        <f t="shared" si="238"/>
        <v>--</v>
      </c>
      <c r="L689" s="273" t="str">
        <f t="shared" si="227"/>
        <v>--</v>
      </c>
      <c r="M689" s="7">
        <f t="shared" si="228"/>
        <v>0.82708085386868246</v>
      </c>
      <c r="N689" s="7">
        <f t="shared" ref="N689:N695" si="245">IF(INDEX(HLC,MATCH(C689,ChemNameChem,0))="","No HLC",IF(INDEX(Sol,MATCH(C689,ChemNameChem,0))="No S","No S",INDEX(HLC,MATCH(C689,ChemNameChem,0))*INDEX(Sol,MATCH(C689,ChemNameChem,0))*1000000))</f>
        <v>0.82747499999999996</v>
      </c>
      <c r="O689" s="326">
        <f t="shared" si="229"/>
        <v>25</v>
      </c>
      <c r="P689" s="224" t="str">
        <f t="shared" si="241"/>
        <v/>
      </c>
      <c r="Q689" s="224" t="str">
        <f t="shared" si="230"/>
        <v/>
      </c>
      <c r="R689" s="224"/>
      <c r="S689" s="271" t="str">
        <f t="shared" si="242"/>
        <v/>
      </c>
      <c r="T689" s="7" t="str">
        <f t="shared" si="243"/>
        <v/>
      </c>
      <c r="U689" s="7" t="str">
        <f t="shared" si="231"/>
        <v/>
      </c>
      <c r="V689" s="7" t="str">
        <f t="shared" si="232"/>
        <v/>
      </c>
      <c r="W689" s="7" t="str">
        <f>VLOOKUP(C689,'Tox Summary'!$N$3:$S$1048576,6,FALSE)</f>
        <v/>
      </c>
      <c r="X689" s="76" t="str">
        <f t="shared" si="239"/>
        <v/>
      </c>
      <c r="Y689" s="76" t="str">
        <f t="shared" si="233"/>
        <v/>
      </c>
      <c r="AA689" s="332"/>
    </row>
    <row r="690" spans="1:27">
      <c r="A690" s="265"/>
      <c r="B690" s="344" t="s">
        <v>264</v>
      </c>
      <c r="C690" s="269" t="s">
        <v>1337</v>
      </c>
      <c r="D690" s="280" t="str">
        <f>VLOOKUP(B690, 'Chem Props'!$1:$1048576,3,FALSE)</f>
        <v>No</v>
      </c>
      <c r="E690" s="598" t="str">
        <f t="shared" si="234"/>
        <v>No</v>
      </c>
      <c r="F690" s="7" t="str">
        <f t="shared" si="226"/>
        <v>No (not volatile)</v>
      </c>
      <c r="G690" s="270" t="str">
        <f t="shared" si="244"/>
        <v>No (not volatile)</v>
      </c>
      <c r="H690" s="76" t="str">
        <f t="shared" si="235"/>
        <v>No VP</v>
      </c>
      <c r="I690" s="271" t="str">
        <f t="shared" si="236"/>
        <v>--</v>
      </c>
      <c r="J690" s="272" t="str">
        <f t="shared" si="237"/>
        <v>No VP</v>
      </c>
      <c r="K690" s="272" t="str">
        <f t="shared" si="238"/>
        <v>No VP</v>
      </c>
      <c r="L690" s="273" t="str">
        <f t="shared" si="227"/>
        <v>--</v>
      </c>
      <c r="M690" s="7" t="str">
        <f t="shared" si="228"/>
        <v>No VP</v>
      </c>
      <c r="N690" s="7" t="str">
        <f t="shared" si="245"/>
        <v>No S</v>
      </c>
      <c r="O690" s="326">
        <f t="shared" si="229"/>
        <v>25</v>
      </c>
      <c r="P690" s="224" t="str">
        <f t="shared" si="241"/>
        <v/>
      </c>
      <c r="Q690" s="224" t="str">
        <f t="shared" si="230"/>
        <v/>
      </c>
      <c r="R690" s="224"/>
      <c r="S690" s="271" t="str">
        <f t="shared" si="242"/>
        <v/>
      </c>
      <c r="T690" s="7" t="str">
        <f t="shared" si="243"/>
        <v/>
      </c>
      <c r="U690" s="7" t="str">
        <f t="shared" si="231"/>
        <v/>
      </c>
      <c r="V690" s="7" t="str">
        <f t="shared" si="232"/>
        <v/>
      </c>
      <c r="W690" s="7" t="str">
        <f>VLOOKUP(C690,'Tox Summary'!$N$3:$S$1048576,6,FALSE)</f>
        <v/>
      </c>
      <c r="X690" s="76" t="str">
        <f t="shared" si="239"/>
        <v/>
      </c>
      <c r="Y690" s="76" t="str">
        <f t="shared" si="233"/>
        <v/>
      </c>
      <c r="AA690" s="332"/>
    </row>
    <row r="691" spans="1:27">
      <c r="A691" s="265"/>
      <c r="B691" s="344" t="s">
        <v>265</v>
      </c>
      <c r="C691" s="269" t="s">
        <v>1338</v>
      </c>
      <c r="D691" s="280" t="str">
        <f>VLOOKUP(B691, 'Chem Props'!$1:$1048576,3,FALSE)</f>
        <v>No</v>
      </c>
      <c r="E691" s="598" t="str">
        <f t="shared" si="234"/>
        <v>No</v>
      </c>
      <c r="F691" s="7" t="str">
        <f t="shared" si="226"/>
        <v>No (not volatile)</v>
      </c>
      <c r="G691" s="270" t="str">
        <f t="shared" si="244"/>
        <v>No (not volatile)</v>
      </c>
      <c r="H691" s="76" t="str">
        <f t="shared" si="235"/>
        <v>--</v>
      </c>
      <c r="I691" s="271" t="str">
        <f t="shared" si="236"/>
        <v>--</v>
      </c>
      <c r="J691" s="272" t="str">
        <f t="shared" si="237"/>
        <v>--</v>
      </c>
      <c r="K691" s="272" t="str">
        <f t="shared" si="238"/>
        <v>--</v>
      </c>
      <c r="L691" s="273" t="str">
        <f t="shared" si="227"/>
        <v>--</v>
      </c>
      <c r="M691" s="7">
        <f t="shared" si="228"/>
        <v>5.2724570899757649E-2</v>
      </c>
      <c r="N691" s="7">
        <f t="shared" si="245"/>
        <v>4.9456000000000001E-4</v>
      </c>
      <c r="O691" s="326">
        <f t="shared" si="229"/>
        <v>25</v>
      </c>
      <c r="P691" s="224" t="str">
        <f t="shared" si="241"/>
        <v/>
      </c>
      <c r="Q691" s="224" t="str">
        <f t="shared" si="230"/>
        <v/>
      </c>
      <c r="R691" s="224"/>
      <c r="S691" s="271" t="str">
        <f t="shared" si="242"/>
        <v/>
      </c>
      <c r="T691" s="7" t="str">
        <f t="shared" si="243"/>
        <v/>
      </c>
      <c r="U691" s="7" t="str">
        <f t="shared" si="231"/>
        <v/>
      </c>
      <c r="V691" s="7" t="str">
        <f t="shared" si="232"/>
        <v/>
      </c>
      <c r="W691" s="7" t="str">
        <f>VLOOKUP(C691,'Tox Summary'!$N$3:$S$1048576,6,FALSE)</f>
        <v/>
      </c>
      <c r="X691" s="76" t="str">
        <f t="shared" si="239"/>
        <v/>
      </c>
      <c r="Y691" s="76" t="str">
        <f t="shared" si="233"/>
        <v/>
      </c>
      <c r="AA691" s="332"/>
    </row>
    <row r="692" spans="1:27">
      <c r="A692" s="265"/>
      <c r="B692" s="269" t="s">
        <v>266</v>
      </c>
      <c r="C692" s="269" t="s">
        <v>396</v>
      </c>
      <c r="D692" s="280" t="str">
        <f>VLOOKUP(B692, 'Chem Props'!$1:$1048576,3,FALSE)</f>
        <v>Yes</v>
      </c>
      <c r="E692" s="598" t="str">
        <f t="shared" si="234"/>
        <v>Yes</v>
      </c>
      <c r="F692" s="7" t="str">
        <f t="shared" si="226"/>
        <v>Yes</v>
      </c>
      <c r="G692" s="270" t="str">
        <f t="shared" si="244"/>
        <v>Yes</v>
      </c>
      <c r="H692" s="76">
        <f t="shared" si="235"/>
        <v>1042.8571428571429</v>
      </c>
      <c r="I692" s="271" t="str">
        <f t="shared" si="236"/>
        <v>NC</v>
      </c>
      <c r="J692" s="272">
        <f t="shared" si="237"/>
        <v>34761.904761904763</v>
      </c>
      <c r="K692" s="272">
        <f t="shared" si="238"/>
        <v>9275.7365157157019</v>
      </c>
      <c r="L692" s="273" t="str">
        <f t="shared" si="227"/>
        <v>No (100)</v>
      </c>
      <c r="M692" s="7">
        <f t="shared" si="228"/>
        <v>35866784.15968971</v>
      </c>
      <c r="N692" s="7">
        <f t="shared" si="245"/>
        <v>34852835</v>
      </c>
      <c r="O692" s="326">
        <f t="shared" si="229"/>
        <v>25</v>
      </c>
      <c r="P692" s="224">
        <f t="shared" si="241"/>
        <v>1.1000000000000001</v>
      </c>
      <c r="Q692" s="224" t="str">
        <f t="shared" si="230"/>
        <v>E</v>
      </c>
      <c r="R692" s="224"/>
      <c r="S692" s="271" t="str">
        <f t="shared" si="242"/>
        <v/>
      </c>
      <c r="T692" s="7" t="str">
        <f t="shared" si="243"/>
        <v/>
      </c>
      <c r="U692" s="7">
        <f t="shared" si="231"/>
        <v>1</v>
      </c>
      <c r="V692" s="7" t="str">
        <f t="shared" si="232"/>
        <v>I</v>
      </c>
      <c r="W692" s="7" t="str">
        <f>VLOOKUP(C692,'Tox Summary'!$N$3:$S$1048576,6,FALSE)</f>
        <v/>
      </c>
      <c r="X692" s="76" t="str">
        <f t="shared" si="239"/>
        <v/>
      </c>
      <c r="Y692" s="76">
        <f t="shared" si="233"/>
        <v>1042.8571428571429</v>
      </c>
      <c r="AA692" s="243"/>
    </row>
    <row r="693" spans="1:27">
      <c r="A693" s="265"/>
      <c r="B693" s="344" t="s">
        <v>1835</v>
      </c>
      <c r="C693" s="269" t="s">
        <v>1834</v>
      </c>
      <c r="D693" s="280" t="str">
        <f>VLOOKUP(B693, 'Chem Props'!$1:$1048576,3,FALSE)</f>
        <v>No</v>
      </c>
      <c r="E693" s="598" t="str">
        <f t="shared" si="234"/>
        <v>Yes</v>
      </c>
      <c r="F693" s="7" t="str">
        <f t="shared" si="226"/>
        <v>No (not volatile)</v>
      </c>
      <c r="G693" s="270" t="str">
        <f t="shared" si="244"/>
        <v>No (not volatile)</v>
      </c>
      <c r="H693" s="76">
        <f t="shared" si="235"/>
        <v>2.0857142857142859</v>
      </c>
      <c r="I693" s="271" t="str">
        <f t="shared" si="236"/>
        <v>NC</v>
      </c>
      <c r="J693" s="272">
        <f t="shared" si="237"/>
        <v>69.523809523809533</v>
      </c>
      <c r="K693" s="272">
        <f t="shared" si="238"/>
        <v>10517.974209350912</v>
      </c>
      <c r="L693" s="273" t="str">
        <f t="shared" si="227"/>
        <v>--</v>
      </c>
      <c r="M693" s="7">
        <f t="shared" si="228"/>
        <v>26446.765243341844</v>
      </c>
      <c r="N693" s="7">
        <f t="shared" si="245"/>
        <v>198299999.99999997</v>
      </c>
      <c r="O693" s="326">
        <f t="shared" si="229"/>
        <v>25</v>
      </c>
      <c r="P693" s="224" t="str">
        <f t="shared" si="241"/>
        <v/>
      </c>
      <c r="Q693" s="224" t="str">
        <f t="shared" si="230"/>
        <v/>
      </c>
      <c r="R693" s="224"/>
      <c r="S693" s="271" t="str">
        <f t="shared" si="242"/>
        <v/>
      </c>
      <c r="T693" s="7" t="str">
        <f t="shared" si="243"/>
        <v/>
      </c>
      <c r="U693" s="7">
        <f t="shared" si="231"/>
        <v>2E-3</v>
      </c>
      <c r="V693" s="7" t="str">
        <f t="shared" si="232"/>
        <v>X</v>
      </c>
      <c r="W693" s="7" t="str">
        <f>VLOOKUP(C693,'Tox Summary'!$N$3:$S$1048576,6,FALSE)</f>
        <v/>
      </c>
      <c r="X693" s="76" t="str">
        <f t="shared" si="239"/>
        <v/>
      </c>
      <c r="Y693" s="76">
        <f t="shared" si="233"/>
        <v>2.0857142857142859</v>
      </c>
      <c r="AA693" s="332"/>
    </row>
    <row r="694" spans="1:27">
      <c r="A694" s="265"/>
      <c r="B694" s="344" t="s">
        <v>267</v>
      </c>
      <c r="C694" s="269" t="s">
        <v>542</v>
      </c>
      <c r="D694" s="280" t="str">
        <f>VLOOKUP(B694, 'Chem Props'!$1:$1048576,3,FALSE)</f>
        <v>No</v>
      </c>
      <c r="E694" s="598" t="str">
        <f t="shared" si="234"/>
        <v>No</v>
      </c>
      <c r="F694" s="7" t="str">
        <f t="shared" si="226"/>
        <v>No (not volatile)</v>
      </c>
      <c r="G694" s="270" t="str">
        <f t="shared" si="244"/>
        <v>No (not volatile)</v>
      </c>
      <c r="H694" s="76" t="str">
        <f t="shared" si="235"/>
        <v>--</v>
      </c>
      <c r="I694" s="271" t="str">
        <f t="shared" si="236"/>
        <v>--</v>
      </c>
      <c r="J694" s="272" t="str">
        <f t="shared" si="237"/>
        <v>--</v>
      </c>
      <c r="K694" s="272" t="str">
        <f t="shared" si="238"/>
        <v>--</v>
      </c>
      <c r="L694" s="273" t="str">
        <f t="shared" si="227"/>
        <v>--</v>
      </c>
      <c r="M694" s="7">
        <f t="shared" si="228"/>
        <v>12.500885599758037</v>
      </c>
      <c r="N694" s="7">
        <f t="shared" si="245"/>
        <v>13.391991000000001</v>
      </c>
      <c r="O694" s="326">
        <f t="shared" si="229"/>
        <v>25</v>
      </c>
      <c r="P694" s="224" t="str">
        <f t="shared" si="241"/>
        <v/>
      </c>
      <c r="Q694" s="224" t="str">
        <f t="shared" si="230"/>
        <v/>
      </c>
      <c r="R694" s="224"/>
      <c r="S694" s="271" t="str">
        <f t="shared" si="242"/>
        <v/>
      </c>
      <c r="T694" s="7" t="str">
        <f t="shared" si="243"/>
        <v/>
      </c>
      <c r="U694" s="7" t="str">
        <f t="shared" si="231"/>
        <v/>
      </c>
      <c r="V694" s="7" t="str">
        <f t="shared" si="232"/>
        <v/>
      </c>
      <c r="W694" s="7" t="str">
        <f>VLOOKUP(C694,'Tox Summary'!$N$3:$S$1048576,6,FALSE)</f>
        <v/>
      </c>
      <c r="X694" s="76" t="str">
        <f t="shared" si="239"/>
        <v/>
      </c>
      <c r="Y694" s="76" t="str">
        <f t="shared" si="233"/>
        <v/>
      </c>
      <c r="AA694" s="332"/>
    </row>
    <row r="695" spans="1:27">
      <c r="A695" s="265"/>
      <c r="B695" s="344" t="s">
        <v>2271</v>
      </c>
      <c r="C695" s="269" t="s">
        <v>2130</v>
      </c>
      <c r="D695" s="280" t="str">
        <f>VLOOKUP(B695, 'Chem Props'!$1:$1048576,3,FALSE)</f>
        <v>Yes</v>
      </c>
      <c r="E695" s="598" t="str">
        <f t="shared" si="234"/>
        <v>Yes</v>
      </c>
      <c r="F695" s="7" t="str">
        <f t="shared" si="226"/>
        <v>Yes</v>
      </c>
      <c r="G695" s="270" t="str">
        <f t="shared" si="244"/>
        <v>Yes</v>
      </c>
      <c r="H695" s="76">
        <f t="shared" si="235"/>
        <v>1.0428571428571429</v>
      </c>
      <c r="I695" s="271" t="str">
        <f t="shared" si="236"/>
        <v>NC</v>
      </c>
      <c r="J695" s="272">
        <f t="shared" si="237"/>
        <v>34.761904761904766</v>
      </c>
      <c r="K695" s="272" t="str">
        <f t="shared" si="238"/>
        <v>No S</v>
      </c>
      <c r="L695" s="273" t="str">
        <f t="shared" si="227"/>
        <v>--</v>
      </c>
      <c r="M695" s="7">
        <f t="shared" si="228"/>
        <v>1133445059.9341674</v>
      </c>
      <c r="N695" s="7" t="str">
        <f t="shared" si="245"/>
        <v>No S</v>
      </c>
      <c r="O695" s="326">
        <f t="shared" si="229"/>
        <v>25</v>
      </c>
      <c r="P695" s="224" t="str">
        <f t="shared" si="241"/>
        <v/>
      </c>
      <c r="Q695" s="224" t="str">
        <f t="shared" si="230"/>
        <v/>
      </c>
      <c r="R695" s="224"/>
      <c r="S695" s="271" t="str">
        <f t="shared" si="242"/>
        <v/>
      </c>
      <c r="T695" s="7" t="str">
        <f t="shared" si="243"/>
        <v/>
      </c>
      <c r="U695" s="7">
        <f t="shared" si="231"/>
        <v>1E-3</v>
      </c>
      <c r="V695" s="7" t="str">
        <f t="shared" si="232"/>
        <v>CA</v>
      </c>
      <c r="W695" s="7" t="str">
        <f>VLOOKUP(C695,'Tox Summary'!$N$3:$S$1048576,6,FALSE)</f>
        <v/>
      </c>
      <c r="X695" s="76" t="str">
        <f t="shared" si="239"/>
        <v/>
      </c>
      <c r="Y695" s="76">
        <f t="shared" si="233"/>
        <v>1.0428571428571429</v>
      </c>
      <c r="AA695" s="332"/>
    </row>
    <row r="696" spans="1:27">
      <c r="A696" s="265"/>
      <c r="B696" s="344" t="s">
        <v>268</v>
      </c>
      <c r="C696" s="269" t="s">
        <v>618</v>
      </c>
      <c r="D696" s="280" t="str">
        <f>VLOOKUP(B696, 'Chem Props'!$1:$1048576,3,FALSE)</f>
        <v>No</v>
      </c>
      <c r="E696" s="598" t="str">
        <f t="shared" si="234"/>
        <v>Yes</v>
      </c>
      <c r="F696" s="7" t="str">
        <f t="shared" si="226"/>
        <v>No (not volatile)</v>
      </c>
      <c r="G696" s="270" t="str">
        <f t="shared" si="244"/>
        <v>No (not volatile)</v>
      </c>
      <c r="H696" s="76">
        <f t="shared" si="235"/>
        <v>1.0428571428571429</v>
      </c>
      <c r="I696" s="271" t="str">
        <f t="shared" si="236"/>
        <v>NC</v>
      </c>
      <c r="J696" s="272">
        <f t="shared" si="237"/>
        <v>34.761904761904766</v>
      </c>
      <c r="K696" s="272" t="str">
        <f t="shared" si="238"/>
        <v>No S</v>
      </c>
      <c r="L696" s="273" t="str">
        <f t="shared" si="227"/>
        <v>--</v>
      </c>
      <c r="M696" s="7">
        <f t="shared" si="228"/>
        <v>312.95326405585843</v>
      </c>
      <c r="N696" s="7" t="s">
        <v>2440</v>
      </c>
      <c r="O696" s="326">
        <f t="shared" si="229"/>
        <v>25</v>
      </c>
      <c r="P696" s="224" t="str">
        <f t="shared" si="241"/>
        <v/>
      </c>
      <c r="Q696" s="224" t="str">
        <f t="shared" si="230"/>
        <v/>
      </c>
      <c r="R696" s="224"/>
      <c r="S696" s="271" t="str">
        <f t="shared" si="242"/>
        <v/>
      </c>
      <c r="T696" s="7" t="str">
        <f t="shared" si="243"/>
        <v/>
      </c>
      <c r="U696" s="7">
        <f t="shared" si="231"/>
        <v>1E-3</v>
      </c>
      <c r="V696" s="7" t="str">
        <f t="shared" si="232"/>
        <v>CA</v>
      </c>
      <c r="W696" s="7" t="str">
        <f>VLOOKUP(C696,'Tox Summary'!$N$3:$S$1048576,6,FALSE)</f>
        <v/>
      </c>
      <c r="X696" s="76" t="str">
        <f t="shared" si="239"/>
        <v/>
      </c>
      <c r="Y696" s="76">
        <f t="shared" si="233"/>
        <v>1.0428571428571429</v>
      </c>
      <c r="AA696" s="332"/>
    </row>
    <row r="697" spans="1:27">
      <c r="A697" s="265"/>
      <c r="B697" s="344" t="s">
        <v>669</v>
      </c>
      <c r="C697" s="269" t="s">
        <v>2319</v>
      </c>
      <c r="D697" s="280" t="str">
        <f>VLOOKUP(B697, 'Chem Props'!$1:$1048576,3,FALSE)</f>
        <v>No</v>
      </c>
      <c r="E697" s="598" t="str">
        <f t="shared" si="234"/>
        <v>Yes</v>
      </c>
      <c r="F697" s="7" t="str">
        <f t="shared" si="226"/>
        <v>No (not volatile)</v>
      </c>
      <c r="G697" s="270" t="str">
        <f t="shared" si="244"/>
        <v>No (not volatile)</v>
      </c>
      <c r="H697" s="76">
        <f t="shared" si="235"/>
        <v>0.39544962080173346</v>
      </c>
      <c r="I697" s="271" t="str">
        <f t="shared" si="236"/>
        <v>C</v>
      </c>
      <c r="J697" s="272" t="str">
        <f t="shared" si="237"/>
        <v>NVT</v>
      </c>
      <c r="K697" s="272" t="str">
        <f t="shared" si="238"/>
        <v>NVT</v>
      </c>
      <c r="L697" s="273" t="str">
        <f t="shared" si="227"/>
        <v>--</v>
      </c>
      <c r="M697" s="7">
        <f t="shared" si="228"/>
        <v>3.9281306746865297</v>
      </c>
      <c r="N697" s="7">
        <f t="shared" ref="N697:N718" si="246">IF(INDEX(HLC,MATCH(C697,ChemNameChem,0))="","No HLC",IF(INDEX(Sol,MATCH(C697,ChemNameChem,0))="No S","No S",INDEX(HLC,MATCH(C697,ChemNameChem,0))*INDEX(Sol,MATCH(C697,ChemNameChem,0))*1000000))</f>
        <v>4.5845555600000001</v>
      </c>
      <c r="O697" s="326">
        <f t="shared" si="229"/>
        <v>25</v>
      </c>
      <c r="P697" s="224" t="str">
        <f t="shared" si="241"/>
        <v/>
      </c>
      <c r="Q697" s="224" t="str">
        <f t="shared" si="230"/>
        <v/>
      </c>
      <c r="R697" s="224"/>
      <c r="S697" s="271">
        <f t="shared" si="242"/>
        <v>7.0999999999999998E-6</v>
      </c>
      <c r="T697" s="7" t="str">
        <f t="shared" si="243"/>
        <v>I</v>
      </c>
      <c r="U697" s="7" t="str">
        <f t="shared" si="231"/>
        <v/>
      </c>
      <c r="V697" s="7" t="str">
        <f t="shared" si="232"/>
        <v/>
      </c>
      <c r="W697" s="7" t="str">
        <f>VLOOKUP(C697,'Tox Summary'!$N$3:$S$1048576,6,FALSE)</f>
        <v/>
      </c>
      <c r="X697" s="76">
        <f t="shared" si="239"/>
        <v>0.39544962080173346</v>
      </c>
      <c r="Y697" s="76" t="str">
        <f t="shared" si="233"/>
        <v/>
      </c>
      <c r="AA697" s="332"/>
    </row>
    <row r="698" spans="1:27">
      <c r="A698" s="265"/>
      <c r="B698" s="344" t="s">
        <v>891</v>
      </c>
      <c r="C698" s="269" t="s">
        <v>2250</v>
      </c>
      <c r="D698" s="280" t="str">
        <f>VLOOKUP(B698, 'Chem Props'!$1:$1048576,3,FALSE)</f>
        <v>Yes</v>
      </c>
      <c r="E698" s="598" t="str">
        <f t="shared" si="234"/>
        <v>Yes</v>
      </c>
      <c r="F698" s="7" t="str">
        <f t="shared" si="226"/>
        <v>Yes</v>
      </c>
      <c r="G698" s="270" t="str">
        <f t="shared" si="244"/>
        <v>Yes</v>
      </c>
      <c r="H698" s="76">
        <f t="shared" si="235"/>
        <v>7.3886639676113351E-8</v>
      </c>
      <c r="I698" s="271" t="str">
        <f t="shared" si="236"/>
        <v>C</v>
      </c>
      <c r="J698" s="272">
        <f t="shared" si="237"/>
        <v>2.4628879892037785E-6</v>
      </c>
      <c r="K698" s="272">
        <f t="shared" si="238"/>
        <v>3.6144525817490147E-5</v>
      </c>
      <c r="L698" s="273" t="str">
        <f t="shared" si="227"/>
        <v>No (0.00003)</v>
      </c>
      <c r="M698" s="7">
        <f t="shared" si="228"/>
        <v>2.59880292030805E-2</v>
      </c>
      <c r="N698" s="7">
        <f t="shared" si="246"/>
        <v>0.40883999999999998</v>
      </c>
      <c r="O698" s="326">
        <f t="shared" si="229"/>
        <v>25</v>
      </c>
      <c r="P698" s="224" t="str">
        <f t="shared" si="241"/>
        <v/>
      </c>
      <c r="Q698" s="224" t="str">
        <f t="shared" si="230"/>
        <v/>
      </c>
      <c r="R698" s="224"/>
      <c r="S698" s="271">
        <f t="shared" si="242"/>
        <v>38</v>
      </c>
      <c r="T698" s="7" t="str">
        <f t="shared" si="243"/>
        <v>CA</v>
      </c>
      <c r="U698" s="7">
        <f t="shared" si="231"/>
        <v>4.0000000000000001E-8</v>
      </c>
      <c r="V698" s="7" t="str">
        <f t="shared" si="232"/>
        <v>CA</v>
      </c>
      <c r="W698" s="7" t="str">
        <f>VLOOKUP(C698,'Tox Summary'!$N$3:$S$1048576,6,FALSE)</f>
        <v/>
      </c>
      <c r="X698" s="76">
        <f t="shared" si="239"/>
        <v>7.3886639676113351E-8</v>
      </c>
      <c r="Y698" s="76">
        <f t="shared" si="233"/>
        <v>4.1714285714285714E-5</v>
      </c>
      <c r="AA698" s="332"/>
    </row>
    <row r="699" spans="1:27">
      <c r="A699" s="265"/>
      <c r="B699" s="344" t="s">
        <v>270</v>
      </c>
      <c r="C699" s="269" t="s">
        <v>1339</v>
      </c>
      <c r="D699" s="280" t="str">
        <f>VLOOKUP(B699, 'Chem Props'!$1:$1048576,3,FALSE)</f>
        <v>No</v>
      </c>
      <c r="E699" s="598" t="str">
        <f t="shared" si="234"/>
        <v>No</v>
      </c>
      <c r="F699" s="7" t="str">
        <f t="shared" si="226"/>
        <v>No (not volatile)</v>
      </c>
      <c r="G699" s="270" t="str">
        <f t="shared" si="244"/>
        <v>No (not volatile)</v>
      </c>
      <c r="H699" s="76" t="str">
        <f t="shared" si="235"/>
        <v>--</v>
      </c>
      <c r="I699" s="271" t="str">
        <f t="shared" si="236"/>
        <v>--</v>
      </c>
      <c r="J699" s="272" t="str">
        <f t="shared" si="237"/>
        <v>--</v>
      </c>
      <c r="K699" s="272" t="str">
        <f t="shared" si="238"/>
        <v>--</v>
      </c>
      <c r="L699" s="273" t="str">
        <f t="shared" si="227"/>
        <v>--</v>
      </c>
      <c r="M699" s="7">
        <f t="shared" si="228"/>
        <v>4.0015011062652377</v>
      </c>
      <c r="N699" s="7">
        <f t="shared" si="246"/>
        <v>3.3162500000000004E-2</v>
      </c>
      <c r="O699" s="326">
        <f t="shared" si="229"/>
        <v>25</v>
      </c>
      <c r="P699" s="224" t="str">
        <f t="shared" si="241"/>
        <v/>
      </c>
      <c r="Q699" s="224" t="str">
        <f t="shared" si="230"/>
        <v/>
      </c>
      <c r="R699" s="224"/>
      <c r="S699" s="271" t="str">
        <f t="shared" si="242"/>
        <v/>
      </c>
      <c r="T699" s="7" t="str">
        <f t="shared" si="243"/>
        <v/>
      </c>
      <c r="U699" s="7" t="str">
        <f t="shared" si="231"/>
        <v/>
      </c>
      <c r="V699" s="7" t="str">
        <f t="shared" si="232"/>
        <v/>
      </c>
      <c r="W699" s="7" t="str">
        <f>VLOOKUP(C699,'Tox Summary'!$N$3:$S$1048576,6,FALSE)</f>
        <v/>
      </c>
      <c r="X699" s="76" t="str">
        <f t="shared" si="239"/>
        <v/>
      </c>
      <c r="Y699" s="76" t="str">
        <f t="shared" si="233"/>
        <v/>
      </c>
      <c r="AA699" s="332"/>
    </row>
    <row r="700" spans="1:27">
      <c r="A700" s="265"/>
      <c r="B700" s="344" t="s">
        <v>271</v>
      </c>
      <c r="C700" s="269" t="s">
        <v>1340</v>
      </c>
      <c r="D700" s="280" t="str">
        <f>VLOOKUP(B700, 'Chem Props'!$1:$1048576,3,FALSE)</f>
        <v>No</v>
      </c>
      <c r="E700" s="598" t="str">
        <f t="shared" si="234"/>
        <v>No</v>
      </c>
      <c r="F700" s="7" t="str">
        <f t="shared" si="226"/>
        <v>No (not volatile)</v>
      </c>
      <c r="G700" s="270" t="str">
        <f t="shared" si="244"/>
        <v>No (not volatile)</v>
      </c>
      <c r="H700" s="76" t="str">
        <f t="shared" si="235"/>
        <v>--</v>
      </c>
      <c r="I700" s="271" t="str">
        <f t="shared" si="236"/>
        <v>--</v>
      </c>
      <c r="J700" s="272" t="str">
        <f t="shared" si="237"/>
        <v>--</v>
      </c>
      <c r="K700" s="272" t="str">
        <f t="shared" si="238"/>
        <v>--</v>
      </c>
      <c r="L700" s="273" t="str">
        <f t="shared" si="227"/>
        <v>--</v>
      </c>
      <c r="M700" s="7">
        <f t="shared" si="228"/>
        <v>3.6856865815562077</v>
      </c>
      <c r="N700" s="7">
        <f t="shared" si="246"/>
        <v>12.265000000000001</v>
      </c>
      <c r="O700" s="326">
        <f t="shared" si="229"/>
        <v>25</v>
      </c>
      <c r="P700" s="224" t="str">
        <f t="shared" si="241"/>
        <v/>
      </c>
      <c r="Q700" s="224" t="str">
        <f t="shared" si="230"/>
        <v/>
      </c>
      <c r="R700" s="224"/>
      <c r="S700" s="271" t="str">
        <f t="shared" si="242"/>
        <v/>
      </c>
      <c r="T700" s="7" t="str">
        <f t="shared" si="243"/>
        <v/>
      </c>
      <c r="U700" s="7" t="str">
        <f t="shared" si="231"/>
        <v/>
      </c>
      <c r="V700" s="7" t="str">
        <f t="shared" si="232"/>
        <v/>
      </c>
      <c r="W700" s="7" t="str">
        <f>VLOOKUP(C700,'Tox Summary'!$N$3:$S$1048576,6,FALSE)</f>
        <v/>
      </c>
      <c r="X700" s="76" t="str">
        <f t="shared" si="239"/>
        <v/>
      </c>
      <c r="Y700" s="76" t="str">
        <f t="shared" si="233"/>
        <v/>
      </c>
      <c r="AA700" s="332"/>
    </row>
    <row r="701" spans="1:27">
      <c r="A701" s="265"/>
      <c r="B701" s="344" t="s">
        <v>272</v>
      </c>
      <c r="C701" s="269" t="s">
        <v>1341</v>
      </c>
      <c r="D701" s="280" t="str">
        <f>VLOOKUP(B701, 'Chem Props'!$1:$1048576,3,FALSE)</f>
        <v>No</v>
      </c>
      <c r="E701" s="598" t="str">
        <f t="shared" si="234"/>
        <v>No</v>
      </c>
      <c r="F701" s="7" t="str">
        <f t="shared" si="226"/>
        <v>No (not volatile)</v>
      </c>
      <c r="G701" s="270" t="str">
        <f t="shared" si="244"/>
        <v>No (not volatile)</v>
      </c>
      <c r="H701" s="76" t="str">
        <f t="shared" si="235"/>
        <v>--</v>
      </c>
      <c r="I701" s="271" t="str">
        <f t="shared" si="236"/>
        <v>--</v>
      </c>
      <c r="J701" s="272" t="str">
        <f t="shared" si="237"/>
        <v>--</v>
      </c>
      <c r="K701" s="272" t="str">
        <f t="shared" si="238"/>
        <v>--</v>
      </c>
      <c r="L701" s="273" t="str">
        <f t="shared" si="227"/>
        <v>--</v>
      </c>
      <c r="M701" s="7">
        <f t="shared" si="228"/>
        <v>1.9854245733787854</v>
      </c>
      <c r="N701" s="7">
        <f t="shared" si="246"/>
        <v>2.1635370000000004E-2</v>
      </c>
      <c r="O701" s="326">
        <f t="shared" si="229"/>
        <v>25</v>
      </c>
      <c r="P701" s="224" t="str">
        <f t="shared" si="241"/>
        <v/>
      </c>
      <c r="Q701" s="224" t="str">
        <f t="shared" si="230"/>
        <v/>
      </c>
      <c r="R701" s="224"/>
      <c r="S701" s="271" t="str">
        <f t="shared" si="242"/>
        <v/>
      </c>
      <c r="T701" s="7" t="str">
        <f t="shared" si="243"/>
        <v/>
      </c>
      <c r="U701" s="7" t="str">
        <f t="shared" si="231"/>
        <v/>
      </c>
      <c r="V701" s="7" t="str">
        <f t="shared" si="232"/>
        <v/>
      </c>
      <c r="W701" s="7" t="str">
        <f>VLOOKUP(C701,'Tox Summary'!$N$3:$S$1048576,6,FALSE)</f>
        <v/>
      </c>
      <c r="X701" s="76" t="str">
        <f t="shared" si="239"/>
        <v/>
      </c>
      <c r="Y701" s="76" t="str">
        <f t="shared" si="233"/>
        <v/>
      </c>
      <c r="AA701" s="332"/>
    </row>
    <row r="702" spans="1:27">
      <c r="A702" s="265"/>
      <c r="B702" s="344" t="s">
        <v>273</v>
      </c>
      <c r="C702" s="269" t="s">
        <v>1342</v>
      </c>
      <c r="D702" s="280" t="str">
        <f>VLOOKUP(B702, 'Chem Props'!$1:$1048576,3,FALSE)</f>
        <v>No</v>
      </c>
      <c r="E702" s="598" t="str">
        <f t="shared" si="234"/>
        <v>No</v>
      </c>
      <c r="F702" s="7" t="str">
        <f t="shared" si="226"/>
        <v>No (not volatile)</v>
      </c>
      <c r="G702" s="270" t="str">
        <f t="shared" si="244"/>
        <v>No (not volatile)</v>
      </c>
      <c r="H702" s="76" t="str">
        <f t="shared" si="235"/>
        <v>--</v>
      </c>
      <c r="I702" s="271" t="str">
        <f t="shared" si="236"/>
        <v>--</v>
      </c>
      <c r="J702" s="272" t="str">
        <f t="shared" si="237"/>
        <v>--</v>
      </c>
      <c r="K702" s="272" t="str">
        <f t="shared" si="238"/>
        <v>--</v>
      </c>
      <c r="L702" s="273" t="str">
        <f t="shared" si="227"/>
        <v>--</v>
      </c>
      <c r="M702" s="7">
        <f t="shared" si="228"/>
        <v>5.4796123053042267</v>
      </c>
      <c r="N702" s="7">
        <f t="shared" si="246"/>
        <v>3.4832600000000005</v>
      </c>
      <c r="O702" s="326">
        <f t="shared" si="229"/>
        <v>25</v>
      </c>
      <c r="P702" s="224" t="str">
        <f t="shared" si="241"/>
        <v/>
      </c>
      <c r="Q702" s="224" t="str">
        <f t="shared" si="230"/>
        <v/>
      </c>
      <c r="R702" s="224"/>
      <c r="S702" s="271" t="str">
        <f t="shared" si="242"/>
        <v/>
      </c>
      <c r="T702" s="7" t="str">
        <f t="shared" si="243"/>
        <v/>
      </c>
      <c r="U702" s="7" t="str">
        <f t="shared" si="231"/>
        <v/>
      </c>
      <c r="V702" s="7" t="str">
        <f t="shared" si="232"/>
        <v/>
      </c>
      <c r="W702" s="7" t="str">
        <f>VLOOKUP(C702,'Tox Summary'!$N$3:$S$1048576,6,FALSE)</f>
        <v/>
      </c>
      <c r="X702" s="76" t="str">
        <f t="shared" si="239"/>
        <v/>
      </c>
      <c r="Y702" s="76" t="str">
        <f t="shared" si="233"/>
        <v/>
      </c>
      <c r="AA702" s="332"/>
    </row>
    <row r="703" spans="1:27">
      <c r="A703" s="265"/>
      <c r="B703" s="344" t="s">
        <v>274</v>
      </c>
      <c r="C703" s="269" t="s">
        <v>1343</v>
      </c>
      <c r="D703" s="280" t="str">
        <f>VLOOKUP(B703, 'Chem Props'!$1:$1048576,3,FALSE)</f>
        <v>Yes</v>
      </c>
      <c r="E703" s="598" t="str">
        <f t="shared" si="234"/>
        <v>No</v>
      </c>
      <c r="F703" s="7" t="str">
        <f t="shared" si="226"/>
        <v>No Inhal. Tox. Info</v>
      </c>
      <c r="G703" s="270" t="str">
        <f t="shared" si="244"/>
        <v>No Inhal. Tox. Info</v>
      </c>
      <c r="H703" s="76" t="str">
        <f t="shared" si="235"/>
        <v>--</v>
      </c>
      <c r="I703" s="271" t="str">
        <f t="shared" si="236"/>
        <v>--</v>
      </c>
      <c r="J703" s="272" t="str">
        <f t="shared" si="237"/>
        <v>--</v>
      </c>
      <c r="K703" s="272" t="str">
        <f t="shared" si="238"/>
        <v>--</v>
      </c>
      <c r="L703" s="273" t="str">
        <f t="shared" si="227"/>
        <v>--</v>
      </c>
      <c r="M703" s="7">
        <f t="shared" si="228"/>
        <v>4966.4217739699006</v>
      </c>
      <c r="N703" s="7">
        <f t="shared" si="246"/>
        <v>4974.6840000000002</v>
      </c>
      <c r="O703" s="326">
        <f t="shared" si="229"/>
        <v>25</v>
      </c>
      <c r="P703" s="224" t="str">
        <f t="shared" si="241"/>
        <v/>
      </c>
      <c r="Q703" s="224" t="str">
        <f t="shared" si="230"/>
        <v/>
      </c>
      <c r="R703" s="224"/>
      <c r="S703" s="271" t="str">
        <f t="shared" si="242"/>
        <v/>
      </c>
      <c r="T703" s="7" t="str">
        <f t="shared" si="243"/>
        <v/>
      </c>
      <c r="U703" s="7" t="str">
        <f t="shared" si="231"/>
        <v/>
      </c>
      <c r="V703" s="7" t="str">
        <f t="shared" si="232"/>
        <v/>
      </c>
      <c r="W703" s="7" t="str">
        <f>VLOOKUP(C703,'Tox Summary'!$N$3:$S$1048576,6,FALSE)</f>
        <v/>
      </c>
      <c r="X703" s="76" t="str">
        <f t="shared" si="239"/>
        <v/>
      </c>
      <c r="Y703" s="76" t="str">
        <f t="shared" si="233"/>
        <v/>
      </c>
      <c r="AA703" s="332"/>
    </row>
    <row r="704" spans="1:27">
      <c r="A704" s="265"/>
      <c r="B704" s="344" t="s">
        <v>275</v>
      </c>
      <c r="C704" s="269" t="s">
        <v>1344</v>
      </c>
      <c r="D704" s="280" t="str">
        <f>VLOOKUP(B704, 'Chem Props'!$1:$1048576,3,FALSE)</f>
        <v>No</v>
      </c>
      <c r="E704" s="598" t="str">
        <f t="shared" si="234"/>
        <v>No</v>
      </c>
      <c r="F704" s="7" t="str">
        <f t="shared" si="226"/>
        <v>No (not volatile)</v>
      </c>
      <c r="G704" s="270" t="str">
        <f t="shared" si="244"/>
        <v>No (not volatile)</v>
      </c>
      <c r="H704" s="76" t="str">
        <f t="shared" si="235"/>
        <v>--</v>
      </c>
      <c r="I704" s="271" t="str">
        <f t="shared" si="236"/>
        <v>--</v>
      </c>
      <c r="J704" s="272" t="str">
        <f t="shared" si="237"/>
        <v>--</v>
      </c>
      <c r="K704" s="272" t="str">
        <f t="shared" si="238"/>
        <v>--</v>
      </c>
      <c r="L704" s="273" t="str">
        <f t="shared" si="227"/>
        <v>--</v>
      </c>
      <c r="M704" s="7">
        <f t="shared" si="228"/>
        <v>21.948517570635463</v>
      </c>
      <c r="N704" s="7">
        <f t="shared" si="246"/>
        <v>21.97475</v>
      </c>
      <c r="O704" s="326">
        <f t="shared" si="229"/>
        <v>25</v>
      </c>
      <c r="P704" s="224" t="str">
        <f t="shared" si="241"/>
        <v/>
      </c>
      <c r="Q704" s="224" t="str">
        <f t="shared" si="230"/>
        <v/>
      </c>
      <c r="R704" s="224"/>
      <c r="S704" s="271" t="str">
        <f t="shared" si="242"/>
        <v/>
      </c>
      <c r="T704" s="7" t="str">
        <f t="shared" si="243"/>
        <v/>
      </c>
      <c r="U704" s="7" t="str">
        <f t="shared" si="231"/>
        <v/>
      </c>
      <c r="V704" s="7" t="str">
        <f t="shared" si="232"/>
        <v/>
      </c>
      <c r="W704" s="7" t="str">
        <f>VLOOKUP(C704,'Tox Summary'!$N$3:$S$1048576,6,FALSE)</f>
        <v/>
      </c>
      <c r="X704" s="76" t="str">
        <f t="shared" si="239"/>
        <v/>
      </c>
      <c r="Y704" s="76" t="str">
        <f t="shared" si="233"/>
        <v/>
      </c>
      <c r="AA704" s="332"/>
    </row>
    <row r="705" spans="1:27">
      <c r="A705" s="265"/>
      <c r="B705" s="344" t="s">
        <v>276</v>
      </c>
      <c r="C705" s="269" t="s">
        <v>549</v>
      </c>
      <c r="D705" s="280" t="str">
        <f>VLOOKUP(B705, 'Chem Props'!$1:$1048576,3,FALSE)</f>
        <v>No</v>
      </c>
      <c r="E705" s="598" t="str">
        <f t="shared" si="234"/>
        <v>No</v>
      </c>
      <c r="F705" s="7" t="str">
        <f t="shared" si="226"/>
        <v>No (not volatile)</v>
      </c>
      <c r="G705" s="270" t="str">
        <f t="shared" si="244"/>
        <v>No (not volatile)</v>
      </c>
      <c r="H705" s="76" t="str">
        <f t="shared" si="235"/>
        <v>--</v>
      </c>
      <c r="I705" s="271" t="str">
        <f t="shared" si="236"/>
        <v>--</v>
      </c>
      <c r="J705" s="272" t="str">
        <f t="shared" si="237"/>
        <v>--</v>
      </c>
      <c r="K705" s="272" t="str">
        <f t="shared" si="238"/>
        <v>--</v>
      </c>
      <c r="L705" s="273" t="str">
        <f t="shared" si="227"/>
        <v>--</v>
      </c>
      <c r="M705" s="7">
        <f t="shared" si="228"/>
        <v>1.8298215646519569</v>
      </c>
      <c r="N705" s="7">
        <f t="shared" si="246"/>
        <v>0.17736540000000001</v>
      </c>
      <c r="O705" s="326">
        <f t="shared" si="229"/>
        <v>25</v>
      </c>
      <c r="P705" s="224" t="str">
        <f t="shared" si="241"/>
        <v/>
      </c>
      <c r="Q705" s="224" t="str">
        <f t="shared" si="230"/>
        <v/>
      </c>
      <c r="R705" s="224"/>
      <c r="S705" s="271" t="str">
        <f t="shared" si="242"/>
        <v/>
      </c>
      <c r="T705" s="7" t="str">
        <f t="shared" si="243"/>
        <v/>
      </c>
      <c r="U705" s="7" t="str">
        <f t="shared" si="231"/>
        <v/>
      </c>
      <c r="V705" s="7" t="str">
        <f t="shared" si="232"/>
        <v/>
      </c>
      <c r="W705" s="7" t="str">
        <f>VLOOKUP(C705,'Tox Summary'!$N$3:$S$1048576,6,FALSE)</f>
        <v/>
      </c>
      <c r="X705" s="76" t="str">
        <f t="shared" si="239"/>
        <v/>
      </c>
      <c r="Y705" s="76" t="str">
        <f t="shared" si="233"/>
        <v/>
      </c>
      <c r="AA705" s="332"/>
    </row>
    <row r="706" spans="1:27">
      <c r="A706" s="265"/>
      <c r="B706" s="269" t="s">
        <v>277</v>
      </c>
      <c r="C706" s="269" t="s">
        <v>1345</v>
      </c>
      <c r="D706" s="280" t="str">
        <f>VLOOKUP(B706, 'Chem Props'!$1:$1048576,3,FALSE)</f>
        <v>Yes</v>
      </c>
      <c r="E706" s="598" t="str">
        <f t="shared" si="234"/>
        <v>No</v>
      </c>
      <c r="F706" s="7" t="str">
        <f t="shared" si="226"/>
        <v>No Inhal. Tox. Info</v>
      </c>
      <c r="G706" s="270" t="str">
        <f t="shared" si="244"/>
        <v>No Inhal. Tox. Info</v>
      </c>
      <c r="H706" s="76" t="str">
        <f t="shared" si="235"/>
        <v>--</v>
      </c>
      <c r="I706" s="271" t="str">
        <f t="shared" si="236"/>
        <v>--</v>
      </c>
      <c r="J706" s="272" t="str">
        <f t="shared" si="237"/>
        <v>--</v>
      </c>
      <c r="K706" s="272" t="str">
        <f t="shared" si="238"/>
        <v>--</v>
      </c>
      <c r="L706" s="273" t="str">
        <f t="shared" si="227"/>
        <v>--</v>
      </c>
      <c r="M706" s="7">
        <f t="shared" si="228"/>
        <v>62730.605157932092</v>
      </c>
      <c r="N706" s="7">
        <f t="shared" si="246"/>
        <v>24325.444499999998</v>
      </c>
      <c r="O706" s="326">
        <f t="shared" si="229"/>
        <v>25</v>
      </c>
      <c r="P706" s="224" t="str">
        <f t="shared" ref="P706:P720" si="247">IF(VLOOKUP(B706,AllChemProps,32,FALSE)&gt;0,VLOOKUP(B706,AllChemProps,32,FALSE),"")</f>
        <v/>
      </c>
      <c r="Q706" s="224" t="str">
        <f t="shared" si="230"/>
        <v/>
      </c>
      <c r="R706" s="224"/>
      <c r="S706" s="271" t="str">
        <f t="shared" si="242"/>
        <v/>
      </c>
      <c r="T706" s="7" t="str">
        <f t="shared" si="243"/>
        <v/>
      </c>
      <c r="U706" s="7" t="str">
        <f t="shared" si="231"/>
        <v/>
      </c>
      <c r="V706" s="7" t="str">
        <f t="shared" si="232"/>
        <v/>
      </c>
      <c r="W706" s="7" t="str">
        <f>VLOOKUP(C706,'Tox Summary'!$N$3:$S$1048576,6,FALSE)</f>
        <v/>
      </c>
      <c r="X706" s="76" t="str">
        <f t="shared" si="239"/>
        <v/>
      </c>
      <c r="Y706" s="76" t="str">
        <f t="shared" si="233"/>
        <v/>
      </c>
      <c r="AA706" s="243"/>
    </row>
    <row r="707" spans="1:27">
      <c r="A707" s="265"/>
      <c r="B707" s="344" t="s">
        <v>198</v>
      </c>
      <c r="C707" s="269" t="s">
        <v>2324</v>
      </c>
      <c r="D707" s="280" t="str">
        <f>VLOOKUP(B707, 'Chem Props'!$1:$1048576,3,FALSE)</f>
        <v>No</v>
      </c>
      <c r="E707" s="598" t="str">
        <f t="shared" si="234"/>
        <v>Yes</v>
      </c>
      <c r="F707" s="7" t="str">
        <f t="shared" si="226"/>
        <v>No (not volatile)</v>
      </c>
      <c r="G707" s="270" t="str">
        <f t="shared" si="244"/>
        <v>No (not volatile)</v>
      </c>
      <c r="H707" s="76">
        <f t="shared" si="235"/>
        <v>7.3886639676113363E-4</v>
      </c>
      <c r="I707" s="271" t="str">
        <f t="shared" si="236"/>
        <v>C</v>
      </c>
      <c r="J707" s="272">
        <f t="shared" si="237"/>
        <v>2.462887989203779E-2</v>
      </c>
      <c r="K707" s="272" t="str">
        <f t="shared" si="238"/>
        <v>NVT</v>
      </c>
      <c r="L707" s="273" t="str">
        <f t="shared" si="227"/>
        <v>--</v>
      </c>
      <c r="M707" s="7">
        <f t="shared" si="228"/>
        <v>257.6706880570689</v>
      </c>
      <c r="N707" s="7">
        <f t="shared" si="246"/>
        <v>0.21866669999999999</v>
      </c>
      <c r="O707" s="326">
        <f t="shared" si="229"/>
        <v>25</v>
      </c>
      <c r="P707" s="224" t="str">
        <f t="shared" si="247"/>
        <v/>
      </c>
      <c r="Q707" s="224" t="str">
        <f t="shared" si="230"/>
        <v/>
      </c>
      <c r="R707" s="224"/>
      <c r="S707" s="271">
        <f t="shared" si="242"/>
        <v>3.8E-3</v>
      </c>
      <c r="T707" s="7" t="str">
        <f t="shared" si="243"/>
        <v>E</v>
      </c>
      <c r="U707" s="7">
        <f t="shared" si="231"/>
        <v>4.0000000000000002E-4</v>
      </c>
      <c r="V707" s="7" t="str">
        <f t="shared" si="232"/>
        <v>E</v>
      </c>
      <c r="W707" s="7" t="str">
        <f>VLOOKUP(C707,'Tox Summary'!$N$3:$S$1048576,6,FALSE)</f>
        <v/>
      </c>
      <c r="X707" s="76">
        <f t="shared" si="239"/>
        <v>7.3886639676113363E-4</v>
      </c>
      <c r="Y707" s="76">
        <f t="shared" si="233"/>
        <v>0.41714285714285715</v>
      </c>
      <c r="AA707" s="332"/>
    </row>
    <row r="708" spans="1:27">
      <c r="A708" s="265"/>
      <c r="B708" s="344" t="s">
        <v>199</v>
      </c>
      <c r="C708" s="269" t="s">
        <v>2251</v>
      </c>
      <c r="D708" s="280" t="str">
        <f>VLOOKUP(B708, 'Chem Props'!$1:$1048576,3,FALSE)</f>
        <v>Yes</v>
      </c>
      <c r="E708" s="598" t="str">
        <f t="shared" si="234"/>
        <v>Yes</v>
      </c>
      <c r="F708" s="7" t="str">
        <f t="shared" si="226"/>
        <v>Yes</v>
      </c>
      <c r="G708" s="270" t="str">
        <f t="shared" si="244"/>
        <v>Yes</v>
      </c>
      <c r="H708" s="76">
        <f t="shared" si="235"/>
        <v>2.5524475524475526E-4</v>
      </c>
      <c r="I708" s="271" t="str">
        <f t="shared" si="236"/>
        <v>C</v>
      </c>
      <c r="J708" s="272">
        <f t="shared" si="237"/>
        <v>8.5081585081585084E-3</v>
      </c>
      <c r="K708" s="272">
        <f t="shared" si="238"/>
        <v>2.7996879997011618E-2</v>
      </c>
      <c r="L708" s="273" t="str">
        <f t="shared" si="227"/>
        <v>--</v>
      </c>
      <c r="M708" s="7">
        <f t="shared" si="228"/>
        <v>132.76325085867271</v>
      </c>
      <c r="N708" s="7">
        <f t="shared" si="246"/>
        <v>293.97444050000007</v>
      </c>
      <c r="O708" s="326">
        <f t="shared" si="229"/>
        <v>25</v>
      </c>
      <c r="P708" s="224" t="str">
        <f t="shared" si="247"/>
        <v/>
      </c>
      <c r="Q708" s="224" t="str">
        <f t="shared" si="230"/>
        <v/>
      </c>
      <c r="R708" s="224"/>
      <c r="S708" s="271">
        <f t="shared" si="242"/>
        <v>1.0999999999999999E-2</v>
      </c>
      <c r="T708" s="7" t="str">
        <f t="shared" si="243"/>
        <v>E</v>
      </c>
      <c r="U708" s="7">
        <f t="shared" si="231"/>
        <v>1.2999999999999999E-4</v>
      </c>
      <c r="V708" s="7" t="str">
        <f t="shared" si="232"/>
        <v>E</v>
      </c>
      <c r="W708" s="7" t="str">
        <f>VLOOKUP(C708,'Tox Summary'!$N$3:$S$1048576,6,FALSE)</f>
        <v/>
      </c>
      <c r="X708" s="76">
        <f t="shared" si="239"/>
        <v>2.5524475524475526E-4</v>
      </c>
      <c r="Y708" s="76">
        <f t="shared" si="233"/>
        <v>0.13557142857142856</v>
      </c>
      <c r="AA708" s="332"/>
    </row>
    <row r="709" spans="1:27">
      <c r="A709" s="265"/>
      <c r="B709" s="344" t="s">
        <v>278</v>
      </c>
      <c r="C709" s="269" t="s">
        <v>441</v>
      </c>
      <c r="D709" s="280" t="str">
        <f>VLOOKUP(B709, 'Chem Props'!$1:$1048576,3,FALSE)</f>
        <v>Yes</v>
      </c>
      <c r="E709" s="598" t="str">
        <f t="shared" si="234"/>
        <v>Yes</v>
      </c>
      <c r="F709" s="7" t="str">
        <f t="shared" si="226"/>
        <v>Yes</v>
      </c>
      <c r="G709" s="270" t="str">
        <f t="shared" si="244"/>
        <v>Yes</v>
      </c>
      <c r="H709" s="76">
        <f t="shared" si="235"/>
        <v>0.37941787941787936</v>
      </c>
      <c r="I709" s="271" t="str">
        <f t="shared" si="236"/>
        <v>C</v>
      </c>
      <c r="J709" s="272">
        <f t="shared" si="237"/>
        <v>12.647262647262645</v>
      </c>
      <c r="K709" s="272">
        <f t="shared" si="238"/>
        <v>3.712224024392285</v>
      </c>
      <c r="L709" s="273" t="str">
        <f t="shared" si="227"/>
        <v>--</v>
      </c>
      <c r="M709" s="7">
        <f t="shared" si="228"/>
        <v>108381656.04663795</v>
      </c>
      <c r="N709" s="7">
        <f t="shared" si="246"/>
        <v>109362239</v>
      </c>
      <c r="O709" s="326">
        <f t="shared" si="229"/>
        <v>25</v>
      </c>
      <c r="P709" s="224" t="str">
        <f t="shared" si="247"/>
        <v/>
      </c>
      <c r="Q709" s="224" t="str">
        <f t="shared" si="230"/>
        <v/>
      </c>
      <c r="R709" s="224"/>
      <c r="S709" s="271">
        <f t="shared" si="242"/>
        <v>7.4000000000000003E-6</v>
      </c>
      <c r="T709" s="7" t="str">
        <f t="shared" si="243"/>
        <v>I</v>
      </c>
      <c r="U709" s="7" t="str">
        <f t="shared" si="231"/>
        <v/>
      </c>
      <c r="V709" s="7" t="str">
        <f t="shared" si="232"/>
        <v/>
      </c>
      <c r="W709" s="7" t="str">
        <f>VLOOKUP(C709,'Tox Summary'!$N$3:$S$1048576,6,FALSE)</f>
        <v/>
      </c>
      <c r="X709" s="76">
        <f t="shared" si="239"/>
        <v>0.37941787941787936</v>
      </c>
      <c r="Y709" s="76" t="str">
        <f t="shared" si="233"/>
        <v/>
      </c>
      <c r="AA709" s="332"/>
    </row>
    <row r="710" spans="1:27">
      <c r="A710" s="265"/>
      <c r="B710" s="269" t="s">
        <v>279</v>
      </c>
      <c r="C710" s="269" t="s">
        <v>443</v>
      </c>
      <c r="D710" s="280" t="str">
        <f>VLOOKUP(B710, 'Chem Props'!$1:$1048576,3,FALSE)</f>
        <v>Yes</v>
      </c>
      <c r="E710" s="598" t="str">
        <f t="shared" si="234"/>
        <v>Yes</v>
      </c>
      <c r="F710" s="7" t="str">
        <f t="shared" si="226"/>
        <v>Yes</v>
      </c>
      <c r="G710" s="270" t="str">
        <f t="shared" si="244"/>
        <v>Yes</v>
      </c>
      <c r="H710" s="76">
        <f t="shared" si="235"/>
        <v>4.8408488063660472E-2</v>
      </c>
      <c r="I710" s="271" t="str">
        <f t="shared" si="236"/>
        <v>C</v>
      </c>
      <c r="J710" s="272">
        <f t="shared" si="237"/>
        <v>1.6136162687886824</v>
      </c>
      <c r="K710" s="272">
        <f t="shared" si="238"/>
        <v>3.2263506683946703</v>
      </c>
      <c r="L710" s="273" t="str">
        <f t="shared" si="227"/>
        <v>--</v>
      </c>
      <c r="M710" s="7">
        <f t="shared" si="228"/>
        <v>41726937.577955619</v>
      </c>
      <c r="N710" s="7">
        <f t="shared" si="246"/>
        <v>42461603</v>
      </c>
      <c r="O710" s="326">
        <f t="shared" si="229"/>
        <v>25</v>
      </c>
      <c r="P710" s="224" t="str">
        <f t="shared" si="247"/>
        <v/>
      </c>
      <c r="Q710" s="224" t="str">
        <f t="shared" si="230"/>
        <v/>
      </c>
      <c r="R710" s="224"/>
      <c r="S710" s="271">
        <f t="shared" si="242"/>
        <v>5.8E-5</v>
      </c>
      <c r="T710" s="7" t="str">
        <f t="shared" si="243"/>
        <v>CA</v>
      </c>
      <c r="U710" s="7" t="str">
        <f t="shared" si="231"/>
        <v/>
      </c>
      <c r="V710" s="7" t="str">
        <f t="shared" si="232"/>
        <v/>
      </c>
      <c r="W710" s="7" t="str">
        <f>VLOOKUP(C710,'Tox Summary'!$N$3:$S$1048576,6,FALSE)</f>
        <v/>
      </c>
      <c r="X710" s="76">
        <f t="shared" si="239"/>
        <v>4.8408488063660472E-2</v>
      </c>
      <c r="Y710" s="76" t="str">
        <f t="shared" si="233"/>
        <v/>
      </c>
      <c r="AA710" s="243"/>
    </row>
    <row r="711" spans="1:27">
      <c r="A711" s="265"/>
      <c r="B711" s="269" t="s">
        <v>280</v>
      </c>
      <c r="C711" s="269" t="s">
        <v>397</v>
      </c>
      <c r="D711" s="280" t="str">
        <f>VLOOKUP(B711, 'Chem Props'!$1:$1048576,3,FALSE)</f>
        <v>Yes</v>
      </c>
      <c r="E711" s="598" t="str">
        <f t="shared" si="234"/>
        <v>Yes</v>
      </c>
      <c r="F711" s="7" t="str">
        <f t="shared" si="226"/>
        <v>Yes</v>
      </c>
      <c r="G711" s="270" t="str">
        <f t="shared" si="244"/>
        <v>Yes</v>
      </c>
      <c r="H711" s="76">
        <f t="shared" si="235"/>
        <v>10.798816568047336</v>
      </c>
      <c r="I711" s="271" t="str">
        <f t="shared" si="236"/>
        <v>C</v>
      </c>
      <c r="J711" s="272">
        <f t="shared" si="237"/>
        <v>359.96055226824456</v>
      </c>
      <c r="K711" s="272">
        <f t="shared" si="238"/>
        <v>14.923110704093327</v>
      </c>
      <c r="L711" s="273" t="str">
        <f t="shared" si="227"/>
        <v>No (5)</v>
      </c>
      <c r="M711" s="7">
        <f t="shared" si="228"/>
        <v>165077552.08567101</v>
      </c>
      <c r="N711" s="7">
        <f t="shared" si="246"/>
        <v>149067862.40000001</v>
      </c>
      <c r="O711" s="326">
        <f t="shared" si="229"/>
        <v>25</v>
      </c>
      <c r="P711" s="224" t="str">
        <f t="shared" si="247"/>
        <v/>
      </c>
      <c r="Q711" s="224" t="str">
        <f t="shared" si="230"/>
        <v/>
      </c>
      <c r="R711" s="224"/>
      <c r="S711" s="271">
        <f t="shared" si="242"/>
        <v>2.6E-7</v>
      </c>
      <c r="T711" s="7" t="str">
        <f t="shared" si="243"/>
        <v>I</v>
      </c>
      <c r="U711" s="7">
        <f t="shared" si="231"/>
        <v>0.04</v>
      </c>
      <c r="V711" s="7" t="str">
        <f t="shared" si="232"/>
        <v>I</v>
      </c>
      <c r="W711" s="7" t="str">
        <f>VLOOKUP(C711,'Tox Summary'!$N$3:$S$1048576,6,FALSE)</f>
        <v/>
      </c>
      <c r="X711" s="76">
        <f t="shared" si="239"/>
        <v>10.798816568047336</v>
      </c>
      <c r="Y711" s="76">
        <f t="shared" si="233"/>
        <v>41.714285714285715</v>
      </c>
      <c r="AA711" s="243"/>
    </row>
    <row r="712" spans="1:27">
      <c r="A712" s="265"/>
      <c r="B712" s="269" t="s">
        <v>281</v>
      </c>
      <c r="C712" s="269" t="s">
        <v>1346</v>
      </c>
      <c r="D712" s="280" t="str">
        <f>VLOOKUP(B712, 'Chem Props'!$1:$1048576,3,FALSE)</f>
        <v>No</v>
      </c>
      <c r="E712" s="598" t="str">
        <f t="shared" si="234"/>
        <v>No</v>
      </c>
      <c r="F712" s="7" t="str">
        <f t="shared" si="226"/>
        <v>No (not volatile)</v>
      </c>
      <c r="G712" s="270" t="str">
        <f t="shared" si="244"/>
        <v>No (not volatile)</v>
      </c>
      <c r="H712" s="76" t="str">
        <f t="shared" si="235"/>
        <v>--</v>
      </c>
      <c r="I712" s="271" t="str">
        <f t="shared" si="236"/>
        <v>--</v>
      </c>
      <c r="J712" s="272" t="str">
        <f t="shared" si="237"/>
        <v>--</v>
      </c>
      <c r="K712" s="272" t="str">
        <f t="shared" si="238"/>
        <v>--</v>
      </c>
      <c r="L712" s="273" t="str">
        <f t="shared" si="227"/>
        <v>--</v>
      </c>
      <c r="M712" s="7">
        <f t="shared" si="228"/>
        <v>8310.1610559806122</v>
      </c>
      <c r="N712" s="7">
        <f t="shared" si="246"/>
        <v>8312.2000000000007</v>
      </c>
      <c r="O712" s="326">
        <f t="shared" si="229"/>
        <v>25</v>
      </c>
      <c r="P712" s="224" t="str">
        <f t="shared" si="247"/>
        <v/>
      </c>
      <c r="Q712" s="224" t="str">
        <f t="shared" si="230"/>
        <v/>
      </c>
      <c r="R712" s="224"/>
      <c r="S712" s="271" t="str">
        <f t="shared" si="242"/>
        <v/>
      </c>
      <c r="T712" s="7" t="str">
        <f t="shared" si="243"/>
        <v/>
      </c>
      <c r="U712" s="7" t="str">
        <f t="shared" si="231"/>
        <v/>
      </c>
      <c r="V712" s="7" t="str">
        <f t="shared" si="232"/>
        <v/>
      </c>
      <c r="W712" s="7" t="str">
        <f>VLOOKUP(C712,'Tox Summary'!$N$3:$S$1048576,6,FALSE)</f>
        <v/>
      </c>
      <c r="X712" s="76" t="str">
        <f t="shared" si="239"/>
        <v/>
      </c>
      <c r="Y712" s="76" t="str">
        <f t="shared" si="233"/>
        <v/>
      </c>
      <c r="AA712" s="243"/>
    </row>
    <row r="713" spans="1:27">
      <c r="A713" s="265"/>
      <c r="B713" s="269" t="s">
        <v>282</v>
      </c>
      <c r="C713" s="269" t="s">
        <v>1347</v>
      </c>
      <c r="D713" s="280" t="str">
        <f>VLOOKUP(B713, 'Chem Props'!$1:$1048576,3,FALSE)</f>
        <v>Yes</v>
      </c>
      <c r="E713" s="598" t="str">
        <f t="shared" si="234"/>
        <v>No</v>
      </c>
      <c r="F713" s="7" t="str">
        <f t="shared" si="226"/>
        <v>No Inhal. Tox. Info</v>
      </c>
      <c r="G713" s="270" t="str">
        <f t="shared" si="244"/>
        <v>No Inhal. Tox. Info</v>
      </c>
      <c r="H713" s="76" t="str">
        <f t="shared" si="235"/>
        <v>--</v>
      </c>
      <c r="I713" s="271" t="str">
        <f t="shared" si="236"/>
        <v>--</v>
      </c>
      <c r="J713" s="272" t="str">
        <f t="shared" si="237"/>
        <v>--</v>
      </c>
      <c r="K713" s="272" t="str">
        <f t="shared" si="238"/>
        <v>--</v>
      </c>
      <c r="L713" s="273" t="str">
        <f t="shared" si="227"/>
        <v>--</v>
      </c>
      <c r="M713" s="7">
        <f t="shared" si="228"/>
        <v>473836.72262968268</v>
      </c>
      <c r="N713" s="7">
        <f t="shared" si="246"/>
        <v>31869.325599999996</v>
      </c>
      <c r="O713" s="326">
        <f t="shared" si="229"/>
        <v>25</v>
      </c>
      <c r="P713" s="224" t="str">
        <f t="shared" si="247"/>
        <v/>
      </c>
      <c r="Q713" s="224" t="str">
        <f t="shared" si="230"/>
        <v/>
      </c>
      <c r="R713" s="224"/>
      <c r="S713" s="271" t="str">
        <f t="shared" si="242"/>
        <v/>
      </c>
      <c r="T713" s="7" t="str">
        <f t="shared" si="243"/>
        <v/>
      </c>
      <c r="U713" s="7" t="str">
        <f t="shared" si="231"/>
        <v/>
      </c>
      <c r="V713" s="7" t="str">
        <f t="shared" si="232"/>
        <v/>
      </c>
      <c r="W713" s="7" t="str">
        <f>VLOOKUP(C713,'Tox Summary'!$N$3:$S$1048576,6,FALSE)</f>
        <v/>
      </c>
      <c r="X713" s="76" t="str">
        <f t="shared" si="239"/>
        <v/>
      </c>
      <c r="Y713" s="76" t="str">
        <f t="shared" si="233"/>
        <v/>
      </c>
      <c r="AA713" s="243"/>
    </row>
    <row r="714" spans="1:27">
      <c r="A714" s="265"/>
      <c r="B714" s="269" t="s">
        <v>283</v>
      </c>
      <c r="C714" s="269" t="s">
        <v>1348</v>
      </c>
      <c r="D714" s="280" t="str">
        <f>VLOOKUP(B714, 'Chem Props'!$1:$1048576,3,FALSE)</f>
        <v>No</v>
      </c>
      <c r="E714" s="598" t="str">
        <f t="shared" si="234"/>
        <v>No</v>
      </c>
      <c r="F714" s="7" t="str">
        <f t="shared" si="226"/>
        <v>No (not volatile)</v>
      </c>
      <c r="G714" s="270" t="str">
        <f t="shared" si="244"/>
        <v>No (not volatile)</v>
      </c>
      <c r="H714" s="76" t="str">
        <f t="shared" si="235"/>
        <v>--</v>
      </c>
      <c r="I714" s="271" t="str">
        <f t="shared" si="236"/>
        <v>--</v>
      </c>
      <c r="J714" s="272" t="str">
        <f t="shared" si="237"/>
        <v>--</v>
      </c>
      <c r="K714" s="272" t="str">
        <f t="shared" si="238"/>
        <v>--</v>
      </c>
      <c r="L714" s="273" t="str">
        <f t="shared" si="227"/>
        <v>--</v>
      </c>
      <c r="M714" s="7">
        <f t="shared" si="228"/>
        <v>1821.08301786317</v>
      </c>
      <c r="N714" s="7">
        <f t="shared" si="246"/>
        <v>5457</v>
      </c>
      <c r="O714" s="326">
        <f t="shared" si="229"/>
        <v>25</v>
      </c>
      <c r="P714" s="224" t="str">
        <f t="shared" si="247"/>
        <v/>
      </c>
      <c r="Q714" s="224" t="str">
        <f t="shared" si="230"/>
        <v/>
      </c>
      <c r="R714" s="224"/>
      <c r="S714" s="271" t="str">
        <f t="shared" si="242"/>
        <v/>
      </c>
      <c r="T714" s="7" t="str">
        <f t="shared" si="243"/>
        <v/>
      </c>
      <c r="U714" s="7" t="str">
        <f t="shared" si="231"/>
        <v/>
      </c>
      <c r="V714" s="7" t="str">
        <f t="shared" si="232"/>
        <v/>
      </c>
      <c r="W714" s="7" t="str">
        <f>VLOOKUP(C714,'Tox Summary'!$N$3:$S$1048576,6,FALSE)</f>
        <v/>
      </c>
      <c r="X714" s="76" t="str">
        <f t="shared" si="239"/>
        <v/>
      </c>
      <c r="Y714" s="76" t="str">
        <f t="shared" si="233"/>
        <v/>
      </c>
      <c r="AA714" s="243"/>
    </row>
    <row r="715" spans="1:27">
      <c r="A715" s="265"/>
      <c r="B715" s="344" t="s">
        <v>41</v>
      </c>
      <c r="C715" s="269" t="s">
        <v>2338</v>
      </c>
      <c r="D715" s="280" t="str">
        <f>VLOOKUP(B715, 'Chem Props'!$1:$1048576,3,FALSE)</f>
        <v>Yes</v>
      </c>
      <c r="E715" s="598" t="str">
        <f t="shared" si="234"/>
        <v>No</v>
      </c>
      <c r="F715" s="7" t="str">
        <f t="shared" si="226"/>
        <v>No Inhal. Tox. Info</v>
      </c>
      <c r="G715" s="270" t="str">
        <f t="shared" si="244"/>
        <v>No Inhal. Tox. Info</v>
      </c>
      <c r="H715" s="76" t="str">
        <f t="shared" si="235"/>
        <v>--</v>
      </c>
      <c r="I715" s="271" t="str">
        <f t="shared" si="236"/>
        <v>--</v>
      </c>
      <c r="J715" s="272" t="str">
        <f t="shared" si="237"/>
        <v>--</v>
      </c>
      <c r="K715" s="272" t="str">
        <f t="shared" si="238"/>
        <v>--</v>
      </c>
      <c r="L715" s="273" t="str">
        <f t="shared" si="227"/>
        <v>--</v>
      </c>
      <c r="M715" s="7">
        <f t="shared" si="228"/>
        <v>4525017.5435648859</v>
      </c>
      <c r="N715" s="7">
        <f t="shared" si="246"/>
        <v>6734259.9399999995</v>
      </c>
      <c r="O715" s="326">
        <f t="shared" si="229"/>
        <v>25</v>
      </c>
      <c r="P715" s="224" t="str">
        <f t="shared" si="247"/>
        <v/>
      </c>
      <c r="Q715" s="224" t="str">
        <f t="shared" si="230"/>
        <v/>
      </c>
      <c r="R715" s="224"/>
      <c r="S715" s="271" t="str">
        <f t="shared" si="242"/>
        <v/>
      </c>
      <c r="T715" s="7" t="str">
        <f t="shared" si="243"/>
        <v/>
      </c>
      <c r="U715" s="7" t="str">
        <f t="shared" si="231"/>
        <v/>
      </c>
      <c r="V715" s="7" t="str">
        <f t="shared" si="232"/>
        <v/>
      </c>
      <c r="W715" s="7" t="str">
        <f>VLOOKUP(C715,'Tox Summary'!$N$3:$S$1048576,6,FALSE)</f>
        <v/>
      </c>
      <c r="X715" s="76" t="str">
        <f t="shared" si="239"/>
        <v/>
      </c>
      <c r="Y715" s="76" t="str">
        <f t="shared" si="233"/>
        <v/>
      </c>
      <c r="AA715" s="332"/>
    </row>
    <row r="716" spans="1:27">
      <c r="A716" s="265"/>
      <c r="B716" s="344" t="s">
        <v>284</v>
      </c>
      <c r="C716" s="269" t="s">
        <v>1349</v>
      </c>
      <c r="D716" s="280" t="str">
        <f>VLOOKUP(B716, 'Chem Props'!$1:$1048576,3,FALSE)</f>
        <v>Yes</v>
      </c>
      <c r="E716" s="598" t="str">
        <f t="shared" si="234"/>
        <v>Yes</v>
      </c>
      <c r="F716" s="7" t="str">
        <f t="shared" si="226"/>
        <v>Yes</v>
      </c>
      <c r="G716" s="270" t="str">
        <f t="shared" si="244"/>
        <v>Yes</v>
      </c>
      <c r="H716" s="76">
        <f t="shared" si="235"/>
        <v>83428.571428571435</v>
      </c>
      <c r="I716" s="271" t="str">
        <f t="shared" si="236"/>
        <v>NC</v>
      </c>
      <c r="J716" s="272">
        <f t="shared" si="237"/>
        <v>2780952.3809523811</v>
      </c>
      <c r="K716" s="272">
        <f t="shared" si="238"/>
        <v>40813.257549357193</v>
      </c>
      <c r="L716" s="273" t="str">
        <f t="shared" si="227"/>
        <v>--</v>
      </c>
      <c r="M716" s="7">
        <f t="shared" si="228"/>
        <v>27395650892.924225</v>
      </c>
      <c r="N716" s="7">
        <f t="shared" si="246"/>
        <v>4170073547.9999995</v>
      </c>
      <c r="O716" s="326">
        <f t="shared" si="229"/>
        <v>25</v>
      </c>
      <c r="P716" s="224" t="str">
        <f t="shared" si="247"/>
        <v/>
      </c>
      <c r="Q716" s="224" t="str">
        <f t="shared" si="230"/>
        <v/>
      </c>
      <c r="R716" s="224"/>
      <c r="S716" s="271" t="str">
        <f t="shared" si="242"/>
        <v/>
      </c>
      <c r="T716" s="7" t="str">
        <f t="shared" si="243"/>
        <v/>
      </c>
      <c r="U716" s="7">
        <f t="shared" si="231"/>
        <v>80</v>
      </c>
      <c r="V716" s="7" t="str">
        <f t="shared" si="232"/>
        <v>I</v>
      </c>
      <c r="W716" s="7" t="str">
        <f>VLOOKUP(C716,'Tox Summary'!$N$3:$S$1048576,6,FALSE)</f>
        <v/>
      </c>
      <c r="X716" s="76" t="str">
        <f t="shared" si="239"/>
        <v/>
      </c>
      <c r="Y716" s="76">
        <f t="shared" si="233"/>
        <v>83428.571428571435</v>
      </c>
      <c r="AA716" s="332"/>
    </row>
    <row r="717" spans="1:27">
      <c r="A717" s="265"/>
      <c r="B717" s="344" t="s">
        <v>1831</v>
      </c>
      <c r="C717" s="269" t="s">
        <v>2252</v>
      </c>
      <c r="D717" s="280" t="str">
        <f>VLOOKUP(B717, 'Chem Props'!$1:$1048576,3,FALSE)</f>
        <v>Yes</v>
      </c>
      <c r="E717" s="598" t="str">
        <f t="shared" si="234"/>
        <v>Yes</v>
      </c>
      <c r="F717" s="7" t="str">
        <f t="shared" si="226"/>
        <v>Yes</v>
      </c>
      <c r="G717" s="270" t="str">
        <f t="shared" si="244"/>
        <v>Yes</v>
      </c>
      <c r="H717" s="76">
        <f t="shared" si="235"/>
        <v>2085.7142857142858</v>
      </c>
      <c r="I717" s="271" t="str">
        <f t="shared" si="236"/>
        <v>NC</v>
      </c>
      <c r="J717" s="272">
        <f t="shared" si="237"/>
        <v>69523.809523809527</v>
      </c>
      <c r="K717" s="272">
        <f t="shared" si="238"/>
        <v>723628.4514846775</v>
      </c>
      <c r="L717" s="273" t="str">
        <f t="shared" si="227"/>
        <v>--</v>
      </c>
      <c r="M717" s="7">
        <f t="shared" si="228"/>
        <v>629343123.06276417</v>
      </c>
      <c r="N717" s="7">
        <f t="shared" si="246"/>
        <v>2882300000</v>
      </c>
      <c r="O717" s="326">
        <f t="shared" si="229"/>
        <v>25</v>
      </c>
      <c r="P717" s="224">
        <f t="shared" si="247"/>
        <v>2</v>
      </c>
      <c r="Q717" s="224" t="str">
        <f t="shared" si="230"/>
        <v>N</v>
      </c>
      <c r="R717" s="224"/>
      <c r="S717" s="271" t="str">
        <f t="shared" si="242"/>
        <v/>
      </c>
      <c r="T717" s="7" t="str">
        <f t="shared" si="243"/>
        <v/>
      </c>
      <c r="U717" s="7">
        <f t="shared" si="231"/>
        <v>2</v>
      </c>
      <c r="V717" s="7" t="str">
        <f t="shared" si="232"/>
        <v>I</v>
      </c>
      <c r="W717" s="7" t="str">
        <f>VLOOKUP(C717,'Tox Summary'!$N$3:$S$1048576,6,FALSE)</f>
        <v/>
      </c>
      <c r="X717" s="76" t="str">
        <f t="shared" si="239"/>
        <v/>
      </c>
      <c r="Y717" s="76">
        <f t="shared" si="233"/>
        <v>2085.7142857142858</v>
      </c>
      <c r="AA717" s="332"/>
    </row>
    <row r="718" spans="1:27">
      <c r="A718" s="265"/>
      <c r="B718" s="344" t="s">
        <v>1605</v>
      </c>
      <c r="C718" s="269" t="s">
        <v>2404</v>
      </c>
      <c r="D718" s="280" t="str">
        <f>VLOOKUP(B718, 'Chem Props'!$1:$1048576,3,FALSE)</f>
        <v>No</v>
      </c>
      <c r="E718" s="598" t="str">
        <f t="shared" si="234"/>
        <v>No</v>
      </c>
      <c r="F718" s="7" t="str">
        <f t="shared" si="226"/>
        <v>No (not volatile)</v>
      </c>
      <c r="G718" s="270" t="str">
        <f t="shared" si="244"/>
        <v>No (not volatile)</v>
      </c>
      <c r="H718" s="76" t="str">
        <f t="shared" si="235"/>
        <v>No VP</v>
      </c>
      <c r="I718" s="271" t="str">
        <f t="shared" si="236"/>
        <v>--</v>
      </c>
      <c r="J718" s="272" t="str">
        <f t="shared" si="237"/>
        <v>No VP</v>
      </c>
      <c r="K718" s="272" t="str">
        <f t="shared" si="238"/>
        <v>No VP</v>
      </c>
      <c r="L718" s="273" t="str">
        <f t="shared" si="227"/>
        <v>--</v>
      </c>
      <c r="M718" s="7" t="str">
        <f t="shared" si="228"/>
        <v>No VP</v>
      </c>
      <c r="N718" s="7" t="str">
        <f t="shared" si="246"/>
        <v>No S</v>
      </c>
      <c r="O718" s="326">
        <f t="shared" si="229"/>
        <v>25</v>
      </c>
      <c r="P718" s="224" t="str">
        <f t="shared" si="247"/>
        <v/>
      </c>
      <c r="Q718" s="224" t="str">
        <f t="shared" si="230"/>
        <v/>
      </c>
      <c r="R718" s="224"/>
      <c r="S718" s="271" t="str">
        <f t="shared" si="242"/>
        <v/>
      </c>
      <c r="T718" s="7" t="str">
        <f t="shared" si="243"/>
        <v/>
      </c>
      <c r="U718" s="7" t="str">
        <f t="shared" si="231"/>
        <v/>
      </c>
      <c r="V718" s="7" t="str">
        <f t="shared" si="232"/>
        <v/>
      </c>
      <c r="W718" s="7" t="str">
        <f>VLOOKUP(C718,'Tox Summary'!$N$3:$S$1048576,6,FALSE)</f>
        <v/>
      </c>
      <c r="X718" s="76" t="str">
        <f t="shared" si="239"/>
        <v/>
      </c>
      <c r="Y718" s="76" t="str">
        <f t="shared" si="233"/>
        <v/>
      </c>
      <c r="AA718" s="332"/>
    </row>
    <row r="719" spans="1:27">
      <c r="A719" s="265"/>
      <c r="B719" s="269" t="s">
        <v>1606</v>
      </c>
      <c r="C719" s="269" t="s">
        <v>2361</v>
      </c>
      <c r="D719" s="280" t="str">
        <f>VLOOKUP(B719, 'Chem Props'!$1:$1048576,3,FALSE)</f>
        <v>No</v>
      </c>
      <c r="E719" s="598" t="str">
        <f t="shared" si="234"/>
        <v>No</v>
      </c>
      <c r="F719" s="7" t="str">
        <f t="shared" si="226"/>
        <v>No (not volatile)</v>
      </c>
      <c r="G719" s="270" t="str">
        <f t="shared" si="244"/>
        <v>No (not volatile)</v>
      </c>
      <c r="H719" s="76" t="str">
        <f t="shared" si="235"/>
        <v>No VP</v>
      </c>
      <c r="I719" s="271" t="str">
        <f t="shared" si="236"/>
        <v>--</v>
      </c>
      <c r="J719" s="272" t="str">
        <f t="shared" si="237"/>
        <v>No VP</v>
      </c>
      <c r="K719" s="272" t="str">
        <f t="shared" si="238"/>
        <v>No VP</v>
      </c>
      <c r="L719" s="273" t="str">
        <f t="shared" si="227"/>
        <v>--</v>
      </c>
      <c r="M719" s="7" t="str">
        <f t="shared" si="228"/>
        <v>No VP</v>
      </c>
      <c r="N719" s="7"/>
      <c r="O719" s="326">
        <f t="shared" si="229"/>
        <v>25</v>
      </c>
      <c r="P719" s="224" t="str">
        <f t="shared" si="247"/>
        <v/>
      </c>
      <c r="Q719" s="224" t="str">
        <f t="shared" si="230"/>
        <v/>
      </c>
      <c r="R719" s="224"/>
      <c r="S719" s="271" t="str">
        <f t="shared" si="242"/>
        <v/>
      </c>
      <c r="T719" s="7" t="str">
        <f t="shared" si="243"/>
        <v/>
      </c>
      <c r="U719" s="7" t="str">
        <f t="shared" si="231"/>
        <v/>
      </c>
      <c r="V719" s="7" t="str">
        <f t="shared" si="232"/>
        <v/>
      </c>
      <c r="W719" s="7" t="str">
        <f>VLOOKUP(C719,'Tox Summary'!$N$3:$S$1048576,6,FALSE)</f>
        <v/>
      </c>
      <c r="X719" s="76" t="str">
        <f t="shared" si="239"/>
        <v/>
      </c>
      <c r="Y719" s="76" t="str">
        <f t="shared" si="233"/>
        <v/>
      </c>
      <c r="AA719" s="243"/>
    </row>
    <row r="720" spans="1:27">
      <c r="A720" s="265"/>
      <c r="B720" s="269" t="s">
        <v>285</v>
      </c>
      <c r="C720" s="269" t="s">
        <v>1350</v>
      </c>
      <c r="D720" s="280" t="str">
        <f>VLOOKUP(B720, 'Chem Props'!$1:$1048576,3,FALSE)</f>
        <v>No</v>
      </c>
      <c r="E720" s="598" t="str">
        <f t="shared" si="234"/>
        <v>No</v>
      </c>
      <c r="F720" s="7" t="str">
        <f t="shared" si="226"/>
        <v>No (not volatile)</v>
      </c>
      <c r="G720" s="270" t="str">
        <f t="shared" si="244"/>
        <v>No (not volatile)</v>
      </c>
      <c r="H720" s="76" t="str">
        <f t="shared" si="235"/>
        <v>--</v>
      </c>
      <c r="I720" s="271" t="str">
        <f t="shared" si="236"/>
        <v>--</v>
      </c>
      <c r="J720" s="272" t="str">
        <f t="shared" si="237"/>
        <v>--</v>
      </c>
      <c r="K720" s="272" t="str">
        <f t="shared" si="238"/>
        <v>--</v>
      </c>
      <c r="L720" s="273" t="str">
        <f t="shared" si="227"/>
        <v>--</v>
      </c>
      <c r="M720" s="7">
        <f t="shared" si="228"/>
        <v>0.87453751236849975</v>
      </c>
      <c r="N720" s="7">
        <f>IF(INDEX(HLC,MATCH(C720,ChemNameChem,0))="","No HLC",IF(INDEX(Sol,MATCH(C720,ChemNameChem,0))="No S","No S",INDEX(HLC,MATCH(C720,ChemNameChem,0))*INDEX(Sol,MATCH(C720,ChemNameChem,0))*1000000))</f>
        <v>8.1984600000000007</v>
      </c>
      <c r="O720" s="326">
        <f t="shared" si="229"/>
        <v>25</v>
      </c>
      <c r="P720" s="224" t="str">
        <f t="shared" si="247"/>
        <v/>
      </c>
      <c r="Q720" s="224" t="str">
        <f t="shared" si="230"/>
        <v/>
      </c>
      <c r="R720" s="224"/>
      <c r="S720" s="271" t="str">
        <f t="shared" si="242"/>
        <v/>
      </c>
      <c r="T720" s="7" t="str">
        <f t="shared" si="243"/>
        <v/>
      </c>
      <c r="U720" s="7" t="str">
        <f t="shared" si="231"/>
        <v/>
      </c>
      <c r="V720" s="7" t="str">
        <f t="shared" si="232"/>
        <v/>
      </c>
      <c r="W720" s="7" t="str">
        <f>VLOOKUP(C720,'Tox Summary'!$N$3:$S$1048576,6,FALSE)</f>
        <v/>
      </c>
      <c r="X720" s="76" t="str">
        <f t="shared" si="239"/>
        <v/>
      </c>
      <c r="Y720" s="76" t="str">
        <f t="shared" si="233"/>
        <v/>
      </c>
      <c r="AA720" s="243"/>
    </row>
    <row r="721" spans="1:27">
      <c r="A721" s="98"/>
      <c r="B721" s="509" t="s">
        <v>2458</v>
      </c>
      <c r="C721" s="509" t="s">
        <v>2457</v>
      </c>
      <c r="D721" s="280" t="str">
        <f>VLOOKUP(B721, 'Chem Props'!$1:$1048576,3,FALSE)</f>
        <v>No</v>
      </c>
      <c r="E721" s="598" t="str">
        <f t="shared" si="234"/>
        <v>No</v>
      </c>
      <c r="F721" s="7" t="str">
        <f t="shared" si="226"/>
        <v>No (not volatile)</v>
      </c>
      <c r="G721" s="270" t="str">
        <f t="shared" si="244"/>
        <v>No (not volatile)</v>
      </c>
      <c r="H721" s="76" t="str">
        <f t="shared" si="235"/>
        <v>No VP</v>
      </c>
      <c r="I721" s="271" t="str">
        <f t="shared" si="236"/>
        <v>--</v>
      </c>
      <c r="J721" s="272" t="str">
        <f t="shared" si="237"/>
        <v>No VP</v>
      </c>
      <c r="K721" s="272" t="str">
        <f t="shared" si="238"/>
        <v>No VP</v>
      </c>
      <c r="L721" s="273" t="str">
        <f t="shared" si="227"/>
        <v>--</v>
      </c>
      <c r="M721" s="7" t="str">
        <f t="shared" si="228"/>
        <v>No VP</v>
      </c>
      <c r="N721" s="7" t="str">
        <f>IF(INDEX(HLC,MATCH(C721,ChemNameChem,0))="","No HLC",IF(INDEX(Sol,MATCH(C721,ChemNameChem,0))="No S","No S",INDEX(HLC,MATCH(C721,ChemNameChem,0))*INDEX(Sol,MATCH(C721,ChemNameChem,0))*1000000))</f>
        <v>No S</v>
      </c>
      <c r="O721" s="326">
        <f t="shared" si="229"/>
        <v>25</v>
      </c>
      <c r="P721" s="224"/>
      <c r="Q721" s="224" t="str">
        <f t="shared" si="230"/>
        <v/>
      </c>
      <c r="R721" s="224"/>
      <c r="S721" s="271" t="str">
        <f t="shared" si="242"/>
        <v/>
      </c>
      <c r="T721" s="7" t="str">
        <f t="shared" si="243"/>
        <v/>
      </c>
      <c r="U721" s="7" t="str">
        <f t="shared" si="231"/>
        <v/>
      </c>
      <c r="V721" s="7" t="str">
        <f t="shared" si="232"/>
        <v/>
      </c>
      <c r="W721" s="7" t="str">
        <f>VLOOKUP(C721,'Tox Summary'!$N$3:$S$1048576,6,FALSE)</f>
        <v/>
      </c>
      <c r="X721" s="76" t="str">
        <f t="shared" si="239"/>
        <v/>
      </c>
      <c r="Y721" s="76" t="str">
        <f t="shared" si="233"/>
        <v/>
      </c>
      <c r="Z721" s="243"/>
      <c r="AA721" s="243"/>
    </row>
    <row r="722" spans="1:27">
      <c r="A722" s="265"/>
      <c r="B722" s="344" t="s">
        <v>2003</v>
      </c>
      <c r="C722" s="269" t="s">
        <v>2002</v>
      </c>
      <c r="D722" s="280" t="str">
        <f>VLOOKUP(B722, 'Chem Props'!$1:$1048576,3,FALSE)</f>
        <v>No</v>
      </c>
      <c r="E722" s="598" t="str">
        <f t="shared" si="234"/>
        <v>No</v>
      </c>
      <c r="F722" s="7" t="str">
        <f t="shared" ref="F722:F743" si="248">IF(LEFT(D722,2)="No","No (not volatile)",IF(D722="unknown","unknown",IF(H722="NVT","No",IF(AND(X722="",Y722=""),"No Inhal. Tox. Info",IF(MIN(X722:Y722)&gt;=M722,"No",IF(M722&gt;H722,"Yes","No"))))))</f>
        <v>No (not volatile)</v>
      </c>
      <c r="G722" s="270" t="str">
        <f t="shared" si="244"/>
        <v>No (not volatile)</v>
      </c>
      <c r="H722" s="76" t="str">
        <f t="shared" si="235"/>
        <v>No VP</v>
      </c>
      <c r="I722" s="271" t="str">
        <f t="shared" si="236"/>
        <v>--</v>
      </c>
      <c r="J722" s="272" t="str">
        <f t="shared" si="237"/>
        <v>No VP</v>
      </c>
      <c r="K722" s="272" t="str">
        <f t="shared" si="238"/>
        <v>No VP</v>
      </c>
      <c r="L722" s="273" t="str">
        <f t="shared" ref="L722:L785" si="249">IF(INDEX(MCL,MATCH(C722,ChemNameChem,0))="","--",IF(K722&lt;INDEX(MCL,MATCH(C722,ChemNameChem,0)),"Yes ("&amp;(INDEX(MCL,MATCH(C722,ChemNameChem,0)))&amp;")","No ("&amp;(INDEX(MCL,MATCH(C722,ChemNameChem,0)))&amp;")"))</f>
        <v>--</v>
      </c>
      <c r="M722" s="7" t="str">
        <f t="shared" ref="M722:M785" si="250">IF(INDEX(_VP25,MATCH(B722,CASNoChem,0))="No VP","No VP",IF(INDEX(MW,MATCH(B722,CASNoChem,0))="No MW","No MW",INDEX(MW,MATCH(B722,CASNoChem,0))*INDEX(_VP25,MATCH(B722,CASNoChem,0))*53808.7856452378))</f>
        <v>No VP</v>
      </c>
      <c r="N722" s="7"/>
      <c r="O722" s="326">
        <f t="shared" ref="O722:O785" si="251">IF(INDEX(HTgw,MATCH(B722,CASNoChem,0),1)="",25,Tgw)</f>
        <v>25</v>
      </c>
      <c r="P722" s="224" t="str">
        <f>IF(VLOOKUP(B722,AllChemProps,32,FALSE)&gt;0,VLOOKUP(B722,AllChemProps,32,FALSE),"")</f>
        <v/>
      </c>
      <c r="Q722" s="224" t="str">
        <f t="shared" ref="Q722:Q785" si="252">IF(INDEX(LELsource,MATCH(B722,CASNoChem,0),1)="","",INDEX(LELsource,MATCH(B722,CASNoChem,0),1))</f>
        <v/>
      </c>
      <c r="R722" s="224"/>
      <c r="S722" s="271" t="str">
        <f t="shared" si="242"/>
        <v/>
      </c>
      <c r="T722" s="7" t="str">
        <f t="shared" si="243"/>
        <v/>
      </c>
      <c r="U722" s="7" t="str">
        <f t="shared" ref="U722:U785" si="253">IF(INDEX(RFC,MATCH(B722,CASNoTox,0))=" ","",INDEX(RFC,MATCH(B722,CASNoTox,0)))</f>
        <v/>
      </c>
      <c r="V722" s="7" t="str">
        <f t="shared" ref="V722:V785" si="254">IF(INDEX(RFCSource,MATCH(B722,CASNoTox,0))="","",SUBSTITUTE(INDEX(RFCSource,MATCH(B722,CASNoTox,0)),"C","CA"))</f>
        <v/>
      </c>
      <c r="W722" s="7" t="str">
        <f>VLOOKUP(C722,'Tox Summary'!$N$3:$S$1048576,6,FALSE)</f>
        <v/>
      </c>
      <c r="X722" s="76" t="str">
        <f t="shared" si="239"/>
        <v/>
      </c>
      <c r="Y722" s="76" t="str">
        <f t="shared" ref="Y722:Y785" si="255">IF(U722="","",THQ*Atnc*365*24*U722*1000/(EF*ED*ET))</f>
        <v/>
      </c>
      <c r="AA722" s="332"/>
    </row>
    <row r="723" spans="1:27">
      <c r="A723" s="265"/>
      <c r="B723" s="344" t="s">
        <v>286</v>
      </c>
      <c r="C723" s="269" t="s">
        <v>1351</v>
      </c>
      <c r="D723" s="280" t="str">
        <f>VLOOKUP(B723, 'Chem Props'!$1:$1048576,3,FALSE)</f>
        <v>No</v>
      </c>
      <c r="E723" s="598" t="str">
        <f t="shared" ref="E723:E786" si="256">IF(OR(ISNUMBER(S723),ISNUMBER(U723)),"Yes","No")</f>
        <v>No</v>
      </c>
      <c r="F723" s="7" t="str">
        <f t="shared" si="248"/>
        <v>No (not volatile)</v>
      </c>
      <c r="G723" s="270" t="str">
        <f t="shared" si="244"/>
        <v>No (not volatile)</v>
      </c>
      <c r="H723" s="76" t="str">
        <f t="shared" si="235"/>
        <v>No VP</v>
      </c>
      <c r="I723" s="271" t="str">
        <f t="shared" si="236"/>
        <v>--</v>
      </c>
      <c r="J723" s="272" t="str">
        <f t="shared" si="237"/>
        <v>No VP</v>
      </c>
      <c r="K723" s="272" t="str">
        <f t="shared" si="238"/>
        <v>No VP</v>
      </c>
      <c r="L723" s="273" t="str">
        <f t="shared" si="249"/>
        <v>No (2)</v>
      </c>
      <c r="M723" s="7" t="str">
        <f t="shared" si="250"/>
        <v>No VP</v>
      </c>
      <c r="N723" s="7" t="str">
        <f>IF(INDEX(HLC,MATCH(C723,ChemNameChem,0))="","No HLC",IF(INDEX(Sol,MATCH(C723,ChemNameChem,0))="No S","No S",INDEX(HLC,MATCH(C723,ChemNameChem,0))*INDEX(Sol,MATCH(C723,ChemNameChem,0))*1000000))</f>
        <v>No S</v>
      </c>
      <c r="O723" s="326">
        <f t="shared" si="251"/>
        <v>25</v>
      </c>
      <c r="P723" s="224" t="str">
        <f>IF(VLOOKUP(B723,AllChemProps,32,FALSE)&gt;0,VLOOKUP(B723,AllChemProps,32,FALSE),"")</f>
        <v/>
      </c>
      <c r="Q723" s="224" t="str">
        <f t="shared" si="252"/>
        <v/>
      </c>
      <c r="R723" s="224"/>
      <c r="S723" s="271" t="str">
        <f t="shared" si="242"/>
        <v/>
      </c>
      <c r="T723" s="7" t="str">
        <f t="shared" si="243"/>
        <v/>
      </c>
      <c r="U723" s="7" t="str">
        <f t="shared" si="253"/>
        <v/>
      </c>
      <c r="V723" s="7" t="str">
        <f t="shared" si="254"/>
        <v/>
      </c>
      <c r="W723" s="7" t="str">
        <f>VLOOKUP(C723,'Tox Summary'!$N$3:$S$1048576,6,FALSE)</f>
        <v/>
      </c>
      <c r="X723" s="76" t="str">
        <f t="shared" si="239"/>
        <v/>
      </c>
      <c r="Y723" s="76" t="str">
        <f t="shared" si="255"/>
        <v/>
      </c>
      <c r="AA723" s="332"/>
    </row>
    <row r="724" spans="1:27">
      <c r="A724" s="265"/>
      <c r="B724" s="269" t="s">
        <v>2005</v>
      </c>
      <c r="C724" s="269" t="s">
        <v>2004</v>
      </c>
      <c r="D724" s="280" t="str">
        <f>VLOOKUP(B724, 'Chem Props'!$1:$1048576,3,FALSE)</f>
        <v>Yes</v>
      </c>
      <c r="E724" s="598" t="str">
        <f t="shared" si="256"/>
        <v>No</v>
      </c>
      <c r="F724" s="7" t="str">
        <f t="shared" si="248"/>
        <v>No Inhal. Tox. Info</v>
      </c>
      <c r="G724" s="270" t="str">
        <f t="shared" si="244"/>
        <v>No Inhal. Tox. Info</v>
      </c>
      <c r="H724" s="76" t="str">
        <f t="shared" si="235"/>
        <v>--</v>
      </c>
      <c r="I724" s="271" t="str">
        <f t="shared" si="236"/>
        <v>--</v>
      </c>
      <c r="J724" s="272" t="str">
        <f t="shared" si="237"/>
        <v>--</v>
      </c>
      <c r="K724" s="272" t="str">
        <f t="shared" si="238"/>
        <v>--</v>
      </c>
      <c r="L724" s="273" t="str">
        <f t="shared" si="249"/>
        <v>--</v>
      </c>
      <c r="M724" s="7">
        <f t="shared" si="250"/>
        <v>208362361.62562755</v>
      </c>
      <c r="N724" s="7"/>
      <c r="O724" s="326">
        <f t="shared" si="251"/>
        <v>25</v>
      </c>
      <c r="P724" s="224" t="str">
        <f>IF(VLOOKUP(B724,AllChemProps,32,FALSE)&gt;0,VLOOKUP(B724,AllChemProps,32,FALSE),"")</f>
        <v/>
      </c>
      <c r="Q724" s="224" t="str">
        <f t="shared" si="252"/>
        <v/>
      </c>
      <c r="R724" s="224"/>
      <c r="S724" s="271" t="str">
        <f t="shared" si="242"/>
        <v/>
      </c>
      <c r="T724" s="7" t="str">
        <f t="shared" si="243"/>
        <v/>
      </c>
      <c r="U724" s="7" t="str">
        <f t="shared" si="253"/>
        <v/>
      </c>
      <c r="V724" s="7" t="str">
        <f t="shared" si="254"/>
        <v/>
      </c>
      <c r="W724" s="7" t="str">
        <f>VLOOKUP(C724,'Tox Summary'!$N$3:$S$1048576,6,FALSE)</f>
        <v/>
      </c>
      <c r="X724" s="76" t="str">
        <f t="shared" si="239"/>
        <v/>
      </c>
      <c r="Y724" s="76" t="str">
        <f t="shared" si="255"/>
        <v/>
      </c>
      <c r="AA724" s="243"/>
    </row>
    <row r="725" spans="1:27">
      <c r="A725" s="265"/>
      <c r="B725" s="344" t="s">
        <v>2007</v>
      </c>
      <c r="C725" s="269" t="s">
        <v>2006</v>
      </c>
      <c r="D725" s="280" t="str">
        <f>VLOOKUP(B725, 'Chem Props'!$1:$1048576,3,FALSE)</f>
        <v>Yes</v>
      </c>
      <c r="E725" s="598" t="str">
        <f t="shared" si="256"/>
        <v>No</v>
      </c>
      <c r="F725" s="7" t="str">
        <f t="shared" si="248"/>
        <v>No Inhal. Tox. Info</v>
      </c>
      <c r="G725" s="270" t="str">
        <f t="shared" si="244"/>
        <v>No Inhal. Tox. Info</v>
      </c>
      <c r="H725" s="76" t="str">
        <f t="shared" si="235"/>
        <v>--</v>
      </c>
      <c r="I725" s="271" t="str">
        <f t="shared" si="236"/>
        <v>--</v>
      </c>
      <c r="J725" s="272" t="str">
        <f t="shared" si="237"/>
        <v>--</v>
      </c>
      <c r="K725" s="272" t="str">
        <f t="shared" si="238"/>
        <v>--</v>
      </c>
      <c r="L725" s="273" t="str">
        <f t="shared" si="249"/>
        <v>--</v>
      </c>
      <c r="M725" s="7">
        <f t="shared" si="250"/>
        <v>146544864.65570232</v>
      </c>
      <c r="N725" s="7"/>
      <c r="O725" s="326">
        <f t="shared" si="251"/>
        <v>25</v>
      </c>
      <c r="P725" s="224" t="str">
        <f>IF(VLOOKUP(B725,AllChemProps,32,FALSE)&gt;0,VLOOKUP(B725,AllChemProps,32,FALSE),"")</f>
        <v/>
      </c>
      <c r="Q725" s="224" t="str">
        <f t="shared" si="252"/>
        <v/>
      </c>
      <c r="R725" s="224"/>
      <c r="S725" s="271" t="str">
        <f t="shared" si="242"/>
        <v/>
      </c>
      <c r="T725" s="7" t="str">
        <f t="shared" si="243"/>
        <v/>
      </c>
      <c r="U725" s="7" t="str">
        <f t="shared" si="253"/>
        <v/>
      </c>
      <c r="V725" s="7" t="str">
        <f t="shared" si="254"/>
        <v/>
      </c>
      <c r="W725" s="7" t="str">
        <f>VLOOKUP(C725,'Tox Summary'!$N$3:$S$1048576,6,FALSE)</f>
        <v/>
      </c>
      <c r="X725" s="76" t="str">
        <f t="shared" si="239"/>
        <v/>
      </c>
      <c r="Y725" s="76" t="str">
        <f t="shared" si="255"/>
        <v/>
      </c>
      <c r="AA725" s="332"/>
    </row>
    <row r="726" spans="1:27">
      <c r="A726" s="265"/>
      <c r="B726" s="344" t="s">
        <v>2009</v>
      </c>
      <c r="C726" s="269" t="s">
        <v>2008</v>
      </c>
      <c r="D726" s="280" t="str">
        <f>VLOOKUP(B726, 'Chem Props'!$1:$1048576,3,FALSE)</f>
        <v>No</v>
      </c>
      <c r="E726" s="598" t="str">
        <f t="shared" si="256"/>
        <v>No</v>
      </c>
      <c r="F726" s="7" t="str">
        <f t="shared" si="248"/>
        <v>No (not volatile)</v>
      </c>
      <c r="G726" s="270" t="str">
        <f t="shared" si="244"/>
        <v>No (not volatile)</v>
      </c>
      <c r="H726" s="76" t="str">
        <f t="shared" ref="H726:H789" si="257">IF(ISNUMBER(M726),IF(AND(X726="",Y726=""),"--",IF(MIN(X726:Y726)&gt;=M726,"NVT",MIN(X726:Y726))),M726)</f>
        <v>No VP</v>
      </c>
      <c r="I726" s="271" t="str">
        <f t="shared" ref="I726:I789" si="258">IF(AND(S726="",U726=""),"--",IF(MIN(X726,Y726)=X726,"C","NC"))</f>
        <v>--</v>
      </c>
      <c r="J726" s="272" t="str">
        <f t="shared" ref="J726:J789" si="259">IF(ISNUMBER(H726),IF(OR(H726="--",H726="NVT"),H726,IF(H726/Afss&gt;=M726,"NVT",H726/Afss)),H726)</f>
        <v>No VP</v>
      </c>
      <c r="K726" s="272" t="str">
        <f t="shared" ref="K726:K789" si="260">IF(ISNUMBER(H726),IF(H726="--","--", IF(LEFT(N726,2)="No",N726,IF(H726*0.001/(INDEX(HLC,MATCH(C726,ChemNameChem,0))*AFgw)&gt;=1000*INDEX(PWCS,MATCH(C726,ChemNameChem,0)), "NVT", H726*0.001/(INDEX(HLC,MATCH(C726,ChemNameChem,0))*AFgw)))),H726)</f>
        <v>No VP</v>
      </c>
      <c r="L726" s="273" t="str">
        <f t="shared" si="249"/>
        <v>--</v>
      </c>
      <c r="M726" s="7" t="str">
        <f t="shared" si="250"/>
        <v>No VP</v>
      </c>
      <c r="N726" s="7"/>
      <c r="O726" s="326">
        <f t="shared" si="251"/>
        <v>25</v>
      </c>
      <c r="P726" s="224" t="str">
        <f>IF(VLOOKUP(B726,AllChemProps,32,FALSE)&gt;0,VLOOKUP(B726,AllChemProps,32,FALSE),"")</f>
        <v/>
      </c>
      <c r="Q726" s="224" t="str">
        <f t="shared" si="252"/>
        <v/>
      </c>
      <c r="R726" s="224"/>
      <c r="S726" s="271" t="str">
        <f t="shared" si="242"/>
        <v/>
      </c>
      <c r="T726" s="7" t="str">
        <f t="shared" si="243"/>
        <v/>
      </c>
      <c r="U726" s="7" t="str">
        <f t="shared" si="253"/>
        <v/>
      </c>
      <c r="V726" s="7" t="str">
        <f t="shared" si="254"/>
        <v/>
      </c>
      <c r="W726" s="7" t="str">
        <f>VLOOKUP(C726,'Tox Summary'!$N$3:$S$1048576,6,FALSE)</f>
        <v/>
      </c>
      <c r="X726" s="76" t="str">
        <f t="shared" ref="X726:X789" si="261">IF(S726="","",IF(W726&lt;&gt;"TCE",TCR/(IF(AND(W726="VC",Scenario="Residential"),S726,0)+(EF*IF(W726="Mut",MMOAAF,ED)*ET*S726/(Atc*365*24))), 1/((EF*MMOAAF*ET*mIURTCE/(TCR*Atc*365*24))+EF*ED*ET*IURTCE/(TCR*Atc*365*24))))</f>
        <v/>
      </c>
      <c r="Y726" s="76" t="str">
        <f t="shared" si="255"/>
        <v/>
      </c>
      <c r="AA726" s="332"/>
    </row>
    <row r="727" spans="1:27">
      <c r="A727" s="98"/>
      <c r="B727" s="509" t="s">
        <v>2460</v>
      </c>
      <c r="C727" s="509" t="s">
        <v>2459</v>
      </c>
      <c r="D727" s="280" t="str">
        <f>VLOOKUP(B727, 'Chem Props'!$1:$1048576,3,FALSE)</f>
        <v>No</v>
      </c>
      <c r="E727" s="598" t="str">
        <f t="shared" si="256"/>
        <v>No</v>
      </c>
      <c r="F727" s="7" t="str">
        <f t="shared" si="248"/>
        <v>No (not volatile)</v>
      </c>
      <c r="G727" s="270" t="str">
        <f t="shared" si="244"/>
        <v>No (not volatile)</v>
      </c>
      <c r="H727" s="76" t="str">
        <f t="shared" si="257"/>
        <v>No VP</v>
      </c>
      <c r="I727" s="271" t="str">
        <f t="shared" si="258"/>
        <v>--</v>
      </c>
      <c r="J727" s="272" t="str">
        <f t="shared" si="259"/>
        <v>No VP</v>
      </c>
      <c r="K727" s="272" t="str">
        <f t="shared" si="260"/>
        <v>No VP</v>
      </c>
      <c r="L727" s="273" t="str">
        <f t="shared" si="249"/>
        <v>--</v>
      </c>
      <c r="M727" s="7" t="str">
        <f t="shared" si="250"/>
        <v>No VP</v>
      </c>
      <c r="N727" s="7" t="str">
        <f>IF(INDEX(HLC,MATCH(C727,ChemNameChem,0))="","No HLC",IF(INDEX(Sol,MATCH(C727,ChemNameChem,0))="No S","No S",INDEX(HLC,MATCH(C727,ChemNameChem,0))*INDEX(Sol,MATCH(C727,ChemNameChem,0))*1000000))</f>
        <v>No S</v>
      </c>
      <c r="O727" s="326">
        <f t="shared" si="251"/>
        <v>25</v>
      </c>
      <c r="P727" s="224"/>
      <c r="Q727" s="224" t="str">
        <f t="shared" si="252"/>
        <v/>
      </c>
      <c r="R727" s="224"/>
      <c r="S727" s="271" t="str">
        <f t="shared" si="242"/>
        <v/>
      </c>
      <c r="T727" s="7" t="str">
        <f t="shared" si="243"/>
        <v/>
      </c>
      <c r="U727" s="7" t="str">
        <f t="shared" si="253"/>
        <v/>
      </c>
      <c r="V727" s="7" t="str">
        <f t="shared" si="254"/>
        <v/>
      </c>
      <c r="W727" s="7" t="str">
        <f>VLOOKUP(C727,'Tox Summary'!$N$3:$S$1048576,6,FALSE)</f>
        <v/>
      </c>
      <c r="X727" s="76" t="str">
        <f t="shared" si="261"/>
        <v/>
      </c>
      <c r="Y727" s="76" t="str">
        <f t="shared" si="255"/>
        <v/>
      </c>
      <c r="Z727" s="243"/>
      <c r="AA727" s="243"/>
    </row>
    <row r="728" spans="1:27">
      <c r="A728" s="265"/>
      <c r="B728" s="344" t="s">
        <v>2011</v>
      </c>
      <c r="C728" s="269" t="s">
        <v>2010</v>
      </c>
      <c r="D728" s="280" t="str">
        <f>VLOOKUP(B728, 'Chem Props'!$1:$1048576,3,FALSE)</f>
        <v>No</v>
      </c>
      <c r="E728" s="598" t="str">
        <f t="shared" si="256"/>
        <v>No</v>
      </c>
      <c r="F728" s="7" t="str">
        <f t="shared" si="248"/>
        <v>No (not volatile)</v>
      </c>
      <c r="G728" s="270" t="str">
        <f t="shared" si="244"/>
        <v>No (not volatile)</v>
      </c>
      <c r="H728" s="76" t="str">
        <f t="shared" si="257"/>
        <v>No VP</v>
      </c>
      <c r="I728" s="271" t="str">
        <f t="shared" si="258"/>
        <v>--</v>
      </c>
      <c r="J728" s="272" t="str">
        <f t="shared" si="259"/>
        <v>No VP</v>
      </c>
      <c r="K728" s="272" t="str">
        <f t="shared" si="260"/>
        <v>No VP</v>
      </c>
      <c r="L728" s="273" t="str">
        <f t="shared" si="249"/>
        <v>--</v>
      </c>
      <c r="M728" s="7" t="str">
        <f t="shared" si="250"/>
        <v>No VP</v>
      </c>
      <c r="N728" s="7"/>
      <c r="O728" s="326">
        <f t="shared" si="251"/>
        <v>25</v>
      </c>
      <c r="P728" s="224" t="str">
        <f t="shared" ref="P728:P739" si="262">IF(VLOOKUP(B728,AllChemProps,32,FALSE)&gt;0,VLOOKUP(B728,AllChemProps,32,FALSE),"")</f>
        <v/>
      </c>
      <c r="Q728" s="224" t="str">
        <f t="shared" si="252"/>
        <v/>
      </c>
      <c r="R728" s="224"/>
      <c r="S728" s="271" t="str">
        <f t="shared" si="242"/>
        <v/>
      </c>
      <c r="T728" s="7" t="str">
        <f t="shared" si="243"/>
        <v/>
      </c>
      <c r="U728" s="7" t="str">
        <f t="shared" si="253"/>
        <v/>
      </c>
      <c r="V728" s="7" t="str">
        <f t="shared" si="254"/>
        <v/>
      </c>
      <c r="W728" s="7" t="str">
        <f>VLOOKUP(C728,'Tox Summary'!$N$3:$S$1048576,6,FALSE)</f>
        <v/>
      </c>
      <c r="X728" s="76" t="str">
        <f t="shared" si="261"/>
        <v/>
      </c>
      <c r="Y728" s="76" t="str">
        <f t="shared" si="255"/>
        <v/>
      </c>
      <c r="AA728" s="332"/>
    </row>
    <row r="729" spans="1:27">
      <c r="A729" s="265"/>
      <c r="B729" s="344" t="s">
        <v>958</v>
      </c>
      <c r="C729" s="269" t="s">
        <v>2320</v>
      </c>
      <c r="D729" s="280" t="str">
        <f>VLOOKUP(B729, 'Chem Props'!$1:$1048576,3,FALSE)</f>
        <v>No</v>
      </c>
      <c r="E729" s="598" t="str">
        <f t="shared" si="256"/>
        <v>No</v>
      </c>
      <c r="F729" s="7" t="str">
        <f t="shared" si="248"/>
        <v>No (not volatile)</v>
      </c>
      <c r="G729" s="270" t="str">
        <f t="shared" si="244"/>
        <v>No (not volatile)</v>
      </c>
      <c r="H729" s="76" t="str">
        <f t="shared" si="257"/>
        <v>--</v>
      </c>
      <c r="I729" s="271" t="str">
        <f t="shared" si="258"/>
        <v>--</v>
      </c>
      <c r="J729" s="272" t="str">
        <f t="shared" si="259"/>
        <v>--</v>
      </c>
      <c r="K729" s="272" t="str">
        <f t="shared" si="260"/>
        <v>--</v>
      </c>
      <c r="L729" s="273" t="str">
        <f t="shared" si="249"/>
        <v>--</v>
      </c>
      <c r="M729" s="7">
        <f t="shared" si="250"/>
        <v>2.6682270155475355E-3</v>
      </c>
      <c r="N729" s="7">
        <f t="shared" ref="N729:N760" si="263">IF(INDEX(HLC,MATCH(C729,ChemNameChem,0))="","No HLC",IF(INDEX(Sol,MATCH(C729,ChemNameChem,0))="No S","No S",INDEX(HLC,MATCH(C729,ChemNameChem,0))*INDEX(Sol,MATCH(C729,ChemNameChem,0))*1000000))</f>
        <v>3.7363199999999996E-3</v>
      </c>
      <c r="O729" s="326">
        <f t="shared" si="251"/>
        <v>25</v>
      </c>
      <c r="P729" s="224" t="str">
        <f t="shared" si="262"/>
        <v/>
      </c>
      <c r="Q729" s="224" t="str">
        <f t="shared" si="252"/>
        <v/>
      </c>
      <c r="R729" s="224"/>
      <c r="S729" s="271" t="str">
        <f t="shared" si="242"/>
        <v/>
      </c>
      <c r="T729" s="7" t="str">
        <f t="shared" si="243"/>
        <v/>
      </c>
      <c r="U729" s="7" t="str">
        <f t="shared" si="253"/>
        <v/>
      </c>
      <c r="V729" s="7" t="str">
        <f t="shared" si="254"/>
        <v/>
      </c>
      <c r="W729" s="7" t="str">
        <f>VLOOKUP(C729,'Tox Summary'!$N$3:$S$1048576,6,FALSE)</f>
        <v/>
      </c>
      <c r="X729" s="76" t="str">
        <f t="shared" si="261"/>
        <v/>
      </c>
      <c r="Y729" s="76" t="str">
        <f t="shared" si="255"/>
        <v/>
      </c>
      <c r="AA729" s="332"/>
    </row>
    <row r="730" spans="1:27">
      <c r="A730" s="265"/>
      <c r="B730" s="269" t="s">
        <v>287</v>
      </c>
      <c r="C730" s="269" t="s">
        <v>1352</v>
      </c>
      <c r="D730" s="280" t="str">
        <f>VLOOKUP(B730, 'Chem Props'!$1:$1048576,3,FALSE)</f>
        <v>No</v>
      </c>
      <c r="E730" s="598" t="str">
        <f t="shared" si="256"/>
        <v>No</v>
      </c>
      <c r="F730" s="7" t="str">
        <f t="shared" si="248"/>
        <v>No (not volatile)</v>
      </c>
      <c r="G730" s="270" t="str">
        <f t="shared" si="244"/>
        <v>No (not volatile)</v>
      </c>
      <c r="H730" s="76" t="str">
        <f t="shared" si="257"/>
        <v>--</v>
      </c>
      <c r="I730" s="271" t="str">
        <f t="shared" si="258"/>
        <v>--</v>
      </c>
      <c r="J730" s="272" t="str">
        <f t="shared" si="259"/>
        <v>--</v>
      </c>
      <c r="K730" s="272" t="str">
        <f t="shared" si="260"/>
        <v>--</v>
      </c>
      <c r="L730" s="273" t="str">
        <f t="shared" si="249"/>
        <v>--</v>
      </c>
      <c r="M730" s="7">
        <f t="shared" si="250"/>
        <v>305.1582327998467</v>
      </c>
      <c r="N730" s="7">
        <f t="shared" si="263"/>
        <v>305.20000000000005</v>
      </c>
      <c r="O730" s="326">
        <f t="shared" si="251"/>
        <v>25</v>
      </c>
      <c r="P730" s="224" t="str">
        <f t="shared" si="262"/>
        <v/>
      </c>
      <c r="Q730" s="224" t="str">
        <f t="shared" si="252"/>
        <v/>
      </c>
      <c r="R730" s="224"/>
      <c r="S730" s="271" t="str">
        <f t="shared" si="242"/>
        <v/>
      </c>
      <c r="T730" s="7" t="str">
        <f t="shared" si="243"/>
        <v/>
      </c>
      <c r="U730" s="7" t="str">
        <f t="shared" si="253"/>
        <v/>
      </c>
      <c r="V730" s="7" t="str">
        <f t="shared" si="254"/>
        <v/>
      </c>
      <c r="W730" s="7" t="str">
        <f>VLOOKUP(C730,'Tox Summary'!$N$3:$S$1048576,6,FALSE)</f>
        <v/>
      </c>
      <c r="X730" s="76" t="str">
        <f t="shared" si="261"/>
        <v/>
      </c>
      <c r="Y730" s="76" t="str">
        <f t="shared" si="255"/>
        <v/>
      </c>
      <c r="AA730" s="243"/>
    </row>
    <row r="731" spans="1:27">
      <c r="A731" s="265"/>
      <c r="B731" s="269" t="s">
        <v>2167</v>
      </c>
      <c r="C731" s="269" t="s">
        <v>2409</v>
      </c>
      <c r="D731" s="280" t="str">
        <f>VLOOKUP(B731, 'Chem Props'!$1:$1048576,3,FALSE)</f>
        <v>No</v>
      </c>
      <c r="E731" s="598" t="str">
        <f t="shared" si="256"/>
        <v>No</v>
      </c>
      <c r="F731" s="7" t="str">
        <f t="shared" si="248"/>
        <v>No (not volatile)</v>
      </c>
      <c r="G731" s="270" t="str">
        <f t="shared" si="244"/>
        <v>No (not volatile)</v>
      </c>
      <c r="H731" s="76" t="str">
        <f t="shared" si="257"/>
        <v>No VP</v>
      </c>
      <c r="I731" s="271" t="str">
        <f t="shared" si="258"/>
        <v>--</v>
      </c>
      <c r="J731" s="272" t="str">
        <f t="shared" si="259"/>
        <v>No VP</v>
      </c>
      <c r="K731" s="272" t="str">
        <f t="shared" si="260"/>
        <v>No VP</v>
      </c>
      <c r="L731" s="273" t="str">
        <f t="shared" si="249"/>
        <v>--</v>
      </c>
      <c r="M731" s="7" t="str">
        <f t="shared" si="250"/>
        <v>No VP</v>
      </c>
      <c r="N731" s="7" t="str">
        <f t="shared" si="263"/>
        <v>No S</v>
      </c>
      <c r="O731" s="326">
        <f t="shared" si="251"/>
        <v>25</v>
      </c>
      <c r="P731" s="224" t="str">
        <f t="shared" si="262"/>
        <v/>
      </c>
      <c r="Q731" s="224" t="str">
        <f t="shared" si="252"/>
        <v/>
      </c>
      <c r="R731" s="224"/>
      <c r="S731" s="271" t="str">
        <f t="shared" si="242"/>
        <v/>
      </c>
      <c r="T731" s="7" t="str">
        <f t="shared" si="243"/>
        <v/>
      </c>
      <c r="U731" s="7" t="str">
        <f t="shared" si="253"/>
        <v/>
      </c>
      <c r="V731" s="7" t="str">
        <f t="shared" si="254"/>
        <v/>
      </c>
      <c r="W731" s="7" t="str">
        <f>VLOOKUP(C731,'Tox Summary'!$N$3:$S$1048576,6,FALSE)</f>
        <v/>
      </c>
      <c r="X731" s="76" t="str">
        <f t="shared" si="261"/>
        <v/>
      </c>
      <c r="Y731" s="76" t="str">
        <f t="shared" si="255"/>
        <v/>
      </c>
      <c r="AA731" s="243"/>
    </row>
    <row r="732" spans="1:27">
      <c r="A732" s="265"/>
      <c r="B732" s="344" t="s">
        <v>799</v>
      </c>
      <c r="C732" s="269" t="s">
        <v>2369</v>
      </c>
      <c r="D732" s="280" t="str">
        <f>VLOOKUP(B732, 'Chem Props'!$1:$1048576,3,FALSE)</f>
        <v>Yes</v>
      </c>
      <c r="E732" s="598" t="str">
        <f t="shared" si="256"/>
        <v>No</v>
      </c>
      <c r="F732" s="7" t="str">
        <f t="shared" si="248"/>
        <v>No Inhal. Tox. Info</v>
      </c>
      <c r="G732" s="270" t="str">
        <f t="shared" si="244"/>
        <v>No Inhal. Tox. Info</v>
      </c>
      <c r="H732" s="76" t="str">
        <f t="shared" si="257"/>
        <v>--</v>
      </c>
      <c r="I732" s="271" t="str">
        <f t="shared" si="258"/>
        <v>--</v>
      </c>
      <c r="J732" s="272" t="str">
        <f t="shared" si="259"/>
        <v>--</v>
      </c>
      <c r="K732" s="272" t="str">
        <f t="shared" si="260"/>
        <v>--</v>
      </c>
      <c r="L732" s="273" t="str">
        <f t="shared" si="249"/>
        <v>--</v>
      </c>
      <c r="M732" s="7">
        <f t="shared" si="250"/>
        <v>15039324.210065693</v>
      </c>
      <c r="N732" s="7" t="str">
        <f t="shared" si="263"/>
        <v>No S</v>
      </c>
      <c r="O732" s="326">
        <f t="shared" si="251"/>
        <v>25</v>
      </c>
      <c r="P732" s="224" t="str">
        <f t="shared" si="262"/>
        <v/>
      </c>
      <c r="Q732" s="224" t="str">
        <f t="shared" si="252"/>
        <v/>
      </c>
      <c r="R732" s="224"/>
      <c r="S732" s="271" t="str">
        <f t="shared" si="242"/>
        <v/>
      </c>
      <c r="T732" s="7" t="str">
        <f t="shared" si="243"/>
        <v/>
      </c>
      <c r="U732" s="7" t="str">
        <f t="shared" si="253"/>
        <v/>
      </c>
      <c r="V732" s="7" t="str">
        <f t="shared" si="254"/>
        <v/>
      </c>
      <c r="W732" s="7" t="str">
        <f>VLOOKUP(C732,'Tox Summary'!$N$3:$S$1048576,6,FALSE)</f>
        <v/>
      </c>
      <c r="X732" s="76" t="str">
        <f t="shared" si="261"/>
        <v/>
      </c>
      <c r="Y732" s="76" t="str">
        <f t="shared" si="255"/>
        <v/>
      </c>
      <c r="AA732" s="332"/>
    </row>
    <row r="733" spans="1:27">
      <c r="A733" s="265"/>
      <c r="B733" s="344" t="s">
        <v>288</v>
      </c>
      <c r="C733" s="269" t="s">
        <v>619</v>
      </c>
      <c r="D733" s="280" t="str">
        <f>VLOOKUP(B733, 'Chem Props'!$1:$1048576,3,FALSE)</f>
        <v>No</v>
      </c>
      <c r="E733" s="598" t="str">
        <f t="shared" si="256"/>
        <v>No</v>
      </c>
      <c r="F733" s="7" t="str">
        <f t="shared" si="248"/>
        <v>No (not volatile)</v>
      </c>
      <c r="G733" s="270" t="str">
        <f t="shared" si="244"/>
        <v>No (not volatile)</v>
      </c>
      <c r="H733" s="76" t="str">
        <f t="shared" si="257"/>
        <v>--</v>
      </c>
      <c r="I733" s="271" t="str">
        <f t="shared" si="258"/>
        <v>--</v>
      </c>
      <c r="J733" s="272" t="str">
        <f t="shared" si="259"/>
        <v>--</v>
      </c>
      <c r="K733" s="272" t="str">
        <f t="shared" si="260"/>
        <v>--</v>
      </c>
      <c r="L733" s="273" t="str">
        <f t="shared" si="249"/>
        <v>--</v>
      </c>
      <c r="M733" s="7">
        <f t="shared" si="250"/>
        <v>21236.912523112886</v>
      </c>
      <c r="N733" s="7">
        <f t="shared" si="263"/>
        <v>75634</v>
      </c>
      <c r="O733" s="326">
        <f t="shared" si="251"/>
        <v>25</v>
      </c>
      <c r="P733" s="224" t="str">
        <f t="shared" si="262"/>
        <v/>
      </c>
      <c r="Q733" s="224" t="str">
        <f t="shared" si="252"/>
        <v/>
      </c>
      <c r="R733" s="224"/>
      <c r="S733" s="271" t="str">
        <f t="shared" si="242"/>
        <v/>
      </c>
      <c r="T733" s="7" t="str">
        <f t="shared" si="243"/>
        <v/>
      </c>
      <c r="U733" s="7" t="str">
        <f t="shared" si="253"/>
        <v/>
      </c>
      <c r="V733" s="7" t="str">
        <f t="shared" si="254"/>
        <v/>
      </c>
      <c r="W733" s="7" t="str">
        <f>VLOOKUP(C733,'Tox Summary'!$N$3:$S$1048576,6,FALSE)</f>
        <v/>
      </c>
      <c r="X733" s="76" t="str">
        <f t="shared" si="261"/>
        <v/>
      </c>
      <c r="Y733" s="76" t="str">
        <f t="shared" si="255"/>
        <v/>
      </c>
      <c r="AA733" s="332"/>
    </row>
    <row r="734" spans="1:27">
      <c r="A734" s="265"/>
      <c r="B734" s="344" t="s">
        <v>289</v>
      </c>
      <c r="C734" s="269" t="s">
        <v>1353</v>
      </c>
      <c r="D734" s="280" t="str">
        <f>VLOOKUP(B734, 'Chem Props'!$1:$1048576,3,FALSE)</f>
        <v>No</v>
      </c>
      <c r="E734" s="598" t="str">
        <f t="shared" si="256"/>
        <v>No</v>
      </c>
      <c r="F734" s="7" t="str">
        <f t="shared" si="248"/>
        <v>No (not volatile)</v>
      </c>
      <c r="G734" s="270" t="str">
        <f t="shared" si="244"/>
        <v>No (not volatile)</v>
      </c>
      <c r="H734" s="76" t="str">
        <f t="shared" si="257"/>
        <v>--</v>
      </c>
      <c r="I734" s="271" t="str">
        <f t="shared" si="258"/>
        <v>--</v>
      </c>
      <c r="J734" s="272" t="str">
        <f t="shared" si="259"/>
        <v>--</v>
      </c>
      <c r="K734" s="272" t="str">
        <f t="shared" si="260"/>
        <v>--</v>
      </c>
      <c r="L734" s="273" t="str">
        <f t="shared" si="249"/>
        <v>--</v>
      </c>
      <c r="M734" s="7">
        <f t="shared" si="250"/>
        <v>1997.0807939516137</v>
      </c>
      <c r="N734" s="7">
        <f t="shared" si="263"/>
        <v>1996.2280000000001</v>
      </c>
      <c r="O734" s="326">
        <f t="shared" si="251"/>
        <v>25</v>
      </c>
      <c r="P734" s="224" t="str">
        <f t="shared" si="262"/>
        <v/>
      </c>
      <c r="Q734" s="224" t="str">
        <f t="shared" si="252"/>
        <v/>
      </c>
      <c r="R734" s="224"/>
      <c r="S734" s="271" t="str">
        <f t="shared" si="242"/>
        <v/>
      </c>
      <c r="T734" s="7" t="str">
        <f t="shared" si="243"/>
        <v/>
      </c>
      <c r="U734" s="7" t="str">
        <f t="shared" si="253"/>
        <v/>
      </c>
      <c r="V734" s="7" t="str">
        <f t="shared" si="254"/>
        <v/>
      </c>
      <c r="W734" s="7" t="str">
        <f>VLOOKUP(C734,'Tox Summary'!$N$3:$S$1048576,6,FALSE)</f>
        <v/>
      </c>
      <c r="X734" s="76" t="str">
        <f t="shared" si="261"/>
        <v/>
      </c>
      <c r="Y734" s="76" t="str">
        <f t="shared" si="255"/>
        <v/>
      </c>
      <c r="AA734" s="332"/>
    </row>
    <row r="735" spans="1:27">
      <c r="A735" s="265"/>
      <c r="B735" s="344" t="s">
        <v>290</v>
      </c>
      <c r="C735" s="269" t="s">
        <v>1354</v>
      </c>
      <c r="D735" s="280" t="str">
        <f>VLOOKUP(B735, 'Chem Props'!$1:$1048576,3,FALSE)</f>
        <v>No</v>
      </c>
      <c r="E735" s="598" t="str">
        <f t="shared" si="256"/>
        <v>No</v>
      </c>
      <c r="F735" s="7" t="str">
        <f t="shared" si="248"/>
        <v>No (not volatile)</v>
      </c>
      <c r="G735" s="270" t="str">
        <f t="shared" si="244"/>
        <v>No (not volatile)</v>
      </c>
      <c r="H735" s="76" t="str">
        <f t="shared" si="257"/>
        <v>--</v>
      </c>
      <c r="I735" s="271" t="str">
        <f t="shared" si="258"/>
        <v>--</v>
      </c>
      <c r="J735" s="272" t="str">
        <f t="shared" si="259"/>
        <v>--</v>
      </c>
      <c r="K735" s="272" t="str">
        <f t="shared" si="260"/>
        <v>--</v>
      </c>
      <c r="L735" s="273" t="str">
        <f t="shared" si="249"/>
        <v>--</v>
      </c>
      <c r="M735" s="7">
        <f t="shared" si="250"/>
        <v>1.3136403410114676</v>
      </c>
      <c r="N735" s="7">
        <f t="shared" si="263"/>
        <v>1.3158754000000001</v>
      </c>
      <c r="O735" s="326">
        <f t="shared" si="251"/>
        <v>25</v>
      </c>
      <c r="P735" s="224" t="str">
        <f t="shared" si="262"/>
        <v/>
      </c>
      <c r="Q735" s="224" t="str">
        <f t="shared" si="252"/>
        <v/>
      </c>
      <c r="R735" s="224"/>
      <c r="S735" s="271" t="str">
        <f t="shared" si="242"/>
        <v/>
      </c>
      <c r="T735" s="7" t="str">
        <f t="shared" si="243"/>
        <v/>
      </c>
      <c r="U735" s="7" t="str">
        <f t="shared" si="253"/>
        <v/>
      </c>
      <c r="V735" s="7" t="str">
        <f t="shared" si="254"/>
        <v/>
      </c>
      <c r="W735" s="7" t="str">
        <f>VLOOKUP(C735,'Tox Summary'!$N$3:$S$1048576,6,FALSE)</f>
        <v/>
      </c>
      <c r="X735" s="76" t="str">
        <f t="shared" si="261"/>
        <v/>
      </c>
      <c r="Y735" s="76" t="str">
        <f t="shared" si="255"/>
        <v/>
      </c>
      <c r="AA735" s="332"/>
    </row>
    <row r="736" spans="1:27">
      <c r="A736" s="265"/>
      <c r="B736" s="344" t="s">
        <v>291</v>
      </c>
      <c r="C736" s="269" t="s">
        <v>1355</v>
      </c>
      <c r="D736" s="280" t="str">
        <f>VLOOKUP(B736, 'Chem Props'!$1:$1048576,3,FALSE)</f>
        <v>No</v>
      </c>
      <c r="E736" s="598" t="str">
        <f t="shared" si="256"/>
        <v>No</v>
      </c>
      <c r="F736" s="7" t="str">
        <f t="shared" si="248"/>
        <v>No (not volatile)</v>
      </c>
      <c r="G736" s="270" t="str">
        <f t="shared" si="244"/>
        <v>No (not volatile)</v>
      </c>
      <c r="H736" s="76" t="str">
        <f t="shared" si="257"/>
        <v>--</v>
      </c>
      <c r="I736" s="271" t="str">
        <f t="shared" si="258"/>
        <v>--</v>
      </c>
      <c r="J736" s="272" t="str">
        <f t="shared" si="259"/>
        <v>--</v>
      </c>
      <c r="K736" s="272" t="str">
        <f t="shared" si="260"/>
        <v>--</v>
      </c>
      <c r="L736" s="273" t="str">
        <f t="shared" si="249"/>
        <v>--</v>
      </c>
      <c r="M736" s="7">
        <f t="shared" si="250"/>
        <v>223.81436155544225</v>
      </c>
      <c r="N736" s="7">
        <f t="shared" si="263"/>
        <v>223.22099999999998</v>
      </c>
      <c r="O736" s="326">
        <f t="shared" si="251"/>
        <v>25</v>
      </c>
      <c r="P736" s="224" t="str">
        <f t="shared" si="262"/>
        <v/>
      </c>
      <c r="Q736" s="224" t="str">
        <f t="shared" si="252"/>
        <v/>
      </c>
      <c r="R736" s="224"/>
      <c r="S736" s="271" t="str">
        <f t="shared" si="242"/>
        <v/>
      </c>
      <c r="T736" s="7" t="str">
        <f t="shared" si="243"/>
        <v/>
      </c>
      <c r="U736" s="7" t="str">
        <f t="shared" si="253"/>
        <v/>
      </c>
      <c r="V736" s="7" t="str">
        <f t="shared" si="254"/>
        <v/>
      </c>
      <c r="W736" s="7" t="str">
        <f>VLOOKUP(C736,'Tox Summary'!$N$3:$S$1048576,6,FALSE)</f>
        <v/>
      </c>
      <c r="X736" s="76" t="str">
        <f t="shared" si="261"/>
        <v/>
      </c>
      <c r="Y736" s="76" t="str">
        <f t="shared" si="255"/>
        <v/>
      </c>
      <c r="AA736" s="332"/>
    </row>
    <row r="737" spans="1:27">
      <c r="A737" s="265"/>
      <c r="B737" s="344" t="s">
        <v>292</v>
      </c>
      <c r="C737" s="269" t="s">
        <v>1356</v>
      </c>
      <c r="D737" s="280" t="str">
        <f>VLOOKUP(B737, 'Chem Props'!$1:$1048576,3,FALSE)</f>
        <v>No</v>
      </c>
      <c r="E737" s="598" t="str">
        <f t="shared" si="256"/>
        <v>No</v>
      </c>
      <c r="F737" s="7" t="str">
        <f t="shared" si="248"/>
        <v>No (not volatile)</v>
      </c>
      <c r="G737" s="270" t="str">
        <f t="shared" si="244"/>
        <v>No (not volatile)</v>
      </c>
      <c r="H737" s="76" t="str">
        <f t="shared" si="257"/>
        <v>--</v>
      </c>
      <c r="I737" s="271" t="str">
        <f t="shared" si="258"/>
        <v>--</v>
      </c>
      <c r="J737" s="272" t="str">
        <f t="shared" si="259"/>
        <v>--</v>
      </c>
      <c r="K737" s="272" t="str">
        <f t="shared" si="260"/>
        <v>--</v>
      </c>
      <c r="L737" s="273" t="str">
        <f t="shared" si="249"/>
        <v>--</v>
      </c>
      <c r="M737" s="7">
        <f t="shared" si="250"/>
        <v>0</v>
      </c>
      <c r="N737" s="7" t="str">
        <f t="shared" si="263"/>
        <v>No S</v>
      </c>
      <c r="O737" s="326">
        <f t="shared" si="251"/>
        <v>25</v>
      </c>
      <c r="P737" s="224" t="str">
        <f t="shared" si="262"/>
        <v/>
      </c>
      <c r="Q737" s="224" t="str">
        <f t="shared" si="252"/>
        <v/>
      </c>
      <c r="R737" s="224"/>
      <c r="S737" s="271" t="str">
        <f t="shared" si="242"/>
        <v/>
      </c>
      <c r="T737" s="7" t="str">
        <f t="shared" si="243"/>
        <v/>
      </c>
      <c r="U737" s="7" t="str">
        <f t="shared" si="253"/>
        <v/>
      </c>
      <c r="V737" s="7" t="str">
        <f t="shared" si="254"/>
        <v/>
      </c>
      <c r="W737" s="7" t="str">
        <f>VLOOKUP(C737,'Tox Summary'!$N$3:$S$1048576,6,FALSE)</f>
        <v/>
      </c>
      <c r="X737" s="76" t="str">
        <f t="shared" si="261"/>
        <v/>
      </c>
      <c r="Y737" s="76" t="str">
        <f t="shared" si="255"/>
        <v/>
      </c>
      <c r="AA737" s="332"/>
    </row>
    <row r="738" spans="1:27">
      <c r="A738" s="265"/>
      <c r="B738" s="344" t="s">
        <v>293</v>
      </c>
      <c r="C738" s="269" t="s">
        <v>620</v>
      </c>
      <c r="D738" s="280" t="str">
        <f>VLOOKUP(B738, 'Chem Props'!$1:$1048576,3,FALSE)</f>
        <v>Yes</v>
      </c>
      <c r="E738" s="598" t="str">
        <f t="shared" si="256"/>
        <v>Yes</v>
      </c>
      <c r="F738" s="7" t="str">
        <f t="shared" si="248"/>
        <v>Yes</v>
      </c>
      <c r="G738" s="270" t="str">
        <f t="shared" si="244"/>
        <v>Yes</v>
      </c>
      <c r="H738" s="76">
        <f t="shared" si="257"/>
        <v>0.10428571428571429</v>
      </c>
      <c r="I738" s="271" t="str">
        <f t="shared" si="258"/>
        <v>NC</v>
      </c>
      <c r="J738" s="272">
        <f t="shared" si="259"/>
        <v>3.4761904761904763</v>
      </c>
      <c r="K738" s="272" t="str">
        <f t="shared" si="260"/>
        <v>No S</v>
      </c>
      <c r="L738" s="273" t="str">
        <f t="shared" si="249"/>
        <v>--</v>
      </c>
      <c r="M738" s="7">
        <f t="shared" si="250"/>
        <v>102063966.5240306</v>
      </c>
      <c r="N738" s="7" t="str">
        <f t="shared" si="263"/>
        <v>No S</v>
      </c>
      <c r="O738" s="326">
        <f t="shared" si="251"/>
        <v>25</v>
      </c>
      <c r="P738" s="224" t="str">
        <f t="shared" si="262"/>
        <v/>
      </c>
      <c r="Q738" s="224" t="str">
        <f t="shared" si="252"/>
        <v/>
      </c>
      <c r="R738" s="224"/>
      <c r="S738" s="271" t="str">
        <f t="shared" si="242"/>
        <v/>
      </c>
      <c r="T738" s="7" t="str">
        <f t="shared" si="243"/>
        <v/>
      </c>
      <c r="U738" s="7">
        <f t="shared" si="253"/>
        <v>1E-4</v>
      </c>
      <c r="V738" s="7" t="str">
        <f t="shared" si="254"/>
        <v>A</v>
      </c>
      <c r="W738" s="7" t="str">
        <f>VLOOKUP(C738,'Tox Summary'!$N$3:$S$1048576,6,FALSE)</f>
        <v/>
      </c>
      <c r="X738" s="76" t="str">
        <f t="shared" si="261"/>
        <v/>
      </c>
      <c r="Y738" s="76">
        <f t="shared" si="255"/>
        <v>0.10428571428571429</v>
      </c>
      <c r="AA738" s="332"/>
    </row>
    <row r="739" spans="1:27">
      <c r="A739" s="265"/>
      <c r="B739" s="344" t="s">
        <v>294</v>
      </c>
      <c r="C739" s="269" t="s">
        <v>398</v>
      </c>
      <c r="D739" s="280" t="str">
        <f>VLOOKUP(B739, 'Chem Props'!$1:$1048576,3,FALSE)</f>
        <v>Yes</v>
      </c>
      <c r="E739" s="598" t="str">
        <f t="shared" si="256"/>
        <v>Yes</v>
      </c>
      <c r="F739" s="7" t="str">
        <f t="shared" si="248"/>
        <v>Yes</v>
      </c>
      <c r="G739" s="270" t="str">
        <f t="shared" si="244"/>
        <v>Yes</v>
      </c>
      <c r="H739" s="76">
        <f t="shared" si="257"/>
        <v>5214.2857142857147</v>
      </c>
      <c r="I739" s="271" t="str">
        <f t="shared" si="258"/>
        <v>NC</v>
      </c>
      <c r="J739" s="272">
        <f t="shared" si="259"/>
        <v>173809.52380952382</v>
      </c>
      <c r="K739" s="272">
        <f t="shared" si="260"/>
        <v>19208.047466716398</v>
      </c>
      <c r="L739" s="273" t="str">
        <f t="shared" si="249"/>
        <v>No (1000)</v>
      </c>
      <c r="M739" s="7">
        <f t="shared" si="250"/>
        <v>140808595.20462742</v>
      </c>
      <c r="N739" s="7">
        <f t="shared" si="263"/>
        <v>142789853.60000002</v>
      </c>
      <c r="O739" s="326">
        <f t="shared" si="251"/>
        <v>25</v>
      </c>
      <c r="P739" s="224">
        <f t="shared" si="262"/>
        <v>1.1000000000000001</v>
      </c>
      <c r="Q739" s="224" t="str">
        <f t="shared" si="252"/>
        <v>N</v>
      </c>
      <c r="R739" s="224"/>
      <c r="S739" s="271" t="str">
        <f t="shared" si="242"/>
        <v/>
      </c>
      <c r="T739" s="7" t="str">
        <f t="shared" si="243"/>
        <v/>
      </c>
      <c r="U739" s="7">
        <f t="shared" si="253"/>
        <v>5</v>
      </c>
      <c r="V739" s="7" t="str">
        <f t="shared" si="254"/>
        <v>I</v>
      </c>
      <c r="W739" s="7" t="str">
        <f>VLOOKUP(C739,'Tox Summary'!$N$3:$S$1048576,6,FALSE)</f>
        <v/>
      </c>
      <c r="X739" s="76" t="str">
        <f t="shared" si="261"/>
        <v/>
      </c>
      <c r="Y739" s="76">
        <f t="shared" si="255"/>
        <v>5214.2857142857147</v>
      </c>
      <c r="AA739" s="332"/>
    </row>
    <row r="740" spans="1:27">
      <c r="A740" s="98"/>
      <c r="B740" s="509" t="s">
        <v>2462</v>
      </c>
      <c r="C740" s="509" t="s">
        <v>2461</v>
      </c>
      <c r="D740" s="280" t="str">
        <f>VLOOKUP(B740, 'Chem Props'!$1:$1048576,3,FALSE)</f>
        <v>Yes</v>
      </c>
      <c r="E740" s="598" t="str">
        <f t="shared" si="256"/>
        <v>Yes</v>
      </c>
      <c r="F740" s="7" t="str">
        <f t="shared" si="248"/>
        <v>Yes</v>
      </c>
      <c r="G740" s="270" t="str">
        <f t="shared" si="244"/>
        <v>Yes</v>
      </c>
      <c r="H740" s="76">
        <f t="shared" si="257"/>
        <v>8.3428571428571432E-3</v>
      </c>
      <c r="I740" s="271" t="str">
        <f t="shared" si="258"/>
        <v>NC</v>
      </c>
      <c r="J740" s="272">
        <f t="shared" si="259"/>
        <v>0.27809523809523812</v>
      </c>
      <c r="K740" s="272">
        <f t="shared" si="260"/>
        <v>18.384436189636716</v>
      </c>
      <c r="L740" s="273" t="str">
        <f t="shared" si="249"/>
        <v>--</v>
      </c>
      <c r="M740" s="7">
        <f t="shared" si="250"/>
        <v>74970.704863796927</v>
      </c>
      <c r="N740" s="7">
        <f t="shared" si="263"/>
        <v>17049.266</v>
      </c>
      <c r="O740" s="326">
        <f t="shared" si="251"/>
        <v>25</v>
      </c>
      <c r="P740" s="224"/>
      <c r="Q740" s="224" t="str">
        <f t="shared" si="252"/>
        <v/>
      </c>
      <c r="R740" s="224"/>
      <c r="S740" s="271">
        <f t="shared" si="242"/>
        <v>1.1E-5</v>
      </c>
      <c r="T740" s="7" t="str">
        <f t="shared" si="243"/>
        <v>CA</v>
      </c>
      <c r="U740" s="7">
        <f t="shared" si="253"/>
        <v>7.9999999999999996E-6</v>
      </c>
      <c r="V740" s="7" t="str">
        <f t="shared" si="254"/>
        <v>CA</v>
      </c>
      <c r="W740" s="7" t="str">
        <f>VLOOKUP(C740,'Tox Summary'!$N$3:$S$1048576,6,FALSE)</f>
        <v/>
      </c>
      <c r="X740" s="76">
        <f t="shared" si="261"/>
        <v>0.25524475524475526</v>
      </c>
      <c r="Y740" s="76">
        <f t="shared" si="255"/>
        <v>8.3428571428571432E-3</v>
      </c>
      <c r="Z740" s="243"/>
      <c r="AA740" s="243"/>
    </row>
    <row r="741" spans="1:27">
      <c r="A741" s="265"/>
      <c r="B741" s="344" t="s">
        <v>1613</v>
      </c>
      <c r="C741" s="269" t="s">
        <v>1612</v>
      </c>
      <c r="D741" s="280" t="str">
        <f>VLOOKUP(B741, 'Chem Props'!$1:$1048576,3,FALSE)</f>
        <v>No</v>
      </c>
      <c r="E741" s="598" t="str">
        <f t="shared" si="256"/>
        <v>No</v>
      </c>
      <c r="F741" s="7" t="str">
        <f t="shared" si="248"/>
        <v>No (not volatile)</v>
      </c>
      <c r="G741" s="270" t="str">
        <f t="shared" si="244"/>
        <v>No (not volatile)</v>
      </c>
      <c r="H741" s="76" t="str">
        <f t="shared" si="257"/>
        <v>--</v>
      </c>
      <c r="I741" s="271" t="str">
        <f t="shared" si="258"/>
        <v>--</v>
      </c>
      <c r="J741" s="272" t="str">
        <f t="shared" si="259"/>
        <v>--</v>
      </c>
      <c r="K741" s="272" t="str">
        <f t="shared" si="260"/>
        <v>--</v>
      </c>
      <c r="L741" s="273" t="str">
        <f t="shared" si="249"/>
        <v>--</v>
      </c>
      <c r="M741" s="7">
        <f t="shared" si="250"/>
        <v>22350.985763747583</v>
      </c>
      <c r="N741" s="7">
        <f t="shared" si="263"/>
        <v>23450.272000000001</v>
      </c>
      <c r="O741" s="326">
        <f t="shared" si="251"/>
        <v>25</v>
      </c>
      <c r="P741" s="224" t="str">
        <f>IF(VLOOKUP(B741,AllChemProps,32,FALSE)&gt;0,VLOOKUP(B741,AllChemProps,32,FALSE),"")</f>
        <v/>
      </c>
      <c r="Q741" s="224" t="str">
        <f t="shared" si="252"/>
        <v/>
      </c>
      <c r="R741" s="224"/>
      <c r="S741" s="271" t="str">
        <f t="shared" ref="S741:S804" si="264">IF(INDEX(IUR,MATCH(B741,CASNoTox,0))=" ","",IF(W741="TCE","see note",INDEX(IUR,MATCH(B741,CASNoTox,0))))</f>
        <v/>
      </c>
      <c r="T741" s="7" t="str">
        <f t="shared" ref="T741:T804" si="265">IF(INDEX(IURSource,MATCH(B741,CASNoTox,0))="","",SUBSTITUTE(INDEX(IURSource,MATCH(B741,CASNoTox,0)),"C","CA"))</f>
        <v/>
      </c>
      <c r="U741" s="7" t="str">
        <f t="shared" si="253"/>
        <v/>
      </c>
      <c r="V741" s="7" t="str">
        <f t="shared" si="254"/>
        <v/>
      </c>
      <c r="W741" s="7" t="str">
        <f>VLOOKUP(C741,'Tox Summary'!$N$3:$S$1048576,6,FALSE)</f>
        <v/>
      </c>
      <c r="X741" s="76" t="str">
        <f t="shared" si="261"/>
        <v/>
      </c>
      <c r="Y741" s="76" t="str">
        <f t="shared" si="255"/>
        <v/>
      </c>
      <c r="AA741" s="332"/>
    </row>
    <row r="742" spans="1:27">
      <c r="A742" s="98"/>
      <c r="B742" s="509" t="s">
        <v>2464</v>
      </c>
      <c r="C742" s="509" t="s">
        <v>2463</v>
      </c>
      <c r="D742" s="280" t="str">
        <f>VLOOKUP(B742, 'Chem Props'!$1:$1048576,3,FALSE)</f>
        <v>Yes</v>
      </c>
      <c r="E742" s="598" t="str">
        <f t="shared" si="256"/>
        <v>Yes</v>
      </c>
      <c r="F742" s="7" t="str">
        <f t="shared" si="248"/>
        <v>Yes</v>
      </c>
      <c r="G742" s="270" t="str">
        <f t="shared" si="244"/>
        <v>Yes</v>
      </c>
      <c r="H742" s="76">
        <f t="shared" si="257"/>
        <v>8.3428571428571432E-3</v>
      </c>
      <c r="I742" s="271" t="str">
        <f t="shared" si="258"/>
        <v>NC</v>
      </c>
      <c r="J742" s="272">
        <f t="shared" si="259"/>
        <v>0.27809523809523812</v>
      </c>
      <c r="K742" s="272">
        <f t="shared" si="260"/>
        <v>18.384436189636716</v>
      </c>
      <c r="L742" s="273" t="str">
        <f t="shared" si="249"/>
        <v>--</v>
      </c>
      <c r="M742" s="7">
        <f t="shared" si="250"/>
        <v>195860.96645666944</v>
      </c>
      <c r="N742" s="7">
        <f t="shared" si="263"/>
        <v>17049.266</v>
      </c>
      <c r="O742" s="326">
        <f t="shared" si="251"/>
        <v>25</v>
      </c>
      <c r="P742" s="224"/>
      <c r="Q742" s="224" t="str">
        <f t="shared" si="252"/>
        <v/>
      </c>
      <c r="R742" s="224"/>
      <c r="S742" s="271">
        <f t="shared" si="264"/>
        <v>1.1E-5</v>
      </c>
      <c r="T742" s="7" t="str">
        <f t="shared" si="265"/>
        <v>CA</v>
      </c>
      <c r="U742" s="7">
        <f t="shared" si="253"/>
        <v>7.9999999999999996E-6</v>
      </c>
      <c r="V742" s="7" t="str">
        <f t="shared" si="254"/>
        <v>CA</v>
      </c>
      <c r="W742" s="7" t="str">
        <f>VLOOKUP(C742,'Tox Summary'!$N$3:$S$1048576,6,FALSE)</f>
        <v/>
      </c>
      <c r="X742" s="76">
        <f t="shared" si="261"/>
        <v>0.25524475524475526</v>
      </c>
      <c r="Y742" s="76">
        <f t="shared" si="255"/>
        <v>8.3428571428571432E-3</v>
      </c>
      <c r="Z742" s="243"/>
      <c r="AA742" s="243"/>
    </row>
    <row r="743" spans="1:27">
      <c r="A743" s="265"/>
      <c r="B743" s="96" t="s">
        <v>2510</v>
      </c>
      <c r="C743" s="96" t="s">
        <v>2509</v>
      </c>
      <c r="D743" s="280" t="str">
        <f>VLOOKUP(B743, 'Chem Props'!$1:$1048576,3,FALSE)</f>
        <v>No</v>
      </c>
      <c r="E743" s="598" t="str">
        <f t="shared" si="256"/>
        <v>No</v>
      </c>
      <c r="F743" s="7" t="str">
        <f t="shared" si="248"/>
        <v>No (not volatile)</v>
      </c>
      <c r="G743" s="270" t="str">
        <f t="shared" si="244"/>
        <v>No (not volatile)</v>
      </c>
      <c r="H743" s="76" t="str">
        <f t="shared" si="257"/>
        <v>--</v>
      </c>
      <c r="I743" s="271" t="str">
        <f t="shared" si="258"/>
        <v>--</v>
      </c>
      <c r="J743" s="272" t="str">
        <f t="shared" si="259"/>
        <v>--</v>
      </c>
      <c r="K743" s="272" t="str">
        <f t="shared" si="260"/>
        <v>--</v>
      </c>
      <c r="L743" s="273" t="str">
        <f t="shared" si="249"/>
        <v>--</v>
      </c>
      <c r="M743" s="7">
        <f t="shared" si="250"/>
        <v>372.1641612124356</v>
      </c>
      <c r="N743" s="7">
        <f t="shared" si="263"/>
        <v>3910.0000000000005</v>
      </c>
      <c r="O743" s="326">
        <f t="shared" si="251"/>
        <v>25</v>
      </c>
      <c r="P743" s="224" t="str">
        <f t="shared" ref="P743:P754" si="266">IF(VLOOKUP(B743,AllChemProps,32,FALSE)&gt;0,VLOOKUP(B743,AllChemProps,32,FALSE),"")</f>
        <v/>
      </c>
      <c r="Q743" s="224" t="str">
        <f t="shared" si="252"/>
        <v/>
      </c>
      <c r="R743" s="224"/>
      <c r="S743" s="271" t="str">
        <f t="shared" si="264"/>
        <v/>
      </c>
      <c r="T743" s="7" t="str">
        <f t="shared" si="265"/>
        <v/>
      </c>
      <c r="U743" s="7" t="str">
        <f t="shared" si="253"/>
        <v/>
      </c>
      <c r="V743" s="7" t="str">
        <f t="shared" si="254"/>
        <v/>
      </c>
      <c r="W743" s="7" t="str">
        <f>VLOOKUP(C743,'Tox Summary'!$N$3:$S$1048576,6,FALSE)</f>
        <v/>
      </c>
      <c r="X743" s="76" t="str">
        <f t="shared" si="261"/>
        <v/>
      </c>
      <c r="Y743" s="76" t="str">
        <f t="shared" si="255"/>
        <v/>
      </c>
      <c r="AA743" s="332"/>
    </row>
    <row r="744" spans="1:27">
      <c r="A744" s="265"/>
      <c r="B744" s="344" t="s">
        <v>2432</v>
      </c>
      <c r="C744" s="269" t="s">
        <v>2431</v>
      </c>
      <c r="D744" s="280" t="str">
        <f>VLOOKUP(B744, 'Chem Props'!$1:$1048576,3,FALSE)</f>
        <v>No</v>
      </c>
      <c r="E744" s="598" t="str">
        <f t="shared" si="256"/>
        <v>Yes</v>
      </c>
      <c r="F744" s="7"/>
      <c r="G744" s="270"/>
      <c r="H744" s="76" t="str">
        <f t="shared" si="257"/>
        <v>No MW</v>
      </c>
      <c r="I744" s="271" t="str">
        <f t="shared" si="258"/>
        <v>C</v>
      </c>
      <c r="J744" s="272" t="str">
        <f t="shared" si="259"/>
        <v>No MW</v>
      </c>
      <c r="K744" s="272" t="str">
        <f t="shared" si="260"/>
        <v>No MW</v>
      </c>
      <c r="L744" s="273" t="str">
        <f t="shared" si="249"/>
        <v>--</v>
      </c>
      <c r="M744" s="7" t="str">
        <f t="shared" si="250"/>
        <v>No MW</v>
      </c>
      <c r="N744" s="7" t="str">
        <f t="shared" si="263"/>
        <v>No HLC</v>
      </c>
      <c r="O744" s="326">
        <f t="shared" si="251"/>
        <v>25</v>
      </c>
      <c r="P744" s="224" t="str">
        <f t="shared" si="266"/>
        <v/>
      </c>
      <c r="Q744" s="224" t="str">
        <f t="shared" si="252"/>
        <v/>
      </c>
      <c r="R744" s="224"/>
      <c r="S744" s="271">
        <f t="shared" si="264"/>
        <v>5.1E-5</v>
      </c>
      <c r="T744" s="7" t="str">
        <f t="shared" si="265"/>
        <v>CA</v>
      </c>
      <c r="U744" s="7" t="str">
        <f t="shared" si="253"/>
        <v/>
      </c>
      <c r="V744" s="7" t="str">
        <f t="shared" si="254"/>
        <v/>
      </c>
      <c r="W744" s="7" t="str">
        <f>VLOOKUP(C744,'Tox Summary'!$N$3:$S$1048576,6,FALSE)</f>
        <v/>
      </c>
      <c r="X744" s="76">
        <f t="shared" si="261"/>
        <v>5.5052790346907993E-2</v>
      </c>
      <c r="Y744" s="76" t="str">
        <f t="shared" si="255"/>
        <v/>
      </c>
      <c r="AA744" s="332"/>
    </row>
    <row r="745" spans="1:27">
      <c r="A745" s="265"/>
      <c r="B745" s="344" t="s">
        <v>295</v>
      </c>
      <c r="C745" s="269" t="s">
        <v>1357</v>
      </c>
      <c r="D745" s="280" t="str">
        <f>VLOOKUP(B745, 'Chem Props'!$1:$1048576,3,FALSE)</f>
        <v>No</v>
      </c>
      <c r="E745" s="598" t="str">
        <f t="shared" si="256"/>
        <v>No</v>
      </c>
      <c r="F745" s="7" t="str">
        <f t="shared" ref="F745:F776" si="267">IF(LEFT(D745,2)="No","No (not volatile)",IF(D745="unknown","unknown",IF(H745="NVT","No",IF(AND(X745="",Y745=""),"No Inhal. Tox. Info",IF(MIN(X745:Y745)&gt;=M745,"No",IF(M745&gt;H745,"Yes","No"))))))</f>
        <v>No (not volatile)</v>
      </c>
      <c r="G745" s="270" t="str">
        <f t="shared" ref="G745:G776" si="268">IF(LEFT(D745,2)="No","No (not volatile)",IF(D745="unknown","unknown",IF(H745="NVT","No",IF(AND(X745="",Y745=""),"No Inhal. Tox. Info",IF(MIN(X745:Y745)&gt;=N745,"No",IF(N745&gt;H745,"Yes","No"))))))</f>
        <v>No (not volatile)</v>
      </c>
      <c r="H745" s="76" t="str">
        <f t="shared" si="257"/>
        <v>--</v>
      </c>
      <c r="I745" s="271" t="str">
        <f t="shared" si="258"/>
        <v>--</v>
      </c>
      <c r="J745" s="272" t="str">
        <f t="shared" si="259"/>
        <v>--</v>
      </c>
      <c r="K745" s="272" t="str">
        <f t="shared" si="260"/>
        <v>--</v>
      </c>
      <c r="L745" s="273" t="str">
        <f t="shared" si="249"/>
        <v>--</v>
      </c>
      <c r="M745" s="7">
        <f t="shared" si="250"/>
        <v>1650560.285714129</v>
      </c>
      <c r="N745" s="7">
        <f t="shared" si="263"/>
        <v>536900</v>
      </c>
      <c r="O745" s="326">
        <f t="shared" si="251"/>
        <v>25</v>
      </c>
      <c r="P745" s="224" t="str">
        <f t="shared" si="266"/>
        <v/>
      </c>
      <c r="Q745" s="224" t="str">
        <f t="shared" si="252"/>
        <v/>
      </c>
      <c r="R745" s="224"/>
      <c r="S745" s="271" t="str">
        <f t="shared" si="264"/>
        <v/>
      </c>
      <c r="T745" s="7" t="str">
        <f t="shared" si="265"/>
        <v/>
      </c>
      <c r="U745" s="7" t="str">
        <f t="shared" si="253"/>
        <v/>
      </c>
      <c r="V745" s="7" t="str">
        <f t="shared" si="254"/>
        <v/>
      </c>
      <c r="W745" s="7" t="str">
        <f>VLOOKUP(C745,'Tox Summary'!$N$3:$S$1048576,6,FALSE)</f>
        <v/>
      </c>
      <c r="X745" s="76" t="str">
        <f t="shared" si="261"/>
        <v/>
      </c>
      <c r="Y745" s="76" t="str">
        <f t="shared" si="255"/>
        <v/>
      </c>
      <c r="AA745" s="332"/>
    </row>
    <row r="746" spans="1:27">
      <c r="A746" s="265"/>
      <c r="B746" s="344" t="s">
        <v>296</v>
      </c>
      <c r="C746" s="269" t="s">
        <v>399</v>
      </c>
      <c r="D746" s="280" t="str">
        <f>VLOOKUP(B746, 'Chem Props'!$1:$1048576,3,FALSE)</f>
        <v>No</v>
      </c>
      <c r="E746" s="598" t="str">
        <f t="shared" si="256"/>
        <v>Yes</v>
      </c>
      <c r="F746" s="7" t="str">
        <f t="shared" si="267"/>
        <v>No (not volatile)</v>
      </c>
      <c r="G746" s="270" t="str">
        <f t="shared" si="268"/>
        <v>No (not volatile)</v>
      </c>
      <c r="H746" s="76">
        <f t="shared" si="257"/>
        <v>8.7740384615384599E-3</v>
      </c>
      <c r="I746" s="271" t="str">
        <f t="shared" si="258"/>
        <v>C</v>
      </c>
      <c r="J746" s="272">
        <f t="shared" si="259"/>
        <v>0.29246794871794868</v>
      </c>
      <c r="K746" s="272">
        <f t="shared" si="260"/>
        <v>35.768603593715689</v>
      </c>
      <c r="L746" s="273" t="str">
        <f t="shared" si="249"/>
        <v>No (3)</v>
      </c>
      <c r="M746" s="7">
        <f t="shared" si="250"/>
        <v>161.36498263480644</v>
      </c>
      <c r="N746" s="7">
        <f t="shared" si="263"/>
        <v>134.91500000000002</v>
      </c>
      <c r="O746" s="326">
        <f t="shared" si="251"/>
        <v>25</v>
      </c>
      <c r="P746" s="224" t="str">
        <f t="shared" si="266"/>
        <v/>
      </c>
      <c r="Q746" s="224" t="str">
        <f t="shared" si="252"/>
        <v/>
      </c>
      <c r="R746" s="224"/>
      <c r="S746" s="271">
        <f t="shared" si="264"/>
        <v>3.2000000000000003E-4</v>
      </c>
      <c r="T746" s="7" t="str">
        <f t="shared" si="265"/>
        <v>I</v>
      </c>
      <c r="U746" s="7" t="str">
        <f t="shared" si="253"/>
        <v/>
      </c>
      <c r="V746" s="7" t="str">
        <f t="shared" si="254"/>
        <v/>
      </c>
      <c r="W746" s="7" t="str">
        <f>VLOOKUP(C746,'Tox Summary'!$N$3:$S$1048576,6,FALSE)</f>
        <v/>
      </c>
      <c r="X746" s="76">
        <f t="shared" si="261"/>
        <v>8.7740384615384599E-3</v>
      </c>
      <c r="Y746" s="76" t="str">
        <f t="shared" si="255"/>
        <v/>
      </c>
      <c r="AA746" s="332"/>
    </row>
    <row r="747" spans="1:27">
      <c r="A747" s="265"/>
      <c r="B747" s="344" t="s">
        <v>297</v>
      </c>
      <c r="C747" s="269" t="s">
        <v>1358</v>
      </c>
      <c r="D747" s="280" t="str">
        <f>VLOOKUP(B747, 'Chem Props'!$1:$1048576,3,FALSE)</f>
        <v>No</v>
      </c>
      <c r="E747" s="598" t="str">
        <f t="shared" si="256"/>
        <v>No</v>
      </c>
      <c r="F747" s="7" t="str">
        <f t="shared" si="267"/>
        <v>No (not volatile)</v>
      </c>
      <c r="G747" s="270" t="str">
        <f t="shared" si="268"/>
        <v>No (not volatile)</v>
      </c>
      <c r="H747" s="76" t="str">
        <f t="shared" si="257"/>
        <v>--</v>
      </c>
      <c r="I747" s="271" t="str">
        <f t="shared" si="258"/>
        <v>--</v>
      </c>
      <c r="J747" s="272" t="str">
        <f t="shared" si="259"/>
        <v>--</v>
      </c>
      <c r="K747" s="272" t="str">
        <f t="shared" si="260"/>
        <v>--</v>
      </c>
      <c r="L747" s="273" t="str">
        <f t="shared" si="249"/>
        <v>--</v>
      </c>
      <c r="M747" s="7">
        <f t="shared" si="250"/>
        <v>1.2882210706726574E-3</v>
      </c>
      <c r="N747" s="7">
        <f t="shared" si="263"/>
        <v>1.28864E-3</v>
      </c>
      <c r="O747" s="326">
        <f t="shared" si="251"/>
        <v>25</v>
      </c>
      <c r="P747" s="224" t="str">
        <f t="shared" si="266"/>
        <v/>
      </c>
      <c r="Q747" s="224" t="str">
        <f t="shared" si="252"/>
        <v/>
      </c>
      <c r="R747" s="224"/>
      <c r="S747" s="271" t="str">
        <f t="shared" si="264"/>
        <v/>
      </c>
      <c r="T747" s="7" t="str">
        <f t="shared" si="265"/>
        <v/>
      </c>
      <c r="U747" s="7" t="str">
        <f t="shared" si="253"/>
        <v/>
      </c>
      <c r="V747" s="7" t="str">
        <f t="shared" si="254"/>
        <v/>
      </c>
      <c r="W747" s="7" t="str">
        <f>VLOOKUP(C747,'Tox Summary'!$N$3:$S$1048576,6,FALSE)</f>
        <v/>
      </c>
      <c r="X747" s="76" t="str">
        <f t="shared" si="261"/>
        <v/>
      </c>
      <c r="Y747" s="76" t="str">
        <f t="shared" si="255"/>
        <v/>
      </c>
      <c r="AA747" s="332"/>
    </row>
    <row r="748" spans="1:27">
      <c r="A748" s="265"/>
      <c r="B748" s="344" t="s">
        <v>2013</v>
      </c>
      <c r="C748" s="269" t="s">
        <v>2012</v>
      </c>
      <c r="D748" s="280" t="str">
        <f>VLOOKUP(B748, 'Chem Props'!$1:$1048576,3,FALSE)</f>
        <v>No</v>
      </c>
      <c r="E748" s="598" t="str">
        <f t="shared" si="256"/>
        <v>No</v>
      </c>
      <c r="F748" s="7" t="str">
        <f t="shared" si="267"/>
        <v>No (not volatile)</v>
      </c>
      <c r="G748" s="270" t="str">
        <f t="shared" si="268"/>
        <v>No (not volatile)</v>
      </c>
      <c r="H748" s="76" t="str">
        <f t="shared" si="257"/>
        <v>--</v>
      </c>
      <c r="I748" s="271" t="str">
        <f t="shared" si="258"/>
        <v>--</v>
      </c>
      <c r="J748" s="272" t="str">
        <f t="shared" si="259"/>
        <v>--</v>
      </c>
      <c r="K748" s="272" t="str">
        <f t="shared" si="260"/>
        <v>--</v>
      </c>
      <c r="L748" s="273" t="str">
        <f t="shared" si="249"/>
        <v>--</v>
      </c>
      <c r="M748" s="7">
        <f t="shared" si="250"/>
        <v>29119.2054868054</v>
      </c>
      <c r="N748" s="7">
        <f t="shared" si="263"/>
        <v>29174</v>
      </c>
      <c r="O748" s="326">
        <f t="shared" si="251"/>
        <v>25</v>
      </c>
      <c r="P748" s="224" t="str">
        <f t="shared" si="266"/>
        <v/>
      </c>
      <c r="Q748" s="224" t="str">
        <f t="shared" si="252"/>
        <v/>
      </c>
      <c r="R748" s="224"/>
      <c r="S748" s="271" t="str">
        <f t="shared" si="264"/>
        <v/>
      </c>
      <c r="T748" s="7" t="str">
        <f t="shared" si="265"/>
        <v/>
      </c>
      <c r="U748" s="7" t="str">
        <f t="shared" si="253"/>
        <v/>
      </c>
      <c r="V748" s="7" t="str">
        <f t="shared" si="254"/>
        <v/>
      </c>
      <c r="W748" s="7" t="str">
        <f>VLOOKUP(C748,'Tox Summary'!$N$3:$S$1048576,6,FALSE)</f>
        <v/>
      </c>
      <c r="X748" s="76" t="str">
        <f t="shared" si="261"/>
        <v/>
      </c>
      <c r="Y748" s="76" t="str">
        <f t="shared" si="255"/>
        <v/>
      </c>
      <c r="AA748" s="332"/>
    </row>
    <row r="749" spans="1:27">
      <c r="A749" s="265"/>
      <c r="B749" s="344" t="s">
        <v>680</v>
      </c>
      <c r="C749" s="269" t="s">
        <v>2321</v>
      </c>
      <c r="D749" s="280" t="str">
        <f>VLOOKUP(B749, 'Chem Props'!$1:$1048576,3,FALSE)</f>
        <v>No</v>
      </c>
      <c r="E749" s="598" t="str">
        <f t="shared" si="256"/>
        <v>No</v>
      </c>
      <c r="F749" s="7" t="str">
        <f t="shared" si="267"/>
        <v>No (not volatile)</v>
      </c>
      <c r="G749" s="270" t="str">
        <f t="shared" si="268"/>
        <v>No (not volatile)</v>
      </c>
      <c r="H749" s="76" t="str">
        <f t="shared" si="257"/>
        <v>--</v>
      </c>
      <c r="I749" s="271" t="str">
        <f t="shared" si="258"/>
        <v>--</v>
      </c>
      <c r="J749" s="272" t="str">
        <f t="shared" si="259"/>
        <v>--</v>
      </c>
      <c r="K749" s="272" t="str">
        <f t="shared" si="260"/>
        <v>--</v>
      </c>
      <c r="L749" s="273" t="str">
        <f t="shared" si="249"/>
        <v>--</v>
      </c>
      <c r="M749" s="7">
        <f t="shared" si="250"/>
        <v>0.23710303306717581</v>
      </c>
      <c r="N749" s="7">
        <f t="shared" si="263"/>
        <v>0.23706540000000001</v>
      </c>
      <c r="O749" s="326">
        <f t="shared" si="251"/>
        <v>25</v>
      </c>
      <c r="P749" s="224" t="str">
        <f t="shared" si="266"/>
        <v/>
      </c>
      <c r="Q749" s="224" t="str">
        <f t="shared" si="252"/>
        <v/>
      </c>
      <c r="R749" s="224"/>
      <c r="S749" s="271" t="str">
        <f t="shared" si="264"/>
        <v/>
      </c>
      <c r="T749" s="7" t="str">
        <f t="shared" si="265"/>
        <v/>
      </c>
      <c r="U749" s="7" t="str">
        <f t="shared" si="253"/>
        <v/>
      </c>
      <c r="V749" s="7" t="str">
        <f t="shared" si="254"/>
        <v/>
      </c>
      <c r="W749" s="7" t="str">
        <f>VLOOKUP(C749,'Tox Summary'!$N$3:$S$1048576,6,FALSE)</f>
        <v/>
      </c>
      <c r="X749" s="76" t="str">
        <f t="shared" si="261"/>
        <v/>
      </c>
      <c r="Y749" s="76" t="str">
        <f t="shared" si="255"/>
        <v/>
      </c>
      <c r="AA749" s="332"/>
    </row>
    <row r="750" spans="1:27">
      <c r="A750" s="265"/>
      <c r="B750" s="344" t="s">
        <v>305</v>
      </c>
      <c r="C750" s="269" t="s">
        <v>1359</v>
      </c>
      <c r="D750" s="280" t="str">
        <f>VLOOKUP(B750, 'Chem Props'!$1:$1048576,3,FALSE)</f>
        <v>Yes</v>
      </c>
      <c r="E750" s="598" t="str">
        <f t="shared" si="256"/>
        <v>No</v>
      </c>
      <c r="F750" s="7" t="str">
        <f t="shared" si="267"/>
        <v>No Inhal. Tox. Info</v>
      </c>
      <c r="G750" s="270" t="str">
        <f t="shared" si="268"/>
        <v>No Inhal. Tox. Info</v>
      </c>
      <c r="H750" s="76" t="str">
        <f t="shared" si="257"/>
        <v>--</v>
      </c>
      <c r="I750" s="271" t="str">
        <f t="shared" si="258"/>
        <v>--</v>
      </c>
      <c r="J750" s="272" t="str">
        <f t="shared" si="259"/>
        <v>--</v>
      </c>
      <c r="K750" s="272" t="str">
        <f t="shared" si="260"/>
        <v>--</v>
      </c>
      <c r="L750" s="273" t="str">
        <f t="shared" si="249"/>
        <v>--</v>
      </c>
      <c r="M750" s="7">
        <f t="shared" si="250"/>
        <v>1967.2707267041519</v>
      </c>
      <c r="N750" s="7">
        <f t="shared" si="263"/>
        <v>1962.4</v>
      </c>
      <c r="O750" s="326">
        <f t="shared" si="251"/>
        <v>25</v>
      </c>
      <c r="P750" s="224" t="str">
        <f t="shared" si="266"/>
        <v/>
      </c>
      <c r="Q750" s="224" t="str">
        <f t="shared" si="252"/>
        <v/>
      </c>
      <c r="R750" s="224"/>
      <c r="S750" s="271" t="str">
        <f t="shared" si="264"/>
        <v/>
      </c>
      <c r="T750" s="7" t="str">
        <f t="shared" si="265"/>
        <v/>
      </c>
      <c r="U750" s="7" t="str">
        <f t="shared" si="253"/>
        <v/>
      </c>
      <c r="V750" s="7" t="str">
        <f t="shared" si="254"/>
        <v/>
      </c>
      <c r="W750" s="7" t="str">
        <f>VLOOKUP(C750,'Tox Summary'!$N$3:$S$1048576,6,FALSE)</f>
        <v/>
      </c>
      <c r="X750" s="76" t="str">
        <f t="shared" si="261"/>
        <v/>
      </c>
      <c r="Y750" s="76" t="str">
        <f t="shared" si="255"/>
        <v/>
      </c>
      <c r="AA750" s="332"/>
    </row>
    <row r="751" spans="1:27">
      <c r="A751" s="265"/>
      <c r="B751" s="344" t="s">
        <v>1607</v>
      </c>
      <c r="C751" s="269" t="s">
        <v>2405</v>
      </c>
      <c r="D751" s="280" t="str">
        <f>VLOOKUP(B751, 'Chem Props'!$1:$1048576,3,FALSE)</f>
        <v>No</v>
      </c>
      <c r="E751" s="598" t="str">
        <f t="shared" si="256"/>
        <v>No</v>
      </c>
      <c r="F751" s="7" t="str">
        <f t="shared" si="267"/>
        <v>No (not volatile)</v>
      </c>
      <c r="G751" s="270" t="str">
        <f t="shared" si="268"/>
        <v>No (not volatile)</v>
      </c>
      <c r="H751" s="76" t="str">
        <f t="shared" si="257"/>
        <v>No VP</v>
      </c>
      <c r="I751" s="271" t="str">
        <f t="shared" si="258"/>
        <v>--</v>
      </c>
      <c r="J751" s="272" t="str">
        <f t="shared" si="259"/>
        <v>No VP</v>
      </c>
      <c r="K751" s="272" t="str">
        <f t="shared" si="260"/>
        <v>No VP</v>
      </c>
      <c r="L751" s="273" t="str">
        <f t="shared" si="249"/>
        <v>--</v>
      </c>
      <c r="M751" s="7" t="str">
        <f t="shared" si="250"/>
        <v>No VP</v>
      </c>
      <c r="N751" s="7" t="str">
        <f t="shared" si="263"/>
        <v>No S</v>
      </c>
      <c r="O751" s="326">
        <f t="shared" si="251"/>
        <v>25</v>
      </c>
      <c r="P751" s="224" t="str">
        <f t="shared" si="266"/>
        <v/>
      </c>
      <c r="Q751" s="224" t="str">
        <f t="shared" si="252"/>
        <v/>
      </c>
      <c r="R751" s="224"/>
      <c r="S751" s="271" t="str">
        <f t="shared" si="264"/>
        <v/>
      </c>
      <c r="T751" s="7" t="str">
        <f t="shared" si="265"/>
        <v/>
      </c>
      <c r="U751" s="7" t="str">
        <f t="shared" si="253"/>
        <v/>
      </c>
      <c r="V751" s="7" t="str">
        <f t="shared" si="254"/>
        <v/>
      </c>
      <c r="W751" s="7" t="str">
        <f>VLOOKUP(C751,'Tox Summary'!$N$3:$S$1048576,6,FALSE)</f>
        <v/>
      </c>
      <c r="X751" s="76" t="str">
        <f t="shared" si="261"/>
        <v/>
      </c>
      <c r="Y751" s="76" t="str">
        <f t="shared" si="255"/>
        <v/>
      </c>
      <c r="AA751" s="332"/>
    </row>
    <row r="752" spans="1:27">
      <c r="A752" s="265"/>
      <c r="B752" s="269" t="s">
        <v>306</v>
      </c>
      <c r="C752" s="269" t="s">
        <v>1360</v>
      </c>
      <c r="D752" s="280" t="str">
        <f>VLOOKUP(B752, 'Chem Props'!$1:$1048576,3,FALSE)</f>
        <v>No</v>
      </c>
      <c r="E752" s="598" t="str">
        <f t="shared" si="256"/>
        <v>No</v>
      </c>
      <c r="F752" s="7" t="str">
        <f t="shared" si="267"/>
        <v>No (not volatile)</v>
      </c>
      <c r="G752" s="270" t="str">
        <f t="shared" si="268"/>
        <v>No (not volatile)</v>
      </c>
      <c r="H752" s="76" t="str">
        <f t="shared" si="257"/>
        <v>--</v>
      </c>
      <c r="I752" s="271" t="str">
        <f t="shared" si="258"/>
        <v>--</v>
      </c>
      <c r="J752" s="272" t="str">
        <f t="shared" si="259"/>
        <v>--</v>
      </c>
      <c r="K752" s="272" t="str">
        <f t="shared" si="260"/>
        <v>--</v>
      </c>
      <c r="L752" s="273" t="str">
        <f t="shared" si="249"/>
        <v>--</v>
      </c>
      <c r="M752" s="7">
        <f t="shared" si="250"/>
        <v>1.1956957337711724E-4</v>
      </c>
      <c r="N752" s="7">
        <f t="shared" si="263"/>
        <v>4.2272000000000002E-4</v>
      </c>
      <c r="O752" s="326">
        <f t="shared" si="251"/>
        <v>25</v>
      </c>
      <c r="P752" s="224" t="str">
        <f t="shared" si="266"/>
        <v/>
      </c>
      <c r="Q752" s="224" t="str">
        <f t="shared" si="252"/>
        <v/>
      </c>
      <c r="R752" s="224"/>
      <c r="S752" s="271" t="str">
        <f t="shared" si="264"/>
        <v/>
      </c>
      <c r="T752" s="7" t="str">
        <f t="shared" si="265"/>
        <v/>
      </c>
      <c r="U752" s="7" t="str">
        <f t="shared" si="253"/>
        <v/>
      </c>
      <c r="V752" s="7" t="str">
        <f t="shared" si="254"/>
        <v/>
      </c>
      <c r="W752" s="7" t="str">
        <f>VLOOKUP(C752,'Tox Summary'!$N$3:$S$1048576,6,FALSE)</f>
        <v/>
      </c>
      <c r="X752" s="76" t="str">
        <f t="shared" si="261"/>
        <v/>
      </c>
      <c r="Y752" s="76" t="str">
        <f t="shared" si="255"/>
        <v/>
      </c>
      <c r="AA752" s="243"/>
    </row>
    <row r="753" spans="1:27">
      <c r="A753" s="265"/>
      <c r="B753" s="269" t="s">
        <v>929</v>
      </c>
      <c r="C753" s="269" t="s">
        <v>2322</v>
      </c>
      <c r="D753" s="280" t="str">
        <f>VLOOKUP(B753, 'Chem Props'!$1:$1048576,3,FALSE)</f>
        <v>No</v>
      </c>
      <c r="E753" s="598" t="str">
        <f t="shared" si="256"/>
        <v>No</v>
      </c>
      <c r="F753" s="7" t="str">
        <f t="shared" si="267"/>
        <v>No (not volatile)</v>
      </c>
      <c r="G753" s="270" t="str">
        <f t="shared" si="268"/>
        <v>No (not volatile)</v>
      </c>
      <c r="H753" s="76" t="str">
        <f t="shared" si="257"/>
        <v>--</v>
      </c>
      <c r="I753" s="271" t="str">
        <f t="shared" si="258"/>
        <v>--</v>
      </c>
      <c r="J753" s="272" t="str">
        <f t="shared" si="259"/>
        <v>--</v>
      </c>
      <c r="K753" s="272" t="str">
        <f t="shared" si="260"/>
        <v>--</v>
      </c>
      <c r="L753" s="273" t="str">
        <f t="shared" si="249"/>
        <v>--</v>
      </c>
      <c r="M753" s="7">
        <f t="shared" si="250"/>
        <v>8.2976375992095397E-3</v>
      </c>
      <c r="N753" s="7">
        <f t="shared" si="263"/>
        <v>2.085E-4</v>
      </c>
      <c r="O753" s="326">
        <f t="shared" si="251"/>
        <v>25</v>
      </c>
      <c r="P753" s="224" t="str">
        <f t="shared" si="266"/>
        <v/>
      </c>
      <c r="Q753" s="224" t="str">
        <f t="shared" si="252"/>
        <v/>
      </c>
      <c r="R753" s="224"/>
      <c r="S753" s="271" t="str">
        <f t="shared" si="264"/>
        <v/>
      </c>
      <c r="T753" s="7" t="str">
        <f t="shared" si="265"/>
        <v/>
      </c>
      <c r="U753" s="7" t="str">
        <f t="shared" si="253"/>
        <v/>
      </c>
      <c r="V753" s="7" t="str">
        <f t="shared" si="254"/>
        <v/>
      </c>
      <c r="W753" s="7" t="str">
        <f>VLOOKUP(C753,'Tox Summary'!$N$3:$S$1048576,6,FALSE)</f>
        <v/>
      </c>
      <c r="X753" s="76" t="str">
        <f t="shared" si="261"/>
        <v/>
      </c>
      <c r="Y753" s="76" t="str">
        <f t="shared" si="255"/>
        <v/>
      </c>
      <c r="AA753" s="243"/>
    </row>
    <row r="754" spans="1:27">
      <c r="A754" s="265"/>
      <c r="B754" s="269" t="s">
        <v>307</v>
      </c>
      <c r="C754" s="269" t="s">
        <v>1361</v>
      </c>
      <c r="D754" s="280" t="str">
        <f>VLOOKUP(B754, 'Chem Props'!$1:$1048576,3,FALSE)</f>
        <v>Yes</v>
      </c>
      <c r="E754" s="598" t="str">
        <f t="shared" si="256"/>
        <v>No</v>
      </c>
      <c r="F754" s="7" t="str">
        <f t="shared" si="267"/>
        <v>No Inhal. Tox. Info</v>
      </c>
      <c r="G754" s="270" t="str">
        <f t="shared" si="268"/>
        <v>No Inhal. Tox. Info</v>
      </c>
      <c r="H754" s="76" t="str">
        <f t="shared" si="257"/>
        <v>--</v>
      </c>
      <c r="I754" s="271" t="str">
        <f t="shared" si="258"/>
        <v>--</v>
      </c>
      <c r="J754" s="272" t="str">
        <f t="shared" si="259"/>
        <v>--</v>
      </c>
      <c r="K754" s="272" t="str">
        <f t="shared" si="260"/>
        <v>--</v>
      </c>
      <c r="L754" s="273" t="str">
        <f t="shared" si="249"/>
        <v>--</v>
      </c>
      <c r="M754" s="7">
        <f t="shared" si="250"/>
        <v>92825.751351742307</v>
      </c>
      <c r="N754" s="7">
        <f t="shared" si="263"/>
        <v>68283.507799999992</v>
      </c>
      <c r="O754" s="326">
        <f t="shared" si="251"/>
        <v>25</v>
      </c>
      <c r="P754" s="224" t="str">
        <f t="shared" si="266"/>
        <v/>
      </c>
      <c r="Q754" s="224" t="str">
        <f t="shared" si="252"/>
        <v/>
      </c>
      <c r="R754" s="224"/>
      <c r="S754" s="271" t="str">
        <f t="shared" si="264"/>
        <v/>
      </c>
      <c r="T754" s="7" t="str">
        <f t="shared" si="265"/>
        <v/>
      </c>
      <c r="U754" s="7" t="str">
        <f t="shared" si="253"/>
        <v/>
      </c>
      <c r="V754" s="7" t="str">
        <f t="shared" si="254"/>
        <v/>
      </c>
      <c r="W754" s="7" t="str">
        <f>VLOOKUP(C754,'Tox Summary'!$N$3:$S$1048576,6,FALSE)</f>
        <v/>
      </c>
      <c r="X754" s="76" t="str">
        <f t="shared" si="261"/>
        <v/>
      </c>
      <c r="Y754" s="76" t="str">
        <f t="shared" si="255"/>
        <v/>
      </c>
      <c r="AA754" s="243"/>
    </row>
    <row r="755" spans="1:27">
      <c r="A755" s="98"/>
      <c r="B755" s="509" t="s">
        <v>2466</v>
      </c>
      <c r="C755" s="509" t="s">
        <v>2465</v>
      </c>
      <c r="D755" s="280" t="str">
        <f>VLOOKUP(B755, 'Chem Props'!$1:$1048576,3,FALSE)</f>
        <v>No</v>
      </c>
      <c r="E755" s="598" t="str">
        <f t="shared" si="256"/>
        <v>No</v>
      </c>
      <c r="F755" s="7" t="str">
        <f t="shared" si="267"/>
        <v>No (not volatile)</v>
      </c>
      <c r="G755" s="270" t="str">
        <f t="shared" si="268"/>
        <v>No (not volatile)</v>
      </c>
      <c r="H755" s="76" t="str">
        <f t="shared" si="257"/>
        <v>--</v>
      </c>
      <c r="I755" s="271" t="str">
        <f t="shared" si="258"/>
        <v>--</v>
      </c>
      <c r="J755" s="272" t="str">
        <f t="shared" si="259"/>
        <v>--</v>
      </c>
      <c r="K755" s="272" t="str">
        <f t="shared" si="260"/>
        <v>--</v>
      </c>
      <c r="L755" s="273" t="str">
        <f t="shared" si="249"/>
        <v>--</v>
      </c>
      <c r="M755" s="7">
        <f t="shared" si="250"/>
        <v>5393.383726307733</v>
      </c>
      <c r="N755" s="7">
        <f t="shared" si="263"/>
        <v>101.59099999999999</v>
      </c>
      <c r="O755" s="326">
        <f t="shared" si="251"/>
        <v>25</v>
      </c>
      <c r="P755" s="224"/>
      <c r="Q755" s="224" t="str">
        <f t="shared" si="252"/>
        <v/>
      </c>
      <c r="R755" s="224"/>
      <c r="S755" s="271" t="str">
        <f t="shared" si="264"/>
        <v/>
      </c>
      <c r="T755" s="7" t="str">
        <f t="shared" si="265"/>
        <v/>
      </c>
      <c r="U755" s="7" t="str">
        <f t="shared" si="253"/>
        <v/>
      </c>
      <c r="V755" s="7" t="str">
        <f t="shared" si="254"/>
        <v/>
      </c>
      <c r="W755" s="7" t="str">
        <f>VLOOKUP(C755,'Tox Summary'!$N$3:$S$1048576,6,FALSE)</f>
        <v/>
      </c>
      <c r="X755" s="76" t="str">
        <f t="shared" si="261"/>
        <v/>
      </c>
      <c r="Y755" s="76" t="str">
        <f t="shared" si="255"/>
        <v/>
      </c>
      <c r="Z755" s="243"/>
      <c r="AA755" s="243"/>
    </row>
    <row r="756" spans="1:27">
      <c r="A756" s="265"/>
      <c r="B756" s="344" t="s">
        <v>308</v>
      </c>
      <c r="C756" s="269" t="s">
        <v>543</v>
      </c>
      <c r="D756" s="280" t="str">
        <f>VLOOKUP(B756, 'Chem Props'!$1:$1048576,3,FALSE)</f>
        <v>No</v>
      </c>
      <c r="E756" s="598" t="str">
        <f t="shared" si="256"/>
        <v>No</v>
      </c>
      <c r="F756" s="7" t="str">
        <f t="shared" si="267"/>
        <v>No (not volatile)</v>
      </c>
      <c r="G756" s="270" t="str">
        <f t="shared" si="268"/>
        <v>No (not volatile)</v>
      </c>
      <c r="H756" s="76" t="str">
        <f t="shared" si="257"/>
        <v>--</v>
      </c>
      <c r="I756" s="271" t="str">
        <f t="shared" si="258"/>
        <v>--</v>
      </c>
      <c r="J756" s="272" t="str">
        <f t="shared" si="259"/>
        <v>--</v>
      </c>
      <c r="K756" s="272" t="str">
        <f t="shared" si="260"/>
        <v>--</v>
      </c>
      <c r="L756" s="273" t="str">
        <f t="shared" si="249"/>
        <v>--</v>
      </c>
      <c r="M756" s="7">
        <f t="shared" si="250"/>
        <v>16193.302046134893</v>
      </c>
      <c r="N756" s="7">
        <f t="shared" si="263"/>
        <v>16128</v>
      </c>
      <c r="O756" s="326">
        <f t="shared" si="251"/>
        <v>25</v>
      </c>
      <c r="P756" s="224" t="str">
        <f t="shared" ref="P756:P787" si="269">IF(VLOOKUP(B756,AllChemProps,32,FALSE)&gt;0,VLOOKUP(B756,AllChemProps,32,FALSE),"")</f>
        <v/>
      </c>
      <c r="Q756" s="224" t="str">
        <f t="shared" si="252"/>
        <v/>
      </c>
      <c r="R756" s="224"/>
      <c r="S756" s="271" t="str">
        <f t="shared" si="264"/>
        <v/>
      </c>
      <c r="T756" s="7" t="str">
        <f t="shared" si="265"/>
        <v/>
      </c>
      <c r="U756" s="7" t="str">
        <f t="shared" si="253"/>
        <v/>
      </c>
      <c r="V756" s="7" t="str">
        <f t="shared" si="254"/>
        <v/>
      </c>
      <c r="W756" s="7" t="str">
        <f>VLOOKUP(C756,'Tox Summary'!$N$3:$S$1048576,6,FALSE)</f>
        <v/>
      </c>
      <c r="X756" s="76" t="str">
        <f t="shared" si="261"/>
        <v/>
      </c>
      <c r="Y756" s="76" t="str">
        <f t="shared" si="255"/>
        <v/>
      </c>
      <c r="AA756" s="332"/>
    </row>
    <row r="757" spans="1:27">
      <c r="A757" s="265"/>
      <c r="B757" s="269" t="s">
        <v>2174</v>
      </c>
      <c r="C757" s="269" t="s">
        <v>1362</v>
      </c>
      <c r="D757" s="280" t="str">
        <f>VLOOKUP(B757, 'Chem Props'!$1:$1048576,3,FALSE)</f>
        <v>No</v>
      </c>
      <c r="E757" s="598" t="str">
        <f t="shared" si="256"/>
        <v>No</v>
      </c>
      <c r="F757" s="7" t="str">
        <f t="shared" si="267"/>
        <v>No (not volatile)</v>
      </c>
      <c r="G757" s="270" t="str">
        <f t="shared" si="268"/>
        <v>No (not volatile)</v>
      </c>
      <c r="H757" s="76" t="str">
        <f t="shared" si="257"/>
        <v>No VP</v>
      </c>
      <c r="I757" s="271" t="str">
        <f t="shared" si="258"/>
        <v>--</v>
      </c>
      <c r="J757" s="272" t="str">
        <f t="shared" si="259"/>
        <v>No VP</v>
      </c>
      <c r="K757" s="272" t="str">
        <f t="shared" si="260"/>
        <v>No VP</v>
      </c>
      <c r="L757" s="273" t="str">
        <f t="shared" si="249"/>
        <v>--</v>
      </c>
      <c r="M757" s="7" t="str">
        <f t="shared" si="250"/>
        <v>No VP</v>
      </c>
      <c r="N757" s="7" t="str">
        <f t="shared" si="263"/>
        <v>No S</v>
      </c>
      <c r="O757" s="326">
        <f t="shared" si="251"/>
        <v>25</v>
      </c>
      <c r="P757" s="224" t="str">
        <f t="shared" si="269"/>
        <v/>
      </c>
      <c r="Q757" s="224" t="str">
        <f t="shared" si="252"/>
        <v/>
      </c>
      <c r="R757" s="224"/>
      <c r="S757" s="271" t="str">
        <f t="shared" si="264"/>
        <v/>
      </c>
      <c r="T757" s="7" t="str">
        <f t="shared" si="265"/>
        <v/>
      </c>
      <c r="U757" s="7" t="str">
        <f t="shared" si="253"/>
        <v/>
      </c>
      <c r="V757" s="7" t="str">
        <f t="shared" si="254"/>
        <v/>
      </c>
      <c r="W757" s="7" t="str">
        <f>VLOOKUP(C757,'Tox Summary'!$N$3:$S$1048576,6,FALSE)</f>
        <v/>
      </c>
      <c r="X757" s="76" t="str">
        <f t="shared" si="261"/>
        <v/>
      </c>
      <c r="Y757" s="76" t="str">
        <f t="shared" si="255"/>
        <v/>
      </c>
      <c r="AA757" s="243"/>
    </row>
    <row r="758" spans="1:27">
      <c r="A758" s="265"/>
      <c r="B758" s="269" t="s">
        <v>309</v>
      </c>
      <c r="C758" s="269" t="s">
        <v>1363</v>
      </c>
      <c r="D758" s="280" t="str">
        <f>VLOOKUP(B758, 'Chem Props'!$1:$1048576,3,FALSE)</f>
        <v>No</v>
      </c>
      <c r="E758" s="598" t="str">
        <f t="shared" si="256"/>
        <v>No</v>
      </c>
      <c r="F758" s="7" t="str">
        <f t="shared" si="267"/>
        <v>No (not volatile)</v>
      </c>
      <c r="G758" s="270" t="str">
        <f t="shared" si="268"/>
        <v>No (not volatile)</v>
      </c>
      <c r="H758" s="76" t="str">
        <f t="shared" si="257"/>
        <v>--</v>
      </c>
      <c r="I758" s="271" t="str">
        <f t="shared" si="258"/>
        <v>--</v>
      </c>
      <c r="J758" s="272" t="str">
        <f t="shared" si="259"/>
        <v>--</v>
      </c>
      <c r="K758" s="272" t="str">
        <f t="shared" si="260"/>
        <v>--</v>
      </c>
      <c r="L758" s="273" t="str">
        <f t="shared" si="249"/>
        <v>--</v>
      </c>
      <c r="M758" s="7">
        <f t="shared" si="250"/>
        <v>240.55755710560013</v>
      </c>
      <c r="N758" s="7">
        <f t="shared" si="263"/>
        <v>239.85</v>
      </c>
      <c r="O758" s="326">
        <f t="shared" si="251"/>
        <v>25</v>
      </c>
      <c r="P758" s="224" t="str">
        <f t="shared" si="269"/>
        <v/>
      </c>
      <c r="Q758" s="224" t="str">
        <f t="shared" si="252"/>
        <v/>
      </c>
      <c r="R758" s="224"/>
      <c r="S758" s="271" t="str">
        <f t="shared" si="264"/>
        <v/>
      </c>
      <c r="T758" s="7" t="str">
        <f t="shared" si="265"/>
        <v/>
      </c>
      <c r="U758" s="7" t="str">
        <f t="shared" si="253"/>
        <v/>
      </c>
      <c r="V758" s="7" t="str">
        <f t="shared" si="254"/>
        <v/>
      </c>
      <c r="W758" s="7" t="str">
        <f>VLOOKUP(C758,'Tox Summary'!$N$3:$S$1048576,6,FALSE)</f>
        <v/>
      </c>
      <c r="X758" s="76" t="str">
        <f t="shared" si="261"/>
        <v/>
      </c>
      <c r="Y758" s="76" t="str">
        <f t="shared" si="255"/>
        <v/>
      </c>
      <c r="AA758" s="243"/>
    </row>
    <row r="759" spans="1:27">
      <c r="A759" s="265"/>
      <c r="B759" s="269" t="s">
        <v>1608</v>
      </c>
      <c r="C759" s="269" t="s">
        <v>2406</v>
      </c>
      <c r="D759" s="280" t="str">
        <f>VLOOKUP(B759, 'Chem Props'!$1:$1048576,3,FALSE)</f>
        <v>No</v>
      </c>
      <c r="E759" s="598" t="str">
        <f t="shared" si="256"/>
        <v>No</v>
      </c>
      <c r="F759" s="7" t="str">
        <f t="shared" si="267"/>
        <v>No (not volatile)</v>
      </c>
      <c r="G759" s="270" t="str">
        <f t="shared" si="268"/>
        <v>No (not volatile)</v>
      </c>
      <c r="H759" s="76" t="str">
        <f t="shared" si="257"/>
        <v>No VP</v>
      </c>
      <c r="I759" s="271" t="str">
        <f t="shared" si="258"/>
        <v>--</v>
      </c>
      <c r="J759" s="272" t="str">
        <f t="shared" si="259"/>
        <v>No VP</v>
      </c>
      <c r="K759" s="272" t="str">
        <f t="shared" si="260"/>
        <v>No VP</v>
      </c>
      <c r="L759" s="273" t="str">
        <f t="shared" si="249"/>
        <v>--</v>
      </c>
      <c r="M759" s="7" t="str">
        <f t="shared" si="250"/>
        <v>No VP</v>
      </c>
      <c r="N759" s="7" t="str">
        <f t="shared" si="263"/>
        <v>No S</v>
      </c>
      <c r="O759" s="326">
        <f t="shared" si="251"/>
        <v>25</v>
      </c>
      <c r="P759" s="224" t="str">
        <f t="shared" si="269"/>
        <v/>
      </c>
      <c r="Q759" s="224" t="str">
        <f t="shared" si="252"/>
        <v/>
      </c>
      <c r="R759" s="224"/>
      <c r="S759" s="271" t="str">
        <f t="shared" si="264"/>
        <v/>
      </c>
      <c r="T759" s="7" t="str">
        <f t="shared" si="265"/>
        <v/>
      </c>
      <c r="U759" s="7" t="str">
        <f t="shared" si="253"/>
        <v/>
      </c>
      <c r="V759" s="7" t="str">
        <f t="shared" si="254"/>
        <v/>
      </c>
      <c r="W759" s="7" t="str">
        <f>VLOOKUP(C759,'Tox Summary'!$N$3:$S$1048576,6,FALSE)</f>
        <v/>
      </c>
      <c r="X759" s="76" t="str">
        <f t="shared" si="261"/>
        <v/>
      </c>
      <c r="Y759" s="76" t="str">
        <f t="shared" si="255"/>
        <v/>
      </c>
      <c r="AA759" s="243"/>
    </row>
    <row r="760" spans="1:27">
      <c r="A760" s="265"/>
      <c r="B760" s="269" t="s">
        <v>310</v>
      </c>
      <c r="C760" s="269" t="s">
        <v>1364</v>
      </c>
      <c r="D760" s="280" t="str">
        <f>VLOOKUP(B760, 'Chem Props'!$1:$1048576,3,FALSE)</f>
        <v>Yes</v>
      </c>
      <c r="E760" s="598" t="str">
        <f t="shared" si="256"/>
        <v>Yes</v>
      </c>
      <c r="F760" s="7" t="str">
        <f t="shared" si="267"/>
        <v>Yes</v>
      </c>
      <c r="G760" s="270" t="str">
        <f t="shared" si="268"/>
        <v>Yes</v>
      </c>
      <c r="H760" s="76">
        <f t="shared" si="257"/>
        <v>5214.2857142857147</v>
      </c>
      <c r="I760" s="271" t="str">
        <f t="shared" si="258"/>
        <v>NC</v>
      </c>
      <c r="J760" s="272">
        <f t="shared" si="259"/>
        <v>173809.52380952382</v>
      </c>
      <c r="K760" s="272">
        <f t="shared" si="260"/>
        <v>242.47420036310146</v>
      </c>
      <c r="L760" s="273" t="str">
        <f t="shared" si="249"/>
        <v>--</v>
      </c>
      <c r="M760" s="7">
        <f t="shared" si="250"/>
        <v>3654975217.1491885</v>
      </c>
      <c r="N760" s="7">
        <f t="shared" si="263"/>
        <v>3655764490</v>
      </c>
      <c r="O760" s="326">
        <f t="shared" si="251"/>
        <v>25</v>
      </c>
      <c r="P760" s="224" t="str">
        <f t="shared" si="269"/>
        <v/>
      </c>
      <c r="Q760" s="224" t="str">
        <f t="shared" si="252"/>
        <v/>
      </c>
      <c r="R760" s="224"/>
      <c r="S760" s="271" t="str">
        <f t="shared" si="264"/>
        <v/>
      </c>
      <c r="T760" s="7" t="str">
        <f t="shared" si="265"/>
        <v/>
      </c>
      <c r="U760" s="7">
        <f t="shared" si="253"/>
        <v>5</v>
      </c>
      <c r="V760" s="7" t="str">
        <f t="shared" si="254"/>
        <v>P</v>
      </c>
      <c r="W760" s="7" t="str">
        <f>VLOOKUP(C760,'Tox Summary'!$N$3:$S$1048576,6,FALSE)</f>
        <v/>
      </c>
      <c r="X760" s="76" t="str">
        <f t="shared" si="261"/>
        <v/>
      </c>
      <c r="Y760" s="76">
        <f t="shared" si="255"/>
        <v>5214.2857142857147</v>
      </c>
      <c r="AA760" s="243"/>
    </row>
    <row r="761" spans="1:27">
      <c r="A761" s="265"/>
      <c r="B761" s="344" t="s">
        <v>312</v>
      </c>
      <c r="C761" s="269" t="s">
        <v>311</v>
      </c>
      <c r="D761" s="280" t="str">
        <f>VLOOKUP(B761, 'Chem Props'!$1:$1048576,3,FALSE)</f>
        <v>No</v>
      </c>
      <c r="E761" s="598" t="str">
        <f t="shared" si="256"/>
        <v>No</v>
      </c>
      <c r="F761" s="7" t="str">
        <f t="shared" si="267"/>
        <v>No (not volatile)</v>
      </c>
      <c r="G761" s="270" t="str">
        <f t="shared" si="268"/>
        <v>No (not volatile)</v>
      </c>
      <c r="H761" s="76" t="str">
        <f t="shared" si="257"/>
        <v>--</v>
      </c>
      <c r="I761" s="271" t="str">
        <f t="shared" si="258"/>
        <v>--</v>
      </c>
      <c r="J761" s="272" t="str">
        <f t="shared" si="259"/>
        <v>--</v>
      </c>
      <c r="K761" s="272" t="str">
        <f t="shared" si="260"/>
        <v>--</v>
      </c>
      <c r="L761" s="273" t="str">
        <f t="shared" si="249"/>
        <v>No (60)</v>
      </c>
      <c r="M761" s="7">
        <f t="shared" si="250"/>
        <v>527509.04919452406</v>
      </c>
      <c r="N761" s="7">
        <f t="shared" ref="N761:N792" si="270">IF(INDEX(HLC,MATCH(C761,ChemNameChem,0))="","No HLC",IF(INDEX(Sol,MATCH(C761,ChemNameChem,0))="No S","No S",INDEX(HLC,MATCH(C761,ChemNameChem,0))*INDEX(Sol,MATCH(C761,ChemNameChem,0))*1000000))</f>
        <v>30134.831999999999</v>
      </c>
      <c r="O761" s="326">
        <f t="shared" si="251"/>
        <v>25</v>
      </c>
      <c r="P761" s="224" t="str">
        <f t="shared" si="269"/>
        <v/>
      </c>
      <c r="Q761" s="224" t="str">
        <f t="shared" si="252"/>
        <v/>
      </c>
      <c r="R761" s="224"/>
      <c r="S761" s="271" t="str">
        <f t="shared" si="264"/>
        <v/>
      </c>
      <c r="T761" s="7" t="str">
        <f t="shared" si="265"/>
        <v/>
      </c>
      <c r="U761" s="7" t="str">
        <f t="shared" si="253"/>
        <v/>
      </c>
      <c r="V761" s="7" t="str">
        <f t="shared" si="254"/>
        <v/>
      </c>
      <c r="W761" s="7" t="str">
        <f>VLOOKUP(C761,'Tox Summary'!$N$3:$S$1048576,6,FALSE)</f>
        <v/>
      </c>
      <c r="X761" s="76" t="str">
        <f t="shared" si="261"/>
        <v/>
      </c>
      <c r="Y761" s="76" t="str">
        <f t="shared" si="255"/>
        <v/>
      </c>
      <c r="AA761" s="332"/>
    </row>
    <row r="762" spans="1:27">
      <c r="A762" s="265"/>
      <c r="B762" s="344" t="s">
        <v>313</v>
      </c>
      <c r="C762" s="269" t="s">
        <v>1365</v>
      </c>
      <c r="D762" s="280" t="str">
        <f>VLOOKUP(B762, 'Chem Props'!$1:$1048576,3,FALSE)</f>
        <v>No</v>
      </c>
      <c r="E762" s="598" t="str">
        <f t="shared" si="256"/>
        <v>No</v>
      </c>
      <c r="F762" s="7" t="str">
        <f t="shared" si="267"/>
        <v>No (not volatile)</v>
      </c>
      <c r="G762" s="270" t="str">
        <f t="shared" si="268"/>
        <v>No (not volatile)</v>
      </c>
      <c r="H762" s="76" t="str">
        <f t="shared" si="257"/>
        <v>--</v>
      </c>
      <c r="I762" s="271" t="str">
        <f t="shared" si="258"/>
        <v>--</v>
      </c>
      <c r="J762" s="272" t="str">
        <f t="shared" si="259"/>
        <v>--</v>
      </c>
      <c r="K762" s="272" t="str">
        <f t="shared" si="260"/>
        <v>--</v>
      </c>
      <c r="L762" s="273" t="str">
        <f t="shared" si="249"/>
        <v>--</v>
      </c>
      <c r="M762" s="7">
        <f t="shared" si="250"/>
        <v>0.76831461099316323</v>
      </c>
      <c r="N762" s="7">
        <f t="shared" si="270"/>
        <v>6.1529339999999997E-5</v>
      </c>
      <c r="O762" s="326">
        <f t="shared" si="251"/>
        <v>25</v>
      </c>
      <c r="P762" s="224" t="str">
        <f t="shared" si="269"/>
        <v/>
      </c>
      <c r="Q762" s="224" t="str">
        <f t="shared" si="252"/>
        <v/>
      </c>
      <c r="R762" s="224"/>
      <c r="S762" s="271" t="str">
        <f t="shared" si="264"/>
        <v/>
      </c>
      <c r="T762" s="7" t="str">
        <f t="shared" si="265"/>
        <v/>
      </c>
      <c r="U762" s="7" t="str">
        <f t="shared" si="253"/>
        <v/>
      </c>
      <c r="V762" s="7" t="str">
        <f t="shared" si="254"/>
        <v/>
      </c>
      <c r="W762" s="7" t="str">
        <f>VLOOKUP(C762,'Tox Summary'!$N$3:$S$1048576,6,FALSE)</f>
        <v/>
      </c>
      <c r="X762" s="76" t="str">
        <f t="shared" si="261"/>
        <v/>
      </c>
      <c r="Y762" s="76" t="str">
        <f t="shared" si="255"/>
        <v/>
      </c>
      <c r="AA762" s="332"/>
    </row>
    <row r="763" spans="1:27">
      <c r="A763" s="265"/>
      <c r="B763" s="344" t="s">
        <v>314</v>
      </c>
      <c r="C763" s="269" t="s">
        <v>1366</v>
      </c>
      <c r="D763" s="280" t="str">
        <f>VLOOKUP(B763, 'Chem Props'!$1:$1048576,3,FALSE)</f>
        <v>No</v>
      </c>
      <c r="E763" s="598" t="str">
        <f t="shared" si="256"/>
        <v>No</v>
      </c>
      <c r="F763" s="7" t="str">
        <f t="shared" si="267"/>
        <v>No (not volatile)</v>
      </c>
      <c r="G763" s="270" t="str">
        <f t="shared" si="268"/>
        <v>No (not volatile)</v>
      </c>
      <c r="H763" s="76" t="str">
        <f t="shared" si="257"/>
        <v>--</v>
      </c>
      <c r="I763" s="271" t="str">
        <f t="shared" si="258"/>
        <v>--</v>
      </c>
      <c r="J763" s="272" t="str">
        <f t="shared" si="259"/>
        <v>--</v>
      </c>
      <c r="K763" s="272" t="str">
        <f t="shared" si="260"/>
        <v>--</v>
      </c>
      <c r="L763" s="273" t="str">
        <f t="shared" si="249"/>
        <v>--</v>
      </c>
      <c r="M763" s="7">
        <f t="shared" si="250"/>
        <v>46936.456683713579</v>
      </c>
      <c r="N763" s="7">
        <f t="shared" si="270"/>
        <v>2192</v>
      </c>
      <c r="O763" s="326">
        <f t="shared" si="251"/>
        <v>25</v>
      </c>
      <c r="P763" s="224" t="str">
        <f t="shared" si="269"/>
        <v/>
      </c>
      <c r="Q763" s="224" t="str">
        <f t="shared" si="252"/>
        <v/>
      </c>
      <c r="R763" s="224"/>
      <c r="S763" s="271" t="str">
        <f t="shared" si="264"/>
        <v/>
      </c>
      <c r="T763" s="7" t="str">
        <f t="shared" si="265"/>
        <v/>
      </c>
      <c r="U763" s="7" t="str">
        <f t="shared" si="253"/>
        <v/>
      </c>
      <c r="V763" s="7" t="str">
        <f t="shared" si="254"/>
        <v/>
      </c>
      <c r="W763" s="7" t="str">
        <f>VLOOKUP(C763,'Tox Summary'!$N$3:$S$1048576,6,FALSE)</f>
        <v/>
      </c>
      <c r="X763" s="76" t="str">
        <f t="shared" si="261"/>
        <v/>
      </c>
      <c r="Y763" s="76" t="str">
        <f t="shared" si="255"/>
        <v/>
      </c>
      <c r="AA763" s="332"/>
    </row>
    <row r="764" spans="1:27">
      <c r="A764" s="265"/>
      <c r="B764" s="344" t="s">
        <v>315</v>
      </c>
      <c r="C764" s="269" t="s">
        <v>621</v>
      </c>
      <c r="D764" s="280" t="str">
        <f>VLOOKUP(B764, 'Chem Props'!$1:$1048576,3,FALSE)</f>
        <v>Yes</v>
      </c>
      <c r="E764" s="598" t="str">
        <f t="shared" si="256"/>
        <v>No</v>
      </c>
      <c r="F764" s="7" t="str">
        <f t="shared" si="267"/>
        <v>No Inhal. Tox. Info</v>
      </c>
      <c r="G764" s="270" t="str">
        <f t="shared" si="268"/>
        <v>No Inhal. Tox. Info</v>
      </c>
      <c r="H764" s="76" t="str">
        <f t="shared" si="257"/>
        <v>--</v>
      </c>
      <c r="I764" s="271" t="str">
        <f t="shared" si="258"/>
        <v>--</v>
      </c>
      <c r="J764" s="272" t="str">
        <f t="shared" si="259"/>
        <v>--</v>
      </c>
      <c r="K764" s="272" t="str">
        <f t="shared" si="260"/>
        <v>--</v>
      </c>
      <c r="L764" s="273" t="str">
        <f t="shared" si="249"/>
        <v>--</v>
      </c>
      <c r="M764" s="7">
        <f t="shared" si="250"/>
        <v>2050356.8726189632</v>
      </c>
      <c r="N764" s="7">
        <f t="shared" si="270"/>
        <v>919868.39999999991</v>
      </c>
      <c r="O764" s="326">
        <f t="shared" si="251"/>
        <v>25</v>
      </c>
      <c r="P764" s="224" t="str">
        <f t="shared" si="269"/>
        <v/>
      </c>
      <c r="Q764" s="224" t="str">
        <f t="shared" si="252"/>
        <v/>
      </c>
      <c r="R764" s="224"/>
      <c r="S764" s="271" t="str">
        <f t="shared" si="264"/>
        <v/>
      </c>
      <c r="T764" s="7" t="str">
        <f t="shared" si="265"/>
        <v/>
      </c>
      <c r="U764" s="7" t="str">
        <f t="shared" si="253"/>
        <v/>
      </c>
      <c r="V764" s="7" t="str">
        <f t="shared" si="254"/>
        <v/>
      </c>
      <c r="W764" s="7" t="str">
        <f>VLOOKUP(C764,'Tox Summary'!$N$3:$S$1048576,6,FALSE)</f>
        <v/>
      </c>
      <c r="X764" s="76" t="str">
        <f t="shared" si="261"/>
        <v/>
      </c>
      <c r="Y764" s="76" t="str">
        <f t="shared" si="255"/>
        <v/>
      </c>
      <c r="AA764" s="332"/>
    </row>
    <row r="765" spans="1:27">
      <c r="A765" s="265"/>
      <c r="B765" s="344" t="s">
        <v>316</v>
      </c>
      <c r="C765" s="269" t="s">
        <v>1367</v>
      </c>
      <c r="D765" s="280" t="str">
        <f>VLOOKUP(B765, 'Chem Props'!$1:$1048576,3,FALSE)</f>
        <v>Yes</v>
      </c>
      <c r="E765" s="598" t="str">
        <f t="shared" si="256"/>
        <v>Yes</v>
      </c>
      <c r="F765" s="7" t="str">
        <f t="shared" si="267"/>
        <v>Yes</v>
      </c>
      <c r="G765" s="270" t="str">
        <f t="shared" si="268"/>
        <v>Yes</v>
      </c>
      <c r="H765" s="76">
        <f t="shared" si="257"/>
        <v>2.0857142857142859</v>
      </c>
      <c r="I765" s="271" t="str">
        <f t="shared" si="258"/>
        <v>NC</v>
      </c>
      <c r="J765" s="272">
        <f t="shared" si="259"/>
        <v>69.523809523809533</v>
      </c>
      <c r="K765" s="272">
        <f t="shared" si="260"/>
        <v>35.927141725191817</v>
      </c>
      <c r="L765" s="273" t="str">
        <f t="shared" si="249"/>
        <v>Yes (70)</v>
      </c>
      <c r="M765" s="7">
        <f t="shared" si="250"/>
        <v>4491257.9114510631</v>
      </c>
      <c r="N765" s="7">
        <f t="shared" si="270"/>
        <v>2844646</v>
      </c>
      <c r="O765" s="326">
        <f t="shared" si="251"/>
        <v>25</v>
      </c>
      <c r="P765" s="224">
        <f t="shared" si="269"/>
        <v>2.5</v>
      </c>
      <c r="Q765" s="224" t="str">
        <f t="shared" si="252"/>
        <v>N</v>
      </c>
      <c r="R765" s="224"/>
      <c r="S765" s="271" t="str">
        <f t="shared" si="264"/>
        <v/>
      </c>
      <c r="T765" s="7" t="str">
        <f t="shared" si="265"/>
        <v/>
      </c>
      <c r="U765" s="7">
        <f t="shared" si="253"/>
        <v>2E-3</v>
      </c>
      <c r="V765" s="7" t="str">
        <f t="shared" si="254"/>
        <v>P</v>
      </c>
      <c r="W765" s="7" t="str">
        <f>VLOOKUP(C765,'Tox Summary'!$N$3:$S$1048576,6,FALSE)</f>
        <v/>
      </c>
      <c r="X765" s="76" t="str">
        <f t="shared" si="261"/>
        <v/>
      </c>
      <c r="Y765" s="76">
        <f t="shared" si="255"/>
        <v>2.0857142857142859</v>
      </c>
      <c r="AA765" s="332"/>
    </row>
    <row r="766" spans="1:27">
      <c r="A766" s="265"/>
      <c r="B766" s="345" t="s">
        <v>317</v>
      </c>
      <c r="C766" s="269" t="s">
        <v>442</v>
      </c>
      <c r="D766" s="280" t="str">
        <f>VLOOKUP(B766, 'Chem Props'!$1:$1048576,3,FALSE)</f>
        <v>Yes</v>
      </c>
      <c r="E766" s="598" t="str">
        <f t="shared" si="256"/>
        <v>Yes</v>
      </c>
      <c r="F766" s="7" t="str">
        <f t="shared" si="267"/>
        <v>Yes</v>
      </c>
      <c r="G766" s="270" t="str">
        <f t="shared" si="268"/>
        <v>Yes</v>
      </c>
      <c r="H766" s="76">
        <f t="shared" si="257"/>
        <v>5214.2857142857147</v>
      </c>
      <c r="I766" s="271" t="str">
        <f t="shared" si="258"/>
        <v>NC</v>
      </c>
      <c r="J766" s="272">
        <f t="shared" si="259"/>
        <v>173809.52380952382</v>
      </c>
      <c r="K766" s="272">
        <f t="shared" si="260"/>
        <v>7415.199122576757</v>
      </c>
      <c r="L766" s="273" t="str">
        <f t="shared" si="249"/>
        <v>No (200)</v>
      </c>
      <c r="M766" s="7">
        <f t="shared" si="250"/>
        <v>890150131.52346563</v>
      </c>
      <c r="N766" s="7">
        <f t="shared" si="270"/>
        <v>907113681</v>
      </c>
      <c r="O766" s="326">
        <f t="shared" si="251"/>
        <v>25</v>
      </c>
      <c r="P766" s="224">
        <f t="shared" si="269"/>
        <v>7.5</v>
      </c>
      <c r="Q766" s="224" t="str">
        <f t="shared" si="252"/>
        <v>N</v>
      </c>
      <c r="R766" s="224"/>
      <c r="S766" s="271" t="str">
        <f t="shared" si="264"/>
        <v/>
      </c>
      <c r="T766" s="7" t="str">
        <f t="shared" si="265"/>
        <v/>
      </c>
      <c r="U766" s="7">
        <f t="shared" si="253"/>
        <v>5</v>
      </c>
      <c r="V766" s="7" t="str">
        <f t="shared" si="254"/>
        <v>I</v>
      </c>
      <c r="W766" s="7" t="str">
        <f>VLOOKUP(C766,'Tox Summary'!$N$3:$S$1048576,6,FALSE)</f>
        <v/>
      </c>
      <c r="X766" s="76" t="str">
        <f t="shared" si="261"/>
        <v/>
      </c>
      <c r="Y766" s="76">
        <f t="shared" si="255"/>
        <v>5214.2857142857147</v>
      </c>
      <c r="AA766" s="332"/>
    </row>
    <row r="767" spans="1:27">
      <c r="A767" s="265"/>
      <c r="B767" s="345" t="s">
        <v>318</v>
      </c>
      <c r="C767" s="269" t="s">
        <v>1368</v>
      </c>
      <c r="D767" s="280" t="str">
        <f>VLOOKUP(B767, 'Chem Props'!$1:$1048576,3,FALSE)</f>
        <v>Yes</v>
      </c>
      <c r="E767" s="598" t="str">
        <f t="shared" si="256"/>
        <v>Yes</v>
      </c>
      <c r="F767" s="7" t="str">
        <f t="shared" si="267"/>
        <v>Yes</v>
      </c>
      <c r="G767" s="270" t="str">
        <f t="shared" si="268"/>
        <v>Yes</v>
      </c>
      <c r="H767" s="76">
        <f t="shared" si="257"/>
        <v>0.17548076923076922</v>
      </c>
      <c r="I767" s="271" t="str">
        <f t="shared" si="258"/>
        <v>C</v>
      </c>
      <c r="J767" s="272">
        <f t="shared" si="259"/>
        <v>5.8493589743589745</v>
      </c>
      <c r="K767" s="272">
        <f t="shared" si="260"/>
        <v>5.2090457119592379</v>
      </c>
      <c r="L767" s="273" t="str">
        <f t="shared" si="249"/>
        <v>No (5)</v>
      </c>
      <c r="M767" s="7">
        <f t="shared" si="250"/>
        <v>165108492.13741699</v>
      </c>
      <c r="N767" s="7">
        <f t="shared" si="270"/>
        <v>154626543</v>
      </c>
      <c r="O767" s="326">
        <f t="shared" si="251"/>
        <v>25</v>
      </c>
      <c r="P767" s="224">
        <f t="shared" si="269"/>
        <v>6</v>
      </c>
      <c r="Q767" s="224" t="str">
        <f t="shared" si="252"/>
        <v>N</v>
      </c>
      <c r="R767" s="224"/>
      <c r="S767" s="271">
        <f t="shared" si="264"/>
        <v>1.5999999999999999E-5</v>
      </c>
      <c r="T767" s="7" t="str">
        <f t="shared" si="265"/>
        <v>I</v>
      </c>
      <c r="U767" s="7">
        <f t="shared" si="253"/>
        <v>2.0000000000000001E-4</v>
      </c>
      <c r="V767" s="7" t="str">
        <f t="shared" si="254"/>
        <v>X</v>
      </c>
      <c r="W767" s="7" t="str">
        <f>VLOOKUP(C767,'Tox Summary'!$N$3:$S$1048576,6,FALSE)</f>
        <v/>
      </c>
      <c r="X767" s="76">
        <f t="shared" si="261"/>
        <v>0.17548076923076922</v>
      </c>
      <c r="Y767" s="76">
        <f t="shared" si="255"/>
        <v>0.20857142857142857</v>
      </c>
      <c r="AA767" s="332"/>
    </row>
    <row r="768" spans="1:27">
      <c r="A768" s="265"/>
      <c r="B768" s="345" t="s">
        <v>319</v>
      </c>
      <c r="C768" s="269" t="s">
        <v>400</v>
      </c>
      <c r="D768" s="280" t="str">
        <f>VLOOKUP(B768, 'Chem Props'!$1:$1048576,3,FALSE)</f>
        <v>Yes</v>
      </c>
      <c r="E768" s="598" t="str">
        <f t="shared" si="256"/>
        <v>Yes</v>
      </c>
      <c r="F768" s="7" t="str">
        <f t="shared" si="267"/>
        <v>Yes</v>
      </c>
      <c r="G768" s="270" t="str">
        <f t="shared" si="268"/>
        <v>Yes</v>
      </c>
      <c r="H768" s="76">
        <f t="shared" si="257"/>
        <v>0.47837483617300125</v>
      </c>
      <c r="I768" s="271" t="str">
        <f t="shared" si="258"/>
        <v>C</v>
      </c>
      <c r="J768" s="272">
        <f t="shared" si="259"/>
        <v>15.945827872433375</v>
      </c>
      <c r="K768" s="272">
        <f t="shared" si="260"/>
        <v>1.1879236544405609</v>
      </c>
      <c r="L768" s="273" t="str">
        <f t="shared" si="249"/>
        <v>Yes (5)</v>
      </c>
      <c r="M768" s="7">
        <f t="shared" si="250"/>
        <v>487825607.86901778</v>
      </c>
      <c r="N768" s="7">
        <f t="shared" si="270"/>
        <v>515453824.00000006</v>
      </c>
      <c r="O768" s="326">
        <f t="shared" si="251"/>
        <v>25</v>
      </c>
      <c r="P768" s="224">
        <f t="shared" si="269"/>
        <v>8</v>
      </c>
      <c r="Q768" s="224" t="str">
        <f t="shared" si="252"/>
        <v>N</v>
      </c>
      <c r="R768" s="224"/>
      <c r="S768" s="271" t="str">
        <f t="shared" si="264"/>
        <v>see note</v>
      </c>
      <c r="T768" s="7" t="str">
        <f t="shared" si="265"/>
        <v>I</v>
      </c>
      <c r="U768" s="7">
        <f t="shared" si="253"/>
        <v>2E-3</v>
      </c>
      <c r="V768" s="7" t="str">
        <f t="shared" si="254"/>
        <v>I</v>
      </c>
      <c r="W768" s="7" t="str">
        <f>VLOOKUP(C768,'Tox Summary'!$N$3:$S$1048576,6,FALSE)</f>
        <v>TCE</v>
      </c>
      <c r="X768" s="76">
        <f t="shared" si="261"/>
        <v>0.47837483617300125</v>
      </c>
      <c r="Y768" s="76">
        <f t="shared" si="255"/>
        <v>2.0857142857142859</v>
      </c>
      <c r="AA768" s="332"/>
    </row>
    <row r="769" spans="1:27">
      <c r="A769" s="265"/>
      <c r="B769" s="345" t="s">
        <v>320</v>
      </c>
      <c r="C769" s="269" t="s">
        <v>378</v>
      </c>
      <c r="D769" s="280" t="str">
        <f>VLOOKUP(B769, 'Chem Props'!$1:$1048576,3,FALSE)</f>
        <v>Yes</v>
      </c>
      <c r="E769" s="598" t="str">
        <f t="shared" si="256"/>
        <v>No</v>
      </c>
      <c r="F769" s="7" t="str">
        <f t="shared" si="267"/>
        <v>No Inhal. Tox. Info</v>
      </c>
      <c r="G769" s="270" t="str">
        <f t="shared" si="268"/>
        <v>No Inhal. Tox. Info</v>
      </c>
      <c r="H769" s="76" t="str">
        <f t="shared" si="257"/>
        <v>--</v>
      </c>
      <c r="I769" s="271" t="str">
        <f t="shared" si="258"/>
        <v>--</v>
      </c>
      <c r="J769" s="272" t="str">
        <f t="shared" si="259"/>
        <v>--</v>
      </c>
      <c r="K769" s="272" t="str">
        <f t="shared" si="260"/>
        <v>--</v>
      </c>
      <c r="L769" s="273" t="str">
        <f t="shared" si="249"/>
        <v>--</v>
      </c>
      <c r="M769" s="7">
        <f t="shared" si="250"/>
        <v>5934067103.3444948</v>
      </c>
      <c r="N769" s="7">
        <f t="shared" si="270"/>
        <v>4362224020</v>
      </c>
      <c r="O769" s="326">
        <f t="shared" si="251"/>
        <v>25</v>
      </c>
      <c r="P769" s="224" t="str">
        <f t="shared" si="269"/>
        <v/>
      </c>
      <c r="Q769" s="224" t="str">
        <f t="shared" si="252"/>
        <v/>
      </c>
      <c r="R769" s="333"/>
      <c r="S769" s="271" t="str">
        <f t="shared" si="264"/>
        <v/>
      </c>
      <c r="T769" s="7" t="str">
        <f t="shared" si="265"/>
        <v/>
      </c>
      <c r="U769" s="7" t="str">
        <f t="shared" si="253"/>
        <v/>
      </c>
      <c r="V769" s="7" t="str">
        <f t="shared" si="254"/>
        <v/>
      </c>
      <c r="W769" s="7" t="str">
        <f>VLOOKUP(C769,'Tox Summary'!$N$3:$S$1048576,6,FALSE)</f>
        <v/>
      </c>
      <c r="X769" s="76" t="str">
        <f t="shared" si="261"/>
        <v/>
      </c>
      <c r="Y769" s="76" t="str">
        <f t="shared" si="255"/>
        <v/>
      </c>
      <c r="AA769" s="332"/>
    </row>
    <row r="770" spans="1:27">
      <c r="A770" s="265"/>
      <c r="B770" s="345" t="s">
        <v>321</v>
      </c>
      <c r="C770" s="269" t="s">
        <v>1369</v>
      </c>
      <c r="D770" s="280" t="str">
        <f>VLOOKUP(B770, 'Chem Props'!$1:$1048576,3,FALSE)</f>
        <v>No</v>
      </c>
      <c r="E770" s="598" t="str">
        <f t="shared" si="256"/>
        <v>No</v>
      </c>
      <c r="F770" s="7" t="str">
        <f t="shared" si="267"/>
        <v>No (not volatile)</v>
      </c>
      <c r="G770" s="270" t="str">
        <f t="shared" si="268"/>
        <v>No (not volatile)</v>
      </c>
      <c r="H770" s="76" t="str">
        <f t="shared" si="257"/>
        <v>--</v>
      </c>
      <c r="I770" s="271" t="str">
        <f t="shared" si="258"/>
        <v>--</v>
      </c>
      <c r="J770" s="272" t="str">
        <f t="shared" si="259"/>
        <v>--</v>
      </c>
      <c r="K770" s="272" t="str">
        <f t="shared" si="260"/>
        <v>--</v>
      </c>
      <c r="L770" s="273" t="str">
        <f t="shared" si="249"/>
        <v>--</v>
      </c>
      <c r="M770" s="7">
        <f t="shared" si="250"/>
        <v>79684.085442391515</v>
      </c>
      <c r="N770" s="7">
        <f t="shared" si="270"/>
        <v>79440</v>
      </c>
      <c r="O770" s="326">
        <f t="shared" si="251"/>
        <v>25</v>
      </c>
      <c r="P770" s="224" t="str">
        <f t="shared" si="269"/>
        <v/>
      </c>
      <c r="Q770" s="224" t="str">
        <f t="shared" si="252"/>
        <v/>
      </c>
      <c r="R770" s="333"/>
      <c r="S770" s="271" t="str">
        <f t="shared" si="264"/>
        <v/>
      </c>
      <c r="T770" s="7" t="str">
        <f t="shared" si="265"/>
        <v/>
      </c>
      <c r="U770" s="7" t="str">
        <f t="shared" si="253"/>
        <v/>
      </c>
      <c r="V770" s="7" t="str">
        <f t="shared" si="254"/>
        <v/>
      </c>
      <c r="W770" s="7" t="str">
        <f>VLOOKUP(C770,'Tox Summary'!$N$3:$S$1048576,6,FALSE)</f>
        <v/>
      </c>
      <c r="X770" s="76" t="str">
        <f t="shared" si="261"/>
        <v/>
      </c>
      <c r="Y770" s="76" t="str">
        <f t="shared" si="255"/>
        <v/>
      </c>
      <c r="AA770" s="332"/>
    </row>
    <row r="771" spans="1:27">
      <c r="A771" s="265"/>
      <c r="B771" s="345" t="s">
        <v>322</v>
      </c>
      <c r="C771" s="269" t="s">
        <v>1370</v>
      </c>
      <c r="D771" s="280" t="str">
        <f>VLOOKUP(B771, 'Chem Props'!$1:$1048576,3,FALSE)</f>
        <v>No</v>
      </c>
      <c r="E771" s="598" t="str">
        <f t="shared" si="256"/>
        <v>Yes</v>
      </c>
      <c r="F771" s="7" t="str">
        <f t="shared" si="267"/>
        <v>No (not volatile)</v>
      </c>
      <c r="G771" s="270" t="str">
        <f t="shared" si="268"/>
        <v>No (not volatile)</v>
      </c>
      <c r="H771" s="76">
        <f t="shared" si="257"/>
        <v>0.90570719602977667</v>
      </c>
      <c r="I771" s="271" t="str">
        <f t="shared" si="258"/>
        <v>C</v>
      </c>
      <c r="J771" s="272">
        <f t="shared" si="259"/>
        <v>30.190239867659223</v>
      </c>
      <c r="K771" s="272">
        <f t="shared" si="260"/>
        <v>8520.29347158774</v>
      </c>
      <c r="L771" s="273" t="str">
        <f t="shared" si="249"/>
        <v>--</v>
      </c>
      <c r="M771" s="7">
        <f t="shared" si="250"/>
        <v>84996.357805217616</v>
      </c>
      <c r="N771" s="7">
        <f t="shared" si="270"/>
        <v>85039.999999999985</v>
      </c>
      <c r="O771" s="326">
        <f t="shared" si="251"/>
        <v>25</v>
      </c>
      <c r="P771" s="224" t="str">
        <f t="shared" si="269"/>
        <v/>
      </c>
      <c r="Q771" s="224" t="str">
        <f t="shared" si="252"/>
        <v/>
      </c>
      <c r="R771" s="333"/>
      <c r="S771" s="271">
        <f t="shared" si="264"/>
        <v>3.1E-6</v>
      </c>
      <c r="T771" s="7" t="str">
        <f t="shared" si="265"/>
        <v>I</v>
      </c>
      <c r="U771" s="7" t="str">
        <f t="shared" si="253"/>
        <v/>
      </c>
      <c r="V771" s="7" t="str">
        <f t="shared" si="254"/>
        <v/>
      </c>
      <c r="W771" s="7" t="str">
        <f>VLOOKUP(C771,'Tox Summary'!$N$3:$S$1048576,6,FALSE)</f>
        <v/>
      </c>
      <c r="X771" s="76">
        <f t="shared" si="261"/>
        <v>0.90570719602977667</v>
      </c>
      <c r="Y771" s="76" t="str">
        <f t="shared" si="255"/>
        <v/>
      </c>
      <c r="AA771" s="332"/>
    </row>
    <row r="772" spans="1:27">
      <c r="A772" s="265"/>
      <c r="B772" s="346" t="s">
        <v>323</v>
      </c>
      <c r="C772" s="269" t="s">
        <v>1371</v>
      </c>
      <c r="D772" s="280" t="str">
        <f>VLOOKUP(B772, 'Chem Props'!$1:$1048576,3,FALSE)</f>
        <v>No</v>
      </c>
      <c r="E772" s="598" t="str">
        <f t="shared" si="256"/>
        <v>No</v>
      </c>
      <c r="F772" s="7" t="str">
        <f t="shared" si="267"/>
        <v>No (not volatile)</v>
      </c>
      <c r="G772" s="270" t="str">
        <f t="shared" si="268"/>
        <v>No (not volatile)</v>
      </c>
      <c r="H772" s="76" t="str">
        <f t="shared" si="257"/>
        <v>--</v>
      </c>
      <c r="I772" s="271" t="str">
        <f t="shared" si="258"/>
        <v>--</v>
      </c>
      <c r="J772" s="272" t="str">
        <f t="shared" si="259"/>
        <v>--</v>
      </c>
      <c r="K772" s="272" t="str">
        <f t="shared" si="260"/>
        <v>--</v>
      </c>
      <c r="L772" s="273" t="str">
        <f t="shared" si="249"/>
        <v>--</v>
      </c>
      <c r="M772" s="7">
        <f t="shared" si="250"/>
        <v>515.53524916881759</v>
      </c>
      <c r="N772" s="7">
        <f t="shared" si="270"/>
        <v>98.653859999999995</v>
      </c>
      <c r="O772" s="326">
        <f t="shared" si="251"/>
        <v>25</v>
      </c>
      <c r="P772" s="224" t="str">
        <f t="shared" si="269"/>
        <v/>
      </c>
      <c r="Q772" s="224" t="str">
        <f t="shared" si="252"/>
        <v/>
      </c>
      <c r="R772" s="333"/>
      <c r="S772" s="271" t="str">
        <f t="shared" si="264"/>
        <v/>
      </c>
      <c r="T772" s="7" t="str">
        <f t="shared" si="265"/>
        <v/>
      </c>
      <c r="U772" s="7" t="str">
        <f t="shared" si="253"/>
        <v/>
      </c>
      <c r="V772" s="7" t="str">
        <f t="shared" si="254"/>
        <v/>
      </c>
      <c r="W772" s="7" t="str">
        <f>VLOOKUP(C772,'Tox Summary'!$N$3:$S$1048576,6,FALSE)</f>
        <v/>
      </c>
      <c r="X772" s="76" t="str">
        <f t="shared" si="261"/>
        <v/>
      </c>
      <c r="Y772" s="76" t="str">
        <f t="shared" si="255"/>
        <v/>
      </c>
      <c r="AA772" s="332"/>
    </row>
    <row r="773" spans="1:27">
      <c r="A773" s="265"/>
      <c r="B773" s="345" t="s">
        <v>324</v>
      </c>
      <c r="C773" s="269" t="s">
        <v>622</v>
      </c>
      <c r="D773" s="280" t="str">
        <f>VLOOKUP(B773, 'Chem Props'!$1:$1048576,3,FALSE)</f>
        <v>No</v>
      </c>
      <c r="E773" s="598" t="str">
        <f t="shared" si="256"/>
        <v>No</v>
      </c>
      <c r="F773" s="7" t="str">
        <f t="shared" si="267"/>
        <v>No (not volatile)</v>
      </c>
      <c r="G773" s="270" t="str">
        <f t="shared" si="268"/>
        <v>No (not volatile)</v>
      </c>
      <c r="H773" s="76" t="str">
        <f t="shared" si="257"/>
        <v>--</v>
      </c>
      <c r="I773" s="271" t="str">
        <f t="shared" si="258"/>
        <v>--</v>
      </c>
      <c r="J773" s="272" t="str">
        <f t="shared" si="259"/>
        <v>--</v>
      </c>
      <c r="K773" s="272" t="str">
        <f t="shared" si="260"/>
        <v>--</v>
      </c>
      <c r="L773" s="273" t="str">
        <f t="shared" si="249"/>
        <v>No (50)</v>
      </c>
      <c r="M773" s="7">
        <f t="shared" si="250"/>
        <v>144.58499801790293</v>
      </c>
      <c r="N773" s="7">
        <f t="shared" si="270"/>
        <v>26.298399999999997</v>
      </c>
      <c r="O773" s="326">
        <f t="shared" si="251"/>
        <v>25</v>
      </c>
      <c r="P773" s="224" t="str">
        <f t="shared" si="269"/>
        <v/>
      </c>
      <c r="Q773" s="224" t="str">
        <f t="shared" si="252"/>
        <v/>
      </c>
      <c r="R773" s="333"/>
      <c r="S773" s="271" t="str">
        <f t="shared" si="264"/>
        <v/>
      </c>
      <c r="T773" s="7" t="str">
        <f t="shared" si="265"/>
        <v/>
      </c>
      <c r="U773" s="7" t="str">
        <f t="shared" si="253"/>
        <v/>
      </c>
      <c r="V773" s="7" t="str">
        <f t="shared" si="254"/>
        <v/>
      </c>
      <c r="W773" s="7" t="str">
        <f>VLOOKUP(C773,'Tox Summary'!$N$3:$S$1048576,6,FALSE)</f>
        <v/>
      </c>
      <c r="X773" s="76" t="str">
        <f t="shared" si="261"/>
        <v/>
      </c>
      <c r="Y773" s="76" t="str">
        <f t="shared" si="255"/>
        <v/>
      </c>
      <c r="AA773" s="332"/>
    </row>
    <row r="774" spans="1:27">
      <c r="A774" s="265"/>
      <c r="B774" s="345" t="s">
        <v>325</v>
      </c>
      <c r="C774" s="269" t="s">
        <v>1372</v>
      </c>
      <c r="D774" s="280" t="str">
        <f>VLOOKUP(B774, 'Chem Props'!$1:$1048576,3,FALSE)</f>
        <v>Yes</v>
      </c>
      <c r="E774" s="598" t="str">
        <f t="shared" si="256"/>
        <v>No</v>
      </c>
      <c r="F774" s="7" t="str">
        <f t="shared" si="267"/>
        <v>No Inhal. Tox. Info</v>
      </c>
      <c r="G774" s="270" t="str">
        <f t="shared" si="268"/>
        <v>No Inhal. Tox. Info</v>
      </c>
      <c r="H774" s="76" t="str">
        <f t="shared" si="257"/>
        <v>--</v>
      </c>
      <c r="I774" s="271" t="str">
        <f t="shared" si="258"/>
        <v>--</v>
      </c>
      <c r="J774" s="272" t="str">
        <f t="shared" si="259"/>
        <v>--</v>
      </c>
      <c r="K774" s="272" t="str">
        <f t="shared" si="260"/>
        <v>--</v>
      </c>
      <c r="L774" s="273" t="str">
        <f t="shared" si="249"/>
        <v>--</v>
      </c>
      <c r="M774" s="7">
        <f t="shared" si="250"/>
        <v>24576524.671264611</v>
      </c>
      <c r="N774" s="7">
        <f t="shared" si="270"/>
        <v>24623810</v>
      </c>
      <c r="O774" s="326">
        <f t="shared" si="251"/>
        <v>25</v>
      </c>
      <c r="P774" s="224" t="str">
        <f t="shared" si="269"/>
        <v/>
      </c>
      <c r="Q774" s="224" t="str">
        <f t="shared" si="252"/>
        <v/>
      </c>
      <c r="R774" s="333"/>
      <c r="S774" s="271" t="str">
        <f t="shared" si="264"/>
        <v/>
      </c>
      <c r="T774" s="7" t="str">
        <f t="shared" si="265"/>
        <v/>
      </c>
      <c r="U774" s="7" t="str">
        <f t="shared" si="253"/>
        <v/>
      </c>
      <c r="V774" s="7" t="str">
        <f t="shared" si="254"/>
        <v/>
      </c>
      <c r="W774" s="7" t="str">
        <f>VLOOKUP(C774,'Tox Summary'!$N$3:$S$1048576,6,FALSE)</f>
        <v/>
      </c>
      <c r="X774" s="76" t="str">
        <f t="shared" si="261"/>
        <v/>
      </c>
      <c r="Y774" s="76" t="str">
        <f t="shared" si="255"/>
        <v/>
      </c>
      <c r="AA774" s="332"/>
    </row>
    <row r="775" spans="1:27">
      <c r="A775" s="265"/>
      <c r="B775" s="345" t="s">
        <v>326</v>
      </c>
      <c r="C775" s="269" t="s">
        <v>1373</v>
      </c>
      <c r="D775" s="280" t="str">
        <f>VLOOKUP(B775, 'Chem Props'!$1:$1048576,3,FALSE)</f>
        <v>Yes</v>
      </c>
      <c r="E775" s="598" t="str">
        <f t="shared" si="256"/>
        <v>Yes</v>
      </c>
      <c r="F775" s="7" t="str">
        <f t="shared" si="267"/>
        <v>Yes</v>
      </c>
      <c r="G775" s="270" t="str">
        <f t="shared" si="268"/>
        <v>Yes</v>
      </c>
      <c r="H775" s="76">
        <f t="shared" si="257"/>
        <v>0.31285714285714278</v>
      </c>
      <c r="I775" s="271" t="str">
        <f t="shared" si="258"/>
        <v>NC</v>
      </c>
      <c r="J775" s="272">
        <f t="shared" si="259"/>
        <v>10.428571428571427</v>
      </c>
      <c r="K775" s="272">
        <f t="shared" si="260"/>
        <v>22.310445261475358</v>
      </c>
      <c r="L775" s="273" t="str">
        <f t="shared" si="249"/>
        <v>--</v>
      </c>
      <c r="M775" s="7">
        <f t="shared" si="250"/>
        <v>29272877.997729637</v>
      </c>
      <c r="N775" s="7">
        <f t="shared" si="270"/>
        <v>24540074.999999996</v>
      </c>
      <c r="O775" s="326">
        <f t="shared" si="251"/>
        <v>25</v>
      </c>
      <c r="P775" s="224">
        <f t="shared" si="269"/>
        <v>3.2</v>
      </c>
      <c r="Q775" s="224" t="str">
        <f t="shared" si="252"/>
        <v>N</v>
      </c>
      <c r="R775" s="224"/>
      <c r="S775" s="271" t="str">
        <f t="shared" si="264"/>
        <v/>
      </c>
      <c r="T775" s="7" t="str">
        <f t="shared" si="265"/>
        <v/>
      </c>
      <c r="U775" s="7">
        <f t="shared" si="253"/>
        <v>2.9999999999999997E-4</v>
      </c>
      <c r="V775" s="7" t="str">
        <f t="shared" si="254"/>
        <v>I</v>
      </c>
      <c r="W775" s="7" t="str">
        <f>VLOOKUP(C775,'Tox Summary'!$N$3:$S$1048576,6,FALSE)</f>
        <v>Mut</v>
      </c>
      <c r="X775" s="76" t="str">
        <f t="shared" si="261"/>
        <v/>
      </c>
      <c r="Y775" s="76">
        <f t="shared" si="255"/>
        <v>0.31285714285714278</v>
      </c>
      <c r="AA775" s="332"/>
    </row>
    <row r="776" spans="1:27">
      <c r="A776" s="265"/>
      <c r="B776" s="345" t="s">
        <v>327</v>
      </c>
      <c r="C776" s="269" t="s">
        <v>544</v>
      </c>
      <c r="D776" s="280" t="str">
        <f>VLOOKUP(B776, 'Chem Props'!$1:$1048576,3,FALSE)</f>
        <v>Yes</v>
      </c>
      <c r="E776" s="598" t="str">
        <f t="shared" si="256"/>
        <v>Yes</v>
      </c>
      <c r="F776" s="7" t="str">
        <f t="shared" si="267"/>
        <v>Yes</v>
      </c>
      <c r="G776" s="270" t="str">
        <f t="shared" si="268"/>
        <v>Yes</v>
      </c>
      <c r="H776" s="76">
        <f t="shared" si="257"/>
        <v>0.31285714285714278</v>
      </c>
      <c r="I776" s="271" t="str">
        <f t="shared" si="258"/>
        <v>NC</v>
      </c>
      <c r="J776" s="272">
        <f t="shared" si="259"/>
        <v>10.428571428571427</v>
      </c>
      <c r="K776" s="272">
        <f t="shared" si="260"/>
        <v>0.4348003304561926</v>
      </c>
      <c r="L776" s="273" t="str">
        <f t="shared" si="249"/>
        <v>--</v>
      </c>
      <c r="M776" s="7">
        <f t="shared" si="250"/>
        <v>34429443.877534114</v>
      </c>
      <c r="N776" s="7">
        <f t="shared" si="270"/>
        <v>240470969.81999996</v>
      </c>
      <c r="O776" s="326">
        <f t="shared" si="251"/>
        <v>25</v>
      </c>
      <c r="P776" s="224" t="str">
        <f t="shared" si="269"/>
        <v/>
      </c>
      <c r="Q776" s="224" t="str">
        <f t="shared" si="252"/>
        <v/>
      </c>
      <c r="R776" s="224"/>
      <c r="S776" s="271" t="str">
        <f t="shared" si="264"/>
        <v/>
      </c>
      <c r="T776" s="7" t="str">
        <f t="shared" si="265"/>
        <v/>
      </c>
      <c r="U776" s="7">
        <f t="shared" si="253"/>
        <v>2.9999999999999997E-4</v>
      </c>
      <c r="V776" s="7" t="str">
        <f t="shared" si="254"/>
        <v>P</v>
      </c>
      <c r="W776" s="7" t="str">
        <f>VLOOKUP(C776,'Tox Summary'!$N$3:$S$1048576,6,FALSE)</f>
        <v/>
      </c>
      <c r="X776" s="76" t="str">
        <f t="shared" si="261"/>
        <v/>
      </c>
      <c r="Y776" s="76">
        <f t="shared" si="255"/>
        <v>0.31285714285714278</v>
      </c>
      <c r="AA776" s="332"/>
    </row>
    <row r="777" spans="1:27">
      <c r="A777" s="265"/>
      <c r="B777" s="345" t="s">
        <v>2033</v>
      </c>
      <c r="C777" s="269" t="s">
        <v>2032</v>
      </c>
      <c r="D777" s="280" t="str">
        <f>VLOOKUP(B777, 'Chem Props'!$1:$1048576,3,FALSE)</f>
        <v>No</v>
      </c>
      <c r="E777" s="598" t="str">
        <f t="shared" si="256"/>
        <v>No</v>
      </c>
      <c r="F777" s="7" t="str">
        <f t="shared" ref="F777:F808" si="271">IF(LEFT(D777,2)="No","No (not volatile)",IF(D777="unknown","unknown",IF(H777="NVT","No",IF(AND(X777="",Y777=""),"No Inhal. Tox. Info",IF(MIN(X777:Y777)&gt;=M777,"No",IF(M777&gt;H777,"Yes","No"))))))</f>
        <v>No (not volatile)</v>
      </c>
      <c r="G777" s="270" t="str">
        <f t="shared" ref="G777:G808" si="272">IF(LEFT(D777,2)="No","No (not volatile)",IF(D777="unknown","unknown",IF(H777="NVT","No",IF(AND(X777="",Y777=""),"No Inhal. Tox. Info",IF(MIN(X777:Y777)&gt;=N777,"No",IF(N777&gt;H777,"Yes","No"))))))</f>
        <v>No (not volatile)</v>
      </c>
      <c r="H777" s="76" t="str">
        <f t="shared" si="257"/>
        <v>--</v>
      </c>
      <c r="I777" s="271" t="str">
        <f t="shared" si="258"/>
        <v>--</v>
      </c>
      <c r="J777" s="272" t="str">
        <f t="shared" si="259"/>
        <v>--</v>
      </c>
      <c r="K777" s="272" t="str">
        <f t="shared" si="260"/>
        <v>--</v>
      </c>
      <c r="L777" s="273" t="str">
        <f t="shared" si="249"/>
        <v>--</v>
      </c>
      <c r="M777" s="7">
        <f t="shared" si="250"/>
        <v>11.892925420881749</v>
      </c>
      <c r="N777" s="7">
        <f t="shared" si="270"/>
        <v>11.879999999999999</v>
      </c>
      <c r="O777" s="326">
        <f t="shared" si="251"/>
        <v>25</v>
      </c>
      <c r="P777" s="224" t="str">
        <f t="shared" si="269"/>
        <v/>
      </c>
      <c r="Q777" s="224" t="str">
        <f t="shared" si="252"/>
        <v/>
      </c>
      <c r="R777" s="333"/>
      <c r="S777" s="271" t="str">
        <f t="shared" si="264"/>
        <v/>
      </c>
      <c r="T777" s="7" t="str">
        <f t="shared" si="265"/>
        <v/>
      </c>
      <c r="U777" s="7" t="str">
        <f t="shared" si="253"/>
        <v/>
      </c>
      <c r="V777" s="7" t="str">
        <f t="shared" si="254"/>
        <v/>
      </c>
      <c r="W777" s="7" t="str">
        <f>VLOOKUP(C777,'Tox Summary'!$N$3:$S$1048576,6,FALSE)</f>
        <v/>
      </c>
      <c r="X777" s="76" t="str">
        <f t="shared" si="261"/>
        <v/>
      </c>
      <c r="Y777" s="76" t="str">
        <f t="shared" si="255"/>
        <v/>
      </c>
      <c r="AA777" s="332"/>
    </row>
    <row r="778" spans="1:27">
      <c r="A778" s="265"/>
      <c r="B778" s="345" t="s">
        <v>328</v>
      </c>
      <c r="C778" s="269" t="s">
        <v>1374</v>
      </c>
      <c r="D778" s="280" t="str">
        <f>VLOOKUP(B778, 'Chem Props'!$1:$1048576,3,FALSE)</f>
        <v>No</v>
      </c>
      <c r="E778" s="598" t="str">
        <f t="shared" si="256"/>
        <v>No</v>
      </c>
      <c r="F778" s="7" t="str">
        <f t="shared" si="271"/>
        <v>No (not volatile)</v>
      </c>
      <c r="G778" s="270" t="str">
        <f t="shared" si="272"/>
        <v>No (not volatile)</v>
      </c>
      <c r="H778" s="76" t="str">
        <f t="shared" si="257"/>
        <v>--</v>
      </c>
      <c r="I778" s="271" t="str">
        <f t="shared" si="258"/>
        <v>--</v>
      </c>
      <c r="J778" s="272" t="str">
        <f t="shared" si="259"/>
        <v>--</v>
      </c>
      <c r="K778" s="272" t="str">
        <f t="shared" si="260"/>
        <v>--</v>
      </c>
      <c r="L778" s="273" t="str">
        <f t="shared" si="249"/>
        <v>--</v>
      </c>
      <c r="M778" s="7">
        <f t="shared" si="250"/>
        <v>6724.3601818783836</v>
      </c>
      <c r="N778" s="7">
        <f t="shared" si="270"/>
        <v>19.185599999999997</v>
      </c>
      <c r="O778" s="326">
        <f t="shared" si="251"/>
        <v>25</v>
      </c>
      <c r="P778" s="224" t="str">
        <f t="shared" si="269"/>
        <v/>
      </c>
      <c r="Q778" s="224" t="str">
        <f t="shared" si="252"/>
        <v/>
      </c>
      <c r="R778" s="224"/>
      <c r="S778" s="271" t="str">
        <f t="shared" si="264"/>
        <v/>
      </c>
      <c r="T778" s="7" t="str">
        <f t="shared" si="265"/>
        <v/>
      </c>
      <c r="U778" s="7" t="str">
        <f t="shared" si="253"/>
        <v/>
      </c>
      <c r="V778" s="7" t="str">
        <f t="shared" si="254"/>
        <v/>
      </c>
      <c r="W778" s="7" t="str">
        <f>VLOOKUP(C778,'Tox Summary'!$N$3:$S$1048576,6,FALSE)</f>
        <v/>
      </c>
      <c r="X778" s="76" t="str">
        <f t="shared" si="261"/>
        <v/>
      </c>
      <c r="Y778" s="76" t="str">
        <f t="shared" si="255"/>
        <v/>
      </c>
      <c r="AA778" s="332"/>
    </row>
    <row r="779" spans="1:27">
      <c r="A779" s="265"/>
      <c r="B779" s="345" t="s">
        <v>329</v>
      </c>
      <c r="C779" s="269" t="s">
        <v>1375</v>
      </c>
      <c r="D779" s="280" t="str">
        <f>VLOOKUP(B779, 'Chem Props'!$1:$1048576,3,FALSE)</f>
        <v>Yes</v>
      </c>
      <c r="E779" s="598" t="str">
        <f t="shared" si="256"/>
        <v>Yes</v>
      </c>
      <c r="F779" s="7" t="str">
        <f t="shared" si="271"/>
        <v>Yes</v>
      </c>
      <c r="G779" s="270" t="str">
        <f t="shared" si="272"/>
        <v>Yes</v>
      </c>
      <c r="H779" s="76">
        <f t="shared" si="257"/>
        <v>7.3</v>
      </c>
      <c r="I779" s="271" t="str">
        <f t="shared" si="258"/>
        <v>NC</v>
      </c>
      <c r="J779" s="272">
        <f t="shared" si="259"/>
        <v>243.33333333333334</v>
      </c>
      <c r="K779" s="272">
        <f t="shared" si="260"/>
        <v>1198.3715280057784</v>
      </c>
      <c r="L779" s="273" t="str">
        <f t="shared" si="249"/>
        <v>--</v>
      </c>
      <c r="M779" s="7">
        <f t="shared" si="250"/>
        <v>310741071.87953281</v>
      </c>
      <c r="N779" s="7">
        <f t="shared" si="270"/>
        <v>417883760</v>
      </c>
      <c r="O779" s="326">
        <f t="shared" si="251"/>
        <v>25</v>
      </c>
      <c r="P779" s="224" t="str">
        <f t="shared" si="269"/>
        <v/>
      </c>
      <c r="Q779" s="224" t="str">
        <f t="shared" si="252"/>
        <v/>
      </c>
      <c r="R779" s="224"/>
      <c r="S779" s="271" t="str">
        <f t="shared" si="264"/>
        <v/>
      </c>
      <c r="T779" s="7" t="str">
        <f t="shared" si="265"/>
        <v/>
      </c>
      <c r="U779" s="7">
        <f t="shared" si="253"/>
        <v>7.0000000000000001E-3</v>
      </c>
      <c r="V779" s="7" t="str">
        <f t="shared" si="254"/>
        <v>I</v>
      </c>
      <c r="W779" s="7" t="str">
        <f>VLOOKUP(C779,'Tox Summary'!$N$3:$S$1048576,6,FALSE)</f>
        <v/>
      </c>
      <c r="X779" s="76" t="str">
        <f t="shared" si="261"/>
        <v/>
      </c>
      <c r="Y779" s="76">
        <f t="shared" si="255"/>
        <v>7.3</v>
      </c>
      <c r="AA779" s="332"/>
    </row>
    <row r="780" spans="1:27">
      <c r="A780" s="265"/>
      <c r="B780" s="345" t="s">
        <v>2132</v>
      </c>
      <c r="C780" s="269" t="s">
        <v>2131</v>
      </c>
      <c r="D780" s="280" t="str">
        <f>VLOOKUP(B780, 'Chem Props'!$1:$1048576,3,FALSE)</f>
        <v>No</v>
      </c>
      <c r="E780" s="598" t="str">
        <f t="shared" si="256"/>
        <v>No</v>
      </c>
      <c r="F780" s="7" t="str">
        <f t="shared" si="271"/>
        <v>No (not volatile)</v>
      </c>
      <c r="G780" s="270" t="str">
        <f t="shared" si="272"/>
        <v>No (not volatile)</v>
      </c>
      <c r="H780" s="76" t="str">
        <f t="shared" si="257"/>
        <v>--</v>
      </c>
      <c r="I780" s="271" t="str">
        <f t="shared" si="258"/>
        <v>--</v>
      </c>
      <c r="J780" s="272" t="str">
        <f t="shared" si="259"/>
        <v>--</v>
      </c>
      <c r="K780" s="272" t="str">
        <f t="shared" si="260"/>
        <v>--</v>
      </c>
      <c r="L780" s="273" t="str">
        <f t="shared" si="249"/>
        <v>--</v>
      </c>
      <c r="M780" s="7">
        <f t="shared" si="250"/>
        <v>10666.924525226394</v>
      </c>
      <c r="N780" s="7">
        <f t="shared" si="270"/>
        <v>1291.9000000000001</v>
      </c>
      <c r="O780" s="326">
        <f t="shared" si="251"/>
        <v>25</v>
      </c>
      <c r="P780" s="224" t="str">
        <f t="shared" si="269"/>
        <v/>
      </c>
      <c r="Q780" s="224" t="str">
        <f t="shared" si="252"/>
        <v/>
      </c>
      <c r="R780" s="224"/>
      <c r="S780" s="271" t="str">
        <f t="shared" si="264"/>
        <v/>
      </c>
      <c r="T780" s="7" t="str">
        <f t="shared" si="265"/>
        <v/>
      </c>
      <c r="U780" s="7" t="str">
        <f t="shared" si="253"/>
        <v/>
      </c>
      <c r="V780" s="7" t="str">
        <f t="shared" si="254"/>
        <v/>
      </c>
      <c r="W780" s="7" t="str">
        <f>VLOOKUP(C780,'Tox Summary'!$N$3:$S$1048576,6,FALSE)</f>
        <v/>
      </c>
      <c r="X780" s="76" t="str">
        <f t="shared" si="261"/>
        <v/>
      </c>
      <c r="Y780" s="76" t="str">
        <f t="shared" si="255"/>
        <v/>
      </c>
      <c r="AA780" s="332"/>
    </row>
    <row r="781" spans="1:27">
      <c r="A781" s="265"/>
      <c r="B781" s="345" t="s">
        <v>2291</v>
      </c>
      <c r="C781" s="269" t="s">
        <v>2294</v>
      </c>
      <c r="D781" s="280" t="str">
        <f>VLOOKUP(B781, 'Chem Props'!$1:$1048576,3,FALSE)</f>
        <v>Yes</v>
      </c>
      <c r="E781" s="598" t="str">
        <f t="shared" si="256"/>
        <v>Yes</v>
      </c>
      <c r="F781" s="7" t="str">
        <f t="shared" si="271"/>
        <v>Yes</v>
      </c>
      <c r="G781" s="270" t="str">
        <f t="shared" si="272"/>
        <v>Yes</v>
      </c>
      <c r="H781" s="76">
        <f t="shared" si="257"/>
        <v>20857.142857142859</v>
      </c>
      <c r="I781" s="271" t="str">
        <f t="shared" si="258"/>
        <v>NC</v>
      </c>
      <c r="J781" s="272">
        <f t="shared" si="259"/>
        <v>695238.09523809527</v>
      </c>
      <c r="K781" s="272">
        <f t="shared" si="260"/>
        <v>662.55288187382337</v>
      </c>
      <c r="L781" s="273" t="str">
        <f t="shared" si="249"/>
        <v>--</v>
      </c>
      <c r="M781" s="7">
        <f t="shared" si="250"/>
        <v>43123166656.467392</v>
      </c>
      <c r="N781" s="7">
        <f t="shared" si="270"/>
        <v>23953106890.299999</v>
      </c>
      <c r="O781" s="326">
        <f t="shared" si="251"/>
        <v>25</v>
      </c>
      <c r="P781" s="224" t="str">
        <f t="shared" si="269"/>
        <v/>
      </c>
      <c r="Q781" s="224" t="str">
        <f t="shared" si="252"/>
        <v/>
      </c>
      <c r="R781" s="224"/>
      <c r="S781" s="271" t="str">
        <f t="shared" si="264"/>
        <v/>
      </c>
      <c r="T781" s="7" t="str">
        <f t="shared" si="265"/>
        <v/>
      </c>
      <c r="U781" s="7">
        <f t="shared" si="253"/>
        <v>20</v>
      </c>
      <c r="V781" s="7" t="str">
        <f t="shared" si="254"/>
        <v>P</v>
      </c>
      <c r="W781" s="7" t="str">
        <f>VLOOKUP(C781,'Tox Summary'!$N$3:$S$1048576,6,FALSE)</f>
        <v/>
      </c>
      <c r="X781" s="76" t="str">
        <f t="shared" si="261"/>
        <v/>
      </c>
      <c r="Y781" s="76">
        <f t="shared" si="255"/>
        <v>20857.142857142859</v>
      </c>
      <c r="AA781" s="332"/>
    </row>
    <row r="782" spans="1:27">
      <c r="A782" s="265"/>
      <c r="B782" s="345" t="s">
        <v>330</v>
      </c>
      <c r="C782" s="269" t="s">
        <v>1376</v>
      </c>
      <c r="D782" s="280" t="str">
        <f>VLOOKUP(B782, 'Chem Props'!$1:$1048576,3,FALSE)</f>
        <v>Yes</v>
      </c>
      <c r="E782" s="598" t="str">
        <f t="shared" si="256"/>
        <v>No</v>
      </c>
      <c r="F782" s="7" t="str">
        <f t="shared" si="271"/>
        <v>No Inhal. Tox. Info</v>
      </c>
      <c r="G782" s="270" t="str">
        <f t="shared" si="272"/>
        <v>No Inhal. Tox. Info</v>
      </c>
      <c r="H782" s="76" t="str">
        <f t="shared" si="257"/>
        <v>--</v>
      </c>
      <c r="I782" s="271" t="str">
        <f t="shared" si="258"/>
        <v>--</v>
      </c>
      <c r="J782" s="272" t="str">
        <f t="shared" si="259"/>
        <v>--</v>
      </c>
      <c r="K782" s="272" t="str">
        <f t="shared" si="260"/>
        <v>--</v>
      </c>
      <c r="L782" s="273" t="str">
        <f t="shared" si="249"/>
        <v>--</v>
      </c>
      <c r="M782" s="7">
        <f t="shared" si="250"/>
        <v>826.30288644582367</v>
      </c>
      <c r="N782" s="7">
        <f t="shared" si="270"/>
        <v>774.82400000000007</v>
      </c>
      <c r="O782" s="326">
        <f t="shared" si="251"/>
        <v>25</v>
      </c>
      <c r="P782" s="224" t="str">
        <f t="shared" si="269"/>
        <v/>
      </c>
      <c r="Q782" s="224" t="str">
        <f t="shared" si="252"/>
        <v/>
      </c>
      <c r="R782" s="224"/>
      <c r="S782" s="271" t="str">
        <f t="shared" si="264"/>
        <v/>
      </c>
      <c r="T782" s="7" t="str">
        <f t="shared" si="265"/>
        <v/>
      </c>
      <c r="U782" s="7" t="str">
        <f t="shared" si="253"/>
        <v/>
      </c>
      <c r="V782" s="7" t="str">
        <f t="shared" si="254"/>
        <v/>
      </c>
      <c r="W782" s="7" t="str">
        <f>VLOOKUP(C782,'Tox Summary'!$N$3:$S$1048576,6,FALSE)</f>
        <v/>
      </c>
      <c r="X782" s="76" t="str">
        <f t="shared" si="261"/>
        <v/>
      </c>
      <c r="Y782" s="76" t="str">
        <f t="shared" si="255"/>
        <v/>
      </c>
      <c r="AA782" s="332"/>
    </row>
    <row r="783" spans="1:27">
      <c r="A783" s="265"/>
      <c r="B783" s="345" t="s">
        <v>1609</v>
      </c>
      <c r="C783" s="269" t="s">
        <v>2407</v>
      </c>
      <c r="D783" s="280" t="str">
        <f>VLOOKUP(B783, 'Chem Props'!$1:$1048576,3,FALSE)</f>
        <v>No</v>
      </c>
      <c r="E783" s="598" t="str">
        <f t="shared" si="256"/>
        <v>No</v>
      </c>
      <c r="F783" s="7" t="str">
        <f t="shared" si="271"/>
        <v>No (not volatile)</v>
      </c>
      <c r="G783" s="270" t="str">
        <f t="shared" si="272"/>
        <v>No (not volatile)</v>
      </c>
      <c r="H783" s="76" t="str">
        <f t="shared" si="257"/>
        <v>No VP</v>
      </c>
      <c r="I783" s="271" t="str">
        <f t="shared" si="258"/>
        <v>--</v>
      </c>
      <c r="J783" s="272" t="str">
        <f t="shared" si="259"/>
        <v>No VP</v>
      </c>
      <c r="K783" s="272" t="str">
        <f t="shared" si="260"/>
        <v>No VP</v>
      </c>
      <c r="L783" s="273" t="str">
        <f t="shared" si="249"/>
        <v>--</v>
      </c>
      <c r="M783" s="7" t="str">
        <f t="shared" si="250"/>
        <v>No VP</v>
      </c>
      <c r="N783" s="7" t="str">
        <f t="shared" si="270"/>
        <v>No S</v>
      </c>
      <c r="O783" s="326">
        <f t="shared" si="251"/>
        <v>25</v>
      </c>
      <c r="P783" s="224" t="str">
        <f t="shared" si="269"/>
        <v/>
      </c>
      <c r="Q783" s="224" t="str">
        <f t="shared" si="252"/>
        <v/>
      </c>
      <c r="R783" s="224"/>
      <c r="S783" s="271" t="str">
        <f t="shared" si="264"/>
        <v/>
      </c>
      <c r="T783" s="7" t="str">
        <f t="shared" si="265"/>
        <v/>
      </c>
      <c r="U783" s="7" t="str">
        <f t="shared" si="253"/>
        <v/>
      </c>
      <c r="V783" s="7" t="str">
        <f t="shared" si="254"/>
        <v/>
      </c>
      <c r="W783" s="7" t="str">
        <f>VLOOKUP(C783,'Tox Summary'!$N$3:$S$1048576,6,FALSE)</f>
        <v/>
      </c>
      <c r="X783" s="76" t="str">
        <f t="shared" si="261"/>
        <v/>
      </c>
      <c r="Y783" s="76" t="str">
        <f t="shared" si="255"/>
        <v/>
      </c>
      <c r="AA783" s="332"/>
    </row>
    <row r="784" spans="1:27">
      <c r="A784" s="265"/>
      <c r="B784" s="345" t="s">
        <v>331</v>
      </c>
      <c r="C784" s="269" t="s">
        <v>1377</v>
      </c>
      <c r="D784" s="280" t="str">
        <f>VLOOKUP(B784, 'Chem Props'!$1:$1048576,3,FALSE)</f>
        <v>No</v>
      </c>
      <c r="E784" s="598" t="str">
        <f t="shared" si="256"/>
        <v>No</v>
      </c>
      <c r="F784" s="7" t="str">
        <f t="shared" si="271"/>
        <v>No (not volatile)</v>
      </c>
      <c r="G784" s="270" t="str">
        <f t="shared" si="272"/>
        <v>No (not volatile)</v>
      </c>
      <c r="H784" s="76" t="str">
        <f t="shared" si="257"/>
        <v>--</v>
      </c>
      <c r="I784" s="271" t="str">
        <f t="shared" si="258"/>
        <v>--</v>
      </c>
      <c r="J784" s="272" t="str">
        <f t="shared" si="259"/>
        <v>--</v>
      </c>
      <c r="K784" s="272" t="str">
        <f t="shared" si="260"/>
        <v>--</v>
      </c>
      <c r="L784" s="273" t="str">
        <f t="shared" si="249"/>
        <v>--</v>
      </c>
      <c r="M784" s="7">
        <f t="shared" si="250"/>
        <v>6406904.4892071746</v>
      </c>
      <c r="N784" s="7">
        <f t="shared" si="270"/>
        <v>147180</v>
      </c>
      <c r="O784" s="326">
        <f t="shared" si="251"/>
        <v>25</v>
      </c>
      <c r="P784" s="224" t="str">
        <f t="shared" si="269"/>
        <v/>
      </c>
      <c r="Q784" s="224" t="str">
        <f t="shared" si="252"/>
        <v/>
      </c>
      <c r="R784" s="224"/>
      <c r="S784" s="271" t="str">
        <f t="shared" si="264"/>
        <v/>
      </c>
      <c r="T784" s="7" t="str">
        <f t="shared" si="265"/>
        <v/>
      </c>
      <c r="U784" s="7" t="str">
        <f t="shared" si="253"/>
        <v/>
      </c>
      <c r="V784" s="7" t="str">
        <f t="shared" si="254"/>
        <v/>
      </c>
      <c r="W784" s="7" t="str">
        <f>VLOOKUP(C784,'Tox Summary'!$N$3:$S$1048576,6,FALSE)</f>
        <v/>
      </c>
      <c r="X784" s="76" t="str">
        <f t="shared" si="261"/>
        <v/>
      </c>
      <c r="Y784" s="76" t="str">
        <f t="shared" si="255"/>
        <v/>
      </c>
      <c r="AA784" s="332"/>
    </row>
    <row r="785" spans="1:27">
      <c r="A785" s="265"/>
      <c r="B785" s="345" t="s">
        <v>1615</v>
      </c>
      <c r="C785" s="269" t="s">
        <v>1614</v>
      </c>
      <c r="D785" s="280" t="str">
        <f>VLOOKUP(B785, 'Chem Props'!$1:$1048576,3,FALSE)</f>
        <v>Yes</v>
      </c>
      <c r="E785" s="598" t="str">
        <f t="shared" si="256"/>
        <v>Yes</v>
      </c>
      <c r="F785" s="7" t="str">
        <f t="shared" si="271"/>
        <v>Yes</v>
      </c>
      <c r="G785" s="270" t="str">
        <f t="shared" si="272"/>
        <v>Yes</v>
      </c>
      <c r="H785" s="76">
        <f t="shared" si="257"/>
        <v>62.571428571428569</v>
      </c>
      <c r="I785" s="271" t="str">
        <f t="shared" si="258"/>
        <v>NC</v>
      </c>
      <c r="J785" s="272">
        <f t="shared" si="259"/>
        <v>2085.7142857142858</v>
      </c>
      <c r="K785" s="272">
        <f t="shared" si="260"/>
        <v>351.0314634790231</v>
      </c>
      <c r="L785" s="273" t="str">
        <f t="shared" si="249"/>
        <v>--</v>
      </c>
      <c r="M785" s="7">
        <f t="shared" si="250"/>
        <v>10921554.155953936</v>
      </c>
      <c r="N785" s="7">
        <f t="shared" si="270"/>
        <v>13404415.039999999</v>
      </c>
      <c r="O785" s="326">
        <f t="shared" si="251"/>
        <v>25</v>
      </c>
      <c r="P785" s="224" t="str">
        <f t="shared" si="269"/>
        <v/>
      </c>
      <c r="Q785" s="224" t="str">
        <f t="shared" si="252"/>
        <v/>
      </c>
      <c r="R785" s="224"/>
      <c r="S785" s="271" t="str">
        <f t="shared" si="264"/>
        <v/>
      </c>
      <c r="T785" s="7" t="str">
        <f t="shared" si="265"/>
        <v/>
      </c>
      <c r="U785" s="7">
        <f t="shared" si="253"/>
        <v>0.06</v>
      </c>
      <c r="V785" s="7" t="str">
        <f t="shared" si="254"/>
        <v>I</v>
      </c>
      <c r="W785" s="7" t="str">
        <f>VLOOKUP(C785,'Tox Summary'!$N$3:$S$1048576,6,FALSE)</f>
        <v/>
      </c>
      <c r="X785" s="76" t="str">
        <f t="shared" si="261"/>
        <v/>
      </c>
      <c r="Y785" s="76">
        <f t="shared" si="255"/>
        <v>62.571428571428569</v>
      </c>
      <c r="AA785" s="332"/>
    </row>
    <row r="786" spans="1:27">
      <c r="A786" s="265"/>
      <c r="B786" s="345" t="s">
        <v>332</v>
      </c>
      <c r="C786" s="269" t="s">
        <v>1378</v>
      </c>
      <c r="D786" s="280" t="str">
        <f>VLOOKUP(B786, 'Chem Props'!$1:$1048576,3,FALSE)</f>
        <v>Yes</v>
      </c>
      <c r="E786" s="598" t="str">
        <f t="shared" si="256"/>
        <v>Yes</v>
      </c>
      <c r="F786" s="7" t="str">
        <f t="shared" si="271"/>
        <v>Yes</v>
      </c>
      <c r="G786" s="270" t="str">
        <f t="shared" si="272"/>
        <v>Yes</v>
      </c>
      <c r="H786" s="76">
        <f t="shared" si="257"/>
        <v>62.571428571428569</v>
      </c>
      <c r="I786" s="271" t="str">
        <f t="shared" si="258"/>
        <v>NC</v>
      </c>
      <c r="J786" s="272">
        <f t="shared" si="259"/>
        <v>2085.7142857142858</v>
      </c>
      <c r="K786" s="272">
        <f t="shared" si="260"/>
        <v>248.45736621918059</v>
      </c>
      <c r="L786" s="273" t="str">
        <f t="shared" ref="L786:L815" si="273">IF(INDEX(MCL,MATCH(C786,ChemNameChem,0))="","--",IF(K786&lt;INDEX(MCL,MATCH(C786,ChemNameChem,0)),"Yes ("&amp;(INDEX(MCL,MATCH(C786,ChemNameChem,0)))&amp;")","No ("&amp;(INDEX(MCL,MATCH(C786,ChemNameChem,0)))&amp;")"))</f>
        <v>--</v>
      </c>
      <c r="M786" s="7">
        <f t="shared" ref="M786:M818" si="274">IF(INDEX(_VP25,MATCH(B786,CASNoChem,0))="No VP","No VP",IF(INDEX(MW,MATCH(B786,CASNoChem,0))="No MW","No MW",INDEX(MW,MATCH(B786,CASNoChem,0))*INDEX(_VP25,MATCH(B786,CASNoChem,0))*53808.7856452378))</f>
        <v>13582413.672570925</v>
      </c>
      <c r="N786" s="7">
        <f t="shared" si="270"/>
        <v>14354862.9</v>
      </c>
      <c r="O786" s="326">
        <f t="shared" ref="O786:O818" si="275">IF(INDEX(HTgw,MATCH(B786,CASNoChem,0),1)="",25,Tgw)</f>
        <v>25</v>
      </c>
      <c r="P786" s="224">
        <f t="shared" si="269"/>
        <v>0.9</v>
      </c>
      <c r="Q786" s="224" t="str">
        <f t="shared" ref="Q786:Q818" si="276">IF(INDEX(LELsource,MATCH(B786,CASNoChem,0),1)="","",INDEX(LELsource,MATCH(B786,CASNoChem,0),1))</f>
        <v>N</v>
      </c>
      <c r="R786" s="224"/>
      <c r="S786" s="271" t="str">
        <f t="shared" si="264"/>
        <v/>
      </c>
      <c r="T786" s="7" t="str">
        <f t="shared" si="265"/>
        <v/>
      </c>
      <c r="U786" s="7">
        <f t="shared" ref="U786:U818" si="277">IF(INDEX(RFC,MATCH(B786,CASNoTox,0))=" ","",INDEX(RFC,MATCH(B786,CASNoTox,0)))</f>
        <v>0.06</v>
      </c>
      <c r="V786" s="7" t="str">
        <f t="shared" ref="V786:V818" si="278">IF(INDEX(RFCSource,MATCH(B786,CASNoTox,0))="","",SUBSTITUTE(INDEX(RFCSource,MATCH(B786,CASNoTox,0)),"C","CA"))</f>
        <v>I</v>
      </c>
      <c r="W786" s="7" t="str">
        <f>VLOOKUP(C786,'Tox Summary'!$N$3:$S$1048576,6,FALSE)</f>
        <v/>
      </c>
      <c r="X786" s="76" t="str">
        <f t="shared" si="261"/>
        <v/>
      </c>
      <c r="Y786" s="76">
        <f t="shared" ref="Y786:Y818" si="279">IF(U786="","",THQ*Atnc*365*24*U786*1000/(EF*ED*ET))</f>
        <v>62.571428571428569</v>
      </c>
      <c r="AA786" s="332"/>
    </row>
    <row r="787" spans="1:27">
      <c r="A787" s="265"/>
      <c r="B787" s="345" t="s">
        <v>333</v>
      </c>
      <c r="C787" s="269" t="s">
        <v>545</v>
      </c>
      <c r="D787" s="280" t="str">
        <f>VLOOKUP(B787, 'Chem Props'!$1:$1048576,3,FALSE)</f>
        <v>Yes</v>
      </c>
      <c r="E787" s="598" t="str">
        <f t="shared" ref="E787:E818" si="280">IF(OR(ISNUMBER(S787),ISNUMBER(U787)),"Yes","No")</f>
        <v>Yes</v>
      </c>
      <c r="F787" s="7" t="str">
        <f t="shared" si="271"/>
        <v>Yes</v>
      </c>
      <c r="G787" s="270" t="str">
        <f t="shared" si="272"/>
        <v>Yes</v>
      </c>
      <c r="H787" s="76">
        <f t="shared" si="257"/>
        <v>62.571428571428569</v>
      </c>
      <c r="I787" s="271" t="str">
        <f t="shared" si="258"/>
        <v>NC</v>
      </c>
      <c r="J787" s="272">
        <f t="shared" si="259"/>
        <v>2085.7142857142858</v>
      </c>
      <c r="K787" s="272">
        <f t="shared" si="260"/>
        <v>174.51504937301681</v>
      </c>
      <c r="L787" s="273" t="str">
        <f t="shared" si="273"/>
        <v>--</v>
      </c>
      <c r="M787" s="7">
        <f t="shared" si="274"/>
        <v>16040183.765702806</v>
      </c>
      <c r="N787" s="7">
        <f t="shared" si="270"/>
        <v>17281849.719999999</v>
      </c>
      <c r="O787" s="326">
        <f t="shared" si="275"/>
        <v>25</v>
      </c>
      <c r="P787" s="224" t="str">
        <f t="shared" si="269"/>
        <v/>
      </c>
      <c r="Q787" s="224" t="str">
        <f t="shared" si="276"/>
        <v/>
      </c>
      <c r="R787" s="224"/>
      <c r="S787" s="271" t="str">
        <f t="shared" si="264"/>
        <v/>
      </c>
      <c r="T787" s="7" t="str">
        <f t="shared" si="265"/>
        <v/>
      </c>
      <c r="U787" s="7">
        <f t="shared" si="277"/>
        <v>0.06</v>
      </c>
      <c r="V787" s="7" t="str">
        <f t="shared" si="278"/>
        <v>I</v>
      </c>
      <c r="W787" s="7" t="str">
        <f>VLOOKUP(C787,'Tox Summary'!$N$3:$S$1048576,6,FALSE)</f>
        <v/>
      </c>
      <c r="X787" s="76" t="str">
        <f t="shared" si="261"/>
        <v/>
      </c>
      <c r="Y787" s="76">
        <f t="shared" si="279"/>
        <v>62.571428571428569</v>
      </c>
      <c r="AA787" s="332"/>
    </row>
    <row r="788" spans="1:27">
      <c r="A788" s="265"/>
      <c r="B788" s="345" t="s">
        <v>2292</v>
      </c>
      <c r="C788" s="269" t="s">
        <v>2295</v>
      </c>
      <c r="D788" s="280" t="str">
        <f>VLOOKUP(B788, 'Chem Props'!$1:$1048576,3,FALSE)</f>
        <v>Yes</v>
      </c>
      <c r="E788" s="598" t="str">
        <f t="shared" si="280"/>
        <v>No</v>
      </c>
      <c r="F788" s="7" t="str">
        <f t="shared" si="271"/>
        <v>No Inhal. Tox. Info</v>
      </c>
      <c r="G788" s="270" t="str">
        <f t="shared" si="272"/>
        <v>No Inhal. Tox. Info</v>
      </c>
      <c r="H788" s="76" t="str">
        <f t="shared" si="257"/>
        <v>--</v>
      </c>
      <c r="I788" s="271" t="str">
        <f t="shared" si="258"/>
        <v>--</v>
      </c>
      <c r="J788" s="272" t="str">
        <f t="shared" si="259"/>
        <v>--</v>
      </c>
      <c r="K788" s="272" t="str">
        <f t="shared" si="260"/>
        <v>--</v>
      </c>
      <c r="L788" s="273" t="str">
        <f t="shared" si="273"/>
        <v>--</v>
      </c>
      <c r="M788" s="7">
        <f t="shared" si="274"/>
        <v>428727956.68270957</v>
      </c>
      <c r="N788" s="7">
        <f t="shared" si="270"/>
        <v>123215046.96000001</v>
      </c>
      <c r="O788" s="326">
        <f t="shared" si="275"/>
        <v>25</v>
      </c>
      <c r="P788" s="224" t="str">
        <f t="shared" ref="P788:P808" si="281">IF(VLOOKUP(B788,AllChemProps,32,FALSE)&gt;0,VLOOKUP(B788,AllChemProps,32,FALSE),"")</f>
        <v/>
      </c>
      <c r="Q788" s="224" t="str">
        <f t="shared" si="276"/>
        <v/>
      </c>
      <c r="R788" s="224"/>
      <c r="S788" s="271" t="str">
        <f t="shared" si="264"/>
        <v/>
      </c>
      <c r="T788" s="7" t="str">
        <f t="shared" si="265"/>
        <v/>
      </c>
      <c r="U788" s="7" t="str">
        <f t="shared" si="277"/>
        <v/>
      </c>
      <c r="V788" s="7" t="str">
        <f t="shared" si="278"/>
        <v/>
      </c>
      <c r="W788" s="7" t="str">
        <f>VLOOKUP(C788,'Tox Summary'!$N$3:$S$1048576,6,FALSE)</f>
        <v/>
      </c>
      <c r="X788" s="76" t="str">
        <f t="shared" si="261"/>
        <v/>
      </c>
      <c r="Y788" s="76" t="str">
        <f t="shared" si="279"/>
        <v/>
      </c>
      <c r="AA788" s="332"/>
    </row>
    <row r="789" spans="1:27">
      <c r="A789" s="265"/>
      <c r="B789" s="345" t="s">
        <v>1442</v>
      </c>
      <c r="C789" s="269" t="s">
        <v>1381</v>
      </c>
      <c r="D789" s="280" t="str">
        <f>VLOOKUP(B789, 'Chem Props'!$1:$1048576,3,FALSE)</f>
        <v>Yes</v>
      </c>
      <c r="E789" s="598" t="str">
        <f t="shared" si="280"/>
        <v>No</v>
      </c>
      <c r="F789" s="7" t="str">
        <f t="shared" si="271"/>
        <v>No Inhal. Tox. Info</v>
      </c>
      <c r="G789" s="270" t="str">
        <f t="shared" si="272"/>
        <v>No Inhal. Tox. Info</v>
      </c>
      <c r="H789" s="76" t="str">
        <f t="shared" si="257"/>
        <v>--</v>
      </c>
      <c r="I789" s="271" t="str">
        <f t="shared" si="258"/>
        <v>--</v>
      </c>
      <c r="J789" s="272" t="str">
        <f t="shared" si="259"/>
        <v>--</v>
      </c>
      <c r="K789" s="272" t="str">
        <f t="shared" si="260"/>
        <v>--</v>
      </c>
      <c r="L789" s="273" t="str">
        <f t="shared" si="273"/>
        <v>--</v>
      </c>
      <c r="M789" s="7">
        <f t="shared" si="274"/>
        <v>624875.77777565375</v>
      </c>
      <c r="N789" s="7">
        <f t="shared" si="270"/>
        <v>453638.59290000005</v>
      </c>
      <c r="O789" s="326">
        <f t="shared" si="275"/>
        <v>25</v>
      </c>
      <c r="P789" s="224" t="str">
        <f t="shared" si="281"/>
        <v/>
      </c>
      <c r="Q789" s="224" t="str">
        <f t="shared" si="276"/>
        <v/>
      </c>
      <c r="R789" s="224"/>
      <c r="S789" s="271" t="str">
        <f t="shared" si="264"/>
        <v/>
      </c>
      <c r="T789" s="7" t="str">
        <f t="shared" si="265"/>
        <v/>
      </c>
      <c r="U789" s="7" t="str">
        <f t="shared" si="277"/>
        <v/>
      </c>
      <c r="V789" s="7" t="str">
        <f t="shared" si="278"/>
        <v/>
      </c>
      <c r="W789" s="7" t="str">
        <f>VLOOKUP(C789,'Tox Summary'!$N$3:$S$1048576,6,FALSE)</f>
        <v/>
      </c>
      <c r="X789" s="76" t="str">
        <f t="shared" si="261"/>
        <v/>
      </c>
      <c r="Y789" s="76" t="str">
        <f t="shared" si="279"/>
        <v/>
      </c>
      <c r="AA789" s="332"/>
    </row>
    <row r="790" spans="1:27">
      <c r="A790" s="265"/>
      <c r="B790" s="345" t="s">
        <v>334</v>
      </c>
      <c r="C790" s="269" t="s">
        <v>1379</v>
      </c>
      <c r="D790" s="280" t="str">
        <f>VLOOKUP(B790, 'Chem Props'!$1:$1048576,3,FALSE)</f>
        <v>No</v>
      </c>
      <c r="E790" s="598" t="str">
        <f t="shared" si="280"/>
        <v>No</v>
      </c>
      <c r="F790" s="7" t="str">
        <f t="shared" si="271"/>
        <v>No (not volatile)</v>
      </c>
      <c r="G790" s="270" t="str">
        <f t="shared" si="272"/>
        <v>No (not volatile)</v>
      </c>
      <c r="H790" s="76" t="str">
        <f t="shared" ref="H790:H818" si="282">IF(ISNUMBER(M790),IF(AND(X790="",Y790=""),"--",IF(MIN(X790:Y790)&gt;=M790,"NVT",MIN(X790:Y790))),M790)</f>
        <v>--</v>
      </c>
      <c r="I790" s="271" t="str">
        <f t="shared" ref="I790:I818" si="283">IF(AND(S790="",U790=""),"--",IF(MIN(X790,Y790)=X790,"C","NC"))</f>
        <v>--</v>
      </c>
      <c r="J790" s="272" t="str">
        <f t="shared" ref="J790:J818" si="284">IF(ISNUMBER(H790),IF(OR(H790="--",H790="NVT"),H790,IF(H790/Afss&gt;=M790,"NVT",H790/Afss)),H790)</f>
        <v>--</v>
      </c>
      <c r="K790" s="272" t="str">
        <f t="shared" ref="K790:K818" si="285">IF(ISNUMBER(H790),IF(H790="--","--", IF(LEFT(N790,2)="No",N790,IF(H790*0.001/(INDEX(HLC,MATCH(C790,ChemNameChem,0))*AFgw)&gt;=1000*INDEX(PWCS,MATCH(C790,ChemNameChem,0)), "NVT", H790*0.001/(INDEX(HLC,MATCH(C790,ChemNameChem,0))*AFgw)))),H790)</f>
        <v>--</v>
      </c>
      <c r="L790" s="273" t="str">
        <f t="shared" si="273"/>
        <v>--</v>
      </c>
      <c r="M790" s="7">
        <f t="shared" si="274"/>
        <v>73.848705589036683</v>
      </c>
      <c r="N790" s="7">
        <f t="shared" si="270"/>
        <v>73.875720000000001</v>
      </c>
      <c r="O790" s="326">
        <f t="shared" si="275"/>
        <v>25</v>
      </c>
      <c r="P790" s="224" t="str">
        <f t="shared" si="281"/>
        <v/>
      </c>
      <c r="Q790" s="224" t="str">
        <f t="shared" si="276"/>
        <v/>
      </c>
      <c r="R790" s="224"/>
      <c r="S790" s="271" t="str">
        <f t="shared" si="264"/>
        <v/>
      </c>
      <c r="T790" s="7" t="str">
        <f t="shared" si="265"/>
        <v/>
      </c>
      <c r="U790" s="7" t="str">
        <f t="shared" si="277"/>
        <v/>
      </c>
      <c r="V790" s="7" t="str">
        <f t="shared" si="278"/>
        <v/>
      </c>
      <c r="W790" s="7" t="str">
        <f>VLOOKUP(C790,'Tox Summary'!$N$3:$S$1048576,6,FALSE)</f>
        <v/>
      </c>
      <c r="X790" s="76" t="str">
        <f t="shared" ref="X790:X818" si="286">IF(S790="","",IF(W790&lt;&gt;"TCE",TCR/(IF(AND(W790="VC",Scenario="Residential"),S790,0)+(EF*IF(W790="Mut",MMOAAF,ED)*ET*S790/(Atc*365*24))), 1/((EF*MMOAAF*ET*mIURTCE/(TCR*Atc*365*24))+EF*ED*ET*IURTCE/(TCR*Atc*365*24))))</f>
        <v/>
      </c>
      <c r="Y790" s="76" t="str">
        <f t="shared" si="279"/>
        <v/>
      </c>
      <c r="AA790" s="332"/>
    </row>
    <row r="791" spans="1:27">
      <c r="A791" s="265"/>
      <c r="B791" s="345" t="s">
        <v>335</v>
      </c>
      <c r="C791" s="269" t="s">
        <v>1380</v>
      </c>
      <c r="D791" s="280" t="str">
        <f>VLOOKUP(B791, 'Chem Props'!$1:$1048576,3,FALSE)</f>
        <v>No</v>
      </c>
      <c r="E791" s="598" t="str">
        <f t="shared" si="280"/>
        <v>No</v>
      </c>
      <c r="F791" s="7" t="str">
        <f t="shared" si="271"/>
        <v>No (not volatile)</v>
      </c>
      <c r="G791" s="270" t="str">
        <f t="shared" si="272"/>
        <v>No (not volatile)</v>
      </c>
      <c r="H791" s="76" t="str">
        <f t="shared" si="282"/>
        <v>--</v>
      </c>
      <c r="I791" s="271" t="str">
        <f t="shared" si="283"/>
        <v>--</v>
      </c>
      <c r="J791" s="272" t="str">
        <f t="shared" si="284"/>
        <v>--</v>
      </c>
      <c r="K791" s="272" t="str">
        <f t="shared" si="285"/>
        <v>--</v>
      </c>
      <c r="L791" s="273" t="str">
        <f t="shared" si="273"/>
        <v>--</v>
      </c>
      <c r="M791" s="7">
        <f t="shared" si="274"/>
        <v>98.017147658494935</v>
      </c>
      <c r="N791" s="7">
        <f t="shared" si="270"/>
        <v>97.792550000000006</v>
      </c>
      <c r="O791" s="326">
        <f t="shared" si="275"/>
        <v>25</v>
      </c>
      <c r="P791" s="224" t="str">
        <f t="shared" si="281"/>
        <v/>
      </c>
      <c r="Q791" s="224" t="str">
        <f t="shared" si="276"/>
        <v/>
      </c>
      <c r="R791" s="224"/>
      <c r="S791" s="271" t="str">
        <f t="shared" si="264"/>
        <v/>
      </c>
      <c r="T791" s="7" t="str">
        <f t="shared" si="265"/>
        <v/>
      </c>
      <c r="U791" s="7" t="str">
        <f t="shared" si="277"/>
        <v/>
      </c>
      <c r="V791" s="7" t="str">
        <f t="shared" si="278"/>
        <v/>
      </c>
      <c r="W791" s="7" t="str">
        <f>VLOOKUP(C791,'Tox Summary'!$N$3:$S$1048576,6,FALSE)</f>
        <v/>
      </c>
      <c r="X791" s="76" t="str">
        <f t="shared" si="286"/>
        <v/>
      </c>
      <c r="Y791" s="76" t="str">
        <f t="shared" si="279"/>
        <v/>
      </c>
      <c r="AA791" s="332"/>
    </row>
    <row r="792" spans="1:27">
      <c r="A792" s="265"/>
      <c r="B792" s="345" t="s">
        <v>336</v>
      </c>
      <c r="C792" s="269" t="s">
        <v>546</v>
      </c>
      <c r="D792" s="280" t="str">
        <f>VLOOKUP(B792, 'Chem Props'!$1:$1048576,3,FALSE)</f>
        <v>No</v>
      </c>
      <c r="E792" s="598" t="str">
        <f t="shared" si="280"/>
        <v>No</v>
      </c>
      <c r="F792" s="7" t="str">
        <f t="shared" si="271"/>
        <v>No (not volatile)</v>
      </c>
      <c r="G792" s="270" t="str">
        <f t="shared" si="272"/>
        <v>No (not volatile)</v>
      </c>
      <c r="H792" s="76" t="str">
        <f t="shared" si="282"/>
        <v>--</v>
      </c>
      <c r="I792" s="271" t="str">
        <f t="shared" si="283"/>
        <v>--</v>
      </c>
      <c r="J792" s="272" t="str">
        <f t="shared" si="284"/>
        <v>--</v>
      </c>
      <c r="K792" s="272" t="str">
        <f t="shared" si="285"/>
        <v>--</v>
      </c>
      <c r="L792" s="273" t="str">
        <f t="shared" si="273"/>
        <v>--</v>
      </c>
      <c r="M792" s="7">
        <f t="shared" si="274"/>
        <v>3.8933562088754391E-2</v>
      </c>
      <c r="N792" s="7">
        <f t="shared" si="270"/>
        <v>1.34959104</v>
      </c>
      <c r="O792" s="326">
        <f t="shared" si="275"/>
        <v>25</v>
      </c>
      <c r="P792" s="224" t="str">
        <f t="shared" si="281"/>
        <v/>
      </c>
      <c r="Q792" s="224" t="str">
        <f t="shared" si="276"/>
        <v/>
      </c>
      <c r="R792" s="224"/>
      <c r="S792" s="271" t="str">
        <f t="shared" si="264"/>
        <v/>
      </c>
      <c r="T792" s="7" t="str">
        <f t="shared" si="265"/>
        <v/>
      </c>
      <c r="U792" s="7" t="str">
        <f t="shared" si="277"/>
        <v/>
      </c>
      <c r="V792" s="7" t="str">
        <f t="shared" si="278"/>
        <v/>
      </c>
      <c r="W792" s="7" t="str">
        <f>VLOOKUP(C792,'Tox Summary'!$N$3:$S$1048576,6,FALSE)</f>
        <v/>
      </c>
      <c r="X792" s="76" t="str">
        <f t="shared" si="286"/>
        <v/>
      </c>
      <c r="Y792" s="76" t="str">
        <f t="shared" si="279"/>
        <v/>
      </c>
      <c r="AA792" s="332"/>
    </row>
    <row r="793" spans="1:27">
      <c r="A793" s="265"/>
      <c r="B793" s="345" t="s">
        <v>1610</v>
      </c>
      <c r="C793" s="269" t="s">
        <v>2408</v>
      </c>
      <c r="D793" s="280" t="str">
        <f>VLOOKUP(B793, 'Chem Props'!$1:$1048576,3,FALSE)</f>
        <v>No</v>
      </c>
      <c r="E793" s="598" t="str">
        <f t="shared" si="280"/>
        <v>No</v>
      </c>
      <c r="F793" s="7" t="str">
        <f t="shared" si="271"/>
        <v>No (not volatile)</v>
      </c>
      <c r="G793" s="270" t="str">
        <f t="shared" si="272"/>
        <v>No (not volatile)</v>
      </c>
      <c r="H793" s="76" t="str">
        <f t="shared" si="282"/>
        <v>No VP</v>
      </c>
      <c r="I793" s="271" t="str">
        <f t="shared" si="283"/>
        <v>--</v>
      </c>
      <c r="J793" s="272" t="str">
        <f t="shared" si="284"/>
        <v>No VP</v>
      </c>
      <c r="K793" s="272" t="str">
        <f t="shared" si="285"/>
        <v>No VP</v>
      </c>
      <c r="L793" s="273" t="str">
        <f t="shared" si="273"/>
        <v>--</v>
      </c>
      <c r="M793" s="7" t="str">
        <f t="shared" si="274"/>
        <v>No VP</v>
      </c>
      <c r="N793" s="7" t="str">
        <f t="shared" ref="N793:N802" si="287">IF(INDEX(HLC,MATCH(C793,ChemNameChem,0))="","No HLC",IF(INDEX(Sol,MATCH(C793,ChemNameChem,0))="No S","No S",INDEX(HLC,MATCH(C793,ChemNameChem,0))*INDEX(Sol,MATCH(C793,ChemNameChem,0))*1000000))</f>
        <v>No S</v>
      </c>
      <c r="O793" s="326">
        <f t="shared" si="275"/>
        <v>25</v>
      </c>
      <c r="P793" s="224" t="str">
        <f t="shared" si="281"/>
        <v/>
      </c>
      <c r="Q793" s="224" t="str">
        <f t="shared" si="276"/>
        <v/>
      </c>
      <c r="R793" s="224"/>
      <c r="S793" s="271" t="str">
        <f t="shared" si="264"/>
        <v/>
      </c>
      <c r="T793" s="7" t="str">
        <f t="shared" si="265"/>
        <v/>
      </c>
      <c r="U793" s="7" t="str">
        <f t="shared" si="277"/>
        <v/>
      </c>
      <c r="V793" s="7" t="str">
        <f t="shared" si="278"/>
        <v/>
      </c>
      <c r="W793" s="7" t="str">
        <f>VLOOKUP(C793,'Tox Summary'!$N$3:$S$1048576,6,FALSE)</f>
        <v/>
      </c>
      <c r="X793" s="76" t="str">
        <f t="shared" si="286"/>
        <v/>
      </c>
      <c r="Y793" s="76" t="str">
        <f t="shared" si="279"/>
        <v/>
      </c>
      <c r="AA793" s="332"/>
    </row>
    <row r="794" spans="1:27">
      <c r="A794" s="265"/>
      <c r="B794" s="345" t="s">
        <v>2035</v>
      </c>
      <c r="C794" s="269" t="s">
        <v>2034</v>
      </c>
      <c r="D794" s="280" t="str">
        <f>VLOOKUP(B794, 'Chem Props'!$1:$1048576,3,FALSE)</f>
        <v>No</v>
      </c>
      <c r="E794" s="598" t="str">
        <f t="shared" si="280"/>
        <v>No</v>
      </c>
      <c r="F794" s="7" t="str">
        <f t="shared" si="271"/>
        <v>No (not volatile)</v>
      </c>
      <c r="G794" s="270" t="str">
        <f t="shared" si="272"/>
        <v>No (not volatile)</v>
      </c>
      <c r="H794" s="76" t="str">
        <f t="shared" si="282"/>
        <v>--</v>
      </c>
      <c r="I794" s="271" t="str">
        <f t="shared" si="283"/>
        <v>--</v>
      </c>
      <c r="J794" s="272" t="str">
        <f t="shared" si="284"/>
        <v>--</v>
      </c>
      <c r="K794" s="272" t="str">
        <f t="shared" si="285"/>
        <v>--</v>
      </c>
      <c r="L794" s="273" t="str">
        <f t="shared" si="273"/>
        <v>--</v>
      </c>
      <c r="M794" s="7">
        <f t="shared" si="274"/>
        <v>1.706544345327861</v>
      </c>
      <c r="N794" s="7">
        <f t="shared" si="287"/>
        <v>0.74690000000000001</v>
      </c>
      <c r="O794" s="326">
        <f t="shared" si="275"/>
        <v>25</v>
      </c>
      <c r="P794" s="224" t="str">
        <f t="shared" si="281"/>
        <v/>
      </c>
      <c r="Q794" s="224" t="str">
        <f t="shared" si="276"/>
        <v/>
      </c>
      <c r="R794" s="224"/>
      <c r="S794" s="271" t="str">
        <f t="shared" si="264"/>
        <v/>
      </c>
      <c r="T794" s="7" t="str">
        <f t="shared" si="265"/>
        <v/>
      </c>
      <c r="U794" s="7" t="str">
        <f t="shared" si="277"/>
        <v/>
      </c>
      <c r="V794" s="7" t="str">
        <f t="shared" si="278"/>
        <v/>
      </c>
      <c r="W794" s="7" t="str">
        <f>VLOOKUP(C794,'Tox Summary'!$N$3:$S$1048576,6,FALSE)</f>
        <v/>
      </c>
      <c r="X794" s="76" t="str">
        <f t="shared" si="286"/>
        <v/>
      </c>
      <c r="Y794" s="76" t="str">
        <f t="shared" si="279"/>
        <v/>
      </c>
      <c r="AA794" s="332"/>
    </row>
    <row r="795" spans="1:27">
      <c r="A795" s="265"/>
      <c r="B795" s="345" t="s">
        <v>2015</v>
      </c>
      <c r="C795" s="269" t="s">
        <v>2014</v>
      </c>
      <c r="D795" s="280" t="str">
        <f>VLOOKUP(B795, 'Chem Props'!$1:$1048576,3,FALSE)</f>
        <v>No</v>
      </c>
      <c r="E795" s="598" t="str">
        <f t="shared" si="280"/>
        <v>No</v>
      </c>
      <c r="F795" s="7" t="str">
        <f t="shared" si="271"/>
        <v>No (not volatile)</v>
      </c>
      <c r="G795" s="270" t="str">
        <f t="shared" si="272"/>
        <v>No (not volatile)</v>
      </c>
      <c r="H795" s="76" t="str">
        <f t="shared" si="282"/>
        <v>--</v>
      </c>
      <c r="I795" s="271" t="str">
        <f t="shared" si="283"/>
        <v>--</v>
      </c>
      <c r="J795" s="272" t="str">
        <f t="shared" si="284"/>
        <v>--</v>
      </c>
      <c r="K795" s="272" t="str">
        <f t="shared" si="285"/>
        <v>--</v>
      </c>
      <c r="L795" s="273" t="str">
        <f t="shared" si="273"/>
        <v>--</v>
      </c>
      <c r="M795" s="7">
        <f t="shared" si="274"/>
        <v>356.04810705897302</v>
      </c>
      <c r="N795" s="7">
        <f t="shared" si="287"/>
        <v>2923.92</v>
      </c>
      <c r="O795" s="326">
        <f t="shared" si="275"/>
        <v>25</v>
      </c>
      <c r="P795" s="224" t="str">
        <f t="shared" si="281"/>
        <v/>
      </c>
      <c r="Q795" s="224" t="str">
        <f t="shared" si="276"/>
        <v/>
      </c>
      <c r="R795" s="224"/>
      <c r="S795" s="271" t="str">
        <f t="shared" si="264"/>
        <v/>
      </c>
      <c r="T795" s="7" t="str">
        <f t="shared" si="265"/>
        <v/>
      </c>
      <c r="U795" s="7" t="str">
        <f t="shared" si="277"/>
        <v/>
      </c>
      <c r="V795" s="7" t="str">
        <f t="shared" si="278"/>
        <v/>
      </c>
      <c r="W795" s="7" t="str">
        <f>VLOOKUP(C795,'Tox Summary'!$N$3:$S$1048576,6,FALSE)</f>
        <v/>
      </c>
      <c r="X795" s="76" t="str">
        <f t="shared" si="286"/>
        <v/>
      </c>
      <c r="Y795" s="76" t="str">
        <f t="shared" si="279"/>
        <v/>
      </c>
      <c r="AA795" s="332"/>
    </row>
    <row r="796" spans="1:27">
      <c r="A796" s="265"/>
      <c r="B796" s="345" t="s">
        <v>2197</v>
      </c>
      <c r="C796" s="269" t="s">
        <v>2196</v>
      </c>
      <c r="D796" s="280" t="str">
        <f>VLOOKUP(B796, 'Chem Props'!$1:$1048576,3,FALSE)</f>
        <v>Yes</v>
      </c>
      <c r="E796" s="598" t="str">
        <f t="shared" si="280"/>
        <v>Yes</v>
      </c>
      <c r="F796" s="7" t="str">
        <f t="shared" si="271"/>
        <v>Yes</v>
      </c>
      <c r="G796" s="270" t="str">
        <f t="shared" si="272"/>
        <v>Yes</v>
      </c>
      <c r="H796" s="76">
        <f t="shared" si="282"/>
        <v>4.2540792540792542E-3</v>
      </c>
      <c r="I796" s="271" t="str">
        <f t="shared" si="283"/>
        <v>C</v>
      </c>
      <c r="J796" s="272">
        <f t="shared" si="284"/>
        <v>0.14180264180264182</v>
      </c>
      <c r="K796" s="272">
        <f t="shared" si="285"/>
        <v>4.7728926894191117</v>
      </c>
      <c r="L796" s="273" t="str">
        <f t="shared" si="273"/>
        <v>--</v>
      </c>
      <c r="M796" s="7">
        <f t="shared" si="274"/>
        <v>7132.2361579478511</v>
      </c>
      <c r="N796" s="7">
        <f t="shared" si="287"/>
        <v>7130.4000000000005</v>
      </c>
      <c r="O796" s="326">
        <f t="shared" si="275"/>
        <v>25</v>
      </c>
      <c r="P796" s="224" t="str">
        <f t="shared" si="281"/>
        <v/>
      </c>
      <c r="Q796" s="224" t="str">
        <f t="shared" si="276"/>
        <v/>
      </c>
      <c r="R796" s="224"/>
      <c r="S796" s="271">
        <f t="shared" si="264"/>
        <v>6.6E-4</v>
      </c>
      <c r="T796" s="7" t="str">
        <f t="shared" si="265"/>
        <v>CA</v>
      </c>
      <c r="U796" s="7" t="str">
        <f t="shared" si="277"/>
        <v/>
      </c>
      <c r="V796" s="7" t="str">
        <f t="shared" si="278"/>
        <v/>
      </c>
      <c r="W796" s="7" t="str">
        <f>VLOOKUP(C796,'Tox Summary'!$N$3:$S$1048576,6,FALSE)</f>
        <v/>
      </c>
      <c r="X796" s="76">
        <f t="shared" si="286"/>
        <v>4.2540792540792542E-3</v>
      </c>
      <c r="Y796" s="76" t="str">
        <f t="shared" si="279"/>
        <v/>
      </c>
      <c r="AA796" s="332"/>
    </row>
    <row r="797" spans="1:27">
      <c r="A797" s="265"/>
      <c r="B797" s="345" t="s">
        <v>337</v>
      </c>
      <c r="C797" s="269" t="s">
        <v>547</v>
      </c>
      <c r="D797" s="280" t="str">
        <f>VLOOKUP(B797, 'Chem Props'!$1:$1048576,3,FALSE)</f>
        <v>No</v>
      </c>
      <c r="E797" s="598" t="str">
        <f t="shared" si="280"/>
        <v>No</v>
      </c>
      <c r="F797" s="7" t="str">
        <f t="shared" si="271"/>
        <v>No (not volatile)</v>
      </c>
      <c r="G797" s="270" t="str">
        <f t="shared" si="272"/>
        <v>No (not volatile)</v>
      </c>
      <c r="H797" s="76" t="str">
        <f t="shared" si="282"/>
        <v>--</v>
      </c>
      <c r="I797" s="271" t="str">
        <f t="shared" si="283"/>
        <v>--</v>
      </c>
      <c r="J797" s="272" t="str">
        <f t="shared" si="284"/>
        <v>--</v>
      </c>
      <c r="K797" s="272" t="str">
        <f t="shared" si="285"/>
        <v>--</v>
      </c>
      <c r="L797" s="273" t="str">
        <f t="shared" si="273"/>
        <v>--</v>
      </c>
      <c r="M797" s="7">
        <f t="shared" si="274"/>
        <v>941682.64410955296</v>
      </c>
      <c r="N797" s="7">
        <f t="shared" si="287"/>
        <v>941499.99999999988</v>
      </c>
      <c r="O797" s="326">
        <f t="shared" si="275"/>
        <v>25</v>
      </c>
      <c r="P797" s="224" t="str">
        <f t="shared" si="281"/>
        <v/>
      </c>
      <c r="Q797" s="224" t="str">
        <f t="shared" si="276"/>
        <v/>
      </c>
      <c r="R797" s="224"/>
      <c r="S797" s="271" t="str">
        <f t="shared" si="264"/>
        <v/>
      </c>
      <c r="T797" s="7" t="str">
        <f t="shared" si="265"/>
        <v/>
      </c>
      <c r="U797" s="7" t="str">
        <f t="shared" si="277"/>
        <v/>
      </c>
      <c r="V797" s="7" t="str">
        <f t="shared" si="278"/>
        <v/>
      </c>
      <c r="W797" s="7" t="str">
        <f>VLOOKUP(C797,'Tox Summary'!$N$3:$S$1048576,6,FALSE)</f>
        <v/>
      </c>
      <c r="X797" s="76" t="str">
        <f t="shared" si="286"/>
        <v/>
      </c>
      <c r="Y797" s="76" t="str">
        <f t="shared" si="279"/>
        <v/>
      </c>
      <c r="AA797" s="332"/>
    </row>
    <row r="798" spans="1:27">
      <c r="A798" s="265"/>
      <c r="B798" s="345" t="s">
        <v>338</v>
      </c>
      <c r="C798" s="269" t="s">
        <v>548</v>
      </c>
      <c r="D798" s="280" t="str">
        <f>VLOOKUP(B798, 'Chem Props'!$1:$1048576,3,FALSE)</f>
        <v>No</v>
      </c>
      <c r="E798" s="598" t="str">
        <f t="shared" si="280"/>
        <v>No</v>
      </c>
      <c r="F798" s="7" t="str">
        <f t="shared" si="271"/>
        <v>No (not volatile)</v>
      </c>
      <c r="G798" s="270" t="str">
        <f t="shared" si="272"/>
        <v>No (not volatile)</v>
      </c>
      <c r="H798" s="76" t="str">
        <f t="shared" si="282"/>
        <v>--</v>
      </c>
      <c r="I798" s="271" t="str">
        <f t="shared" si="283"/>
        <v>--</v>
      </c>
      <c r="J798" s="272" t="str">
        <f t="shared" si="284"/>
        <v>--</v>
      </c>
      <c r="K798" s="272" t="str">
        <f t="shared" si="285"/>
        <v>--</v>
      </c>
      <c r="L798" s="273" t="str">
        <f t="shared" si="273"/>
        <v>--</v>
      </c>
      <c r="M798" s="7">
        <f t="shared" si="274"/>
        <v>1.929509066157965</v>
      </c>
      <c r="N798" s="7">
        <f t="shared" si="287"/>
        <v>1.9280399999999998</v>
      </c>
      <c r="O798" s="326">
        <f t="shared" si="275"/>
        <v>25</v>
      </c>
      <c r="P798" s="224" t="str">
        <f t="shared" si="281"/>
        <v/>
      </c>
      <c r="Q798" s="224" t="str">
        <f t="shared" si="276"/>
        <v/>
      </c>
      <c r="R798" s="224"/>
      <c r="S798" s="271" t="str">
        <f t="shared" si="264"/>
        <v/>
      </c>
      <c r="T798" s="7" t="str">
        <f t="shared" si="265"/>
        <v/>
      </c>
      <c r="U798" s="7" t="str">
        <f t="shared" si="277"/>
        <v/>
      </c>
      <c r="V798" s="7" t="str">
        <f t="shared" si="278"/>
        <v/>
      </c>
      <c r="W798" s="7" t="str">
        <f>VLOOKUP(C798,'Tox Summary'!$N$3:$S$1048576,6,FALSE)</f>
        <v/>
      </c>
      <c r="X798" s="76" t="str">
        <f t="shared" si="286"/>
        <v/>
      </c>
      <c r="Y798" s="76" t="str">
        <f t="shared" si="279"/>
        <v/>
      </c>
      <c r="AA798" s="332"/>
    </row>
    <row r="799" spans="1:27">
      <c r="A799" s="265"/>
      <c r="B799" s="345" t="s">
        <v>1611</v>
      </c>
      <c r="C799" s="269" t="s">
        <v>2362</v>
      </c>
      <c r="D799" s="280" t="str">
        <f>VLOOKUP(B799, 'Chem Props'!$1:$1048576,3,FALSE)</f>
        <v>No</v>
      </c>
      <c r="E799" s="598" t="str">
        <f t="shared" si="280"/>
        <v>No</v>
      </c>
      <c r="F799" s="7" t="str">
        <f t="shared" si="271"/>
        <v>No (not volatile)</v>
      </c>
      <c r="G799" s="270" t="str">
        <f t="shared" si="272"/>
        <v>No (not volatile)</v>
      </c>
      <c r="H799" s="76" t="str">
        <f t="shared" si="282"/>
        <v>No VP</v>
      </c>
      <c r="I799" s="271" t="str">
        <f t="shared" si="283"/>
        <v>--</v>
      </c>
      <c r="J799" s="272" t="str">
        <f t="shared" si="284"/>
        <v>No VP</v>
      </c>
      <c r="K799" s="272" t="str">
        <f t="shared" si="285"/>
        <v>No VP</v>
      </c>
      <c r="L799" s="273" t="str">
        <f t="shared" si="273"/>
        <v>--</v>
      </c>
      <c r="M799" s="7" t="str">
        <f t="shared" si="274"/>
        <v>No VP</v>
      </c>
      <c r="N799" s="7" t="str">
        <f t="shared" si="287"/>
        <v>No S</v>
      </c>
      <c r="O799" s="326">
        <f t="shared" si="275"/>
        <v>25</v>
      </c>
      <c r="P799" s="224" t="str">
        <f t="shared" si="281"/>
        <v/>
      </c>
      <c r="Q799" s="224" t="str">
        <f t="shared" si="276"/>
        <v/>
      </c>
      <c r="R799" s="224"/>
      <c r="S799" s="271" t="str">
        <f t="shared" si="264"/>
        <v/>
      </c>
      <c r="T799" s="7" t="str">
        <f t="shared" si="265"/>
        <v/>
      </c>
      <c r="U799" s="7" t="str">
        <f t="shared" si="277"/>
        <v/>
      </c>
      <c r="V799" s="7" t="str">
        <f t="shared" si="278"/>
        <v/>
      </c>
      <c r="W799" s="7" t="str">
        <f>VLOOKUP(C799,'Tox Summary'!$N$3:$S$1048576,6,FALSE)</f>
        <v/>
      </c>
      <c r="X799" s="76" t="str">
        <f t="shared" si="286"/>
        <v/>
      </c>
      <c r="Y799" s="76" t="str">
        <f t="shared" si="279"/>
        <v/>
      </c>
      <c r="AA799" s="332"/>
    </row>
    <row r="800" spans="1:27">
      <c r="A800" s="265"/>
      <c r="B800" s="345" t="s">
        <v>2293</v>
      </c>
      <c r="C800" s="269" t="s">
        <v>2296</v>
      </c>
      <c r="D800" s="280" t="str">
        <f>VLOOKUP(B800, 'Chem Props'!$1:$1048576,3,FALSE)</f>
        <v>No</v>
      </c>
      <c r="E800" s="598" t="str">
        <f t="shared" si="280"/>
        <v>No</v>
      </c>
      <c r="F800" s="7" t="str">
        <f t="shared" si="271"/>
        <v>No (not volatile)</v>
      </c>
      <c r="G800" s="270" t="str">
        <f t="shared" si="272"/>
        <v>No (not volatile)</v>
      </c>
      <c r="H800" s="76" t="str">
        <f t="shared" si="282"/>
        <v>--</v>
      </c>
      <c r="I800" s="271" t="str">
        <f t="shared" si="283"/>
        <v>--</v>
      </c>
      <c r="J800" s="272" t="str">
        <f t="shared" si="284"/>
        <v>--</v>
      </c>
      <c r="K800" s="272" t="str">
        <f t="shared" si="285"/>
        <v>--</v>
      </c>
      <c r="L800" s="273" t="str">
        <f t="shared" si="273"/>
        <v>--</v>
      </c>
      <c r="M800" s="7">
        <f t="shared" si="274"/>
        <v>0</v>
      </c>
      <c r="N800" s="7" t="str">
        <f t="shared" si="287"/>
        <v>No S</v>
      </c>
      <c r="O800" s="326">
        <f t="shared" si="275"/>
        <v>25</v>
      </c>
      <c r="P800" s="224" t="str">
        <f t="shared" si="281"/>
        <v/>
      </c>
      <c r="Q800" s="224" t="str">
        <f t="shared" si="276"/>
        <v/>
      </c>
      <c r="R800" s="224"/>
      <c r="S800" s="271" t="str">
        <f t="shared" si="264"/>
        <v/>
      </c>
      <c r="T800" s="7" t="str">
        <f t="shared" si="265"/>
        <v/>
      </c>
      <c r="U800" s="7" t="str">
        <f t="shared" si="277"/>
        <v/>
      </c>
      <c r="V800" s="7" t="str">
        <f t="shared" si="278"/>
        <v/>
      </c>
      <c r="W800" s="7" t="str">
        <f>VLOOKUP(C800,'Tox Summary'!$N$3:$S$1048576,6,FALSE)</f>
        <v/>
      </c>
      <c r="X800" s="76" t="str">
        <f t="shared" si="286"/>
        <v/>
      </c>
      <c r="Y800" s="76" t="str">
        <f t="shared" si="279"/>
        <v/>
      </c>
      <c r="AA800" s="332"/>
    </row>
    <row r="801" spans="1:27">
      <c r="A801" s="265"/>
      <c r="B801" s="345" t="s">
        <v>339</v>
      </c>
      <c r="C801" s="269" t="s">
        <v>623</v>
      </c>
      <c r="D801" s="280" t="str">
        <f>VLOOKUP(B801, 'Chem Props'!$1:$1048576,3,FALSE)</f>
        <v>No</v>
      </c>
      <c r="E801" s="598" t="str">
        <f t="shared" si="280"/>
        <v>Yes</v>
      </c>
      <c r="F801" s="7" t="str">
        <f t="shared" si="271"/>
        <v>No (not volatile)</v>
      </c>
      <c r="G801" s="270" t="str">
        <f t="shared" si="272"/>
        <v>No (not volatile)</v>
      </c>
      <c r="H801" s="76">
        <f t="shared" si="282"/>
        <v>3.496168582375479E-3</v>
      </c>
      <c r="I801" s="271" t="str">
        <f t="shared" si="283"/>
        <v>C</v>
      </c>
      <c r="J801" s="272">
        <f t="shared" si="284"/>
        <v>0.1165389527458493</v>
      </c>
      <c r="K801" s="272">
        <f t="shared" si="285"/>
        <v>1329.9484869048533</v>
      </c>
      <c r="L801" s="273" t="str">
        <f t="shared" si="273"/>
        <v>--</v>
      </c>
      <c r="M801" s="7">
        <f t="shared" si="274"/>
        <v>1256052.564350365</v>
      </c>
      <c r="N801" s="7">
        <f t="shared" si="287"/>
        <v>1261824</v>
      </c>
      <c r="O801" s="326">
        <f t="shared" si="275"/>
        <v>25</v>
      </c>
      <c r="P801" s="224" t="str">
        <f t="shared" si="281"/>
        <v/>
      </c>
      <c r="Q801" s="224" t="str">
        <f t="shared" si="276"/>
        <v/>
      </c>
      <c r="R801" s="229"/>
      <c r="S801" s="271">
        <f t="shared" si="264"/>
        <v>2.9E-4</v>
      </c>
      <c r="T801" s="7" t="str">
        <f t="shared" si="265"/>
        <v>CA</v>
      </c>
      <c r="U801" s="7" t="str">
        <f t="shared" si="277"/>
        <v/>
      </c>
      <c r="V801" s="7" t="str">
        <f t="shared" si="278"/>
        <v/>
      </c>
      <c r="W801" s="7" t="str">
        <f>VLOOKUP(C801,'Tox Summary'!$N$3:$S$1048576,6,FALSE)</f>
        <v>Mut</v>
      </c>
      <c r="X801" s="76">
        <f t="shared" si="286"/>
        <v>3.496168582375479E-3</v>
      </c>
      <c r="Y801" s="76" t="str">
        <f t="shared" si="279"/>
        <v/>
      </c>
      <c r="AA801" s="332"/>
    </row>
    <row r="802" spans="1:27">
      <c r="A802" s="265"/>
      <c r="B802" s="345" t="s">
        <v>2036</v>
      </c>
      <c r="C802" s="269" t="s">
        <v>1384</v>
      </c>
      <c r="D802" s="280" t="str">
        <f>VLOOKUP(B802, 'Chem Props'!$1:$1048576,3,FALSE)</f>
        <v>No</v>
      </c>
      <c r="E802" s="598" t="str">
        <f t="shared" si="280"/>
        <v>Yes</v>
      </c>
      <c r="F802" s="7" t="str">
        <f t="shared" si="271"/>
        <v>No (not volatile)</v>
      </c>
      <c r="G802" s="270" t="str">
        <f t="shared" si="272"/>
        <v>No (not volatile)</v>
      </c>
      <c r="H802" s="76" t="str">
        <f t="shared" si="282"/>
        <v>No VP</v>
      </c>
      <c r="I802" s="271" t="str">
        <f t="shared" si="283"/>
        <v>NC</v>
      </c>
      <c r="J802" s="272" t="str">
        <f t="shared" si="284"/>
        <v>No VP</v>
      </c>
      <c r="K802" s="272" t="str">
        <f t="shared" si="285"/>
        <v>No VP</v>
      </c>
      <c r="L802" s="273" t="str">
        <f t="shared" si="273"/>
        <v>--</v>
      </c>
      <c r="M802" s="7" t="str">
        <f t="shared" si="274"/>
        <v>No VP</v>
      </c>
      <c r="N802" s="7" t="str">
        <f t="shared" si="287"/>
        <v>No S</v>
      </c>
      <c r="O802" s="326">
        <f t="shared" si="275"/>
        <v>25</v>
      </c>
      <c r="P802" s="224" t="str">
        <f t="shared" si="281"/>
        <v/>
      </c>
      <c r="Q802" s="224" t="str">
        <f t="shared" si="276"/>
        <v/>
      </c>
      <c r="R802" s="224"/>
      <c r="S802" s="271" t="str">
        <f t="shared" si="264"/>
        <v/>
      </c>
      <c r="T802" s="7" t="str">
        <f t="shared" si="265"/>
        <v/>
      </c>
      <c r="U802" s="7">
        <f t="shared" si="277"/>
        <v>1E-4</v>
      </c>
      <c r="V802" s="7" t="str">
        <f t="shared" si="278"/>
        <v>A</v>
      </c>
      <c r="W802" s="7" t="str">
        <f>VLOOKUP(C802,'Tox Summary'!$N$3:$S$1048576,6,FALSE)</f>
        <v/>
      </c>
      <c r="X802" s="76" t="str">
        <f t="shared" si="286"/>
        <v/>
      </c>
      <c r="Y802" s="76">
        <f t="shared" si="279"/>
        <v>0.10428571428571429</v>
      </c>
      <c r="AA802" s="332"/>
    </row>
    <row r="803" spans="1:27">
      <c r="A803" s="265"/>
      <c r="B803" s="345" t="s">
        <v>340</v>
      </c>
      <c r="C803" s="269" t="s">
        <v>1383</v>
      </c>
      <c r="D803" s="280" t="str">
        <f>VLOOKUP(B803, 'Chem Props'!$1:$1048576,3,FALSE)</f>
        <v>No</v>
      </c>
      <c r="E803" s="598" t="str">
        <f t="shared" si="280"/>
        <v>Yes</v>
      </c>
      <c r="F803" s="7" t="str">
        <f t="shared" si="271"/>
        <v>No (not volatile)</v>
      </c>
      <c r="G803" s="270" t="str">
        <f t="shared" si="272"/>
        <v>No (not volatile)</v>
      </c>
      <c r="H803" s="76" t="str">
        <f t="shared" si="282"/>
        <v>NVT</v>
      </c>
      <c r="I803" s="271" t="str">
        <f t="shared" si="283"/>
        <v>C</v>
      </c>
      <c r="J803" s="272" t="str">
        <f t="shared" si="284"/>
        <v>NVT</v>
      </c>
      <c r="K803" s="272" t="str">
        <f t="shared" si="285"/>
        <v>NVT</v>
      </c>
      <c r="L803" s="273" t="str">
        <f t="shared" si="273"/>
        <v>--</v>
      </c>
      <c r="M803" s="7">
        <f t="shared" si="274"/>
        <v>0</v>
      </c>
      <c r="N803" s="7"/>
      <c r="O803" s="326">
        <f t="shared" si="275"/>
        <v>25</v>
      </c>
      <c r="P803" s="224" t="str">
        <f t="shared" si="281"/>
        <v/>
      </c>
      <c r="Q803" s="224" t="str">
        <f t="shared" si="276"/>
        <v/>
      </c>
      <c r="R803" s="224"/>
      <c r="S803" s="271">
        <f t="shared" si="264"/>
        <v>8.3000000000000001E-3</v>
      </c>
      <c r="T803" s="7" t="str">
        <f t="shared" si="265"/>
        <v>P</v>
      </c>
      <c r="U803" s="7">
        <f t="shared" si="277"/>
        <v>6.9999999999999999E-6</v>
      </c>
      <c r="V803" s="7" t="str">
        <f t="shared" si="278"/>
        <v>P</v>
      </c>
      <c r="W803" s="7" t="str">
        <f>VLOOKUP(C803,'Tox Summary'!$N$3:$S$1048576,6,FALSE)</f>
        <v/>
      </c>
      <c r="X803" s="76">
        <f t="shared" si="286"/>
        <v>3.3827618164967559E-4</v>
      </c>
      <c r="Y803" s="76">
        <f t="shared" si="279"/>
        <v>7.3000000000000001E-3</v>
      </c>
      <c r="AA803" s="332"/>
    </row>
    <row r="804" spans="1:27">
      <c r="A804" s="265"/>
      <c r="B804" s="345" t="s">
        <v>341</v>
      </c>
      <c r="C804" s="269" t="s">
        <v>1385</v>
      </c>
      <c r="D804" s="280" t="str">
        <f>VLOOKUP(B804, 'Chem Props'!$1:$1048576,3,FALSE)</f>
        <v>Yes</v>
      </c>
      <c r="E804" s="598" t="str">
        <f t="shared" si="280"/>
        <v>No</v>
      </c>
      <c r="F804" s="7" t="str">
        <f t="shared" si="271"/>
        <v>No Inhal. Tox. Info</v>
      </c>
      <c r="G804" s="270" t="str">
        <f t="shared" si="272"/>
        <v>No Inhal. Tox. Info</v>
      </c>
      <c r="H804" s="76" t="str">
        <f t="shared" si="282"/>
        <v>--</v>
      </c>
      <c r="I804" s="271" t="str">
        <f t="shared" si="283"/>
        <v>--</v>
      </c>
      <c r="J804" s="272" t="str">
        <f t="shared" si="284"/>
        <v>--</v>
      </c>
      <c r="K804" s="272" t="str">
        <f t="shared" si="285"/>
        <v>--</v>
      </c>
      <c r="L804" s="273" t="str">
        <f t="shared" si="273"/>
        <v>--</v>
      </c>
      <c r="M804" s="7">
        <f t="shared" si="274"/>
        <v>113796.97223397471</v>
      </c>
      <c r="N804" s="7">
        <f t="shared" ref="N804:N814" si="288">IF(INDEX(HLC,MATCH(C804,ChemNameChem,0))="","No HLC",IF(INDEX(Sol,MATCH(C804,ChemNameChem,0))="No S","No S",INDEX(HLC,MATCH(C804,ChemNameChem,0))*INDEX(Sol,MATCH(C804,ChemNameChem,0))*1000000))</f>
        <v>113696.99999999999</v>
      </c>
      <c r="O804" s="326">
        <f t="shared" si="275"/>
        <v>25</v>
      </c>
      <c r="P804" s="224" t="str">
        <f t="shared" si="281"/>
        <v/>
      </c>
      <c r="Q804" s="224" t="str">
        <f t="shared" si="276"/>
        <v/>
      </c>
      <c r="R804" s="224"/>
      <c r="S804" s="271" t="str">
        <f t="shared" si="264"/>
        <v/>
      </c>
      <c r="T804" s="7" t="str">
        <f t="shared" si="265"/>
        <v/>
      </c>
      <c r="U804" s="7" t="str">
        <f t="shared" si="277"/>
        <v/>
      </c>
      <c r="V804" s="7" t="str">
        <f t="shared" si="278"/>
        <v/>
      </c>
      <c r="W804" s="7" t="str">
        <f>VLOOKUP(C804,'Tox Summary'!$N$3:$S$1048576,6,FALSE)</f>
        <v/>
      </c>
      <c r="X804" s="76" t="str">
        <f t="shared" si="286"/>
        <v/>
      </c>
      <c r="Y804" s="76" t="str">
        <f t="shared" si="279"/>
        <v/>
      </c>
      <c r="AA804" s="332"/>
    </row>
    <row r="805" spans="1:27">
      <c r="A805" s="265"/>
      <c r="B805" s="345" t="s">
        <v>342</v>
      </c>
      <c r="C805" s="269" t="s">
        <v>1386</v>
      </c>
      <c r="D805" s="280" t="str">
        <f>VLOOKUP(B805, 'Chem Props'!$1:$1048576,3,FALSE)</f>
        <v>No</v>
      </c>
      <c r="E805" s="598" t="str">
        <f t="shared" si="280"/>
        <v>No</v>
      </c>
      <c r="F805" s="7" t="str">
        <f t="shared" si="271"/>
        <v>No (not volatile)</v>
      </c>
      <c r="G805" s="270" t="str">
        <f t="shared" si="272"/>
        <v>No (not volatile)</v>
      </c>
      <c r="H805" s="76" t="str">
        <f t="shared" si="282"/>
        <v>--</v>
      </c>
      <c r="I805" s="271" t="str">
        <f t="shared" si="283"/>
        <v>--</v>
      </c>
      <c r="J805" s="272" t="str">
        <f t="shared" si="284"/>
        <v>--</v>
      </c>
      <c r="K805" s="272" t="str">
        <f t="shared" si="285"/>
        <v>--</v>
      </c>
      <c r="L805" s="273" t="str">
        <f t="shared" si="273"/>
        <v>--</v>
      </c>
      <c r="M805" s="7">
        <f t="shared" si="274"/>
        <v>1.8474923698578523</v>
      </c>
      <c r="N805" s="7">
        <f t="shared" si="288"/>
        <v>1.8495620000000002</v>
      </c>
      <c r="O805" s="326">
        <f t="shared" si="275"/>
        <v>25</v>
      </c>
      <c r="P805" s="224" t="str">
        <f t="shared" si="281"/>
        <v/>
      </c>
      <c r="Q805" s="224" t="str">
        <f t="shared" si="276"/>
        <v/>
      </c>
      <c r="R805" s="229"/>
      <c r="S805" s="271" t="str">
        <f t="shared" ref="S805:S818" si="289">IF(INDEX(IUR,MATCH(B805,CASNoTox,0))=" ","",IF(W805="TCE","see note",INDEX(IUR,MATCH(B805,CASNoTox,0))))</f>
        <v/>
      </c>
      <c r="T805" s="7" t="str">
        <f t="shared" ref="T805:T818" si="290">IF(INDEX(IURSource,MATCH(B805,CASNoTox,0))="","",SUBSTITUTE(INDEX(IURSource,MATCH(B805,CASNoTox,0)),"C","CA"))</f>
        <v/>
      </c>
      <c r="U805" s="7" t="str">
        <f t="shared" si="277"/>
        <v/>
      </c>
      <c r="V805" s="7" t="str">
        <f t="shared" si="278"/>
        <v/>
      </c>
      <c r="W805" s="7" t="str">
        <f>VLOOKUP(C805,'Tox Summary'!$N$3:$S$1048576,6,FALSE)</f>
        <v/>
      </c>
      <c r="X805" s="76" t="str">
        <f t="shared" si="286"/>
        <v/>
      </c>
      <c r="Y805" s="76" t="str">
        <f t="shared" si="279"/>
        <v/>
      </c>
      <c r="AA805" s="332"/>
    </row>
    <row r="806" spans="1:27">
      <c r="A806" s="265"/>
      <c r="B806" s="345" t="s">
        <v>343</v>
      </c>
      <c r="C806" s="269" t="s">
        <v>1387</v>
      </c>
      <c r="D806" s="280" t="str">
        <f>VLOOKUP(B806, 'Chem Props'!$1:$1048576,3,FALSE)</f>
        <v>Yes</v>
      </c>
      <c r="E806" s="598" t="str">
        <f t="shared" si="280"/>
        <v>Yes</v>
      </c>
      <c r="F806" s="7" t="str">
        <f t="shared" si="271"/>
        <v>Yes</v>
      </c>
      <c r="G806" s="270" t="str">
        <f t="shared" si="272"/>
        <v>Yes</v>
      </c>
      <c r="H806" s="76">
        <f t="shared" si="282"/>
        <v>208.57142857142858</v>
      </c>
      <c r="I806" s="271" t="str">
        <f t="shared" si="283"/>
        <v>NC</v>
      </c>
      <c r="J806" s="272">
        <f t="shared" si="284"/>
        <v>6952.3809523809532</v>
      </c>
      <c r="K806" s="272">
        <f t="shared" si="285"/>
        <v>9983.6500634919121</v>
      </c>
      <c r="L806" s="273" t="str">
        <f t="shared" si="273"/>
        <v>--</v>
      </c>
      <c r="M806" s="7">
        <f t="shared" si="274"/>
        <v>417661887.19497246</v>
      </c>
      <c r="N806" s="7">
        <f t="shared" si="288"/>
        <v>417826000</v>
      </c>
      <c r="O806" s="326">
        <f t="shared" si="275"/>
        <v>25</v>
      </c>
      <c r="P806" s="224">
        <f t="shared" si="281"/>
        <v>2.6</v>
      </c>
      <c r="Q806" s="224" t="str">
        <f t="shared" si="276"/>
        <v>N</v>
      </c>
      <c r="R806" s="224"/>
      <c r="S806" s="271" t="str">
        <f t="shared" si="289"/>
        <v/>
      </c>
      <c r="T806" s="7" t="str">
        <f t="shared" si="290"/>
        <v/>
      </c>
      <c r="U806" s="7">
        <f t="shared" si="277"/>
        <v>0.2</v>
      </c>
      <c r="V806" s="7" t="str">
        <f t="shared" si="278"/>
        <v>I</v>
      </c>
      <c r="W806" s="7" t="str">
        <f>VLOOKUP(C806,'Tox Summary'!$N$3:$S$1048576,6,FALSE)</f>
        <v/>
      </c>
      <c r="X806" s="76" t="str">
        <f t="shared" si="286"/>
        <v/>
      </c>
      <c r="Y806" s="76">
        <f t="shared" si="279"/>
        <v>208.57142857142858</v>
      </c>
      <c r="AA806" s="332"/>
    </row>
    <row r="807" spans="1:27">
      <c r="A807" s="265"/>
      <c r="B807" s="345" t="s">
        <v>344</v>
      </c>
      <c r="C807" s="269" t="s">
        <v>1388</v>
      </c>
      <c r="D807" s="280" t="str">
        <f>VLOOKUP(B807, 'Chem Props'!$1:$1048576,3,FALSE)</f>
        <v>Yes</v>
      </c>
      <c r="E807" s="598" t="str">
        <f t="shared" si="280"/>
        <v>Yes</v>
      </c>
      <c r="F807" s="7" t="str">
        <f t="shared" si="271"/>
        <v>Yes</v>
      </c>
      <c r="G807" s="270" t="str">
        <f t="shared" si="272"/>
        <v>Yes</v>
      </c>
      <c r="H807" s="76">
        <f t="shared" si="282"/>
        <v>8.7740384615384609E-2</v>
      </c>
      <c r="I807" s="271" t="str">
        <f t="shared" si="283"/>
        <v>C</v>
      </c>
      <c r="J807" s="272">
        <f t="shared" si="284"/>
        <v>2.9246794871794872</v>
      </c>
      <c r="K807" s="272">
        <f t="shared" si="285"/>
        <v>0.17448210346338619</v>
      </c>
      <c r="L807" s="273" t="str">
        <f t="shared" si="273"/>
        <v>--</v>
      </c>
      <c r="M807" s="7">
        <f t="shared" si="274"/>
        <v>5944759662.3752031</v>
      </c>
      <c r="N807" s="7">
        <f t="shared" si="288"/>
        <v>3821749680.0000005</v>
      </c>
      <c r="O807" s="326">
        <f t="shared" si="275"/>
        <v>25</v>
      </c>
      <c r="P807" s="224" t="str">
        <f t="shared" si="281"/>
        <v/>
      </c>
      <c r="Q807" s="224" t="str">
        <f t="shared" si="276"/>
        <v/>
      </c>
      <c r="R807" s="224"/>
      <c r="S807" s="271">
        <f t="shared" si="289"/>
        <v>3.1999999999999999E-5</v>
      </c>
      <c r="T807" s="7" t="str">
        <f t="shared" si="290"/>
        <v>H</v>
      </c>
      <c r="U807" s="7">
        <f t="shared" si="277"/>
        <v>3.0000000000000001E-3</v>
      </c>
      <c r="V807" s="7" t="str">
        <f t="shared" si="278"/>
        <v>I</v>
      </c>
      <c r="W807" s="7" t="str">
        <f>VLOOKUP(C807,'Tox Summary'!$N$3:$S$1048576,6,FALSE)</f>
        <v/>
      </c>
      <c r="X807" s="76">
        <f t="shared" si="286"/>
        <v>8.7740384615384609E-2</v>
      </c>
      <c r="Y807" s="76">
        <f t="shared" si="279"/>
        <v>3.1285714285714286</v>
      </c>
      <c r="AA807" s="332"/>
    </row>
    <row r="808" spans="1:27">
      <c r="A808" s="265"/>
      <c r="B808" s="345" t="s">
        <v>345</v>
      </c>
      <c r="C808" s="269" t="s">
        <v>1389</v>
      </c>
      <c r="D808" s="280" t="str">
        <f>VLOOKUP(B808, 'Chem Props'!$1:$1048576,3,FALSE)</f>
        <v>Yes</v>
      </c>
      <c r="E808" s="598" t="str">
        <f t="shared" si="280"/>
        <v>Yes</v>
      </c>
      <c r="F808" s="7" t="str">
        <f t="shared" si="271"/>
        <v>Yes</v>
      </c>
      <c r="G808" s="270" t="str">
        <f t="shared" si="272"/>
        <v>Yes</v>
      </c>
      <c r="H808" s="76">
        <f t="shared" si="282"/>
        <v>0.16758494031221302</v>
      </c>
      <c r="I808" s="271" t="str">
        <f t="shared" si="283"/>
        <v>C</v>
      </c>
      <c r="J808" s="272">
        <f t="shared" si="284"/>
        <v>5.5861646770737678</v>
      </c>
      <c r="K808" s="272">
        <f t="shared" si="285"/>
        <v>0.14745063044963111</v>
      </c>
      <c r="L808" s="273" t="str">
        <f t="shared" si="273"/>
        <v>Yes (2)</v>
      </c>
      <c r="M808" s="7">
        <f t="shared" si="274"/>
        <v>10021725976.244318</v>
      </c>
      <c r="N808" s="7">
        <f t="shared" si="288"/>
        <v>10001635600.000002</v>
      </c>
      <c r="O808" s="326">
        <f t="shared" si="275"/>
        <v>25</v>
      </c>
      <c r="P808" s="224">
        <f t="shared" si="281"/>
        <v>3.6</v>
      </c>
      <c r="Q808" s="224" t="str">
        <f t="shared" si="276"/>
        <v>N</v>
      </c>
      <c r="R808" s="224"/>
      <c r="S808" s="271">
        <f t="shared" si="289"/>
        <v>4.4000000000000002E-6</v>
      </c>
      <c r="T808" s="7" t="str">
        <f t="shared" si="290"/>
        <v>I</v>
      </c>
      <c r="U808" s="7">
        <f t="shared" si="277"/>
        <v>0.1</v>
      </c>
      <c r="V808" s="7" t="str">
        <f t="shared" si="278"/>
        <v>I</v>
      </c>
      <c r="W808" s="7" t="str">
        <f>VLOOKUP(C808,'Tox Summary'!$N$3:$S$1048576,6,FALSE)</f>
        <v>VC</v>
      </c>
      <c r="X808" s="76">
        <f t="shared" si="286"/>
        <v>0.16758494031221302</v>
      </c>
      <c r="Y808" s="76">
        <f t="shared" si="279"/>
        <v>104.28571428571429</v>
      </c>
      <c r="AA808" s="332"/>
    </row>
    <row r="809" spans="1:27">
      <c r="A809" s="265"/>
      <c r="B809" s="344" t="s">
        <v>346</v>
      </c>
      <c r="C809" s="269" t="s">
        <v>1390</v>
      </c>
      <c r="D809" s="280" t="str">
        <f>VLOOKUP(B809, 'Chem Props'!$1:$1048576,3,FALSE)</f>
        <v>No</v>
      </c>
      <c r="E809" s="598" t="str">
        <f t="shared" si="280"/>
        <v>No</v>
      </c>
      <c r="F809" s="7" t="str">
        <f t="shared" ref="F809:F818" si="291">IF(LEFT(D809,2)="No","No (not volatile)",IF(D809="unknown","unknown",IF(H809="NVT","No",IF(AND(X809="",Y809=""),"No Inhal. Tox. Info",IF(MIN(X809:Y809)&gt;=M809,"No",IF(M809&gt;H809,"Yes","No"))))))</f>
        <v>No (not volatile)</v>
      </c>
      <c r="G809" s="270" t="str">
        <f t="shared" ref="G809:G818" si="292">IF(LEFT(D809,2)="No","No (not volatile)",IF(D809="unknown","unknown",IF(H809="NVT","No",IF(AND(X809="",Y809=""),"No Inhal. Tox. Info",IF(MIN(X809:Y809)&gt;=N809,"No",IF(N809&gt;H809,"Yes","No"))))))</f>
        <v>No (not volatile)</v>
      </c>
      <c r="H809" s="76" t="str">
        <f t="shared" si="282"/>
        <v>--</v>
      </c>
      <c r="I809" s="271" t="str">
        <f t="shared" si="283"/>
        <v>--</v>
      </c>
      <c r="J809" s="272" t="str">
        <f t="shared" si="284"/>
        <v>--</v>
      </c>
      <c r="K809" s="272" t="str">
        <f t="shared" si="285"/>
        <v>--</v>
      </c>
      <c r="L809" s="273" t="str">
        <f t="shared" si="273"/>
        <v>--</v>
      </c>
      <c r="M809" s="7">
        <f t="shared" si="274"/>
        <v>1.9246025120389043</v>
      </c>
      <c r="N809" s="7">
        <f t="shared" si="288"/>
        <v>1.9252499999999999</v>
      </c>
      <c r="O809" s="326">
        <f t="shared" si="275"/>
        <v>25</v>
      </c>
      <c r="P809" s="224"/>
      <c r="Q809" s="224" t="str">
        <f t="shared" si="276"/>
        <v/>
      </c>
      <c r="R809" s="224"/>
      <c r="S809" s="271" t="str">
        <f t="shared" si="289"/>
        <v/>
      </c>
      <c r="T809" s="7" t="str">
        <f t="shared" si="290"/>
        <v/>
      </c>
      <c r="U809" s="7" t="str">
        <f t="shared" si="277"/>
        <v/>
      </c>
      <c r="V809" s="7" t="str">
        <f t="shared" si="278"/>
        <v/>
      </c>
      <c r="W809" s="7" t="str">
        <f>VLOOKUP(C809,'Tox Summary'!$N$3:$S$1048576,6,FALSE)</f>
        <v/>
      </c>
      <c r="X809" s="76" t="str">
        <f t="shared" si="286"/>
        <v/>
      </c>
      <c r="Y809" s="76" t="str">
        <f t="shared" si="279"/>
        <v/>
      </c>
      <c r="AA809" s="332"/>
    </row>
    <row r="810" spans="1:27">
      <c r="A810" s="265"/>
      <c r="B810" s="344" t="s">
        <v>349</v>
      </c>
      <c r="C810" s="269" t="s">
        <v>1393</v>
      </c>
      <c r="D810" s="280" t="str">
        <f>VLOOKUP(B810, 'Chem Props'!$1:$1048576,3,FALSE)</f>
        <v>Yes</v>
      </c>
      <c r="E810" s="598" t="str">
        <f t="shared" si="280"/>
        <v>Yes</v>
      </c>
      <c r="F810" s="7" t="str">
        <f t="shared" si="291"/>
        <v>Yes</v>
      </c>
      <c r="G810" s="270" t="str">
        <f t="shared" si="292"/>
        <v>Yes</v>
      </c>
      <c r="H810" s="76">
        <f t="shared" si="282"/>
        <v>104.28571428571429</v>
      </c>
      <c r="I810" s="271" t="str">
        <f t="shared" si="283"/>
        <v>NC</v>
      </c>
      <c r="J810" s="272">
        <f t="shared" si="284"/>
        <v>3476.1904761904766</v>
      </c>
      <c r="K810" s="272">
        <f t="shared" si="285"/>
        <v>355.26857209044169</v>
      </c>
      <c r="L810" s="273" t="str">
        <f t="shared" si="273"/>
        <v>--</v>
      </c>
      <c r="M810" s="7">
        <f t="shared" si="274"/>
        <v>47359765.019506089</v>
      </c>
      <c r="N810" s="7">
        <f t="shared" si="288"/>
        <v>47260020.499999993</v>
      </c>
      <c r="O810" s="326">
        <f t="shared" si="275"/>
        <v>25</v>
      </c>
      <c r="P810" s="224"/>
      <c r="Q810" s="224" t="str">
        <f t="shared" si="276"/>
        <v>N</v>
      </c>
      <c r="R810" s="229"/>
      <c r="S810" s="271" t="str">
        <f t="shared" si="289"/>
        <v/>
      </c>
      <c r="T810" s="7" t="str">
        <f t="shared" si="290"/>
        <v/>
      </c>
      <c r="U810" s="7">
        <f t="shared" si="277"/>
        <v>0.1</v>
      </c>
      <c r="V810" s="7" t="str">
        <f t="shared" si="278"/>
        <v>S</v>
      </c>
      <c r="W810" s="7" t="str">
        <f>VLOOKUP(C810,'Tox Summary'!$N$3:$S$1048576,6,FALSE)</f>
        <v/>
      </c>
      <c r="X810" s="76" t="str">
        <f t="shared" si="286"/>
        <v/>
      </c>
      <c r="Y810" s="76">
        <f t="shared" si="279"/>
        <v>104.28571428571429</v>
      </c>
      <c r="AA810" s="332"/>
    </row>
    <row r="811" spans="1:27">
      <c r="A811" s="265"/>
      <c r="B811" s="344" t="s">
        <v>350</v>
      </c>
      <c r="C811" s="269" t="s">
        <v>1394</v>
      </c>
      <c r="D811" s="280" t="str">
        <f>VLOOKUP(B811, 'Chem Props'!$1:$1048576,3,FALSE)</f>
        <v>Yes</v>
      </c>
      <c r="E811" s="598" t="str">
        <f t="shared" si="280"/>
        <v>Yes</v>
      </c>
      <c r="F811" s="271" t="str">
        <f t="shared" si="291"/>
        <v>Yes</v>
      </c>
      <c r="G811" s="224" t="str">
        <f t="shared" si="292"/>
        <v>Yes</v>
      </c>
      <c r="H811" s="76">
        <f t="shared" si="282"/>
        <v>104.28571428571429</v>
      </c>
      <c r="I811" s="271" t="str">
        <f t="shared" si="283"/>
        <v>NC</v>
      </c>
      <c r="J811" s="272">
        <f t="shared" si="284"/>
        <v>3476.1904761904766</v>
      </c>
      <c r="K811" s="272">
        <f t="shared" si="285"/>
        <v>492.43800728282082</v>
      </c>
      <c r="L811" s="273" t="str">
        <f t="shared" si="273"/>
        <v>--</v>
      </c>
      <c r="M811" s="7">
        <f t="shared" si="274"/>
        <v>37762128.682621874</v>
      </c>
      <c r="N811" s="7">
        <f t="shared" si="288"/>
        <v>37695825.399999999</v>
      </c>
      <c r="O811" s="326">
        <f t="shared" si="275"/>
        <v>25</v>
      </c>
      <c r="P811" s="224"/>
      <c r="Q811" s="224" t="str">
        <f t="shared" si="276"/>
        <v>N</v>
      </c>
      <c r="R811" s="229"/>
      <c r="S811" s="271" t="str">
        <f t="shared" si="289"/>
        <v/>
      </c>
      <c r="T811" s="7" t="str">
        <f t="shared" si="290"/>
        <v/>
      </c>
      <c r="U811" s="7">
        <f t="shared" si="277"/>
        <v>0.1</v>
      </c>
      <c r="V811" s="7" t="str">
        <f t="shared" si="278"/>
        <v>S</v>
      </c>
      <c r="W811" s="7" t="str">
        <f>VLOOKUP(C811,'Tox Summary'!$N$3:$S$1048576,6,FALSE)</f>
        <v/>
      </c>
      <c r="X811" s="76" t="str">
        <f t="shared" si="286"/>
        <v/>
      </c>
      <c r="Y811" s="76">
        <f t="shared" si="279"/>
        <v>104.28571428571429</v>
      </c>
      <c r="AA811" s="332"/>
    </row>
    <row r="812" spans="1:27" s="243" customFormat="1">
      <c r="A812" s="265"/>
      <c r="B812" s="344" t="s">
        <v>348</v>
      </c>
      <c r="C812" s="269" t="s">
        <v>1392</v>
      </c>
      <c r="D812" s="280" t="str">
        <f>VLOOKUP(B812, 'Chem Props'!$1:$1048576,3,FALSE)</f>
        <v>Yes</v>
      </c>
      <c r="E812" s="598" t="str">
        <f t="shared" si="280"/>
        <v>Yes</v>
      </c>
      <c r="F812" s="271" t="str">
        <f t="shared" si="291"/>
        <v>Yes</v>
      </c>
      <c r="G812" s="224" t="str">
        <f t="shared" si="292"/>
        <v>Yes</v>
      </c>
      <c r="H812" s="76">
        <f t="shared" si="282"/>
        <v>104.28571428571429</v>
      </c>
      <c r="I812" s="271" t="str">
        <f t="shared" si="283"/>
        <v>NC</v>
      </c>
      <c r="J812" s="272">
        <f t="shared" si="284"/>
        <v>3476.1904761904766</v>
      </c>
      <c r="K812" s="272">
        <f t="shared" si="285"/>
        <v>369.68531778048634</v>
      </c>
      <c r="L812" s="273" t="str">
        <f t="shared" si="273"/>
        <v>--</v>
      </c>
      <c r="M812" s="7">
        <f t="shared" si="274"/>
        <v>50501848.34408129</v>
      </c>
      <c r="N812" s="7">
        <f t="shared" si="288"/>
        <v>45699098.399999999</v>
      </c>
      <c r="O812" s="326">
        <f t="shared" si="275"/>
        <v>25</v>
      </c>
      <c r="P812" s="224"/>
      <c r="Q812" s="224" t="str">
        <f t="shared" si="276"/>
        <v>N</v>
      </c>
      <c r="R812" s="229"/>
      <c r="S812" s="271" t="str">
        <f t="shared" si="289"/>
        <v/>
      </c>
      <c r="T812" s="7" t="str">
        <f t="shared" si="290"/>
        <v/>
      </c>
      <c r="U812" s="7">
        <f t="shared" si="277"/>
        <v>0.1</v>
      </c>
      <c r="V812" s="7" t="str">
        <f t="shared" si="278"/>
        <v>S</v>
      </c>
      <c r="W812" s="7" t="str">
        <f>VLOOKUP(C812,'Tox Summary'!$N$3:$S$1048576,6,FALSE)</f>
        <v/>
      </c>
      <c r="X812" s="76" t="str">
        <f t="shared" si="286"/>
        <v/>
      </c>
      <c r="Y812" s="76">
        <f t="shared" si="279"/>
        <v>104.28571428571429</v>
      </c>
      <c r="Z812" s="49"/>
      <c r="AA812" s="332"/>
    </row>
    <row r="813" spans="1:27" s="243" customFormat="1">
      <c r="A813" s="265"/>
      <c r="B813" s="344" t="s">
        <v>347</v>
      </c>
      <c r="C813" s="269" t="s">
        <v>1616</v>
      </c>
      <c r="D813" s="280" t="str">
        <f>VLOOKUP(B813, 'Chem Props'!$1:$1048576,3,FALSE)</f>
        <v>Yes</v>
      </c>
      <c r="E813" s="598" t="str">
        <f t="shared" si="280"/>
        <v>Yes</v>
      </c>
      <c r="F813" s="271" t="str">
        <f t="shared" si="291"/>
        <v>Yes</v>
      </c>
      <c r="G813" s="224" t="str">
        <f t="shared" si="292"/>
        <v>Yes</v>
      </c>
      <c r="H813" s="76">
        <f t="shared" si="282"/>
        <v>104.28571428571429</v>
      </c>
      <c r="I813" s="271" t="str">
        <f t="shared" si="283"/>
        <v>NC</v>
      </c>
      <c r="J813" s="272">
        <f t="shared" si="284"/>
        <v>3476.1904761904766</v>
      </c>
      <c r="K813" s="272">
        <f t="shared" si="285"/>
        <v>384.74033400520591</v>
      </c>
      <c r="L813" s="273" t="str">
        <f t="shared" si="273"/>
        <v>Yes (10000)</v>
      </c>
      <c r="M813" s="7">
        <f t="shared" si="274"/>
        <v>45645901.387919627</v>
      </c>
      <c r="N813" s="7">
        <f t="shared" si="288"/>
        <v>28731808.800000001</v>
      </c>
      <c r="O813" s="326">
        <f t="shared" si="275"/>
        <v>25</v>
      </c>
      <c r="P813" s="224"/>
      <c r="Q813" s="224" t="str">
        <f t="shared" si="276"/>
        <v/>
      </c>
      <c r="R813" s="229"/>
      <c r="S813" s="271" t="str">
        <f t="shared" si="289"/>
        <v/>
      </c>
      <c r="T813" s="7" t="str">
        <f t="shared" si="290"/>
        <v/>
      </c>
      <c r="U813" s="7">
        <f t="shared" si="277"/>
        <v>0.1</v>
      </c>
      <c r="V813" s="7" t="str">
        <f t="shared" si="278"/>
        <v>I</v>
      </c>
      <c r="W813" s="7" t="str">
        <f>VLOOKUP(C813,'Tox Summary'!$N$3:$S$1048576,6,FALSE)</f>
        <v/>
      </c>
      <c r="X813" s="76" t="str">
        <f t="shared" si="286"/>
        <v/>
      </c>
      <c r="Y813" s="76">
        <f t="shared" si="279"/>
        <v>104.28571428571429</v>
      </c>
      <c r="Z813" s="49"/>
      <c r="AA813" s="332"/>
    </row>
    <row r="814" spans="1:27" s="243" customFormat="1">
      <c r="A814" s="265"/>
      <c r="B814" s="344" t="s">
        <v>351</v>
      </c>
      <c r="C814" s="269" t="s">
        <v>1617</v>
      </c>
      <c r="D814" s="280" t="str">
        <f>VLOOKUP(B814, 'Chem Props'!$1:$1048576,3,FALSE)</f>
        <v>No</v>
      </c>
      <c r="E814" s="598" t="str">
        <f t="shared" si="280"/>
        <v>No</v>
      </c>
      <c r="F814" s="271" t="str">
        <f t="shared" si="291"/>
        <v>No (not volatile)</v>
      </c>
      <c r="G814" s="224" t="str">
        <f t="shared" si="292"/>
        <v>No (not volatile)</v>
      </c>
      <c r="H814" s="76" t="str">
        <f t="shared" si="282"/>
        <v>No VP</v>
      </c>
      <c r="I814" s="271" t="str">
        <f t="shared" si="283"/>
        <v>--</v>
      </c>
      <c r="J814" s="272" t="str">
        <f t="shared" si="284"/>
        <v>No VP</v>
      </c>
      <c r="K814" s="272" t="str">
        <f t="shared" si="285"/>
        <v>No VP</v>
      </c>
      <c r="L814" s="273" t="str">
        <f t="shared" si="273"/>
        <v>--</v>
      </c>
      <c r="M814" s="7" t="str">
        <f t="shared" si="274"/>
        <v>No VP</v>
      </c>
      <c r="N814" s="7" t="str">
        <f t="shared" si="288"/>
        <v>No S</v>
      </c>
      <c r="O814" s="326">
        <f t="shared" si="275"/>
        <v>25</v>
      </c>
      <c r="P814" s="224"/>
      <c r="Q814" s="224" t="str">
        <f t="shared" si="276"/>
        <v/>
      </c>
      <c r="R814" s="229"/>
      <c r="S814" s="271" t="str">
        <f t="shared" si="289"/>
        <v/>
      </c>
      <c r="T814" s="7" t="str">
        <f t="shared" si="290"/>
        <v/>
      </c>
      <c r="U814" s="7" t="str">
        <f t="shared" si="277"/>
        <v/>
      </c>
      <c r="V814" s="7" t="str">
        <f t="shared" si="278"/>
        <v/>
      </c>
      <c r="W814" s="7" t="str">
        <f>VLOOKUP(C814,'Tox Summary'!$N$3:$S$1048576,6,FALSE)</f>
        <v/>
      </c>
      <c r="X814" s="76" t="str">
        <f t="shared" si="286"/>
        <v/>
      </c>
      <c r="Y814" s="76" t="str">
        <f t="shared" si="279"/>
        <v/>
      </c>
      <c r="Z814" s="49"/>
      <c r="AA814" s="332"/>
    </row>
    <row r="815" spans="1:27" s="243" customFormat="1">
      <c r="A815" s="265"/>
      <c r="B815" s="344" t="s">
        <v>800</v>
      </c>
      <c r="C815" s="269" t="s">
        <v>2370</v>
      </c>
      <c r="D815" s="280" t="str">
        <f>VLOOKUP(B815, 'Chem Props'!$1:$1048576,3,FALSE)</f>
        <v>No</v>
      </c>
      <c r="E815" s="598" t="str">
        <f t="shared" si="280"/>
        <v>No</v>
      </c>
      <c r="F815" s="271" t="str">
        <f t="shared" si="291"/>
        <v>No (not volatile)</v>
      </c>
      <c r="G815" s="224" t="str">
        <f t="shared" si="292"/>
        <v>No (not volatile)</v>
      </c>
      <c r="H815" s="76" t="str">
        <f t="shared" si="282"/>
        <v>No VP</v>
      </c>
      <c r="I815" s="271" t="str">
        <f t="shared" si="283"/>
        <v>--</v>
      </c>
      <c r="J815" s="272" t="str">
        <f t="shared" si="284"/>
        <v>No VP</v>
      </c>
      <c r="K815" s="272" t="str">
        <f t="shared" si="285"/>
        <v>No VP</v>
      </c>
      <c r="L815" s="273" t="str">
        <f t="shared" si="273"/>
        <v>--</v>
      </c>
      <c r="M815" s="7" t="str">
        <f t="shared" si="274"/>
        <v>No VP</v>
      </c>
      <c r="N815" s="7"/>
      <c r="O815" s="326">
        <f t="shared" si="275"/>
        <v>25</v>
      </c>
      <c r="P815" s="224"/>
      <c r="Q815" s="224" t="str">
        <f t="shared" si="276"/>
        <v/>
      </c>
      <c r="R815" s="229"/>
      <c r="S815" s="271" t="str">
        <f t="shared" si="289"/>
        <v/>
      </c>
      <c r="T815" s="7" t="str">
        <f t="shared" si="290"/>
        <v/>
      </c>
      <c r="U815" s="7" t="str">
        <f t="shared" si="277"/>
        <v/>
      </c>
      <c r="V815" s="7" t="str">
        <f t="shared" si="278"/>
        <v/>
      </c>
      <c r="W815" s="7" t="str">
        <f>VLOOKUP(C815,'Tox Summary'!$N$3:$S$1048576,6,FALSE)</f>
        <v/>
      </c>
      <c r="X815" s="76" t="str">
        <f t="shared" si="286"/>
        <v/>
      </c>
      <c r="Y815" s="76" t="str">
        <f t="shared" si="279"/>
        <v/>
      </c>
      <c r="Z815" s="49"/>
      <c r="AA815" s="332"/>
    </row>
    <row r="816" spans="1:27" s="243" customFormat="1">
      <c r="A816" s="265"/>
      <c r="B816" s="344" t="s">
        <v>352</v>
      </c>
      <c r="C816" s="269" t="s">
        <v>1395</v>
      </c>
      <c r="D816" s="280" t="str">
        <f>VLOOKUP(B816, 'Chem Props'!$1:$1048576,3,FALSE)</f>
        <v>No</v>
      </c>
      <c r="E816" s="598" t="str">
        <f t="shared" si="280"/>
        <v>No</v>
      </c>
      <c r="F816" s="271" t="str">
        <f t="shared" si="291"/>
        <v>No (not volatile)</v>
      </c>
      <c r="G816" s="224" t="str">
        <f t="shared" si="292"/>
        <v>No (not volatile)</v>
      </c>
      <c r="H816" s="76" t="str">
        <f t="shared" si="282"/>
        <v>No VP</v>
      </c>
      <c r="I816" s="271" t="str">
        <f t="shared" si="283"/>
        <v>--</v>
      </c>
      <c r="J816" s="272" t="str">
        <f t="shared" si="284"/>
        <v>No VP</v>
      </c>
      <c r="K816" s="272" t="str">
        <f t="shared" si="285"/>
        <v>No VP</v>
      </c>
      <c r="L816" s="273"/>
      <c r="M816" s="7" t="str">
        <f t="shared" si="274"/>
        <v>No VP</v>
      </c>
      <c r="N816" s="7" t="str">
        <f>IF(INDEX(HLC,MATCH(C816,ChemNameChem,0))="","No HLC",IF(INDEX(Sol,MATCH(C816,ChemNameChem,0))="No S","No S",INDEX(HLC,MATCH(C816,ChemNameChem,0))*INDEX(Sol,MATCH(C816,ChemNameChem,0))*1000000))</f>
        <v>No S</v>
      </c>
      <c r="O816" s="326">
        <f t="shared" si="275"/>
        <v>25</v>
      </c>
      <c r="P816" s="224"/>
      <c r="Q816" s="224" t="str">
        <f t="shared" si="276"/>
        <v/>
      </c>
      <c r="R816" s="229"/>
      <c r="S816" s="271" t="str">
        <f t="shared" si="289"/>
        <v/>
      </c>
      <c r="T816" s="7" t="str">
        <f t="shared" si="290"/>
        <v/>
      </c>
      <c r="U816" s="7" t="str">
        <f t="shared" si="277"/>
        <v/>
      </c>
      <c r="V816" s="7" t="str">
        <f t="shared" si="278"/>
        <v/>
      </c>
      <c r="W816" s="7" t="str">
        <f>VLOOKUP(C816,'Tox Summary'!$N$3:$S$1048576,6,FALSE)</f>
        <v/>
      </c>
      <c r="X816" s="76" t="str">
        <f t="shared" si="286"/>
        <v/>
      </c>
      <c r="Y816" s="76" t="str">
        <f t="shared" si="279"/>
        <v/>
      </c>
      <c r="Z816" s="49"/>
      <c r="AA816" s="332"/>
    </row>
    <row r="817" spans="1:27" s="243" customFormat="1">
      <c r="A817" s="265"/>
      <c r="B817" s="344" t="s">
        <v>353</v>
      </c>
      <c r="C817" s="269" t="s">
        <v>1396</v>
      </c>
      <c r="D817" s="280" t="str">
        <f>VLOOKUP(B817, 'Chem Props'!$1:$1048576,3,FALSE)</f>
        <v>No</v>
      </c>
      <c r="E817" s="598" t="str">
        <f t="shared" si="280"/>
        <v>No</v>
      </c>
      <c r="F817" s="271" t="str">
        <f t="shared" si="291"/>
        <v>No (not volatile)</v>
      </c>
      <c r="G817" s="224" t="str">
        <f t="shared" si="292"/>
        <v>No (not volatile)</v>
      </c>
      <c r="H817" s="76" t="str">
        <f t="shared" si="282"/>
        <v>--</v>
      </c>
      <c r="I817" s="271" t="str">
        <f t="shared" si="283"/>
        <v>--</v>
      </c>
      <c r="J817" s="272" t="str">
        <f t="shared" si="284"/>
        <v>--</v>
      </c>
      <c r="K817" s="272" t="str">
        <f t="shared" si="285"/>
        <v>--</v>
      </c>
      <c r="L817" s="273"/>
      <c r="M817" s="7">
        <f t="shared" si="274"/>
        <v>1.1127522349471064</v>
      </c>
      <c r="N817" s="7">
        <f>IF(INDEX(HLC,MATCH(C817,ChemNameChem,0))="","No HLC",IF(INDEX(Sol,MATCH(C817,ChemNameChem,0))="No S","No S",INDEX(HLC,MATCH(C817,ChemNameChem,0))*INDEX(Sol,MATCH(C817,ChemNameChem,0))*1000000))</f>
        <v>1.1120000000000001</v>
      </c>
      <c r="O817" s="326">
        <f t="shared" si="275"/>
        <v>25</v>
      </c>
      <c r="P817" s="224"/>
      <c r="Q817" s="224" t="str">
        <f t="shared" si="276"/>
        <v/>
      </c>
      <c r="R817" s="229"/>
      <c r="S817" s="271" t="str">
        <f t="shared" si="289"/>
        <v/>
      </c>
      <c r="T817" s="7" t="str">
        <f t="shared" si="290"/>
        <v/>
      </c>
      <c r="U817" s="7" t="str">
        <f t="shared" si="277"/>
        <v/>
      </c>
      <c r="V817" s="7" t="str">
        <f t="shared" si="278"/>
        <v/>
      </c>
      <c r="W817" s="7" t="str">
        <f>VLOOKUP(C817,'Tox Summary'!$N$3:$S$1048576,6,FALSE)</f>
        <v/>
      </c>
      <c r="X817" s="76" t="str">
        <f t="shared" si="286"/>
        <v/>
      </c>
      <c r="Y817" s="76" t="str">
        <f t="shared" si="279"/>
        <v/>
      </c>
      <c r="Z817" s="49"/>
      <c r="AA817" s="332"/>
    </row>
    <row r="818" spans="1:27" s="243" customFormat="1" ht="15" customHeight="1">
      <c r="A818" s="265"/>
      <c r="B818" s="344" t="s">
        <v>2017</v>
      </c>
      <c r="C818" s="269" t="s">
        <v>2016</v>
      </c>
      <c r="D818" s="280" t="str">
        <f>VLOOKUP(B818, 'Chem Props'!$1:$1048576,3,FALSE)</f>
        <v>No</v>
      </c>
      <c r="E818" s="598" t="str">
        <f t="shared" si="280"/>
        <v>No</v>
      </c>
      <c r="F818" s="271" t="str">
        <f t="shared" si="291"/>
        <v>No (not volatile)</v>
      </c>
      <c r="G818" s="224" t="str">
        <f t="shared" si="292"/>
        <v>No (not volatile)</v>
      </c>
      <c r="H818" s="76" t="str">
        <f t="shared" si="282"/>
        <v>--</v>
      </c>
      <c r="I818" s="271" t="str">
        <f t="shared" si="283"/>
        <v>--</v>
      </c>
      <c r="J818" s="272" t="str">
        <f t="shared" si="284"/>
        <v>--</v>
      </c>
      <c r="K818" s="272" t="str">
        <f t="shared" si="285"/>
        <v>--</v>
      </c>
      <c r="L818" s="273"/>
      <c r="M818" s="7">
        <f t="shared" si="274"/>
        <v>0</v>
      </c>
      <c r="N818" s="7" t="str">
        <f>IF(INDEX(HLC,MATCH(C818,ChemNameChem,0))="","No HLC",IF(INDEX(Sol,MATCH(C818,ChemNameChem,0))="No S","No S",INDEX(HLC,MATCH(C818,ChemNameChem,0))*INDEX(Sol,MATCH(C818,ChemNameChem,0))*1000000))</f>
        <v>No S</v>
      </c>
      <c r="O818" s="326">
        <f t="shared" si="275"/>
        <v>25</v>
      </c>
      <c r="P818" s="224"/>
      <c r="Q818" s="224" t="str">
        <f t="shared" si="276"/>
        <v/>
      </c>
      <c r="R818" s="229"/>
      <c r="S818" s="271" t="str">
        <f t="shared" si="289"/>
        <v/>
      </c>
      <c r="T818" s="7" t="str">
        <f t="shared" si="290"/>
        <v/>
      </c>
      <c r="U818" s="7" t="str">
        <f t="shared" si="277"/>
        <v/>
      </c>
      <c r="V818" s="7" t="str">
        <f t="shared" si="278"/>
        <v/>
      </c>
      <c r="W818" s="7" t="str">
        <f>VLOOKUP(C818,'Tox Summary'!$N$3:$S$1048576,6,FALSE)</f>
        <v/>
      </c>
      <c r="X818" s="76" t="str">
        <f t="shared" si="286"/>
        <v/>
      </c>
      <c r="Y818" s="76" t="str">
        <f t="shared" si="279"/>
        <v/>
      </c>
      <c r="Z818" s="49"/>
      <c r="AA818" s="332"/>
    </row>
    <row r="819" spans="1:27">
      <c r="A819" s="265"/>
      <c r="B819" s="334"/>
      <c r="C819" s="307"/>
      <c r="D819" s="307"/>
      <c r="E819" s="307"/>
      <c r="F819" s="266"/>
      <c r="G819" s="229"/>
      <c r="H819" s="267"/>
      <c r="I819" s="266"/>
      <c r="J819" s="267"/>
      <c r="K819" s="267"/>
      <c r="L819" s="229"/>
      <c r="M819" s="266"/>
      <c r="N819" s="266"/>
      <c r="O819" s="268"/>
      <c r="P819" s="229"/>
      <c r="Q819" s="229"/>
      <c r="R819" s="229"/>
      <c r="S819" s="266"/>
      <c r="T819" s="266"/>
      <c r="U819" s="266"/>
      <c r="V819" s="266"/>
      <c r="W819" s="266"/>
      <c r="X819" s="267"/>
      <c r="Y819" s="267"/>
      <c r="AA819" s="332"/>
    </row>
    <row r="820" spans="1:27" s="50" customFormat="1" ht="14.4" customHeight="1">
      <c r="A820" s="265"/>
      <c r="B820" s="126" t="s">
        <v>473</v>
      </c>
      <c r="C820" s="124"/>
      <c r="D820" s="124"/>
      <c r="E820" s="124"/>
      <c r="F820" s="114"/>
      <c r="G820" s="114"/>
      <c r="H820" s="127"/>
      <c r="I820" s="127"/>
      <c r="J820" s="114"/>
      <c r="K820" s="114"/>
      <c r="L820" s="128"/>
      <c r="M820" s="129"/>
      <c r="N820" s="129"/>
      <c r="O820" s="129"/>
      <c r="P820" s="304"/>
      <c r="Q820" s="304"/>
      <c r="R820" s="307"/>
      <c r="S820" s="130"/>
      <c r="T820" s="130"/>
      <c r="U820" s="130"/>
      <c r="V820" s="130"/>
      <c r="W820" s="130"/>
      <c r="X820" s="130"/>
      <c r="Y820" s="130"/>
    </row>
    <row r="821" spans="1:27" s="50" customFormat="1" ht="14.4" customHeight="1">
      <c r="A821" s="265"/>
      <c r="B821" s="126"/>
      <c r="C821" s="124"/>
      <c r="D821" s="124"/>
      <c r="E821" s="124"/>
      <c r="F821" s="114"/>
      <c r="G821" s="114"/>
      <c r="H821" s="127"/>
      <c r="I821" s="127"/>
      <c r="J821" s="114"/>
      <c r="K821" s="131"/>
      <c r="L821" s="131"/>
      <c r="M821" s="129"/>
      <c r="N821" s="114"/>
      <c r="O821" s="129"/>
      <c r="P821" s="129"/>
      <c r="Q821" s="304"/>
      <c r="R821" s="307"/>
      <c r="S821" s="130"/>
      <c r="T821" s="130"/>
      <c r="U821" s="130"/>
      <c r="V821" s="130"/>
      <c r="W821" s="130"/>
      <c r="X821" s="130"/>
      <c r="Y821" s="130"/>
    </row>
    <row r="822" spans="1:27" s="50" customFormat="1" ht="15.6">
      <c r="A822" s="265"/>
      <c r="B822" s="132" t="s">
        <v>474</v>
      </c>
      <c r="C822" s="133" t="s">
        <v>462</v>
      </c>
      <c r="D822" s="133"/>
      <c r="E822" s="133"/>
      <c r="F822" s="133"/>
      <c r="G822" s="304" t="s">
        <v>1411</v>
      </c>
      <c r="H822" s="114"/>
      <c r="I822" s="565" t="s">
        <v>449</v>
      </c>
      <c r="J822" s="565"/>
      <c r="K822" s="565" t="s">
        <v>472</v>
      </c>
      <c r="L822" s="565"/>
      <c r="M822" s="134"/>
      <c r="N822" s="114"/>
      <c r="O822" s="567" t="str">
        <f ca="1">"Selected (based on scenario in cell " &amp; SUBSTITUTE(CELL("address",Scenario),"$","")&amp; ")"</f>
        <v>Selected (based on scenario in cell G10)</v>
      </c>
      <c r="P822" s="567"/>
      <c r="Q822" s="567"/>
      <c r="R822" s="567"/>
      <c r="S822" s="567"/>
      <c r="T822" s="182"/>
      <c r="U822" s="130"/>
      <c r="V822" s="130"/>
      <c r="W822" s="130"/>
      <c r="X822" s="130"/>
      <c r="Y822" s="130"/>
    </row>
    <row r="823" spans="1:27" s="50" customFormat="1" ht="15.6">
      <c r="A823" s="265"/>
      <c r="B823" s="127"/>
      <c r="C823" s="137" t="s">
        <v>447</v>
      </c>
      <c r="D823" s="137"/>
      <c r="E823" s="137"/>
      <c r="F823" s="137"/>
      <c r="G823" s="127"/>
      <c r="H823" s="114"/>
      <c r="I823" s="304" t="s">
        <v>459</v>
      </c>
      <c r="J823" s="304" t="s">
        <v>469</v>
      </c>
      <c r="K823" s="304" t="s">
        <v>459</v>
      </c>
      <c r="L823" s="304" t="s">
        <v>469</v>
      </c>
      <c r="M823" s="134"/>
      <c r="N823" s="114"/>
      <c r="O823" s="304" t="s">
        <v>459</v>
      </c>
      <c r="P823" s="304" t="s">
        <v>469</v>
      </c>
      <c r="Q823" s="114"/>
      <c r="R823" s="320"/>
      <c r="S823" s="130"/>
      <c r="T823" s="136"/>
      <c r="U823" s="130"/>
      <c r="V823" s="130"/>
      <c r="W823" s="130"/>
      <c r="X823" s="130"/>
      <c r="Y823" s="130"/>
    </row>
    <row r="824" spans="1:27" s="50" customFormat="1">
      <c r="A824" s="265"/>
      <c r="B824" s="127"/>
      <c r="C824" s="138" t="s">
        <v>450</v>
      </c>
      <c r="D824" s="138"/>
      <c r="E824" s="138"/>
      <c r="F824" s="138"/>
      <c r="G824" s="139" t="s">
        <v>451</v>
      </c>
      <c r="H824" s="114"/>
      <c r="I824" s="161" t="s">
        <v>1748</v>
      </c>
      <c r="J824" s="162">
        <v>70</v>
      </c>
      <c r="K824" s="161" t="s">
        <v>1529</v>
      </c>
      <c r="L824" s="163">
        <v>70</v>
      </c>
      <c r="M824" s="164"/>
      <c r="N824" s="165"/>
      <c r="O824" s="161" t="s">
        <v>1750</v>
      </c>
      <c r="P824" s="163">
        <f>IF(Scenario="Residential",ATc_R,IF(Scenario="Commercial",ATc_C,"Error"))</f>
        <v>70</v>
      </c>
      <c r="Q824" s="114"/>
      <c r="R824" s="320"/>
      <c r="S824" s="141"/>
      <c r="T824" s="136"/>
      <c r="U824" s="130"/>
      <c r="V824" s="130"/>
      <c r="W824" s="130"/>
      <c r="X824" s="142"/>
      <c r="Y824" s="130"/>
    </row>
    <row r="825" spans="1:27" s="50" customFormat="1">
      <c r="A825" s="265"/>
      <c r="B825" s="127"/>
      <c r="C825" s="135" t="s">
        <v>452</v>
      </c>
      <c r="D825" s="135"/>
      <c r="E825" s="135"/>
      <c r="F825" s="135"/>
      <c r="G825" s="139" t="s">
        <v>451</v>
      </c>
      <c r="H825" s="114"/>
      <c r="I825" s="161" t="s">
        <v>1749</v>
      </c>
      <c r="J825" s="162">
        <v>26</v>
      </c>
      <c r="K825" s="161" t="s">
        <v>1528</v>
      </c>
      <c r="L825" s="163">
        <v>25</v>
      </c>
      <c r="M825" s="164"/>
      <c r="N825" s="165"/>
      <c r="O825" s="161" t="s">
        <v>1751</v>
      </c>
      <c r="P825" s="163">
        <f>IF(Scenario="Residential",ATnc_R,IF(Scenario="Commercial",ATnc_C,"Error"))</f>
        <v>26</v>
      </c>
      <c r="Q825" s="114"/>
      <c r="R825" s="321"/>
      <c r="S825" s="144"/>
      <c r="T825" s="136"/>
      <c r="U825" s="130"/>
      <c r="V825" s="130"/>
      <c r="W825" s="130"/>
      <c r="X825" s="142"/>
      <c r="Y825" s="130"/>
    </row>
    <row r="826" spans="1:27" s="50" customFormat="1" ht="15.6">
      <c r="A826" s="265"/>
      <c r="B826" s="361"/>
      <c r="C826" s="138" t="s">
        <v>453</v>
      </c>
      <c r="D826" s="138"/>
      <c r="E826" s="138"/>
      <c r="F826" s="138"/>
      <c r="G826" s="127" t="s">
        <v>451</v>
      </c>
      <c r="H826" s="114"/>
      <c r="I826" s="305" t="s">
        <v>479</v>
      </c>
      <c r="J826" s="163">
        <v>26</v>
      </c>
      <c r="K826" s="305" t="s">
        <v>481</v>
      </c>
      <c r="L826" s="163">
        <v>25</v>
      </c>
      <c r="M826" s="164"/>
      <c r="N826" s="165"/>
      <c r="O826" s="305" t="s">
        <v>1623</v>
      </c>
      <c r="P826" s="163">
        <f>IF(Scenario="Residential",ED_R,IF(Scenario="Commercial",ED_C,"Error"))</f>
        <v>26</v>
      </c>
      <c r="Q826" s="114"/>
      <c r="R826" s="320"/>
      <c r="S826" s="130"/>
      <c r="T826" s="136"/>
      <c r="U826" s="130"/>
      <c r="V826" s="130"/>
      <c r="W826" s="130"/>
      <c r="X826" s="130"/>
      <c r="Y826" s="130"/>
    </row>
    <row r="827" spans="1:27" s="50" customFormat="1">
      <c r="A827" s="265"/>
      <c r="B827" s="127"/>
      <c r="C827" s="138" t="s">
        <v>454</v>
      </c>
      <c r="D827" s="138"/>
      <c r="E827" s="138"/>
      <c r="F827" s="138"/>
      <c r="G827" s="127" t="s">
        <v>455</v>
      </c>
      <c r="H827" s="114"/>
      <c r="I827" s="305" t="s">
        <v>480</v>
      </c>
      <c r="J827" s="163">
        <v>350</v>
      </c>
      <c r="K827" s="305" t="s">
        <v>482</v>
      </c>
      <c r="L827" s="163">
        <v>250</v>
      </c>
      <c r="M827" s="164"/>
      <c r="N827" s="165"/>
      <c r="O827" s="305" t="s">
        <v>1625</v>
      </c>
      <c r="P827" s="163">
        <f>IF(Scenario="Residential",EF_R,IF(Scenario="Commercial",EF_C,"Error"))</f>
        <v>350</v>
      </c>
      <c r="Q827" s="114"/>
      <c r="R827" s="307"/>
      <c r="S827" s="136"/>
      <c r="T827" s="136"/>
      <c r="U827" s="130"/>
      <c r="V827" s="130"/>
      <c r="W827" s="130"/>
      <c r="X827" s="130"/>
      <c r="Y827" s="130"/>
    </row>
    <row r="828" spans="1:27" s="50" customFormat="1">
      <c r="A828" s="265"/>
      <c r="B828" s="127"/>
      <c r="C828" s="138" t="s">
        <v>516</v>
      </c>
      <c r="D828" s="138"/>
      <c r="E828" s="138"/>
      <c r="F828" s="138"/>
      <c r="G828" s="124" t="s">
        <v>1744</v>
      </c>
      <c r="H828" s="114"/>
      <c r="I828" s="163" t="s">
        <v>518</v>
      </c>
      <c r="J828" s="163">
        <v>24</v>
      </c>
      <c r="K828" s="163" t="s">
        <v>517</v>
      </c>
      <c r="L828" s="163">
        <v>8</v>
      </c>
      <c r="M828" s="164"/>
      <c r="N828" s="165"/>
      <c r="O828" s="163" t="s">
        <v>1624</v>
      </c>
      <c r="P828" s="163">
        <f>IF(Scenario="Residential",ET_R,IF(Scenario="Commercial",ET_C,"Error"))</f>
        <v>24</v>
      </c>
      <c r="Q828" s="114"/>
      <c r="R828" s="307"/>
      <c r="S828" s="136"/>
      <c r="T828" s="136"/>
      <c r="U828" s="130"/>
      <c r="V828" s="130"/>
      <c r="W828" s="130"/>
      <c r="X828" s="130"/>
      <c r="Y828" s="130"/>
    </row>
    <row r="829" spans="1:27" s="50" customFormat="1">
      <c r="A829" s="265"/>
      <c r="B829" s="127"/>
      <c r="C829" s="138"/>
      <c r="D829" s="138"/>
      <c r="E829" s="138"/>
      <c r="F829" s="138"/>
      <c r="G829" s="124"/>
      <c r="H829" s="114"/>
      <c r="I829" s="124"/>
      <c r="J829" s="124"/>
      <c r="K829" s="124"/>
      <c r="L829" s="124"/>
      <c r="M829" s="134"/>
      <c r="N829" s="114"/>
      <c r="O829" s="124"/>
      <c r="P829" s="145"/>
      <c r="Q829" s="114"/>
      <c r="R829" s="307"/>
      <c r="S829" s="136"/>
      <c r="T829" s="136"/>
      <c r="U829" s="130"/>
      <c r="V829" s="130"/>
      <c r="W829" s="130"/>
      <c r="X829" s="130"/>
      <c r="Y829" s="130"/>
    </row>
    <row r="830" spans="1:27" s="50" customFormat="1" ht="15.6">
      <c r="A830" s="265"/>
      <c r="B830" s="132" t="s">
        <v>476</v>
      </c>
      <c r="C830" s="133" t="s">
        <v>458</v>
      </c>
      <c r="D830" s="133"/>
      <c r="E830" s="133"/>
      <c r="F830" s="133"/>
      <c r="G830" s="127"/>
      <c r="H830" s="114"/>
      <c r="I830" s="565" t="s">
        <v>449</v>
      </c>
      <c r="J830" s="565"/>
      <c r="K830" s="565" t="s">
        <v>472</v>
      </c>
      <c r="L830" s="565"/>
      <c r="M830" s="134"/>
      <c r="N830" s="114"/>
      <c r="O830" s="567" t="str">
        <f ca="1">"Selected (based on scenario in cell " &amp; SUBSTITUTE(CELL("address",Scenario),"$","")&amp; ")"</f>
        <v>Selected (based on scenario in cell G10)</v>
      </c>
      <c r="P830" s="567"/>
      <c r="Q830" s="567"/>
      <c r="R830" s="567"/>
      <c r="S830" s="567"/>
      <c r="T830" s="136"/>
      <c r="U830" s="130"/>
      <c r="V830" s="130"/>
      <c r="W830" s="130"/>
      <c r="X830" s="130"/>
      <c r="Y830" s="130"/>
    </row>
    <row r="831" spans="1:27" s="50" customFormat="1" ht="15.6">
      <c r="A831" s="265"/>
      <c r="B831" s="124"/>
      <c r="C831" s="137" t="s">
        <v>456</v>
      </c>
      <c r="D831" s="137"/>
      <c r="E831" s="137"/>
      <c r="F831" s="137"/>
      <c r="G831" s="124"/>
      <c r="H831" s="114"/>
      <c r="I831" s="304" t="s">
        <v>459</v>
      </c>
      <c r="J831" s="304" t="s">
        <v>469</v>
      </c>
      <c r="K831" s="304" t="s">
        <v>459</v>
      </c>
      <c r="L831" s="304" t="s">
        <v>469</v>
      </c>
      <c r="M831" s="134"/>
      <c r="N831" s="114"/>
      <c r="O831" s="304" t="s">
        <v>459</v>
      </c>
      <c r="P831" s="304" t="s">
        <v>469</v>
      </c>
      <c r="Q831" s="114"/>
      <c r="R831" s="307"/>
      <c r="S831" s="136"/>
      <c r="T831" s="136"/>
      <c r="U831" s="130"/>
      <c r="V831" s="130"/>
      <c r="W831" s="130"/>
      <c r="X831" s="130"/>
      <c r="Y831" s="130"/>
    </row>
    <row r="832" spans="1:27" s="50" customFormat="1">
      <c r="A832" s="265"/>
      <c r="B832" s="127"/>
      <c r="C832" s="138" t="s">
        <v>457</v>
      </c>
      <c r="D832" s="138"/>
      <c r="E832" s="138"/>
      <c r="F832" s="138"/>
      <c r="G832" s="127" t="s">
        <v>464</v>
      </c>
      <c r="H832" s="114"/>
      <c r="I832" s="305" t="s">
        <v>502</v>
      </c>
      <c r="J832" s="163">
        <v>1E-3</v>
      </c>
      <c r="K832" s="305" t="s">
        <v>503</v>
      </c>
      <c r="L832" s="163">
        <v>1E-3</v>
      </c>
      <c r="M832" s="164"/>
      <c r="N832" s="165"/>
      <c r="O832" s="305" t="s">
        <v>1626</v>
      </c>
      <c r="P832" s="163">
        <f>IF(Scenario="Residential",AFgw_R,IF(Scenario="Commercial",AFgw_C,"Error"))</f>
        <v>1E-3</v>
      </c>
      <c r="Q832" s="114"/>
      <c r="R832" s="307"/>
      <c r="S832" s="136"/>
      <c r="T832" s="136"/>
      <c r="U832" s="130"/>
      <c r="V832" s="130"/>
      <c r="W832" s="130"/>
      <c r="X832" s="130"/>
      <c r="Y832" s="130"/>
    </row>
    <row r="833" spans="1:25" s="50" customFormat="1">
      <c r="A833" s="265"/>
      <c r="B833" s="127"/>
      <c r="C833" s="138" t="s">
        <v>1694</v>
      </c>
      <c r="D833" s="138"/>
      <c r="E833" s="138"/>
      <c r="F833" s="138"/>
      <c r="G833" s="127" t="s">
        <v>464</v>
      </c>
      <c r="H833" s="114"/>
      <c r="I833" s="305" t="s">
        <v>1526</v>
      </c>
      <c r="J833" s="163">
        <v>0.03</v>
      </c>
      <c r="K833" s="305" t="s">
        <v>1527</v>
      </c>
      <c r="L833" s="163">
        <v>0.03</v>
      </c>
      <c r="M833" s="164"/>
      <c r="N833" s="165"/>
      <c r="O833" s="305" t="s">
        <v>1752</v>
      </c>
      <c r="P833" s="163">
        <f>IF(Scenario="Residential",AFss_R,IF(Scenario="Commercial",AFss_C,"Error"))</f>
        <v>0.03</v>
      </c>
      <c r="Q833" s="114"/>
      <c r="R833" s="307"/>
      <c r="S833" s="130"/>
      <c r="T833" s="130"/>
      <c r="U833" s="130"/>
      <c r="V833" s="130"/>
      <c r="W833" s="130"/>
      <c r="X833" s="130"/>
      <c r="Y833" s="130"/>
    </row>
    <row r="834" spans="1:25" s="50" customFormat="1">
      <c r="A834" s="265"/>
      <c r="B834" s="127"/>
      <c r="C834" s="138"/>
      <c r="D834" s="138"/>
      <c r="E834" s="138"/>
      <c r="F834" s="124"/>
      <c r="G834" s="124"/>
      <c r="H834" s="127"/>
      <c r="I834" s="127"/>
      <c r="J834" s="124"/>
      <c r="K834" s="127"/>
      <c r="L834" s="114"/>
      <c r="M834" s="134"/>
      <c r="N834" s="134"/>
      <c r="O834" s="134"/>
      <c r="P834" s="114"/>
      <c r="Q834" s="114"/>
      <c r="R834" s="307"/>
      <c r="S834" s="130"/>
      <c r="T834" s="130"/>
      <c r="U834" s="130"/>
      <c r="V834" s="130"/>
      <c r="W834" s="130"/>
      <c r="X834" s="130"/>
      <c r="Y834" s="130"/>
    </row>
    <row r="835" spans="1:25" s="50" customFormat="1" ht="15.6">
      <c r="A835" s="265"/>
      <c r="B835" s="132" t="s">
        <v>477</v>
      </c>
      <c r="C835" s="133" t="s">
        <v>468</v>
      </c>
      <c r="D835" s="133"/>
      <c r="E835" s="133"/>
      <c r="F835" s="138"/>
      <c r="G835" s="138"/>
      <c r="H835" s="127"/>
      <c r="I835" s="127"/>
      <c r="J835" s="127"/>
      <c r="K835" s="127"/>
      <c r="L835" s="114"/>
      <c r="M835" s="134"/>
      <c r="N835" s="134"/>
      <c r="O835" s="134"/>
      <c r="P835" s="114"/>
      <c r="Q835" s="114"/>
      <c r="R835" s="307"/>
      <c r="S835" s="130"/>
      <c r="T835" s="130"/>
      <c r="U835" s="130"/>
      <c r="V835" s="130"/>
      <c r="W835" s="130"/>
      <c r="X835" s="130"/>
      <c r="Y835" s="130"/>
    </row>
    <row r="836" spans="1:25" s="50" customFormat="1">
      <c r="A836" s="265"/>
      <c r="B836" s="127"/>
      <c r="C836" s="138" t="s">
        <v>475</v>
      </c>
      <c r="D836" s="138"/>
      <c r="E836" s="138"/>
      <c r="F836" s="124"/>
      <c r="G836" s="124"/>
      <c r="H836" s="127"/>
      <c r="I836" s="114"/>
      <c r="J836" s="124"/>
      <c r="K836" s="127"/>
      <c r="L836" s="114"/>
      <c r="M836" s="134"/>
      <c r="N836" s="134"/>
      <c r="O836" s="134"/>
      <c r="P836" s="114"/>
      <c r="Q836" s="114"/>
      <c r="R836" s="307"/>
      <c r="S836" s="130"/>
      <c r="T836" s="130"/>
      <c r="U836" s="130"/>
      <c r="V836" s="130"/>
      <c r="W836" s="130"/>
      <c r="X836" s="130"/>
      <c r="Y836" s="130"/>
    </row>
    <row r="837" spans="1:25" s="50" customFormat="1">
      <c r="A837" s="265"/>
      <c r="B837" s="127"/>
      <c r="C837" s="138" t="s">
        <v>1742</v>
      </c>
      <c r="D837" s="138"/>
      <c r="E837" s="138"/>
      <c r="F837" s="124"/>
      <c r="G837" s="124"/>
      <c r="H837" s="127"/>
      <c r="I837" s="138"/>
      <c r="J837" s="124"/>
      <c r="K837" s="127"/>
      <c r="L837" s="114"/>
      <c r="M837" s="134"/>
      <c r="N837" s="134"/>
      <c r="O837" s="134"/>
      <c r="P837" s="114"/>
      <c r="Q837" s="114"/>
      <c r="R837" s="307"/>
      <c r="S837" s="130"/>
      <c r="T837" s="130"/>
      <c r="U837" s="130"/>
      <c r="V837" s="130"/>
      <c r="W837" s="130"/>
      <c r="X837" s="130"/>
      <c r="Y837" s="130"/>
    </row>
    <row r="838" spans="1:25" s="50" customFormat="1">
      <c r="A838" s="265"/>
      <c r="B838" s="127"/>
      <c r="C838" s="138" t="s">
        <v>1743</v>
      </c>
      <c r="D838" s="138"/>
      <c r="E838" s="138"/>
      <c r="F838" s="124"/>
      <c r="G838" s="124"/>
      <c r="H838" s="127"/>
      <c r="I838" s="138"/>
      <c r="J838" s="124"/>
      <c r="K838" s="127"/>
      <c r="L838" s="114"/>
      <c r="M838" s="134"/>
      <c r="N838" s="134"/>
      <c r="O838" s="134"/>
      <c r="P838" s="114"/>
      <c r="Q838" s="114"/>
      <c r="R838" s="307"/>
      <c r="S838" s="130"/>
      <c r="T838" s="130"/>
      <c r="U838" s="130"/>
      <c r="V838" s="130"/>
      <c r="W838" s="130"/>
      <c r="X838" s="130"/>
      <c r="Y838" s="130"/>
    </row>
    <row r="839" spans="1:25" s="50" customFormat="1">
      <c r="A839" s="265"/>
      <c r="B839" s="127"/>
      <c r="C839" s="138"/>
      <c r="D839" s="138"/>
      <c r="E839" s="138"/>
      <c r="F839" s="124"/>
      <c r="G839" s="124"/>
      <c r="H839" s="136"/>
      <c r="I839" s="136"/>
      <c r="J839" s="136"/>
      <c r="K839" s="136"/>
      <c r="L839" s="136"/>
      <c r="M839" s="136"/>
      <c r="N839" s="136"/>
      <c r="O839" s="136"/>
      <c r="P839" s="136"/>
      <c r="Q839" s="114"/>
      <c r="R839" s="307"/>
      <c r="S839" s="130"/>
      <c r="T839" s="130"/>
      <c r="U839" s="130"/>
      <c r="V839" s="130"/>
      <c r="W839" s="130"/>
      <c r="X839" s="130"/>
      <c r="Y839" s="130"/>
    </row>
    <row r="840" spans="1:25" s="50" customFormat="1" ht="15.6">
      <c r="A840" s="265"/>
      <c r="B840" s="132" t="s">
        <v>1630</v>
      </c>
      <c r="C840" s="133" t="s">
        <v>1631</v>
      </c>
      <c r="D840" s="133"/>
      <c r="E840" s="133"/>
      <c r="F840" s="124"/>
      <c r="G840" s="124"/>
      <c r="H840" s="127"/>
      <c r="I840" s="565" t="s">
        <v>449</v>
      </c>
      <c r="J840" s="565"/>
      <c r="K840" s="565" t="s">
        <v>472</v>
      </c>
      <c r="L840" s="565"/>
      <c r="M840" s="146"/>
      <c r="N840" s="147"/>
      <c r="O840" s="567" t="str">
        <f ca="1">"Selected (based on scenario in cell " &amp; SUBSTITUTE(CELL("address",Scenario),"$","")&amp; ")"</f>
        <v>Selected (based on scenario in cell G10)</v>
      </c>
      <c r="P840" s="567"/>
      <c r="Q840" s="567"/>
      <c r="R840" s="567"/>
      <c r="S840" s="567"/>
      <c r="T840" s="130"/>
      <c r="U840" s="130"/>
      <c r="V840" s="130"/>
      <c r="W840" s="130"/>
      <c r="X840" s="130"/>
      <c r="Y840" s="130"/>
    </row>
    <row r="841" spans="1:25" s="50" customFormat="1" ht="15.6">
      <c r="A841" s="265"/>
      <c r="B841" s="127"/>
      <c r="C841" s="138" t="s">
        <v>400</v>
      </c>
      <c r="D841" s="138"/>
      <c r="E841" s="138"/>
      <c r="F841" s="124"/>
      <c r="G841" s="124"/>
      <c r="H841" s="136"/>
      <c r="I841" s="304" t="s">
        <v>459</v>
      </c>
      <c r="J841" s="304" t="s">
        <v>469</v>
      </c>
      <c r="K841" s="304" t="s">
        <v>459</v>
      </c>
      <c r="L841" s="304" t="s">
        <v>469</v>
      </c>
      <c r="M841" s="134"/>
      <c r="N841" s="114"/>
      <c r="O841" s="304" t="s">
        <v>459</v>
      </c>
      <c r="P841" s="304" t="s">
        <v>469</v>
      </c>
      <c r="Q841" s="114"/>
      <c r="R841" s="307"/>
      <c r="S841" s="130"/>
      <c r="T841" s="130"/>
      <c r="U841" s="130"/>
      <c r="V841" s="130"/>
      <c r="W841" s="130"/>
      <c r="X841" s="130"/>
      <c r="Y841" s="130"/>
    </row>
    <row r="842" spans="1:25" s="50" customFormat="1">
      <c r="A842" s="265"/>
      <c r="B842" s="114"/>
      <c r="C842" s="114"/>
      <c r="D842" s="114"/>
      <c r="E842" s="114"/>
      <c r="F842" s="124"/>
      <c r="G842" s="124"/>
      <c r="H842" s="127"/>
      <c r="I842" s="166" t="s">
        <v>1726</v>
      </c>
      <c r="J842" s="167">
        <v>9.9999999999999995E-7</v>
      </c>
      <c r="K842" s="305" t="s">
        <v>1727</v>
      </c>
      <c r="L842" s="167">
        <v>0</v>
      </c>
      <c r="M842" s="164"/>
      <c r="N842" s="165"/>
      <c r="O842" s="163" t="s">
        <v>1728</v>
      </c>
      <c r="P842" s="167">
        <f>IF(Scenario="Residential",mIURTCE_R,IF(Scenario="Commercial",mIURTCE_C,"Error"))</f>
        <v>9.9999999999999995E-7</v>
      </c>
      <c r="Q842" s="127"/>
      <c r="R842" s="307"/>
      <c r="S842" s="130"/>
      <c r="T842" s="130"/>
      <c r="U842" s="130"/>
      <c r="V842" s="130"/>
      <c r="W842" s="130"/>
      <c r="X842" s="130"/>
      <c r="Y842" s="130"/>
    </row>
    <row r="843" spans="1:25" s="50" customFormat="1">
      <c r="A843" s="265"/>
      <c r="B843" s="127"/>
      <c r="C843" s="138"/>
      <c r="D843" s="138"/>
      <c r="E843" s="138"/>
      <c r="F843" s="124"/>
      <c r="G843" s="124"/>
      <c r="H843" s="127"/>
      <c r="I843" s="166" t="s">
        <v>1632</v>
      </c>
      <c r="J843" s="167">
        <v>3.1E-6</v>
      </c>
      <c r="K843" s="305" t="s">
        <v>1633</v>
      </c>
      <c r="L843" s="167">
        <v>4.0999999999999997E-6</v>
      </c>
      <c r="M843" s="164"/>
      <c r="N843" s="165"/>
      <c r="O843" s="163" t="s">
        <v>1634</v>
      </c>
      <c r="P843" s="167">
        <f>IF(Scenario="Residential",IURTCE_R,IF(Scenario="Commercial",IURTCE_C,"Error"))</f>
        <v>3.1E-6</v>
      </c>
      <c r="Q843" s="127"/>
      <c r="R843" s="307"/>
      <c r="S843" s="130"/>
      <c r="T843" s="130"/>
      <c r="U843" s="130"/>
      <c r="V843" s="130"/>
      <c r="W843" s="130"/>
      <c r="X843" s="130"/>
      <c r="Y843" s="130"/>
    </row>
    <row r="844" spans="1:25" s="50" customFormat="1" ht="13.5" customHeight="1">
      <c r="A844" s="265"/>
      <c r="B844" s="127"/>
      <c r="C844" s="138"/>
      <c r="D844" s="138"/>
      <c r="E844" s="138"/>
      <c r="F844" s="148"/>
      <c r="G844" s="124"/>
      <c r="H844" s="127"/>
      <c r="I844" s="138"/>
      <c r="J844" s="124"/>
      <c r="K844" s="127"/>
      <c r="L844" s="114"/>
      <c r="M844" s="145"/>
      <c r="N844" s="145"/>
      <c r="O844" s="145"/>
      <c r="P844" s="127"/>
      <c r="Q844" s="127"/>
      <c r="R844" s="307"/>
      <c r="S844" s="130"/>
      <c r="T844" s="130"/>
      <c r="U844" s="130"/>
      <c r="V844" s="130"/>
      <c r="W844" s="130"/>
      <c r="X844" s="130"/>
      <c r="Y844" s="130"/>
    </row>
    <row r="845" spans="1:25" s="50" customFormat="1" ht="14.4" customHeight="1">
      <c r="A845" s="265"/>
      <c r="B845" s="127"/>
      <c r="C845" s="138" t="s">
        <v>1729</v>
      </c>
      <c r="D845" s="138"/>
      <c r="E845" s="138"/>
      <c r="F845" s="149" t="s">
        <v>1730</v>
      </c>
      <c r="G845" s="124"/>
      <c r="H845" s="127"/>
      <c r="I845" s="138"/>
      <c r="J845" s="124"/>
      <c r="K845" s="127"/>
      <c r="L845" s="114"/>
      <c r="M845" s="114"/>
      <c r="N845" s="114"/>
      <c r="O845" s="114"/>
      <c r="P845" s="114"/>
      <c r="Q845" s="127"/>
      <c r="R845" s="307"/>
      <c r="S845" s="130"/>
      <c r="T845" s="130"/>
      <c r="U845" s="130"/>
      <c r="V845" s="130"/>
      <c r="W845" s="130"/>
      <c r="X845" s="130"/>
      <c r="Y845" s="130"/>
    </row>
    <row r="846" spans="1:25" s="50" customFormat="1" ht="14.4" customHeight="1">
      <c r="A846" s="265"/>
      <c r="B846" s="127"/>
      <c r="C846" s="138"/>
      <c r="D846" s="138"/>
      <c r="E846" s="138"/>
      <c r="F846" s="149"/>
      <c r="G846" s="124"/>
      <c r="H846" s="127"/>
      <c r="I846" s="138"/>
      <c r="J846" s="124"/>
      <c r="K846" s="127"/>
      <c r="L846" s="114"/>
      <c r="M846" s="114"/>
      <c r="N846" s="114"/>
      <c r="O846" s="114"/>
      <c r="P846" s="114"/>
      <c r="Q846" s="127"/>
      <c r="R846" s="307"/>
      <c r="S846" s="130"/>
      <c r="T846" s="130"/>
      <c r="U846" s="130"/>
      <c r="V846" s="130"/>
      <c r="W846" s="130"/>
      <c r="X846" s="130"/>
      <c r="Y846" s="130"/>
    </row>
    <row r="847" spans="1:25" s="50" customFormat="1" ht="14.4" customHeight="1">
      <c r="A847" s="265"/>
      <c r="B847" s="127"/>
      <c r="C847" s="566" t="s">
        <v>1737</v>
      </c>
      <c r="D847" s="566"/>
      <c r="E847" s="566"/>
      <c r="F847" s="566"/>
      <c r="G847" s="565" t="s">
        <v>1731</v>
      </c>
      <c r="H847" s="567" t="s">
        <v>1732</v>
      </c>
      <c r="I847" s="568" t="s">
        <v>1733</v>
      </c>
      <c r="J847" s="568"/>
      <c r="K847" s="114"/>
      <c r="L847" s="114"/>
      <c r="M847" s="150"/>
      <c r="N847" s="150"/>
      <c r="O847" s="114"/>
      <c r="P847" s="114"/>
      <c r="Q847" s="127"/>
      <c r="R847" s="307"/>
      <c r="S847" s="130"/>
      <c r="T847" s="130"/>
      <c r="U847" s="130"/>
      <c r="V847" s="130"/>
      <c r="W847" s="130"/>
      <c r="X847" s="130"/>
      <c r="Y847" s="130"/>
    </row>
    <row r="848" spans="1:25" s="50" customFormat="1" ht="14.4" customHeight="1">
      <c r="A848" s="265"/>
      <c r="B848" s="127"/>
      <c r="C848" s="566"/>
      <c r="D848" s="566"/>
      <c r="E848" s="566"/>
      <c r="F848" s="566"/>
      <c r="G848" s="565"/>
      <c r="H848" s="567"/>
      <c r="I848" s="568"/>
      <c r="J848" s="568"/>
      <c r="K848" s="114"/>
      <c r="L848" s="114"/>
      <c r="M848" s="114"/>
      <c r="N848" s="114"/>
      <c r="O848" s="114"/>
      <c r="P848" s="114"/>
      <c r="Q848" s="127"/>
      <c r="R848" s="307"/>
      <c r="S848" s="130"/>
      <c r="T848" s="130"/>
      <c r="U848" s="130"/>
      <c r="V848" s="130"/>
      <c r="W848" s="130"/>
      <c r="X848" s="130"/>
      <c r="Y848" s="130"/>
    </row>
    <row r="849" spans="1:25" s="50" customFormat="1" ht="14.4" customHeight="1">
      <c r="A849" s="265"/>
      <c r="B849" s="127"/>
      <c r="C849" s="566"/>
      <c r="D849" s="566"/>
      <c r="E849" s="566"/>
      <c r="F849" s="566"/>
      <c r="G849" s="305" t="s">
        <v>1734</v>
      </c>
      <c r="H849" s="305">
        <v>2</v>
      </c>
      <c r="I849" s="564">
        <v>10</v>
      </c>
      <c r="J849" s="564"/>
      <c r="K849" s="114"/>
      <c r="L849" s="114"/>
      <c r="M849" s="114"/>
      <c r="N849" s="114"/>
      <c r="O849" s="114"/>
      <c r="P849" s="114"/>
      <c r="Q849" s="127"/>
      <c r="R849" s="307"/>
      <c r="S849" s="130"/>
      <c r="T849" s="130"/>
      <c r="U849" s="130"/>
      <c r="V849" s="130"/>
      <c r="W849" s="130"/>
      <c r="X849" s="130"/>
      <c r="Y849" s="130"/>
    </row>
    <row r="850" spans="1:25" s="50" customFormat="1" ht="14.4" customHeight="1">
      <c r="A850" s="265"/>
      <c r="B850" s="127"/>
      <c r="C850" s="566"/>
      <c r="D850" s="566"/>
      <c r="E850" s="566"/>
      <c r="F850" s="566"/>
      <c r="G850" s="305" t="s">
        <v>1735</v>
      </c>
      <c r="H850" s="305">
        <v>4</v>
      </c>
      <c r="I850" s="564">
        <v>3</v>
      </c>
      <c r="J850" s="564"/>
      <c r="K850" s="114"/>
      <c r="L850" s="114"/>
      <c r="M850" s="114"/>
      <c r="N850" s="114"/>
      <c r="O850" s="114"/>
      <c r="P850" s="114"/>
      <c r="Q850" s="127"/>
      <c r="R850" s="307"/>
      <c r="S850" s="130"/>
      <c r="T850" s="130"/>
      <c r="U850" s="130"/>
      <c r="V850" s="130"/>
      <c r="W850" s="130"/>
      <c r="X850" s="130"/>
      <c r="Y850" s="130"/>
    </row>
    <row r="851" spans="1:25" s="50" customFormat="1" ht="14.4" customHeight="1">
      <c r="A851" s="265"/>
      <c r="B851" s="127"/>
      <c r="C851" s="138"/>
      <c r="D851" s="138"/>
      <c r="E851" s="138"/>
      <c r="F851" s="114"/>
      <c r="G851" s="305" t="s">
        <v>1736</v>
      </c>
      <c r="H851" s="305">
        <v>10</v>
      </c>
      <c r="I851" s="564">
        <v>3</v>
      </c>
      <c r="J851" s="564"/>
      <c r="K851" s="114"/>
      <c r="L851" s="114"/>
      <c r="M851" s="114"/>
      <c r="N851" s="114"/>
      <c r="O851" s="127"/>
      <c r="P851" s="127"/>
      <c r="Q851" s="127"/>
      <c r="R851" s="307"/>
      <c r="S851" s="130"/>
      <c r="T851" s="130"/>
      <c r="U851" s="130"/>
      <c r="V851" s="130"/>
      <c r="W851" s="130"/>
      <c r="X851" s="130"/>
      <c r="Y851" s="130"/>
    </row>
    <row r="852" spans="1:25" s="50" customFormat="1" ht="14.4" customHeight="1">
      <c r="A852" s="265"/>
      <c r="B852" s="127"/>
      <c r="C852" s="138"/>
      <c r="D852" s="138"/>
      <c r="E852" s="138"/>
      <c r="F852" s="148"/>
      <c r="G852" s="305" t="s">
        <v>2087</v>
      </c>
      <c r="H852" s="305">
        <v>10</v>
      </c>
      <c r="I852" s="564">
        <v>1</v>
      </c>
      <c r="J852" s="564"/>
      <c r="K852" s="127"/>
      <c r="L852" s="114"/>
      <c r="M852" s="114"/>
      <c r="N852" s="114"/>
      <c r="O852" s="114"/>
      <c r="P852" s="114"/>
      <c r="Q852" s="127"/>
      <c r="R852" s="307"/>
      <c r="S852" s="130"/>
      <c r="T852" s="130"/>
      <c r="U852" s="130"/>
      <c r="V852" s="130"/>
      <c r="W852" s="130"/>
      <c r="X852" s="130"/>
      <c r="Y852" s="130"/>
    </row>
    <row r="853" spans="1:25" s="50" customFormat="1" ht="14.4" customHeight="1">
      <c r="A853" s="265"/>
      <c r="B853" s="127"/>
      <c r="C853" s="138"/>
      <c r="D853" s="138"/>
      <c r="E853" s="138"/>
      <c r="F853" s="148"/>
      <c r="G853" s="127"/>
      <c r="H853" s="127"/>
      <c r="I853" s="127"/>
      <c r="J853" s="127"/>
      <c r="K853" s="127"/>
      <c r="L853" s="114"/>
      <c r="M853" s="114"/>
      <c r="N853" s="114"/>
      <c r="O853" s="114"/>
      <c r="P853" s="114"/>
      <c r="Q853" s="127"/>
      <c r="R853" s="307"/>
      <c r="S853" s="130"/>
      <c r="T853" s="130"/>
      <c r="U853" s="130"/>
      <c r="V853" s="130"/>
      <c r="W853" s="130"/>
      <c r="X853" s="130"/>
      <c r="Y853" s="130"/>
    </row>
    <row r="854" spans="1:25" s="50" customFormat="1" ht="14.4" customHeight="1">
      <c r="A854" s="265"/>
      <c r="B854" s="127"/>
      <c r="C854" s="138"/>
      <c r="D854" s="138"/>
      <c r="E854" s="138"/>
      <c r="F854" s="148"/>
      <c r="G854" s="114"/>
      <c r="H854" s="151" t="s">
        <v>1739</v>
      </c>
      <c r="I854" s="564">
        <f>IF(Scenario="Residential",SUMPRODUCT(H849:H852,I849:I852),IF(Scenario="Commercial",ED_C,"Error"))</f>
        <v>72</v>
      </c>
      <c r="J854" s="564"/>
      <c r="K854" s="135" t="s">
        <v>1738</v>
      </c>
      <c r="L854" s="114"/>
      <c r="M854" s="152"/>
      <c r="N854" s="127"/>
      <c r="O854" s="127"/>
      <c r="P854" s="127"/>
      <c r="Q854" s="127"/>
      <c r="R854" s="307"/>
      <c r="S854" s="130"/>
      <c r="T854" s="130"/>
      <c r="U854" s="130"/>
      <c r="V854" s="130"/>
      <c r="W854" s="130"/>
      <c r="X854" s="130"/>
      <c r="Y854" s="130"/>
    </row>
    <row r="855" spans="1:25" s="50" customFormat="1" ht="14.4" customHeight="1">
      <c r="A855" s="265"/>
      <c r="B855" s="127"/>
      <c r="C855" s="138"/>
      <c r="D855" s="138"/>
      <c r="E855" s="138"/>
      <c r="F855" s="148"/>
      <c r="G855" s="124"/>
      <c r="H855" s="127"/>
      <c r="I855" s="138"/>
      <c r="J855" s="124"/>
      <c r="K855" s="127"/>
      <c r="L855" s="114"/>
      <c r="M855" s="152"/>
      <c r="N855" s="145"/>
      <c r="O855" s="145"/>
      <c r="P855" s="127"/>
      <c r="Q855" s="127"/>
      <c r="R855" s="307"/>
      <c r="S855" s="130"/>
      <c r="T855" s="130"/>
      <c r="U855" s="130"/>
      <c r="V855" s="130"/>
      <c r="W855" s="130"/>
      <c r="X855" s="130"/>
      <c r="Y855" s="130"/>
    </row>
    <row r="856" spans="1:25" s="50" customFormat="1" ht="14.4" customHeight="1">
      <c r="A856" s="265"/>
      <c r="B856" s="127"/>
      <c r="C856" s="138"/>
      <c r="D856" s="138"/>
      <c r="E856" s="138"/>
      <c r="F856" s="148" t="s">
        <v>1702</v>
      </c>
      <c r="G856" s="124"/>
      <c r="H856" s="127"/>
      <c r="I856" s="138"/>
      <c r="J856" s="124"/>
      <c r="K856" s="127"/>
      <c r="L856" s="114"/>
      <c r="M856" s="145"/>
      <c r="N856" s="145"/>
      <c r="O856" s="145"/>
      <c r="P856" s="127"/>
      <c r="Q856" s="127"/>
      <c r="R856" s="307"/>
      <c r="S856" s="130"/>
      <c r="T856" s="130"/>
      <c r="U856" s="130"/>
      <c r="V856" s="130"/>
      <c r="W856" s="130"/>
      <c r="X856" s="130"/>
      <c r="Y856" s="130"/>
    </row>
    <row r="857" spans="1:25" s="50" customFormat="1" ht="14.4" customHeight="1">
      <c r="A857" s="265"/>
      <c r="B857" s="127"/>
      <c r="C857" s="138"/>
      <c r="D857" s="138"/>
      <c r="E857" s="138"/>
      <c r="F857" s="148"/>
      <c r="G857" s="124"/>
      <c r="H857" s="127"/>
      <c r="I857" s="138"/>
      <c r="J857" s="124"/>
      <c r="K857" s="127"/>
      <c r="L857" s="114"/>
      <c r="M857" s="152"/>
      <c r="N857" s="145"/>
      <c r="O857" s="145"/>
      <c r="P857" s="127"/>
      <c r="Q857" s="127"/>
      <c r="R857" s="307"/>
      <c r="S857" s="130"/>
      <c r="T857" s="130"/>
      <c r="U857" s="130"/>
      <c r="V857" s="130"/>
      <c r="W857" s="130"/>
      <c r="X857" s="130"/>
      <c r="Y857" s="130"/>
    </row>
    <row r="858" spans="1:25" s="50" customFormat="1" ht="14.4" customHeight="1">
      <c r="A858" s="265"/>
      <c r="B858" s="304" t="s">
        <v>962</v>
      </c>
      <c r="C858" s="138"/>
      <c r="D858" s="138"/>
      <c r="E858" s="138"/>
      <c r="F858" s="124"/>
      <c r="G858" s="124"/>
      <c r="H858" s="127"/>
      <c r="I858" s="138"/>
      <c r="J858" s="124"/>
      <c r="K858" s="127"/>
      <c r="L858" s="114"/>
      <c r="M858" s="145"/>
      <c r="N858" s="145"/>
      <c r="O858" s="145"/>
      <c r="P858" s="127"/>
      <c r="Q858" s="127"/>
      <c r="R858" s="307"/>
      <c r="S858" s="130"/>
      <c r="T858" s="130"/>
      <c r="U858" s="130"/>
      <c r="V858" s="130"/>
      <c r="W858" s="130"/>
      <c r="X858" s="130"/>
      <c r="Y858" s="130"/>
    </row>
    <row r="859" spans="1:25" s="50" customFormat="1" ht="14.4" customHeight="1">
      <c r="A859" s="265"/>
      <c r="B859" s="135" t="s">
        <v>1549</v>
      </c>
      <c r="C859" s="114"/>
      <c r="D859" s="114"/>
      <c r="E859" s="114"/>
      <c r="F859" s="124"/>
      <c r="G859" s="124"/>
      <c r="H859" s="127"/>
      <c r="I859" s="127"/>
      <c r="J859" s="127"/>
      <c r="K859" s="124"/>
      <c r="L859" s="127"/>
      <c r="M859" s="145"/>
      <c r="N859" s="145"/>
      <c r="O859" s="145"/>
      <c r="P859" s="114"/>
      <c r="Q859" s="114"/>
      <c r="R859" s="307"/>
      <c r="S859" s="130"/>
      <c r="T859" s="130"/>
      <c r="U859" s="130"/>
      <c r="V859" s="130"/>
      <c r="W859" s="130"/>
      <c r="X859" s="130"/>
      <c r="Y859" s="130"/>
    </row>
    <row r="860" spans="1:25" s="50" customFormat="1" ht="14.4" customHeight="1">
      <c r="A860" s="265"/>
      <c r="B860" s="135" t="s">
        <v>1550</v>
      </c>
      <c r="C860" s="114"/>
      <c r="D860" s="114"/>
      <c r="E860" s="114"/>
      <c r="F860" s="124"/>
      <c r="G860" s="124"/>
      <c r="H860" s="127"/>
      <c r="I860" s="138"/>
      <c r="J860" s="124"/>
      <c r="K860" s="127"/>
      <c r="L860" s="114"/>
      <c r="M860" s="134"/>
      <c r="N860" s="134"/>
      <c r="O860" s="134"/>
      <c r="P860" s="114"/>
      <c r="Q860" s="114"/>
      <c r="R860" s="307"/>
      <c r="S860" s="130"/>
      <c r="T860" s="130"/>
      <c r="U860" s="130"/>
      <c r="V860" s="130"/>
      <c r="W860" s="130"/>
      <c r="X860" s="130"/>
      <c r="Y860" s="130"/>
    </row>
    <row r="861" spans="1:25" s="50" customFormat="1" ht="14.4" customHeight="1">
      <c r="A861" s="265"/>
      <c r="B861" s="135" t="s">
        <v>1551</v>
      </c>
      <c r="C861" s="114"/>
      <c r="D861" s="114"/>
      <c r="E861" s="114"/>
      <c r="F861" s="124"/>
      <c r="G861" s="124"/>
      <c r="H861" s="127"/>
      <c r="I861" s="138"/>
      <c r="J861" s="124"/>
      <c r="K861" s="127"/>
      <c r="L861" s="114"/>
      <c r="M861" s="134"/>
      <c r="N861" s="134"/>
      <c r="O861" s="134"/>
      <c r="P861" s="114"/>
      <c r="Q861" s="114"/>
      <c r="R861" s="307"/>
      <c r="S861" s="130"/>
      <c r="T861" s="130"/>
      <c r="U861" s="130"/>
      <c r="V861" s="130"/>
      <c r="W861" s="130"/>
      <c r="X861" s="130"/>
      <c r="Y861" s="130"/>
    </row>
    <row r="862" spans="1:25" s="50" customFormat="1" ht="14.4" customHeight="1">
      <c r="A862" s="265"/>
      <c r="B862" s="128" t="s">
        <v>1763</v>
      </c>
      <c r="C862" s="128"/>
      <c r="D862" s="128"/>
      <c r="E862" s="128"/>
      <c r="F862" s="128"/>
      <c r="G862" s="114"/>
      <c r="H862" s="154" t="s">
        <v>1764</v>
      </c>
      <c r="I862" s="138"/>
      <c r="J862" s="124"/>
      <c r="K862" s="127"/>
      <c r="L862" s="114"/>
      <c r="M862" s="134"/>
      <c r="N862" s="134"/>
      <c r="O862" s="134"/>
      <c r="P862" s="128"/>
      <c r="Q862" s="128"/>
      <c r="R862" s="307"/>
      <c r="S862" s="130"/>
      <c r="T862" s="130"/>
      <c r="U862" s="130"/>
      <c r="V862" s="130"/>
      <c r="W862" s="130"/>
      <c r="X862" s="130"/>
      <c r="Y862" s="130"/>
    </row>
    <row r="863" spans="1:25" s="50" customFormat="1" ht="14.4" customHeight="1">
      <c r="A863" s="265"/>
      <c r="B863" s="128" t="s">
        <v>1765</v>
      </c>
      <c r="C863" s="128"/>
      <c r="D863" s="128"/>
      <c r="E863" s="128"/>
      <c r="F863" s="124"/>
      <c r="G863" s="140"/>
      <c r="H863" s="128"/>
      <c r="I863" s="154" t="s">
        <v>1766</v>
      </c>
      <c r="J863" s="128"/>
      <c r="K863" s="128"/>
      <c r="L863" s="128"/>
      <c r="M863" s="129"/>
      <c r="N863" s="129"/>
      <c r="O863" s="129"/>
      <c r="P863" s="128"/>
      <c r="Q863" s="128"/>
      <c r="R863" s="307"/>
      <c r="S863" s="130"/>
      <c r="T863" s="130"/>
      <c r="U863" s="130"/>
      <c r="V863" s="130"/>
      <c r="W863" s="130"/>
      <c r="X863" s="130"/>
      <c r="Y863" s="130"/>
    </row>
    <row r="864" spans="1:25" s="50" customFormat="1" ht="14.4" customHeight="1">
      <c r="A864" s="265"/>
      <c r="B864" s="143" t="s">
        <v>1767</v>
      </c>
      <c r="C864" s="128"/>
      <c r="D864" s="128"/>
      <c r="E864" s="128"/>
      <c r="F864" s="124"/>
      <c r="G864" s="140"/>
      <c r="H864" s="128"/>
      <c r="I864" s="128"/>
      <c r="J864" s="114"/>
      <c r="K864" s="155" t="s">
        <v>1768</v>
      </c>
      <c r="L864" s="128"/>
      <c r="M864" s="129"/>
      <c r="N864" s="129"/>
      <c r="O864" s="129"/>
      <c r="P864" s="128"/>
      <c r="Q864" s="128"/>
      <c r="R864" s="307"/>
      <c r="S864" s="130"/>
      <c r="T864" s="130"/>
      <c r="U864" s="130"/>
      <c r="V864" s="130"/>
      <c r="W864" s="130"/>
      <c r="X864" s="130"/>
      <c r="Y864" s="130"/>
    </row>
    <row r="865" spans="1:25" s="50" customFormat="1" ht="14.4" customHeight="1">
      <c r="A865" s="265"/>
      <c r="B865" s="128" t="s">
        <v>1769</v>
      </c>
      <c r="C865" s="128"/>
      <c r="D865" s="128"/>
      <c r="E865" s="128"/>
      <c r="F865" s="124"/>
      <c r="G865" s="140"/>
      <c r="H865" s="128"/>
      <c r="I865" s="128"/>
      <c r="J865" s="128"/>
      <c r="K865" s="128"/>
      <c r="L865" s="114"/>
      <c r="M865" s="154" t="s">
        <v>1770</v>
      </c>
      <c r="N865" s="129"/>
      <c r="O865" s="129"/>
      <c r="P865" s="128"/>
      <c r="Q865" s="128"/>
      <c r="R865" s="307"/>
      <c r="S865" s="130"/>
      <c r="T865" s="130"/>
      <c r="U865" s="130"/>
      <c r="V865" s="130"/>
      <c r="W865" s="130"/>
      <c r="X865" s="130"/>
      <c r="Y865" s="130"/>
    </row>
    <row r="866" spans="1:25" s="50" customFormat="1" ht="14.4" customHeight="1">
      <c r="A866" s="265"/>
      <c r="B866" s="143" t="s">
        <v>1771</v>
      </c>
      <c r="C866" s="114"/>
      <c r="D866" s="114"/>
      <c r="E866" s="114"/>
      <c r="F866" s="114"/>
      <c r="G866" s="114"/>
      <c r="H866" s="114"/>
      <c r="I866" s="128"/>
      <c r="J866" s="128"/>
      <c r="K866" s="154" t="s">
        <v>1772</v>
      </c>
      <c r="L866" s="128"/>
      <c r="M866" s="129"/>
      <c r="N866" s="129"/>
      <c r="O866" s="129"/>
      <c r="P866" s="114"/>
      <c r="Q866" s="114"/>
      <c r="R866" s="307"/>
      <c r="S866" s="130"/>
      <c r="T866" s="130"/>
      <c r="U866" s="130"/>
      <c r="V866" s="130"/>
      <c r="W866" s="130"/>
      <c r="X866" s="130"/>
      <c r="Y866" s="130"/>
    </row>
    <row r="867" spans="1:25" s="50" customFormat="1" ht="14.4" customHeight="1">
      <c r="A867" s="265"/>
      <c r="B867" s="143" t="s">
        <v>1654</v>
      </c>
      <c r="C867" s="114"/>
      <c r="D867" s="114"/>
      <c r="E867" s="114"/>
      <c r="F867" s="114"/>
      <c r="G867" s="114"/>
      <c r="H867" s="114"/>
      <c r="I867" s="114"/>
      <c r="J867" s="114"/>
      <c r="K867" s="114"/>
      <c r="L867" s="114"/>
      <c r="M867" s="134"/>
      <c r="N867" s="134"/>
      <c r="O867" s="134"/>
      <c r="P867" s="114"/>
      <c r="Q867" s="114"/>
      <c r="R867" s="307"/>
      <c r="S867" s="130"/>
      <c r="T867" s="130"/>
      <c r="U867" s="130"/>
      <c r="V867" s="130"/>
      <c r="W867" s="130"/>
      <c r="X867" s="130"/>
      <c r="Y867" s="130"/>
    </row>
    <row r="868" spans="1:25" s="50" customFormat="1" ht="14.4" customHeight="1">
      <c r="A868" s="265"/>
      <c r="B868" s="143" t="s">
        <v>1655</v>
      </c>
      <c r="C868" s="114"/>
      <c r="D868" s="114"/>
      <c r="E868" s="114"/>
      <c r="F868" s="114"/>
      <c r="G868" s="114"/>
      <c r="H868" s="114"/>
      <c r="I868" s="114"/>
      <c r="J868" s="114"/>
      <c r="K868" s="114"/>
      <c r="L868" s="114"/>
      <c r="M868" s="134"/>
      <c r="N868" s="134"/>
      <c r="O868" s="134"/>
      <c r="P868" s="114"/>
      <c r="Q868" s="114"/>
      <c r="R868" s="307"/>
      <c r="S868" s="130"/>
      <c r="T868" s="130"/>
      <c r="U868" s="130"/>
      <c r="V868" s="130"/>
      <c r="W868" s="130"/>
      <c r="X868" s="130"/>
      <c r="Y868" s="130"/>
    </row>
    <row r="869" spans="1:25" s="50" customFormat="1" ht="14.4" customHeight="1">
      <c r="A869" s="265"/>
      <c r="B869" s="148" t="s">
        <v>304</v>
      </c>
      <c r="C869" s="114"/>
      <c r="D869" s="114"/>
      <c r="E869" s="114"/>
      <c r="F869" s="114"/>
      <c r="G869" s="114"/>
      <c r="H869" s="114"/>
      <c r="I869" s="114"/>
      <c r="J869" s="114"/>
      <c r="K869" s="114"/>
      <c r="L869" s="114"/>
      <c r="M869" s="134"/>
      <c r="N869" s="134"/>
      <c r="O869" s="134"/>
      <c r="P869" s="114"/>
      <c r="Q869" s="114"/>
      <c r="R869" s="307"/>
      <c r="S869" s="130"/>
      <c r="T869" s="130"/>
      <c r="U869" s="130"/>
      <c r="V869" s="130"/>
      <c r="W869" s="130"/>
      <c r="X869" s="130"/>
      <c r="Y869" s="130"/>
    </row>
    <row r="870" spans="1:25" s="50" customFormat="1" ht="14.4" customHeight="1">
      <c r="A870" s="265"/>
      <c r="B870" s="148" t="s">
        <v>1773</v>
      </c>
      <c r="C870" s="114"/>
      <c r="D870" s="114"/>
      <c r="E870" s="114"/>
      <c r="F870" s="114"/>
      <c r="G870" s="114"/>
      <c r="H870" s="114"/>
      <c r="I870" s="114"/>
      <c r="J870" s="114"/>
      <c r="K870" s="114"/>
      <c r="L870" s="114"/>
      <c r="M870" s="134"/>
      <c r="N870" s="156" t="s">
        <v>1774</v>
      </c>
      <c r="O870" s="246" t="s">
        <v>1774</v>
      </c>
      <c r="P870" s="114"/>
      <c r="Q870" s="114"/>
      <c r="R870" s="307"/>
      <c r="S870" s="130"/>
      <c r="T870" s="130"/>
      <c r="U870" s="130"/>
      <c r="V870" s="130"/>
      <c r="W870" s="130"/>
      <c r="X870" s="130"/>
      <c r="Y870" s="130"/>
    </row>
    <row r="871" spans="1:25" s="50" customFormat="1" ht="14.4" customHeight="1">
      <c r="A871" s="265"/>
      <c r="B871" s="148" t="s">
        <v>1785</v>
      </c>
      <c r="C871" s="114"/>
      <c r="D871" s="114"/>
      <c r="E871" s="114"/>
      <c r="F871" s="114"/>
      <c r="G871" s="114"/>
      <c r="H871" s="114"/>
      <c r="I871" s="114"/>
      <c r="J871" s="114"/>
      <c r="K871" s="114"/>
      <c r="L871" s="114"/>
      <c r="M871" s="134"/>
      <c r="N871" s="134"/>
      <c r="O871" s="134"/>
      <c r="P871" s="114"/>
      <c r="Q871" s="114"/>
      <c r="R871" s="307"/>
      <c r="S871" s="130"/>
      <c r="T871" s="130"/>
      <c r="U871" s="130"/>
      <c r="V871" s="130"/>
      <c r="W871" s="130"/>
      <c r="X871" s="130"/>
      <c r="Y871" s="130"/>
    </row>
    <row r="872" spans="1:25" s="50" customFormat="1" ht="14.4" customHeight="1">
      <c r="A872" s="265"/>
      <c r="B872" s="148" t="s">
        <v>1745</v>
      </c>
      <c r="C872" s="114"/>
      <c r="D872" s="114"/>
      <c r="E872" s="114"/>
      <c r="F872" s="114"/>
      <c r="G872" s="114"/>
      <c r="H872" s="114"/>
      <c r="I872" s="114"/>
      <c r="J872" s="114"/>
      <c r="K872" s="114"/>
      <c r="L872" s="114"/>
      <c r="M872" s="134"/>
      <c r="N872" s="134"/>
      <c r="O872" s="134"/>
      <c r="P872" s="114"/>
      <c r="Q872" s="114"/>
      <c r="R872" s="307"/>
      <c r="S872" s="130"/>
      <c r="T872" s="130"/>
      <c r="U872" s="130"/>
      <c r="V872" s="130"/>
      <c r="W872" s="130"/>
      <c r="X872" s="130"/>
      <c r="Y872" s="130"/>
    </row>
    <row r="873" spans="1:25" s="50" customFormat="1" ht="14.4" customHeight="1">
      <c r="A873" s="265"/>
      <c r="B873" s="148" t="s">
        <v>1746</v>
      </c>
      <c r="C873" s="114"/>
      <c r="D873" s="114"/>
      <c r="E873" s="114"/>
      <c r="F873" s="114"/>
      <c r="G873" s="114"/>
      <c r="H873" s="114"/>
      <c r="I873" s="114"/>
      <c r="J873" s="114"/>
      <c r="K873" s="114"/>
      <c r="L873" s="114"/>
      <c r="M873" s="134"/>
      <c r="N873" s="134"/>
      <c r="O873" s="134"/>
      <c r="P873" s="114"/>
      <c r="Q873" s="114"/>
      <c r="R873" s="307"/>
      <c r="S873" s="130"/>
      <c r="T873" s="130"/>
      <c r="U873" s="130"/>
      <c r="V873" s="130"/>
      <c r="W873" s="130"/>
      <c r="X873" s="130"/>
      <c r="Y873" s="130"/>
    </row>
    <row r="874" spans="1:25" s="50" customFormat="1" ht="14.4" customHeight="1">
      <c r="A874" s="265"/>
      <c r="B874" s="148" t="s">
        <v>1747</v>
      </c>
      <c r="C874" s="114"/>
      <c r="D874" s="114"/>
      <c r="E874" s="114"/>
      <c r="F874" s="114"/>
      <c r="G874" s="114"/>
      <c r="H874" s="114"/>
      <c r="I874" s="114"/>
      <c r="J874" s="114"/>
      <c r="K874" s="114"/>
      <c r="L874" s="114"/>
      <c r="M874" s="134"/>
      <c r="N874" s="134"/>
      <c r="O874" s="134"/>
      <c r="P874" s="114"/>
      <c r="Q874" s="114"/>
      <c r="R874" s="307"/>
      <c r="S874" s="130"/>
      <c r="T874" s="130"/>
      <c r="U874" s="130"/>
      <c r="V874" s="130"/>
      <c r="W874" s="130"/>
      <c r="X874" s="130"/>
      <c r="Y874" s="130"/>
    </row>
    <row r="875" spans="1:25" s="50" customFormat="1" ht="14.4" customHeight="1">
      <c r="A875" s="265"/>
      <c r="B875" s="157" t="s">
        <v>1815</v>
      </c>
      <c r="C875" s="158"/>
      <c r="D875" s="158"/>
      <c r="E875" s="158"/>
      <c r="F875" s="158"/>
      <c r="G875" s="158"/>
      <c r="H875" s="114"/>
      <c r="I875" s="114"/>
      <c r="J875" s="114"/>
      <c r="K875" s="114"/>
      <c r="L875" s="114"/>
      <c r="M875" s="134"/>
      <c r="N875" s="134"/>
      <c r="O875" s="134"/>
      <c r="P875" s="114"/>
      <c r="Q875" s="114"/>
      <c r="R875" s="307"/>
      <c r="S875" s="130"/>
      <c r="T875" s="130"/>
      <c r="U875" s="130"/>
      <c r="V875" s="130"/>
      <c r="W875" s="130"/>
      <c r="X875" s="130"/>
      <c r="Y875" s="130"/>
    </row>
    <row r="876" spans="1:25" s="50" customFormat="1" ht="14.4" customHeight="1">
      <c r="A876" s="265"/>
      <c r="B876" s="168" t="s">
        <v>1897</v>
      </c>
      <c r="C876" s="165"/>
      <c r="D876" s="165"/>
      <c r="E876" s="165"/>
      <c r="F876" s="165"/>
      <c r="G876" s="165"/>
      <c r="H876" s="165"/>
      <c r="I876" s="165"/>
      <c r="J876" s="165"/>
      <c r="K876" s="165"/>
      <c r="L876" s="165"/>
      <c r="M876" s="164"/>
      <c r="N876" s="164"/>
      <c r="O876" s="164"/>
      <c r="P876" s="114"/>
      <c r="Q876" s="114"/>
      <c r="R876" s="307"/>
      <c r="S876" s="130"/>
      <c r="T876" s="130"/>
      <c r="U876" s="130"/>
      <c r="V876" s="130"/>
      <c r="W876" s="130"/>
      <c r="X876" s="130"/>
      <c r="Y876" s="130"/>
    </row>
    <row r="877" spans="1:25" s="50" customFormat="1" ht="14.4" customHeight="1">
      <c r="A877" s="265"/>
      <c r="B877" s="143" t="s">
        <v>1553</v>
      </c>
      <c r="C877" s="114"/>
      <c r="D877" s="114"/>
      <c r="E877" s="114"/>
      <c r="F877" s="114"/>
      <c r="G877" s="114"/>
      <c r="H877" s="114"/>
      <c r="I877" s="128"/>
      <c r="J877" s="128"/>
      <c r="K877" s="128"/>
      <c r="L877" s="128"/>
      <c r="M877" s="129"/>
      <c r="N877" s="129"/>
      <c r="O877" s="129"/>
      <c r="P877" s="114"/>
      <c r="Q877" s="114"/>
      <c r="R877" s="307"/>
      <c r="S877" s="130"/>
      <c r="T877" s="130"/>
      <c r="U877" s="130"/>
      <c r="V877" s="130"/>
      <c r="W877" s="130"/>
      <c r="X877" s="130"/>
      <c r="Y877" s="130"/>
    </row>
    <row r="878" spans="1:25">
      <c r="B878" s="183"/>
      <c r="C878" s="177"/>
      <c r="D878" s="177"/>
      <c r="E878" s="177"/>
      <c r="F878" s="177"/>
      <c r="G878" s="177"/>
      <c r="H878" s="177"/>
      <c r="I878" s="136"/>
      <c r="J878" s="159"/>
      <c r="K878" s="136"/>
      <c r="L878" s="136"/>
      <c r="M878" s="184"/>
      <c r="N878" s="184"/>
      <c r="O878" s="184"/>
      <c r="P878" s="177"/>
      <c r="Q878" s="177"/>
      <c r="S878" s="185"/>
      <c r="T878" s="185"/>
      <c r="U878" s="185"/>
      <c r="V878" s="185"/>
      <c r="W878" s="185"/>
      <c r="X878" s="185"/>
      <c r="Y878" s="185"/>
    </row>
  </sheetData>
  <sheetProtection algorithmName="SHA-512" hashValue="tB/0I6bXqQhCqKXoJpUirx9u0UEzAehN5T5SPIdWvRaOYLjClpuqMLCxHPn/AjWwV3JFZF/XJKzmfgvRdEmh9g==" saltValue="Y4QbOC/xoclsVZUhR8mNYA==" spinCount="100000" sheet="1" selectLockedCells="1" autoFilter="0"/>
  <autoFilter ref="A17:AA818">
    <sortState ref="A18:AA818">
      <sortCondition ref="C17:C818"/>
    </sortState>
  </autoFilter>
  <sortState ref="B13:C199">
    <sortCondition ref="C13:C199"/>
  </sortState>
  <mergeCells count="24">
    <mergeCell ref="H10:T10"/>
    <mergeCell ref="O840:S840"/>
    <mergeCell ref="I830:J830"/>
    <mergeCell ref="K830:L830"/>
    <mergeCell ref="I822:J822"/>
    <mergeCell ref="K822:L822"/>
    <mergeCell ref="O830:S830"/>
    <mergeCell ref="O822:S822"/>
    <mergeCell ref="H9:T9"/>
    <mergeCell ref="C3:I8"/>
    <mergeCell ref="I854:J854"/>
    <mergeCell ref="I840:J840"/>
    <mergeCell ref="K840:L840"/>
    <mergeCell ref="I851:J851"/>
    <mergeCell ref="I852:J852"/>
    <mergeCell ref="C847:F850"/>
    <mergeCell ref="H847:H848"/>
    <mergeCell ref="G847:G848"/>
    <mergeCell ref="I847:J848"/>
    <mergeCell ref="I849:J849"/>
    <mergeCell ref="I850:J850"/>
    <mergeCell ref="H13:T13"/>
    <mergeCell ref="H12:T12"/>
    <mergeCell ref="H11:T11"/>
  </mergeCells>
  <phoneticPr fontId="0" type="noConversion"/>
  <conditionalFormatting sqref="D805:D818 C805:C819 C18:D804 E18:E819">
    <cfRule type="expression" dxfId="21" priority="19">
      <formula>AND(#REF!&lt;&gt;"",OR(#REF!&lt;0.95,#REF!&gt;1.05))</formula>
    </cfRule>
    <cfRule type="expression" dxfId="20" priority="20">
      <formula>OR(#REF!&lt;0.2,#REF!&gt;5)</formula>
    </cfRule>
  </conditionalFormatting>
  <dataValidations disablePrompts="1" count="1">
    <dataValidation type="list" allowBlank="1" showInputMessage="1" showErrorMessage="1" sqref="G10">
      <formula1>"Residential, Commercial"</formula1>
    </dataValidation>
  </dataValidations>
  <hyperlinks>
    <hyperlink ref="O870" r:id="rId1"/>
    <hyperlink ref="N870" r:id="rId2"/>
    <hyperlink ref="K866" r:id="rId3"/>
    <hyperlink ref="M865" r:id="rId4"/>
    <hyperlink ref="K864" r:id="rId5"/>
    <hyperlink ref="I863" r:id="rId6"/>
    <hyperlink ref="H862" r:id="rId7"/>
  </hyperlinks>
  <pageMargins left="0.7" right="0.7" top="0.75" bottom="0.75" header="0.3" footer="0.3"/>
  <pageSetup scale="26" fitToHeight="0" orientation="landscape" r:id="rId8"/>
  <headerFooter>
    <oddHeader>&amp;CVISL Version 3.5
Updated October 2017
Current Toxicity Values from June 2017 RSL Update</oddHeader>
    <oddFooter>&amp;LVISL Calculator Version 3.5, June 2017 RSLs&amp;CUpdated October 2017&amp;RPage &amp;P of &amp;N</oddFooter>
  </headerFooter>
  <cellWatches>
    <cellWatch r="K19"/>
  </cellWatches>
  <drawing r:id="rId9"/>
  <legacyDrawing r:id="rId10"/>
  <controls>
    <mc:AlternateContent xmlns:mc="http://schemas.openxmlformats.org/markup-compatibility/2006">
      <mc:Choice Requires="x14">
        <control shapeId="1067" r:id="rId11" name="CommandButton2">
          <controlPr defaultSize="0" print="0" autoLine="0" r:id="rId12">
            <anchor>
              <from>
                <xdr:col>2</xdr:col>
                <xdr:colOff>99060</xdr:colOff>
                <xdr:row>14</xdr:row>
                <xdr:rowOff>419100</xdr:rowOff>
              </from>
              <to>
                <xdr:col>2</xdr:col>
                <xdr:colOff>2057400</xdr:colOff>
                <xdr:row>14</xdr:row>
                <xdr:rowOff>708660</xdr:rowOff>
              </to>
            </anchor>
          </controlPr>
        </control>
      </mc:Choice>
      <mc:Fallback>
        <control shapeId="1067" r:id="rId11" name="CommandButton2"/>
      </mc:Fallback>
    </mc:AlternateContent>
    <mc:AlternateContent xmlns:mc="http://schemas.openxmlformats.org/markup-compatibility/2006">
      <mc:Choice Requires="x14">
        <control shapeId="1066" r:id="rId13" name="CommandButton1">
          <controlPr defaultSize="0" print="0" autoLine="0" r:id="rId14">
            <anchor>
              <from>
                <xdr:col>2</xdr:col>
                <xdr:colOff>114300</xdr:colOff>
                <xdr:row>14</xdr:row>
                <xdr:rowOff>830580</xdr:rowOff>
              </from>
              <to>
                <xdr:col>2</xdr:col>
                <xdr:colOff>2110740</xdr:colOff>
                <xdr:row>14</xdr:row>
                <xdr:rowOff>1143000</xdr:rowOff>
              </to>
            </anchor>
          </controlPr>
        </control>
      </mc:Choice>
      <mc:Fallback>
        <control shapeId="1066" r:id="rId13"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W259"/>
  <sheetViews>
    <sheetView zoomScale="80" zoomScaleNormal="80" workbookViewId="0">
      <selection activeCell="D33" sqref="D33"/>
    </sheetView>
  </sheetViews>
  <sheetFormatPr defaultColWidth="9.109375" defaultRowHeight="15"/>
  <cols>
    <col min="1" max="1" width="4.33203125" style="52" customWidth="1"/>
    <col min="2" max="2" width="17.6640625" style="49" customWidth="1"/>
    <col min="3" max="3" width="52.6640625" style="49" customWidth="1"/>
    <col min="4" max="4" width="20.109375" style="49" customWidth="1"/>
    <col min="5" max="5" width="18.5546875" style="49" customWidth="1"/>
    <col min="6" max="7" width="16.109375" style="49" customWidth="1"/>
    <col min="8" max="8" width="16" style="49" customWidth="1"/>
    <col min="9" max="9" width="16.6640625" style="49" customWidth="1"/>
    <col min="10" max="10" width="11" style="49" customWidth="1"/>
    <col min="11" max="11" width="16.6640625" style="160" customWidth="1"/>
    <col min="12" max="12" width="10" style="160" customWidth="1"/>
    <col min="13" max="13" width="13.44140625" style="160" customWidth="1"/>
    <col min="14" max="14" width="11.33203125" style="49" bestFit="1" customWidth="1"/>
    <col min="15" max="15" width="11" style="49" customWidth="1"/>
    <col min="16" max="16" width="16.6640625" style="49" customWidth="1"/>
    <col min="17" max="17" width="10.5546875" style="49" customWidth="1"/>
    <col min="18" max="18" width="13" style="49" customWidth="1"/>
    <col min="19" max="19" width="17.44140625" style="49" customWidth="1"/>
    <col min="20" max="20" width="18.33203125" style="49" customWidth="1"/>
    <col min="21" max="16384" width="9.109375" style="190"/>
  </cols>
  <sheetData>
    <row r="1" spans="1:20" ht="15.6">
      <c r="A1" s="115" t="s">
        <v>478</v>
      </c>
      <c r="B1" s="54" t="s">
        <v>361</v>
      </c>
      <c r="C1" s="193"/>
      <c r="D1" s="193"/>
      <c r="E1" s="56"/>
      <c r="F1" s="193"/>
      <c r="G1" s="56"/>
      <c r="H1" s="56"/>
      <c r="I1" s="56"/>
      <c r="J1" s="56"/>
      <c r="K1" s="57"/>
      <c r="L1" s="57"/>
      <c r="M1" s="57"/>
      <c r="N1" s="58"/>
      <c r="O1" s="56"/>
      <c r="P1" s="190"/>
      <c r="Q1" s="190"/>
      <c r="R1" s="190"/>
      <c r="S1" s="190"/>
      <c r="T1" s="190"/>
    </row>
    <row r="2" spans="1:20" ht="15.6">
      <c r="A2" s="115" t="s">
        <v>478</v>
      </c>
      <c r="B2" s="54" t="s">
        <v>2476</v>
      </c>
      <c r="C2" s="193"/>
      <c r="D2" s="193"/>
      <c r="E2" s="56"/>
      <c r="F2" s="108"/>
      <c r="G2" s="56"/>
      <c r="H2" s="56"/>
      <c r="I2" s="56"/>
      <c r="J2" s="56"/>
      <c r="K2" s="57"/>
      <c r="L2" s="57"/>
      <c r="M2" s="57"/>
      <c r="N2" s="58"/>
      <c r="O2" s="56"/>
      <c r="P2" s="190"/>
      <c r="Q2" s="190"/>
      <c r="R2" s="190"/>
      <c r="S2" s="190"/>
      <c r="T2" s="190"/>
    </row>
    <row r="3" spans="1:20" ht="15.6">
      <c r="A3" s="115" t="s">
        <v>478</v>
      </c>
      <c r="B3" s="173"/>
      <c r="C3" s="170"/>
      <c r="D3" s="170"/>
      <c r="E3" s="169"/>
      <c r="F3" s="170"/>
      <c r="G3" s="170"/>
      <c r="H3" s="170"/>
      <c r="I3" s="170"/>
      <c r="J3" s="169"/>
      <c r="K3" s="174"/>
      <c r="L3" s="174"/>
      <c r="M3" s="174"/>
      <c r="N3" s="175"/>
      <c r="O3" s="169"/>
      <c r="P3" s="190"/>
      <c r="Q3" s="190"/>
      <c r="R3" s="190"/>
      <c r="S3" s="190"/>
      <c r="T3" s="190"/>
    </row>
    <row r="4" spans="1:20" ht="15.6">
      <c r="A4" s="115" t="s">
        <v>478</v>
      </c>
      <c r="B4" s="59" t="s">
        <v>1814</v>
      </c>
      <c r="C4" s="60"/>
      <c r="D4" s="61" t="s">
        <v>459</v>
      </c>
      <c r="E4" s="62" t="s">
        <v>469</v>
      </c>
      <c r="F4" s="572" t="s">
        <v>368</v>
      </c>
      <c r="G4" s="572"/>
      <c r="H4" s="572"/>
      <c r="I4" s="572"/>
      <c r="J4" s="572"/>
      <c r="K4" s="572"/>
      <c r="L4" s="572"/>
      <c r="M4" s="572"/>
      <c r="N4" s="572"/>
      <c r="O4" s="572"/>
      <c r="P4" s="190"/>
      <c r="Q4" s="190"/>
      <c r="R4" s="190"/>
      <c r="S4" s="190"/>
      <c r="T4" s="190"/>
    </row>
    <row r="5" spans="1:20">
      <c r="A5" s="115" t="s">
        <v>478</v>
      </c>
      <c r="B5" s="109" t="s">
        <v>447</v>
      </c>
      <c r="C5" s="110"/>
      <c r="D5" s="111" t="s">
        <v>448</v>
      </c>
      <c r="E5" s="117" t="s">
        <v>449</v>
      </c>
      <c r="F5" s="569" t="s">
        <v>366</v>
      </c>
      <c r="G5" s="570"/>
      <c r="H5" s="570"/>
      <c r="I5" s="570"/>
      <c r="J5" s="570"/>
      <c r="K5" s="570"/>
      <c r="L5" s="570"/>
      <c r="M5" s="570"/>
      <c r="N5" s="570"/>
      <c r="O5" s="571"/>
      <c r="P5" s="190"/>
      <c r="Q5" s="190"/>
      <c r="R5" s="190"/>
      <c r="S5" s="190"/>
      <c r="T5" s="190"/>
    </row>
    <row r="6" spans="1:20">
      <c r="A6" s="115" t="s">
        <v>478</v>
      </c>
      <c r="B6" s="109" t="s">
        <v>1811</v>
      </c>
      <c r="C6" s="110"/>
      <c r="D6" s="111" t="s">
        <v>1985</v>
      </c>
      <c r="E6" s="118">
        <v>9.9999999999999995E-7</v>
      </c>
      <c r="F6" s="569" t="s">
        <v>1981</v>
      </c>
      <c r="G6" s="570"/>
      <c r="H6" s="570"/>
      <c r="I6" s="570"/>
      <c r="J6" s="570"/>
      <c r="K6" s="570"/>
      <c r="L6" s="570"/>
      <c r="M6" s="570"/>
      <c r="N6" s="570"/>
      <c r="O6" s="571"/>
      <c r="P6" s="190"/>
      <c r="Q6" s="190"/>
      <c r="R6" s="190"/>
      <c r="S6" s="190"/>
      <c r="T6" s="190"/>
    </row>
    <row r="7" spans="1:20">
      <c r="A7" s="115" t="s">
        <v>478</v>
      </c>
      <c r="B7" s="109" t="s">
        <v>1812</v>
      </c>
      <c r="C7" s="110"/>
      <c r="D7" s="111" t="s">
        <v>1986</v>
      </c>
      <c r="E7" s="119">
        <v>1</v>
      </c>
      <c r="F7" s="569" t="s">
        <v>1982</v>
      </c>
      <c r="G7" s="570"/>
      <c r="H7" s="570"/>
      <c r="I7" s="570"/>
      <c r="J7" s="570"/>
      <c r="K7" s="570"/>
      <c r="L7" s="570"/>
      <c r="M7" s="570"/>
      <c r="N7" s="570"/>
      <c r="O7" s="571"/>
      <c r="P7" s="190"/>
      <c r="Q7" s="190"/>
      <c r="R7" s="190"/>
      <c r="S7" s="190"/>
      <c r="T7" s="190"/>
    </row>
    <row r="8" spans="1:20">
      <c r="A8" s="115"/>
      <c r="B8" s="169"/>
      <c r="C8" s="192"/>
      <c r="D8" s="217"/>
      <c r="E8" s="217"/>
      <c r="F8" s="136"/>
      <c r="G8" s="176"/>
      <c r="H8" s="177"/>
      <c r="I8" s="177"/>
      <c r="J8" s="177"/>
      <c r="K8" s="178"/>
      <c r="L8" s="178"/>
      <c r="M8" s="178"/>
      <c r="N8" s="136"/>
      <c r="O8" s="177"/>
      <c r="P8" s="190"/>
      <c r="Q8" s="190"/>
      <c r="R8" s="190"/>
      <c r="S8" s="190"/>
      <c r="T8" s="190"/>
    </row>
    <row r="9" spans="1:20">
      <c r="A9" s="115" t="s">
        <v>478</v>
      </c>
      <c r="B9" s="169"/>
      <c r="C9" s="192"/>
      <c r="D9" s="172"/>
      <c r="E9" s="172"/>
      <c r="F9" s="136"/>
      <c r="G9" s="176"/>
      <c r="H9" s="177"/>
      <c r="I9" s="177"/>
      <c r="J9" s="177"/>
      <c r="K9" s="178"/>
      <c r="L9" s="178"/>
      <c r="M9" s="178"/>
      <c r="N9" s="136"/>
      <c r="O9" s="177"/>
      <c r="P9" s="190"/>
      <c r="Q9" s="190"/>
      <c r="R9" s="190"/>
      <c r="S9" s="190"/>
      <c r="T9" s="190"/>
    </row>
    <row r="10" spans="1:20" ht="46.8">
      <c r="A10" s="116" t="s">
        <v>478</v>
      </c>
      <c r="B10" s="64"/>
      <c r="C10" s="64"/>
      <c r="D10" s="195" t="s">
        <v>1887</v>
      </c>
      <c r="E10" s="195" t="s">
        <v>1828</v>
      </c>
      <c r="F10" s="228" t="s">
        <v>1816</v>
      </c>
      <c r="G10" s="228" t="s">
        <v>1817</v>
      </c>
      <c r="H10" s="191"/>
      <c r="I10" s="196" t="s">
        <v>1472</v>
      </c>
      <c r="J10" s="576" t="s">
        <v>298</v>
      </c>
      <c r="K10" s="196" t="s">
        <v>1629</v>
      </c>
      <c r="L10" s="576" t="s">
        <v>299</v>
      </c>
      <c r="M10" s="576" t="s">
        <v>1554</v>
      </c>
      <c r="N10" s="190"/>
      <c r="O10" s="190"/>
      <c r="P10" s="190"/>
      <c r="Q10" s="190"/>
      <c r="R10" s="190"/>
      <c r="S10" s="190"/>
      <c r="T10" s="190"/>
    </row>
    <row r="11" spans="1:20" ht="15" customHeight="1">
      <c r="A11" s="116" t="s">
        <v>478</v>
      </c>
      <c r="B11" s="66"/>
      <c r="C11" s="66"/>
      <c r="D11" s="68" t="s">
        <v>467</v>
      </c>
      <c r="E11" s="68" t="s">
        <v>1818</v>
      </c>
      <c r="F11" s="573" t="s">
        <v>1856</v>
      </c>
      <c r="G11" s="575" t="s">
        <v>1857</v>
      </c>
      <c r="H11" s="70"/>
      <c r="I11" s="197" t="s">
        <v>1410</v>
      </c>
      <c r="J11" s="577"/>
      <c r="K11" s="198" t="s">
        <v>401</v>
      </c>
      <c r="L11" s="577"/>
      <c r="M11" s="578"/>
      <c r="N11" s="190"/>
      <c r="O11" s="190"/>
      <c r="P11" s="190"/>
      <c r="Q11" s="190"/>
      <c r="R11" s="190"/>
      <c r="S11" s="190"/>
      <c r="T11" s="190"/>
    </row>
    <row r="12" spans="1:20" ht="18">
      <c r="A12" s="116" t="s">
        <v>478</v>
      </c>
      <c r="B12" s="188" t="s">
        <v>365</v>
      </c>
      <c r="C12" s="71" t="s">
        <v>500</v>
      </c>
      <c r="D12" s="74" t="s">
        <v>372</v>
      </c>
      <c r="E12" s="74" t="s">
        <v>372</v>
      </c>
      <c r="F12" s="574"/>
      <c r="G12" s="574"/>
      <c r="H12" s="63"/>
      <c r="I12" s="198" t="s">
        <v>1536</v>
      </c>
      <c r="J12" s="578"/>
      <c r="K12" s="199" t="s">
        <v>373</v>
      </c>
      <c r="L12" s="578"/>
      <c r="M12" s="231" t="s">
        <v>1650</v>
      </c>
      <c r="N12" s="190"/>
      <c r="O12" s="190"/>
      <c r="P12" s="190"/>
      <c r="Q12" s="190"/>
      <c r="R12" s="190"/>
      <c r="S12" s="190"/>
      <c r="T12" s="190"/>
    </row>
    <row r="13" spans="1:20">
      <c r="A13" s="124" t="str">
        <f>IF(INDEX(VISL!A:A,MATCH(B13,VISL!B:B,0))="x","x","")</f>
        <v/>
      </c>
      <c r="B13" s="344" t="s">
        <v>633</v>
      </c>
      <c r="C13" s="269" t="s">
        <v>1428</v>
      </c>
      <c r="D13" s="201"/>
      <c r="E13" s="194" t="str">
        <f t="shared" ref="E13:E86" si="0">IF(OR(D13="",ISTEXT(D13)),"--",D13*AFss_SG)</f>
        <v>--</v>
      </c>
      <c r="F13" s="122" t="str">
        <f t="shared" ref="F13:F86" si="1">IF(ISTEXT(E13),"--",IF(I13="","No IUR",IF(M13&lt;&gt;"TCE",E13*(IF(AND(M13="VC",Scenario_SG="Residential"),I13,0)+I13*IF(M13="Mut",MMOAAF_SG,ED_SG)*EF_SG*ET_SG/(ATc_SG*365*24)),E13*mIURTCE_SG*MMOAAF_SG*EF_SG*ET_SG/(ATc_SG*365*24)+E13*IURTCE_SG*ED_SG*EF_SG*ET_SG/(ATc_SG*365*24))))</f>
        <v>--</v>
      </c>
      <c r="G13" s="123" t="str">
        <f t="shared" ref="G13:G86" si="2">IF(ISTEXT(E13),"--",IF(K13="","No RfC",E13*EF_SG*ED_SG*ET_SG/(K13*ATnc_SG*365*24*1000)))</f>
        <v>--</v>
      </c>
      <c r="H13" s="124"/>
      <c r="I13" s="121">
        <f t="shared" ref="I13:I55" si="3">IF(INDEX(IUR,MATCH(B13,CASNoTox,0))=" ","",IF(M13="TCE","see note",INDEX(IUR,MATCH(B13,CASNoTox,0))))</f>
        <v>2.2000000000000001E-6</v>
      </c>
      <c r="J13" s="121" t="str">
        <f t="shared" ref="J13:J55" si="4">IF(INDEX(IURSource,MATCH(B13,CASNoTox,0))="","",SUBSTITUTE(INDEX(IURSource,MATCH(B13,CASNoTox,0)),"C","CA"))</f>
        <v>I</v>
      </c>
      <c r="K13" s="121">
        <f t="shared" ref="K13:K55" si="5">IF(INDEX(RFC,MATCH(B13,CASNoTox,0))=" ","",INDEX(RFC,MATCH(B13,CASNoTox,0)))</f>
        <v>8.9999999999999993E-3</v>
      </c>
      <c r="L13" s="121" t="str">
        <f t="shared" ref="L13:L55" si="6">IF(INDEX(RFCSource,MATCH(B13,CASNoTox,0))="","",SUBSTITUTE(INDEX(RFCSource,MATCH(B13,CASNoTox,0)),"C","CA"))</f>
        <v>I</v>
      </c>
      <c r="M13" s="121" t="str">
        <f>VLOOKUP(B13,VISL!$B:$W,22,FALSE)</f>
        <v/>
      </c>
      <c r="N13" s="190"/>
      <c r="O13" s="190" t="str">
        <f t="shared" ref="O13:O73" si="7">IF(AND(I13="",K13=""),"X","")</f>
        <v/>
      </c>
      <c r="P13" s="190"/>
      <c r="Q13" s="190"/>
      <c r="R13" s="190"/>
      <c r="S13" s="190"/>
      <c r="T13" s="190"/>
    </row>
    <row r="14" spans="1:20">
      <c r="A14" s="124" t="str">
        <f>IF(INDEX(VISL!A:A,MATCH(B14,VISL!B:B,0))="x","x","")</f>
        <v/>
      </c>
      <c r="B14" s="269" t="s">
        <v>635</v>
      </c>
      <c r="C14" s="269" t="s">
        <v>424</v>
      </c>
      <c r="D14" s="201"/>
      <c r="E14" s="194" t="str">
        <f t="shared" si="0"/>
        <v>--</v>
      </c>
      <c r="F14" s="122" t="str">
        <f t="shared" si="1"/>
        <v>--</v>
      </c>
      <c r="G14" s="123" t="str">
        <f t="shared" si="2"/>
        <v>--</v>
      </c>
      <c r="H14" s="124"/>
      <c r="I14" s="121" t="str">
        <f>IF(INDEX(IUR,MATCH(B14,CASNoTox,0))=" ","",IF(M14="TCE","see note",INDEX(IUR,MATCH(B14,CASNoTox,0))))</f>
        <v/>
      </c>
      <c r="J14" s="121" t="str">
        <f>IF(INDEX(IURSource,MATCH(B14,CASNoTox,0))="","",SUBSTITUTE(INDEX(IURSource,MATCH(B14,CASNoTox,0)),"C","CA"))</f>
        <v/>
      </c>
      <c r="K14" s="121">
        <f>IF(INDEX(RFC,MATCH(B14,CASNoTox,0))=" ","",INDEX(RFC,MATCH(B14,CASNoTox,0)))</f>
        <v>31</v>
      </c>
      <c r="L14" s="121" t="str">
        <f>IF(INDEX(RFCSource,MATCH(B14,CASNoTox,0))="","",SUBSTITUTE(INDEX(RFCSource,MATCH(B14,CASNoTox,0)),"C","CA"))</f>
        <v>A</v>
      </c>
      <c r="M14" s="121" t="str">
        <f>VLOOKUP(B14,VISL!$B:$W,22,FALSE)</f>
        <v/>
      </c>
      <c r="N14" s="190"/>
      <c r="O14" s="190" t="str">
        <f>IF(AND(I14="",K14=""),"X","")</f>
        <v/>
      </c>
      <c r="P14" s="190"/>
      <c r="Q14" s="190"/>
      <c r="R14" s="190"/>
      <c r="S14" s="190"/>
      <c r="T14" s="190"/>
    </row>
    <row r="15" spans="1:20">
      <c r="A15" s="124"/>
      <c r="B15" s="344" t="s">
        <v>637</v>
      </c>
      <c r="C15" s="269" t="s">
        <v>1429</v>
      </c>
      <c r="D15" s="201"/>
      <c r="E15" s="194"/>
      <c r="F15" s="122"/>
      <c r="G15" s="123"/>
      <c r="H15" s="124"/>
      <c r="I15" s="121"/>
      <c r="J15" s="121"/>
      <c r="K15" s="121"/>
      <c r="L15" s="121"/>
      <c r="M15" s="121"/>
      <c r="N15" s="190"/>
      <c r="O15" s="190"/>
      <c r="P15" s="190"/>
      <c r="Q15" s="190"/>
      <c r="R15" s="190"/>
      <c r="S15" s="190"/>
      <c r="T15" s="190"/>
    </row>
    <row r="16" spans="1:20">
      <c r="A16" s="124"/>
      <c r="B16" s="269" t="s">
        <v>640</v>
      </c>
      <c r="C16" s="269" t="s">
        <v>1431</v>
      </c>
      <c r="D16" s="201"/>
      <c r="E16" s="194"/>
      <c r="F16" s="122"/>
      <c r="G16" s="123"/>
      <c r="H16" s="124"/>
      <c r="I16" s="121"/>
      <c r="J16" s="121"/>
      <c r="K16" s="121"/>
      <c r="L16" s="121"/>
      <c r="M16" s="121"/>
      <c r="N16" s="190"/>
      <c r="O16" s="190"/>
      <c r="P16" s="190"/>
      <c r="Q16" s="190"/>
      <c r="R16" s="190"/>
      <c r="S16" s="190"/>
      <c r="T16" s="190"/>
    </row>
    <row r="17" spans="1:20">
      <c r="A17" s="124"/>
      <c r="B17" s="344" t="s">
        <v>642</v>
      </c>
      <c r="C17" s="269" t="s">
        <v>972</v>
      </c>
      <c r="D17" s="201"/>
      <c r="E17" s="194"/>
      <c r="F17" s="122"/>
      <c r="G17" s="123"/>
      <c r="H17" s="124"/>
      <c r="I17" s="121"/>
      <c r="J17" s="121"/>
      <c r="K17" s="121"/>
      <c r="L17" s="121"/>
      <c r="M17" s="121"/>
      <c r="N17" s="190"/>
      <c r="O17" s="190"/>
      <c r="P17" s="190"/>
      <c r="Q17" s="190"/>
      <c r="R17" s="190"/>
      <c r="S17" s="190"/>
      <c r="T17" s="190"/>
    </row>
    <row r="18" spans="1:20">
      <c r="A18" s="124"/>
      <c r="B18" s="344" t="s">
        <v>643</v>
      </c>
      <c r="C18" s="269" t="s">
        <v>1432</v>
      </c>
      <c r="D18" s="201"/>
      <c r="E18" s="194"/>
      <c r="F18" s="122"/>
      <c r="G18" s="123"/>
      <c r="H18" s="124"/>
      <c r="I18" s="121"/>
      <c r="J18" s="121"/>
      <c r="K18" s="121"/>
      <c r="L18" s="121"/>
      <c r="M18" s="121"/>
      <c r="N18" s="190"/>
      <c r="O18" s="190"/>
      <c r="P18" s="190"/>
      <c r="Q18" s="190"/>
      <c r="R18" s="190"/>
      <c r="S18" s="190"/>
      <c r="T18" s="190"/>
    </row>
    <row r="19" spans="1:20">
      <c r="A19" s="124"/>
      <c r="B19" s="344" t="s">
        <v>648</v>
      </c>
      <c r="C19" s="269" t="s">
        <v>425</v>
      </c>
      <c r="D19" s="201"/>
      <c r="E19" s="194"/>
      <c r="F19" s="122"/>
      <c r="G19" s="123"/>
      <c r="H19" s="124"/>
      <c r="I19" s="121"/>
      <c r="J19" s="121"/>
      <c r="K19" s="121"/>
      <c r="L19" s="121"/>
      <c r="M19" s="121"/>
      <c r="N19" s="190"/>
      <c r="O19" s="190"/>
      <c r="P19" s="190"/>
      <c r="Q19" s="190"/>
      <c r="R19" s="190"/>
      <c r="S19" s="190"/>
      <c r="T19" s="190"/>
    </row>
    <row r="20" spans="1:20">
      <c r="A20" s="124"/>
      <c r="B20" s="269" t="s">
        <v>650</v>
      </c>
      <c r="C20" s="269" t="s">
        <v>977</v>
      </c>
      <c r="D20" s="201"/>
      <c r="E20" s="194"/>
      <c r="F20" s="122"/>
      <c r="G20" s="123"/>
      <c r="H20" s="124"/>
      <c r="I20" s="121"/>
      <c r="J20" s="121"/>
      <c r="K20" s="121"/>
      <c r="L20" s="121"/>
      <c r="M20" s="121"/>
      <c r="N20" s="190"/>
      <c r="O20" s="190"/>
      <c r="P20" s="190"/>
      <c r="Q20" s="190"/>
      <c r="R20" s="190"/>
      <c r="S20" s="190"/>
      <c r="T20" s="190"/>
    </row>
    <row r="21" spans="1:20">
      <c r="A21" s="124"/>
      <c r="B21" s="269" t="s">
        <v>651</v>
      </c>
      <c r="C21" s="269" t="s">
        <v>978</v>
      </c>
      <c r="D21" s="201"/>
      <c r="E21" s="194"/>
      <c r="F21" s="122"/>
      <c r="G21" s="123"/>
      <c r="H21" s="124"/>
      <c r="I21" s="121"/>
      <c r="J21" s="121"/>
      <c r="K21" s="121"/>
      <c r="L21" s="121"/>
      <c r="M21" s="121"/>
      <c r="N21" s="190"/>
      <c r="O21" s="190"/>
      <c r="P21" s="190"/>
      <c r="Q21" s="190"/>
      <c r="R21" s="190"/>
      <c r="S21" s="190"/>
      <c r="T21" s="190"/>
    </row>
    <row r="22" spans="1:20">
      <c r="A22" s="124"/>
      <c r="B22" s="344" t="s">
        <v>660</v>
      </c>
      <c r="C22" s="269" t="s">
        <v>985</v>
      </c>
      <c r="D22" s="201"/>
      <c r="E22" s="194"/>
      <c r="F22" s="122"/>
      <c r="G22" s="123"/>
      <c r="H22" s="124"/>
      <c r="I22" s="121"/>
      <c r="J22" s="121"/>
      <c r="K22" s="121"/>
      <c r="L22" s="121"/>
      <c r="M22" s="121"/>
      <c r="N22" s="190"/>
      <c r="O22" s="190"/>
      <c r="P22" s="190"/>
      <c r="Q22" s="190"/>
      <c r="R22" s="190"/>
      <c r="S22" s="190"/>
      <c r="T22" s="190"/>
    </row>
    <row r="23" spans="1:20">
      <c r="A23" s="124"/>
      <c r="B23" s="344" t="s">
        <v>2041</v>
      </c>
      <c r="C23" s="269" t="s">
        <v>2040</v>
      </c>
      <c r="D23" s="201"/>
      <c r="E23" s="194"/>
      <c r="F23" s="122"/>
      <c r="G23" s="123"/>
      <c r="H23" s="124"/>
      <c r="I23" s="121"/>
      <c r="J23" s="121"/>
      <c r="K23" s="121"/>
      <c r="L23" s="121"/>
      <c r="M23" s="121"/>
      <c r="N23" s="190"/>
      <c r="O23" s="190"/>
      <c r="P23" s="190"/>
      <c r="Q23" s="190"/>
      <c r="R23" s="190"/>
      <c r="S23" s="190"/>
      <c r="T23" s="190"/>
    </row>
    <row r="24" spans="1:20">
      <c r="A24" s="124"/>
      <c r="B24" s="344" t="s">
        <v>181</v>
      </c>
      <c r="C24" s="269" t="s">
        <v>2228</v>
      </c>
      <c r="D24" s="201"/>
      <c r="E24" s="194"/>
      <c r="F24" s="122"/>
      <c r="G24" s="123"/>
      <c r="H24" s="124"/>
      <c r="I24" s="121"/>
      <c r="J24" s="121"/>
      <c r="K24" s="121"/>
      <c r="L24" s="121"/>
      <c r="M24" s="121"/>
      <c r="N24" s="190"/>
      <c r="O24" s="190"/>
      <c r="P24" s="190"/>
      <c r="Q24" s="190"/>
      <c r="R24" s="190"/>
      <c r="S24" s="190"/>
      <c r="T24" s="190"/>
    </row>
    <row r="25" spans="1:20">
      <c r="A25" s="124" t="str">
        <f>IF(INDEX(VISL!A:A,MATCH(B25,VISL!B:B,0))="x","x","")</f>
        <v/>
      </c>
      <c r="B25" s="344" t="s">
        <v>182</v>
      </c>
      <c r="C25" s="269" t="s">
        <v>2229</v>
      </c>
      <c r="D25" s="201"/>
      <c r="E25" s="194" t="str">
        <f t="shared" si="0"/>
        <v>--</v>
      </c>
      <c r="F25" s="122" t="str">
        <f t="shared" si="1"/>
        <v>--</v>
      </c>
      <c r="G25" s="123" t="str">
        <f t="shared" si="2"/>
        <v>--</v>
      </c>
      <c r="H25" s="124"/>
      <c r="I25" s="121">
        <f>IF(INDEX(IUR,MATCH(B25,CASNoTox,0))=" ","",IF(M25="TCE","see note",INDEX(IUR,MATCH(B25,CASNoTox,0))))</f>
        <v>5.6999999999999998E-4</v>
      </c>
      <c r="J25" s="121" t="str">
        <f>IF(INDEX(IURSource,MATCH(B25,CASNoTox,0))="","",SUBSTITUTE(INDEX(IURSource,MATCH(B25,CASNoTox,0)),"C","CA"))</f>
        <v>S</v>
      </c>
      <c r="K25" s="121" t="str">
        <f>IF(INDEX(RFC,MATCH(B25,CASNoTox,0))=" ","",INDEX(RFC,MATCH(B25,CASNoTox,0)))</f>
        <v/>
      </c>
      <c r="L25" s="121" t="str">
        <f>IF(INDEX(RFCSource,MATCH(B25,CASNoTox,0))="","",SUBSTITUTE(INDEX(RFCSource,MATCH(B25,CASNoTox,0)),"C","CA"))</f>
        <v/>
      </c>
      <c r="M25" s="121" t="str">
        <f>VLOOKUP(B25,VISL!$B:$W,22,FALSE)</f>
        <v/>
      </c>
      <c r="N25" s="190"/>
      <c r="O25" s="190" t="str">
        <f>IF(AND(I25="",K25=""),"X","")</f>
        <v/>
      </c>
      <c r="P25" s="190"/>
      <c r="Q25" s="190"/>
      <c r="R25" s="190"/>
      <c r="S25" s="190"/>
      <c r="T25" s="190"/>
    </row>
    <row r="26" spans="1:20">
      <c r="A26" s="124" t="str">
        <f>IF(INDEX(VISL!A:A,MATCH(B26,VISL!B:B,0))="x","x","")</f>
        <v/>
      </c>
      <c r="B26" s="344" t="s">
        <v>183</v>
      </c>
      <c r="C26" s="269" t="s">
        <v>2230</v>
      </c>
      <c r="D26" s="201"/>
      <c r="E26" s="194" t="str">
        <f t="shared" si="0"/>
        <v>--</v>
      </c>
      <c r="F26" s="122" t="str">
        <f t="shared" si="1"/>
        <v>--</v>
      </c>
      <c r="G26" s="123" t="str">
        <f t="shared" si="2"/>
        <v>--</v>
      </c>
      <c r="H26" s="124"/>
      <c r="I26" s="121">
        <f>IF(INDEX(IUR,MATCH(B26,CASNoTox,0))=" ","",IF(M26="TCE","see note",INDEX(IUR,MATCH(B26,CASNoTox,0))))</f>
        <v>5.6999999999999998E-4</v>
      </c>
      <c r="J26" s="121" t="str">
        <f>IF(INDEX(IURSource,MATCH(B26,CASNoTox,0))="","",SUBSTITUTE(INDEX(IURSource,MATCH(B26,CASNoTox,0)),"C","CA"))</f>
        <v>S</v>
      </c>
      <c r="K26" s="121" t="str">
        <f>IF(INDEX(RFC,MATCH(B26,CASNoTox,0))=" ","",INDEX(RFC,MATCH(B26,CASNoTox,0)))</f>
        <v/>
      </c>
      <c r="L26" s="121" t="str">
        <f>IF(INDEX(RFCSource,MATCH(B26,CASNoTox,0))="","",SUBSTITUTE(INDEX(RFCSource,MATCH(B26,CASNoTox,0)),"C","CA"))</f>
        <v/>
      </c>
      <c r="M26" s="121" t="str">
        <f>VLOOKUP(B26,VISL!$B:$W,22,FALSE)</f>
        <v/>
      </c>
      <c r="N26" s="190"/>
      <c r="O26" s="190" t="str">
        <f>IF(AND(I26="",K26=""),"X","")</f>
        <v/>
      </c>
      <c r="P26" s="190"/>
      <c r="Q26" s="190"/>
      <c r="R26" s="190"/>
      <c r="S26" s="190"/>
      <c r="T26" s="190"/>
    </row>
    <row r="27" spans="1:20">
      <c r="A27" s="124" t="str">
        <f>IF(INDEX(VISL!A:A,MATCH(B27,VISL!B:B,0))="x","x","")</f>
        <v/>
      </c>
      <c r="B27" s="269" t="s">
        <v>184</v>
      </c>
      <c r="C27" s="269" t="s">
        <v>2231</v>
      </c>
      <c r="D27" s="201"/>
      <c r="E27" s="194" t="str">
        <f t="shared" si="0"/>
        <v>--</v>
      </c>
      <c r="F27" s="122" t="str">
        <f t="shared" si="1"/>
        <v>--</v>
      </c>
      <c r="G27" s="123" t="str">
        <f t="shared" si="2"/>
        <v>--</v>
      </c>
      <c r="H27" s="124"/>
      <c r="I27" s="121">
        <f>IF(INDEX(IUR,MATCH(B27,CASNoTox,0))=" ","",IF(M27="TCE","see note",INDEX(IUR,MATCH(B27,CASNoTox,0))))</f>
        <v>5.6999999999999998E-4</v>
      </c>
      <c r="J27" s="121" t="str">
        <f>IF(INDEX(IURSource,MATCH(B27,CASNoTox,0))="","",SUBSTITUTE(INDEX(IURSource,MATCH(B27,CASNoTox,0)),"C","CA"))</f>
        <v>S</v>
      </c>
      <c r="K27" s="121" t="str">
        <f>IF(INDEX(RFC,MATCH(B27,CASNoTox,0))=" ","",INDEX(RFC,MATCH(B27,CASNoTox,0)))</f>
        <v/>
      </c>
      <c r="L27" s="121" t="str">
        <f>IF(INDEX(RFCSource,MATCH(B27,CASNoTox,0))="","",SUBSTITUTE(INDEX(RFCSource,MATCH(B27,CASNoTox,0)),"C","CA"))</f>
        <v/>
      </c>
      <c r="M27" s="121" t="str">
        <f>VLOOKUP(B27,VISL!$B:$W,22,FALSE)</f>
        <v/>
      </c>
      <c r="N27" s="190"/>
      <c r="O27" s="190" t="str">
        <f>IF(AND(I27="",K27=""),"X","")</f>
        <v/>
      </c>
      <c r="P27" s="190"/>
      <c r="Q27" s="190"/>
      <c r="R27" s="190"/>
      <c r="S27" s="190"/>
      <c r="T27" s="190"/>
    </row>
    <row r="28" spans="1:20">
      <c r="A28" s="124" t="str">
        <f>IF(INDEX(VISL!A:A,MATCH(B28,VISL!B:B,0))="x","x","")</f>
        <v/>
      </c>
      <c r="B28" s="269" t="s">
        <v>185</v>
      </c>
      <c r="C28" s="269" t="s">
        <v>2232</v>
      </c>
      <c r="D28" s="201"/>
      <c r="E28" s="194" t="str">
        <f t="shared" si="0"/>
        <v>--</v>
      </c>
      <c r="F28" s="122" t="str">
        <f t="shared" si="1"/>
        <v>--</v>
      </c>
      <c r="G28" s="123" t="str">
        <f t="shared" si="2"/>
        <v>--</v>
      </c>
      <c r="H28" s="124"/>
      <c r="I28" s="121">
        <f>IF(INDEX(IUR,MATCH(B28,CASNoTox,0))=" ","",IF(M28="TCE","see note",INDEX(IUR,MATCH(B28,CASNoTox,0))))</f>
        <v>5.6999999999999998E-4</v>
      </c>
      <c r="J28" s="121" t="str">
        <f>IF(INDEX(IURSource,MATCH(B28,CASNoTox,0))="","",SUBSTITUTE(INDEX(IURSource,MATCH(B28,CASNoTox,0)),"C","CA"))</f>
        <v>S</v>
      </c>
      <c r="K28" s="121" t="str">
        <f>IF(INDEX(RFC,MATCH(B28,CASNoTox,0))=" ","",INDEX(RFC,MATCH(B28,CASNoTox,0)))</f>
        <v/>
      </c>
      <c r="L28" s="121" t="str">
        <f>IF(INDEX(RFCSource,MATCH(B28,CASNoTox,0))="","",SUBSTITUTE(INDEX(RFCSource,MATCH(B28,CASNoTox,0)),"C","CA"))</f>
        <v/>
      </c>
      <c r="M28" s="121" t="str">
        <f>VLOOKUP(B28,VISL!$B:$W,22,FALSE)</f>
        <v/>
      </c>
      <c r="N28" s="190"/>
      <c r="O28" s="190" t="str">
        <f>IF(AND(I28="",K28=""),"X","")</f>
        <v/>
      </c>
      <c r="P28" s="190"/>
      <c r="Q28" s="190"/>
      <c r="R28" s="190"/>
      <c r="S28" s="190"/>
      <c r="T28" s="190"/>
    </row>
    <row r="29" spans="1:20">
      <c r="A29" s="124" t="str">
        <f>IF(INDEX(VISL!A:A,MATCH(B29,VISL!B:B,0))="x","x","")</f>
        <v/>
      </c>
      <c r="B29" s="269" t="s">
        <v>186</v>
      </c>
      <c r="C29" s="269" t="s">
        <v>2233</v>
      </c>
      <c r="D29" s="201"/>
      <c r="E29" s="194" t="str">
        <f t="shared" si="0"/>
        <v>--</v>
      </c>
      <c r="F29" s="122" t="str">
        <f t="shared" si="1"/>
        <v>--</v>
      </c>
      <c r="G29" s="123" t="str">
        <f t="shared" si="2"/>
        <v>--</v>
      </c>
      <c r="H29" s="124"/>
      <c r="I29" s="121">
        <f>IF(INDEX(IUR,MATCH(B29,CASNoTox,0))=" ","",IF(M29="TCE","see note",INDEX(IUR,MATCH(B29,CASNoTox,0))))</f>
        <v>5.6999999999999998E-4</v>
      </c>
      <c r="J29" s="121" t="str">
        <f>IF(INDEX(IURSource,MATCH(B29,CASNoTox,0))="","",SUBSTITUTE(INDEX(IURSource,MATCH(B29,CASNoTox,0)),"C","CA"))</f>
        <v>S</v>
      </c>
      <c r="K29" s="121" t="str">
        <f>IF(INDEX(RFC,MATCH(B29,CASNoTox,0))=" ","",INDEX(RFC,MATCH(B29,CASNoTox,0)))</f>
        <v/>
      </c>
      <c r="L29" s="121" t="str">
        <f>IF(INDEX(RFCSource,MATCH(B29,CASNoTox,0))="","",SUBSTITUTE(INDEX(RFCSource,MATCH(B29,CASNoTox,0)),"C","CA"))</f>
        <v/>
      </c>
      <c r="M29" s="121" t="str">
        <f>VLOOKUP(B29,VISL!$B:$W,22,FALSE)</f>
        <v/>
      </c>
      <c r="N29" s="190"/>
      <c r="O29" s="190" t="str">
        <f>IF(AND(I29="",K29=""),"X","")</f>
        <v/>
      </c>
      <c r="P29" s="190"/>
      <c r="Q29" s="190"/>
      <c r="R29" s="190"/>
      <c r="S29" s="190"/>
      <c r="T29" s="190"/>
    </row>
    <row r="30" spans="1:20">
      <c r="A30" s="124" t="str">
        <f>IF(INDEX(VISL!A:A,MATCH(B30,VISL!B:B,0))="x","x","")</f>
        <v/>
      </c>
      <c r="B30" s="269" t="s">
        <v>187</v>
      </c>
      <c r="C30" s="269" t="s">
        <v>2234</v>
      </c>
      <c r="D30" s="201"/>
      <c r="E30" s="194" t="str">
        <f t="shared" si="0"/>
        <v>--</v>
      </c>
      <c r="F30" s="122" t="str">
        <f t="shared" si="1"/>
        <v>--</v>
      </c>
      <c r="G30" s="123" t="str">
        <f t="shared" si="2"/>
        <v>--</v>
      </c>
      <c r="H30" s="124"/>
      <c r="I30" s="121">
        <f t="shared" si="3"/>
        <v>5.6999999999999998E-4</v>
      </c>
      <c r="J30" s="121" t="str">
        <f t="shared" si="4"/>
        <v>S</v>
      </c>
      <c r="K30" s="121" t="str">
        <f t="shared" si="5"/>
        <v/>
      </c>
      <c r="L30" s="121" t="str">
        <f t="shared" si="6"/>
        <v/>
      </c>
      <c r="M30" s="121" t="str">
        <f>VLOOKUP(B30,VISL!$B:$W,22,FALSE)</f>
        <v/>
      </c>
      <c r="N30" s="190"/>
      <c r="O30" s="190" t="str">
        <f t="shared" si="7"/>
        <v/>
      </c>
      <c r="P30" s="190"/>
      <c r="Q30" s="190"/>
      <c r="R30" s="190"/>
      <c r="S30" s="190"/>
      <c r="T30" s="190"/>
    </row>
    <row r="31" spans="1:20">
      <c r="A31" s="124" t="str">
        <f>IF(INDEX(VISL!A:A,MATCH(B31,VISL!B:B,0))="x","x","")</f>
        <v/>
      </c>
      <c r="B31" s="344" t="s">
        <v>677</v>
      </c>
      <c r="C31" s="269" t="s">
        <v>1398</v>
      </c>
      <c r="D31" s="201"/>
      <c r="E31" s="194" t="str">
        <f t="shared" si="0"/>
        <v>--</v>
      </c>
      <c r="F31" s="122" t="str">
        <f t="shared" si="1"/>
        <v>--</v>
      </c>
      <c r="G31" s="123" t="str">
        <f t="shared" si="2"/>
        <v>--</v>
      </c>
      <c r="H31" s="124"/>
      <c r="I31" s="121">
        <f t="shared" si="3"/>
        <v>3.1000000000000001E-5</v>
      </c>
      <c r="J31" s="121" t="str">
        <f t="shared" si="4"/>
        <v>I</v>
      </c>
      <c r="K31" s="121" t="str">
        <f t="shared" si="5"/>
        <v/>
      </c>
      <c r="L31" s="121" t="str">
        <f t="shared" si="6"/>
        <v/>
      </c>
      <c r="M31" s="121" t="str">
        <f>VLOOKUP(B31,VISL!$B:$W,22,FALSE)</f>
        <v/>
      </c>
      <c r="N31" s="190"/>
      <c r="O31" s="190" t="str">
        <f t="shared" si="7"/>
        <v/>
      </c>
      <c r="P31" s="190"/>
      <c r="Q31" s="190"/>
      <c r="R31" s="190"/>
      <c r="S31" s="190"/>
      <c r="T31" s="190"/>
    </row>
    <row r="32" spans="1:20">
      <c r="A32" s="124" t="str">
        <f>IF(INDEX(VISL!A:A,MATCH(B32,VISL!B:B,0))="x","x","")</f>
        <v/>
      </c>
      <c r="B32" s="344" t="s">
        <v>203</v>
      </c>
      <c r="C32" s="269" t="s">
        <v>2235</v>
      </c>
      <c r="D32" s="201"/>
      <c r="E32" s="194" t="str">
        <f t="shared" si="0"/>
        <v>--</v>
      </c>
      <c r="F32" s="122" t="str">
        <f t="shared" si="1"/>
        <v>--</v>
      </c>
      <c r="G32" s="123" t="str">
        <f t="shared" si="2"/>
        <v>--</v>
      </c>
      <c r="H32" s="124"/>
      <c r="I32" s="121">
        <f t="shared" si="3"/>
        <v>6.0000000000000002E-5</v>
      </c>
      <c r="J32" s="121" t="str">
        <f t="shared" si="4"/>
        <v>E</v>
      </c>
      <c r="K32" s="121" t="str">
        <f t="shared" si="5"/>
        <v/>
      </c>
      <c r="L32" s="121" t="str">
        <f t="shared" si="6"/>
        <v/>
      </c>
      <c r="M32" s="121" t="str">
        <f>VLOOKUP(B32,VISL!$B:$W,22,FALSE)</f>
        <v>Mut</v>
      </c>
      <c r="N32" s="190"/>
      <c r="O32" s="190" t="str">
        <f t="shared" si="7"/>
        <v/>
      </c>
      <c r="P32" s="190"/>
      <c r="Q32" s="190"/>
      <c r="R32" s="190"/>
      <c r="S32" s="190"/>
      <c r="T32" s="190"/>
    </row>
    <row r="33" spans="1:20">
      <c r="A33" s="124" t="str">
        <f>IF(INDEX(VISL!A:A,MATCH(B33,VISL!B:B,0))="x","x","")</f>
        <v/>
      </c>
      <c r="B33" s="344" t="s">
        <v>686</v>
      </c>
      <c r="C33" s="269" t="s">
        <v>426</v>
      </c>
      <c r="D33" s="201"/>
      <c r="E33" s="194" t="str">
        <f t="shared" si="0"/>
        <v>--</v>
      </c>
      <c r="F33" s="122" t="str">
        <f t="shared" si="1"/>
        <v>--</v>
      </c>
      <c r="G33" s="123" t="str">
        <f t="shared" si="2"/>
        <v>--</v>
      </c>
      <c r="H33" s="124"/>
      <c r="I33" s="121">
        <f t="shared" si="3"/>
        <v>7.7999999999999999E-6</v>
      </c>
      <c r="J33" s="121" t="str">
        <f t="shared" si="4"/>
        <v>I</v>
      </c>
      <c r="K33" s="121">
        <f t="shared" si="5"/>
        <v>0.03</v>
      </c>
      <c r="L33" s="121" t="str">
        <f t="shared" si="6"/>
        <v>I</v>
      </c>
      <c r="M33" s="121" t="str">
        <f>VLOOKUP(B33,VISL!$B:$W,22,FALSE)</f>
        <v/>
      </c>
      <c r="N33" s="190"/>
      <c r="O33" s="190" t="str">
        <f t="shared" si="7"/>
        <v/>
      </c>
      <c r="P33" s="190"/>
      <c r="Q33" s="190"/>
      <c r="R33" s="190"/>
      <c r="S33" s="190"/>
      <c r="T33" s="190"/>
    </row>
    <row r="34" spans="1:20">
      <c r="A34" s="124" t="str">
        <f>IF(INDEX(VISL!A:A,MATCH(B34,VISL!B:B,0))="x","x","")</f>
        <v/>
      </c>
      <c r="B34" s="344" t="s">
        <v>692</v>
      </c>
      <c r="C34" s="269" t="s">
        <v>1002</v>
      </c>
      <c r="D34" s="201"/>
      <c r="E34" s="194" t="str">
        <f t="shared" si="0"/>
        <v>--</v>
      </c>
      <c r="F34" s="122" t="str">
        <f t="shared" si="1"/>
        <v>--</v>
      </c>
      <c r="G34" s="123" t="str">
        <f t="shared" si="2"/>
        <v>--</v>
      </c>
      <c r="H34" s="124"/>
      <c r="I34" s="121">
        <f t="shared" si="3"/>
        <v>4.8999999999999998E-5</v>
      </c>
      <c r="J34" s="121" t="str">
        <f t="shared" si="4"/>
        <v>CA</v>
      </c>
      <c r="K34" s="121">
        <f t="shared" si="5"/>
        <v>1E-3</v>
      </c>
      <c r="L34" s="121" t="str">
        <f t="shared" si="6"/>
        <v>P</v>
      </c>
      <c r="M34" s="121" t="str">
        <f>VLOOKUP(B34,VISL!$B:$W,22,FALSE)</f>
        <v/>
      </c>
      <c r="N34" s="190"/>
      <c r="O34" s="190" t="str">
        <f t="shared" si="7"/>
        <v/>
      </c>
      <c r="P34" s="190"/>
      <c r="Q34" s="190"/>
      <c r="R34" s="190"/>
      <c r="S34" s="190"/>
      <c r="T34" s="190"/>
    </row>
    <row r="35" spans="1:20">
      <c r="A35" s="124" t="str">
        <f>IF(INDEX(VISL!A:A,MATCH(B35,VISL!B:B,0))="x","x","")</f>
        <v/>
      </c>
      <c r="B35" s="344" t="s">
        <v>374</v>
      </c>
      <c r="C35" s="269" t="s">
        <v>1006</v>
      </c>
      <c r="D35" s="201"/>
      <c r="E35" s="194" t="str">
        <f t="shared" si="0"/>
        <v>--</v>
      </c>
      <c r="F35" s="122" t="str">
        <f t="shared" si="1"/>
        <v>--</v>
      </c>
      <c r="G35" s="123" t="str">
        <f t="shared" si="2"/>
        <v>--</v>
      </c>
      <c r="H35" s="124"/>
      <c r="I35" s="121" t="str">
        <f t="shared" si="3"/>
        <v/>
      </c>
      <c r="J35" s="121" t="str">
        <f t="shared" si="4"/>
        <v/>
      </c>
      <c r="K35" s="121">
        <f t="shared" si="5"/>
        <v>4.0000000000000002E-4</v>
      </c>
      <c r="L35" s="121" t="str">
        <f t="shared" si="6"/>
        <v>X</v>
      </c>
      <c r="M35" s="121" t="str">
        <f>VLOOKUP(B35,VISL!$B:$W,22,FALSE)</f>
        <v/>
      </c>
      <c r="N35" s="190"/>
      <c r="O35" s="190" t="str">
        <f t="shared" si="7"/>
        <v/>
      </c>
      <c r="P35" s="190"/>
      <c r="Q35" s="190"/>
      <c r="R35" s="190"/>
      <c r="S35" s="190"/>
      <c r="T35" s="190"/>
    </row>
    <row r="36" spans="1:20">
      <c r="A36" s="124" t="str">
        <f>IF(INDEX(VISL!A:A,MATCH(B36,VISL!B:B,0))="x","x","")</f>
        <v/>
      </c>
      <c r="B36" s="269" t="s">
        <v>698</v>
      </c>
      <c r="C36" s="269" t="s">
        <v>428</v>
      </c>
      <c r="D36" s="201"/>
      <c r="E36" s="194" t="str">
        <f t="shared" si="0"/>
        <v>--</v>
      </c>
      <c r="F36" s="122" t="str">
        <f t="shared" si="1"/>
        <v>--</v>
      </c>
      <c r="G36" s="123" t="str">
        <f t="shared" si="2"/>
        <v>--</v>
      </c>
      <c r="H36" s="124"/>
      <c r="I36" s="121">
        <f>IF(INDEX(IUR,MATCH(B36,CASNoTox,0))=" ","",IF(M36="TCE","see note",INDEX(IUR,MATCH(B36,CASNoTox,0))))</f>
        <v>3.3E-4</v>
      </c>
      <c r="J36" s="121" t="str">
        <f>IF(INDEX(IURSource,MATCH(B36,CASNoTox,0))="","",SUBSTITUTE(INDEX(IURSource,MATCH(B36,CASNoTox,0)),"C","CA"))</f>
        <v>I</v>
      </c>
      <c r="K36" s="121" t="str">
        <f>IF(INDEX(RFC,MATCH(B36,CASNoTox,0))=" ","",INDEX(RFC,MATCH(B36,CASNoTox,0)))</f>
        <v/>
      </c>
      <c r="L36" s="121" t="str">
        <f>IF(INDEX(RFCSource,MATCH(B36,CASNoTox,0))="","",SUBSTITUTE(INDEX(RFCSource,MATCH(B36,CASNoTox,0)),"C","CA"))</f>
        <v/>
      </c>
      <c r="M36" s="121" t="str">
        <f>VLOOKUP(B36,VISL!$B:$W,22,FALSE)</f>
        <v/>
      </c>
      <c r="N36" s="190"/>
      <c r="O36" s="190" t="str">
        <f t="shared" si="7"/>
        <v/>
      </c>
      <c r="P36" s="190"/>
      <c r="Q36" s="190"/>
      <c r="R36" s="190"/>
      <c r="S36" s="190"/>
      <c r="T36" s="190"/>
    </row>
    <row r="37" spans="1:20">
      <c r="A37" s="124" t="str">
        <f>IF(INDEX(VISL!A:A,MATCH(B37,VISL!B:B,0))="x","x","")</f>
        <v/>
      </c>
      <c r="B37" s="344" t="s">
        <v>700</v>
      </c>
      <c r="C37" s="269" t="s">
        <v>1435</v>
      </c>
      <c r="D37" s="201"/>
      <c r="E37" s="194" t="str">
        <f t="shared" si="0"/>
        <v>--</v>
      </c>
      <c r="F37" s="122" t="str">
        <f t="shared" si="1"/>
        <v>--</v>
      </c>
      <c r="G37" s="123" t="str">
        <f t="shared" si="2"/>
        <v>--</v>
      </c>
      <c r="H37" s="124"/>
      <c r="I37" s="121">
        <f t="shared" si="3"/>
        <v>6.2E-2</v>
      </c>
      <c r="J37" s="121" t="str">
        <f t="shared" si="4"/>
        <v>I</v>
      </c>
      <c r="K37" s="121" t="str">
        <f t="shared" si="5"/>
        <v/>
      </c>
      <c r="L37" s="121" t="str">
        <f t="shared" si="6"/>
        <v/>
      </c>
      <c r="M37" s="121" t="str">
        <f>VLOOKUP(B37,VISL!$B:$W,22,FALSE)</f>
        <v/>
      </c>
      <c r="N37" s="190"/>
      <c r="O37" s="190" t="str">
        <f t="shared" si="7"/>
        <v/>
      </c>
      <c r="P37" s="190"/>
      <c r="Q37" s="190"/>
      <c r="R37" s="190"/>
      <c r="S37" s="190"/>
      <c r="T37" s="190"/>
    </row>
    <row r="38" spans="1:20">
      <c r="A38" s="124" t="str">
        <f>IF(INDEX(VISL!A:A,MATCH(B38,VISL!B:B,0))="x","x","")</f>
        <v/>
      </c>
      <c r="B38" s="269" t="s">
        <v>1997</v>
      </c>
      <c r="C38" s="269" t="s">
        <v>1996</v>
      </c>
      <c r="D38" s="201"/>
      <c r="E38" s="194" t="str">
        <f t="shared" si="0"/>
        <v>--</v>
      </c>
      <c r="F38" s="122" t="str">
        <f t="shared" si="1"/>
        <v>--</v>
      </c>
      <c r="G38" s="123" t="str">
        <f t="shared" si="2"/>
        <v>--</v>
      </c>
      <c r="H38" s="124"/>
      <c r="I38" s="121" t="str">
        <f t="shared" si="3"/>
        <v/>
      </c>
      <c r="J38" s="121" t="str">
        <f t="shared" si="4"/>
        <v/>
      </c>
      <c r="K38" s="121">
        <f t="shared" si="5"/>
        <v>0.02</v>
      </c>
      <c r="L38" s="121" t="str">
        <f t="shared" si="6"/>
        <v>P</v>
      </c>
      <c r="M38" s="121" t="str">
        <f>VLOOKUP(B38,VISL!$B:$W,22,FALSE)</f>
        <v/>
      </c>
      <c r="N38" s="190"/>
      <c r="O38" s="190" t="str">
        <f t="shared" si="7"/>
        <v/>
      </c>
      <c r="P38" s="190"/>
      <c r="Q38" s="190"/>
      <c r="R38" s="190"/>
      <c r="S38" s="190"/>
      <c r="T38" s="190"/>
    </row>
    <row r="39" spans="1:20">
      <c r="A39" s="124" t="str">
        <f>IF(INDEX(VISL!A:A,MATCH(B39,VISL!B:B,0))="x","x","")</f>
        <v/>
      </c>
      <c r="B39" s="344" t="s">
        <v>703</v>
      </c>
      <c r="C39" s="269" t="s">
        <v>1011</v>
      </c>
      <c r="D39" s="201"/>
      <c r="E39" s="194" t="str">
        <f t="shared" si="0"/>
        <v>--</v>
      </c>
      <c r="F39" s="122" t="str">
        <f t="shared" si="1"/>
        <v>--</v>
      </c>
      <c r="G39" s="123" t="str">
        <f t="shared" si="2"/>
        <v>--</v>
      </c>
      <c r="H39" s="124"/>
      <c r="I39" s="121" t="str">
        <f t="shared" si="3"/>
        <v/>
      </c>
      <c r="J39" s="121" t="str">
        <f t="shared" si="4"/>
        <v/>
      </c>
      <c r="K39" s="121">
        <f t="shared" si="5"/>
        <v>1.2999999999999999E-2</v>
      </c>
      <c r="L39" s="121" t="str">
        <f t="shared" si="6"/>
        <v>CA</v>
      </c>
      <c r="M39" s="121" t="str">
        <f>VLOOKUP(B39,VISL!$B:$W,22,FALSE)</f>
        <v/>
      </c>
      <c r="N39" s="190"/>
      <c r="O39" s="190" t="str">
        <f t="shared" si="7"/>
        <v/>
      </c>
      <c r="P39" s="190"/>
      <c r="Q39" s="190"/>
      <c r="R39" s="190"/>
      <c r="S39" s="190"/>
      <c r="T39" s="190"/>
    </row>
    <row r="40" spans="1:20">
      <c r="A40" s="124" t="str">
        <f>IF(INDEX(VISL!A:A,MATCH(B40,VISL!B:B,0))="x","x","")</f>
        <v/>
      </c>
      <c r="B40" s="269" t="s">
        <v>705</v>
      </c>
      <c r="C40" s="269" t="s">
        <v>561</v>
      </c>
      <c r="D40" s="201"/>
      <c r="E40" s="194" t="str">
        <f t="shared" si="0"/>
        <v>--</v>
      </c>
      <c r="F40" s="122" t="str">
        <f t="shared" si="1"/>
        <v>--</v>
      </c>
      <c r="G40" s="123" t="str">
        <f t="shared" si="2"/>
        <v>--</v>
      </c>
      <c r="H40" s="124"/>
      <c r="I40" s="121">
        <f t="shared" si="3"/>
        <v>5.9999999999999995E-4</v>
      </c>
      <c r="J40" s="121" t="str">
        <f t="shared" si="4"/>
        <v>X</v>
      </c>
      <c r="K40" s="121" t="str">
        <f t="shared" si="5"/>
        <v/>
      </c>
      <c r="L40" s="121" t="str">
        <f t="shared" si="6"/>
        <v/>
      </c>
      <c r="M40" s="121" t="str">
        <f>VLOOKUP(B40,VISL!$B:$W,22,FALSE)</f>
        <v/>
      </c>
      <c r="N40" s="190"/>
      <c r="O40" s="190" t="str">
        <f t="shared" si="7"/>
        <v/>
      </c>
      <c r="P40" s="190"/>
      <c r="Q40" s="190"/>
      <c r="R40" s="190"/>
      <c r="S40" s="190"/>
      <c r="T40" s="190"/>
    </row>
    <row r="41" spans="1:20">
      <c r="A41" s="124" t="str">
        <f>IF(INDEX(VISL!A:A,MATCH(B41,VISL!B:B,0))="x","x","")</f>
        <v/>
      </c>
      <c r="B41" s="274" t="s">
        <v>706</v>
      </c>
      <c r="C41" s="269" t="s">
        <v>523</v>
      </c>
      <c r="D41" s="201"/>
      <c r="E41" s="194" t="str">
        <f t="shared" si="0"/>
        <v>--</v>
      </c>
      <c r="F41" s="122" t="str">
        <f t="shared" si="1"/>
        <v>--</v>
      </c>
      <c r="G41" s="123" t="str">
        <f t="shared" si="2"/>
        <v>--</v>
      </c>
      <c r="H41" s="124"/>
      <c r="I41" s="121" t="str">
        <f t="shared" si="3"/>
        <v/>
      </c>
      <c r="J41" s="121" t="str">
        <f t="shared" si="4"/>
        <v/>
      </c>
      <c r="K41" s="121">
        <f t="shared" si="5"/>
        <v>0.06</v>
      </c>
      <c r="L41" s="121" t="str">
        <f t="shared" si="6"/>
        <v>I</v>
      </c>
      <c r="M41" s="121" t="str">
        <f>VLOOKUP(B41,VISL!$B:$W,22,FALSE)</f>
        <v/>
      </c>
      <c r="N41" s="190"/>
      <c r="O41" s="190" t="str">
        <f t="shared" si="7"/>
        <v/>
      </c>
      <c r="P41" s="190"/>
      <c r="Q41" s="190"/>
      <c r="R41" s="190"/>
      <c r="S41" s="190"/>
      <c r="T41" s="190"/>
    </row>
    <row r="42" spans="1:20">
      <c r="A42" s="124" t="str">
        <f>IF(INDEX(VISL!A:A,MATCH(B42,VISL!B:B,0))="x","x","")</f>
        <v/>
      </c>
      <c r="B42" s="344" t="s">
        <v>1562</v>
      </c>
      <c r="C42" s="269" t="s">
        <v>1561</v>
      </c>
      <c r="D42" s="201"/>
      <c r="E42" s="194" t="str">
        <f t="shared" si="0"/>
        <v>--</v>
      </c>
      <c r="F42" s="122" t="str">
        <f t="shared" si="1"/>
        <v>--</v>
      </c>
      <c r="G42" s="123" t="str">
        <f t="shared" si="2"/>
        <v>--</v>
      </c>
      <c r="H42" s="124"/>
      <c r="I42" s="121" t="str">
        <f t="shared" si="3"/>
        <v/>
      </c>
      <c r="J42" s="121" t="str">
        <f t="shared" si="4"/>
        <v/>
      </c>
      <c r="K42" s="121">
        <f t="shared" si="5"/>
        <v>0.04</v>
      </c>
      <c r="L42" s="121" t="str">
        <f t="shared" si="6"/>
        <v>X</v>
      </c>
      <c r="M42" s="121" t="str">
        <f>VLOOKUP(B42,VISL!$B:$W,22,FALSE)</f>
        <v/>
      </c>
      <c r="N42" s="190"/>
      <c r="O42" s="190" t="str">
        <f t="shared" si="7"/>
        <v/>
      </c>
      <c r="P42" s="190"/>
      <c r="Q42" s="190"/>
      <c r="R42" s="190"/>
      <c r="S42" s="190"/>
      <c r="T42" s="190"/>
    </row>
    <row r="43" spans="1:20">
      <c r="A43" s="124" t="str">
        <f>IF(INDEX(VISL!A:A,MATCH(B43,VISL!B:B,0))="x","x","")</f>
        <v/>
      </c>
      <c r="B43" s="269" t="s">
        <v>707</v>
      </c>
      <c r="C43" s="269" t="s">
        <v>429</v>
      </c>
      <c r="D43" s="201"/>
      <c r="E43" s="194" t="str">
        <f t="shared" si="0"/>
        <v>--</v>
      </c>
      <c r="F43" s="122" t="str">
        <f t="shared" si="1"/>
        <v>--</v>
      </c>
      <c r="G43" s="123" t="str">
        <f t="shared" si="2"/>
        <v>--</v>
      </c>
      <c r="H43" s="124"/>
      <c r="I43" s="121">
        <f t="shared" si="3"/>
        <v>3.6999999999999998E-5</v>
      </c>
      <c r="J43" s="121" t="str">
        <f t="shared" si="4"/>
        <v>CA</v>
      </c>
      <c r="K43" s="121" t="str">
        <f t="shared" si="5"/>
        <v/>
      </c>
      <c r="L43" s="121" t="str">
        <f t="shared" si="6"/>
        <v/>
      </c>
      <c r="M43" s="121" t="str">
        <f>VLOOKUP(B43,VISL!$B:$W,22,FALSE)</f>
        <v/>
      </c>
      <c r="N43" s="190"/>
      <c r="O43" s="190" t="str">
        <f t="shared" si="7"/>
        <v/>
      </c>
      <c r="P43" s="190"/>
      <c r="Q43" s="190"/>
      <c r="R43" s="190"/>
      <c r="S43" s="190"/>
      <c r="T43" s="190"/>
    </row>
    <row r="44" spans="1:20">
      <c r="A44" s="124" t="str">
        <f>IF(INDEX(VISL!A:A,MATCH(B44,VISL!B:B,0))="x","x","")</f>
        <v/>
      </c>
      <c r="B44" s="269" t="s">
        <v>708</v>
      </c>
      <c r="C44" s="269" t="s">
        <v>430</v>
      </c>
      <c r="D44" s="201"/>
      <c r="E44" s="194" t="str">
        <f t="shared" si="0"/>
        <v>--</v>
      </c>
      <c r="F44" s="122" t="str">
        <f t="shared" si="1"/>
        <v>--</v>
      </c>
      <c r="G44" s="123" t="str">
        <f t="shared" si="2"/>
        <v>--</v>
      </c>
      <c r="H44" s="124"/>
      <c r="I44" s="121">
        <f t="shared" si="3"/>
        <v>1.1000000000000001E-6</v>
      </c>
      <c r="J44" s="121" t="str">
        <f t="shared" si="4"/>
        <v>I</v>
      </c>
      <c r="K44" s="121" t="str">
        <f t="shared" si="5"/>
        <v/>
      </c>
      <c r="L44" s="121" t="str">
        <f t="shared" si="6"/>
        <v/>
      </c>
      <c r="M44" s="121" t="str">
        <f>VLOOKUP(B44,VISL!$B:$W,22,FALSE)</f>
        <v/>
      </c>
      <c r="N44" s="190"/>
      <c r="O44" s="190" t="str">
        <f t="shared" si="7"/>
        <v/>
      </c>
      <c r="P44" s="190"/>
      <c r="Q44" s="190"/>
      <c r="R44" s="190"/>
      <c r="S44" s="190"/>
      <c r="T44" s="190"/>
    </row>
    <row r="45" spans="1:20">
      <c r="A45" s="124" t="str">
        <f>IF(INDEX(VISL!A:A,MATCH(B45,VISL!B:B,0))="x","x","")</f>
        <v/>
      </c>
      <c r="B45" s="269" t="s">
        <v>709</v>
      </c>
      <c r="C45" s="269" t="s">
        <v>1013</v>
      </c>
      <c r="D45" s="201"/>
      <c r="E45" s="194" t="str">
        <f t="shared" si="0"/>
        <v>--</v>
      </c>
      <c r="F45" s="122" t="str">
        <f t="shared" si="1"/>
        <v>--</v>
      </c>
      <c r="G45" s="123" t="str">
        <f t="shared" si="2"/>
        <v>--</v>
      </c>
      <c r="H45" s="124"/>
      <c r="I45" s="121" t="str">
        <f t="shared" si="3"/>
        <v/>
      </c>
      <c r="J45" s="121" t="str">
        <f t="shared" si="4"/>
        <v/>
      </c>
      <c r="K45" s="121">
        <f t="shared" si="5"/>
        <v>5.0000000000000001E-3</v>
      </c>
      <c r="L45" s="121" t="str">
        <f t="shared" si="6"/>
        <v>I</v>
      </c>
      <c r="M45" s="121" t="str">
        <f>VLOOKUP(B45,VISL!$B:$W,22,FALSE)</f>
        <v/>
      </c>
      <c r="N45" s="190"/>
      <c r="O45" s="190" t="str">
        <f t="shared" si="7"/>
        <v/>
      </c>
      <c r="P45" s="190"/>
      <c r="Q45" s="190"/>
      <c r="R45" s="190"/>
      <c r="S45" s="190"/>
      <c r="T45" s="190"/>
    </row>
    <row r="46" spans="1:20">
      <c r="A46" s="124" t="str">
        <f>IF(INDEX(VISL!A:A,MATCH(B46,VISL!B:B,0))="x","x","")</f>
        <v/>
      </c>
      <c r="B46" s="344" t="s">
        <v>713</v>
      </c>
      <c r="C46" s="269" t="s">
        <v>1017</v>
      </c>
      <c r="D46" s="201"/>
      <c r="E46" s="194" t="str">
        <f t="shared" si="0"/>
        <v>--</v>
      </c>
      <c r="F46" s="122" t="str">
        <f t="shared" si="1"/>
        <v>--</v>
      </c>
      <c r="G46" s="123" t="str">
        <f t="shared" si="2"/>
        <v>--</v>
      </c>
      <c r="H46" s="124"/>
      <c r="I46" s="121">
        <f t="shared" si="3"/>
        <v>3.0000000000000001E-5</v>
      </c>
      <c r="J46" s="121" t="str">
        <f t="shared" si="4"/>
        <v>I</v>
      </c>
      <c r="K46" s="121">
        <f t="shared" si="5"/>
        <v>2E-3</v>
      </c>
      <c r="L46" s="121" t="str">
        <f t="shared" si="6"/>
        <v>I</v>
      </c>
      <c r="M46" s="121" t="str">
        <f>VLOOKUP(B46,VISL!$B:$W,22,FALSE)</f>
        <v/>
      </c>
      <c r="N46" s="190"/>
      <c r="O46" s="190" t="str">
        <f t="shared" si="7"/>
        <v/>
      </c>
      <c r="P46" s="190"/>
      <c r="Q46" s="190"/>
      <c r="R46" s="190"/>
      <c r="S46" s="190"/>
      <c r="T46" s="190"/>
    </row>
    <row r="47" spans="1:20">
      <c r="A47" s="124" t="str">
        <f>IF(INDEX(VISL!A:A,MATCH(B47,VISL!B:B,0))="x","x","")</f>
        <v/>
      </c>
      <c r="B47" s="344" t="s">
        <v>716</v>
      </c>
      <c r="C47" s="269" t="s">
        <v>562</v>
      </c>
      <c r="D47" s="201"/>
      <c r="E47" s="194" t="str">
        <f t="shared" si="0"/>
        <v>--</v>
      </c>
      <c r="F47" s="122" t="str">
        <f t="shared" si="1"/>
        <v>--</v>
      </c>
      <c r="G47" s="123" t="str">
        <f t="shared" si="2"/>
        <v>--</v>
      </c>
      <c r="H47" s="124"/>
      <c r="I47" s="121" t="str">
        <f t="shared" si="3"/>
        <v/>
      </c>
      <c r="J47" s="121" t="str">
        <f t="shared" si="4"/>
        <v/>
      </c>
      <c r="K47" s="121">
        <f t="shared" si="5"/>
        <v>30</v>
      </c>
      <c r="L47" s="121" t="str">
        <f t="shared" si="6"/>
        <v>P</v>
      </c>
      <c r="M47" s="121" t="str">
        <f>VLOOKUP(B47,VISL!$B:$W,22,FALSE)</f>
        <v/>
      </c>
      <c r="N47" s="190"/>
      <c r="O47" s="190" t="str">
        <f t="shared" si="7"/>
        <v/>
      </c>
      <c r="P47" s="190"/>
      <c r="Q47" s="190"/>
      <c r="R47" s="190"/>
      <c r="S47" s="190"/>
      <c r="T47" s="190"/>
    </row>
    <row r="48" spans="1:20">
      <c r="A48" s="124" t="str">
        <f>IF(INDEX(VISL!A:A,MATCH(B48,VISL!B:B,0))="x","x","")</f>
        <v/>
      </c>
      <c r="B48" s="269" t="s">
        <v>727</v>
      </c>
      <c r="C48" s="269" t="s">
        <v>1025</v>
      </c>
      <c r="D48" s="201"/>
      <c r="E48" s="194" t="str">
        <f t="shared" si="0"/>
        <v>--</v>
      </c>
      <c r="F48" s="122" t="str">
        <f t="shared" si="1"/>
        <v>--</v>
      </c>
      <c r="G48" s="123" t="str">
        <f t="shared" si="2"/>
        <v>--</v>
      </c>
      <c r="H48" s="124"/>
      <c r="I48" s="121" t="str">
        <f t="shared" si="3"/>
        <v/>
      </c>
      <c r="J48" s="121" t="str">
        <f t="shared" si="4"/>
        <v/>
      </c>
      <c r="K48" s="121">
        <f t="shared" si="5"/>
        <v>0.7</v>
      </c>
      <c r="L48" s="121" t="str">
        <f t="shared" si="6"/>
        <v>I</v>
      </c>
      <c r="M48" s="121" t="str">
        <f>VLOOKUP(B48,VISL!$B:$W,22,FALSE)</f>
        <v/>
      </c>
      <c r="N48" s="190"/>
      <c r="O48" s="190" t="str">
        <f t="shared" si="7"/>
        <v/>
      </c>
      <c r="P48" s="190"/>
      <c r="Q48" s="190"/>
      <c r="R48" s="190"/>
      <c r="S48" s="190"/>
      <c r="T48" s="190"/>
    </row>
    <row r="49" spans="1:20">
      <c r="A49" s="124" t="str">
        <f>IF(INDEX(VISL!A:A,MATCH(B49,VISL!B:B,0))="x","x","")</f>
        <v/>
      </c>
      <c r="B49" s="344" t="s">
        <v>728</v>
      </c>
      <c r="C49" s="269" t="s">
        <v>1026</v>
      </c>
      <c r="D49" s="201"/>
      <c r="E49" s="194" t="str">
        <f t="shared" si="0"/>
        <v>--</v>
      </c>
      <c r="F49" s="122" t="str">
        <f t="shared" si="1"/>
        <v>--</v>
      </c>
      <c r="G49" s="123" t="str">
        <f t="shared" si="2"/>
        <v>--</v>
      </c>
      <c r="H49" s="124"/>
      <c r="I49" s="121">
        <f t="shared" si="3"/>
        <v>6.0000000000000002E-6</v>
      </c>
      <c r="J49" s="121" t="str">
        <f t="shared" si="4"/>
        <v>I</v>
      </c>
      <c r="K49" s="121">
        <f t="shared" si="5"/>
        <v>0.1</v>
      </c>
      <c r="L49" s="121" t="str">
        <f t="shared" si="6"/>
        <v>I</v>
      </c>
      <c r="M49" s="121" t="str">
        <f>VLOOKUP(B49,VISL!$B:$W,22,FALSE)</f>
        <v/>
      </c>
      <c r="N49" s="190"/>
      <c r="O49" s="190" t="str">
        <f t="shared" si="7"/>
        <v/>
      </c>
      <c r="P49" s="190"/>
      <c r="Q49" s="190"/>
      <c r="R49" s="190"/>
      <c r="S49" s="190"/>
      <c r="T49" s="190"/>
    </row>
    <row r="50" spans="1:20">
      <c r="A50" s="124" t="str">
        <f>IF(INDEX(VISL!A:A,MATCH(B50,VISL!B:B,0))="x","x","")</f>
        <v/>
      </c>
      <c r="B50" s="344" t="s">
        <v>2280</v>
      </c>
      <c r="C50" s="269" t="s">
        <v>2281</v>
      </c>
      <c r="D50" s="201"/>
      <c r="E50" s="194" t="str">
        <f t="shared" si="0"/>
        <v>--</v>
      </c>
      <c r="F50" s="122" t="str">
        <f t="shared" si="1"/>
        <v>--</v>
      </c>
      <c r="G50" s="123" t="str">
        <f t="shared" si="2"/>
        <v>--</v>
      </c>
      <c r="H50" s="124"/>
      <c r="I50" s="121" t="str">
        <f t="shared" si="3"/>
        <v/>
      </c>
      <c r="J50" s="121" t="str">
        <f t="shared" si="4"/>
        <v/>
      </c>
      <c r="K50" s="121">
        <f t="shared" si="5"/>
        <v>0.1</v>
      </c>
      <c r="L50" s="121" t="str">
        <f t="shared" si="6"/>
        <v>P</v>
      </c>
      <c r="M50" s="121" t="str">
        <f>VLOOKUP(B50,VISL!$B:$W,22,FALSE)</f>
        <v/>
      </c>
      <c r="N50" s="190"/>
      <c r="O50" s="190" t="str">
        <f t="shared" si="7"/>
        <v/>
      </c>
      <c r="P50" s="190"/>
      <c r="Q50" s="190"/>
      <c r="R50" s="190"/>
      <c r="S50" s="190"/>
      <c r="T50" s="190"/>
    </row>
    <row r="51" spans="1:20">
      <c r="A51" s="124" t="str">
        <f>IF(INDEX(VISL!A:A,MATCH(B51,VISL!B:B,0))="x","x","")</f>
        <v/>
      </c>
      <c r="B51" s="344" t="s">
        <v>735</v>
      </c>
      <c r="C51" s="269" t="s">
        <v>431</v>
      </c>
      <c r="D51" s="201"/>
      <c r="E51" s="194" t="str">
        <f t="shared" si="0"/>
        <v>--</v>
      </c>
      <c r="F51" s="122" t="str">
        <f t="shared" si="1"/>
        <v>--</v>
      </c>
      <c r="G51" s="123" t="str">
        <f t="shared" si="2"/>
        <v>--</v>
      </c>
      <c r="H51" s="124"/>
      <c r="I51" s="121">
        <f t="shared" si="3"/>
        <v>1E-4</v>
      </c>
      <c r="J51" s="121" t="str">
        <f t="shared" si="4"/>
        <v>I</v>
      </c>
      <c r="K51" s="121">
        <f t="shared" si="5"/>
        <v>6.9999999999999999E-4</v>
      </c>
      <c r="L51" s="121" t="str">
        <f t="shared" si="6"/>
        <v>I</v>
      </c>
      <c r="M51" s="121" t="str">
        <f>VLOOKUP(B51,VISL!$B:$W,22,FALSE)</f>
        <v/>
      </c>
      <c r="N51" s="190"/>
      <c r="O51" s="190" t="str">
        <f t="shared" si="7"/>
        <v/>
      </c>
      <c r="P51" s="190"/>
      <c r="Q51" s="190"/>
      <c r="R51" s="190"/>
      <c r="S51" s="190"/>
      <c r="T51" s="190"/>
    </row>
    <row r="52" spans="1:20">
      <c r="A52" s="124" t="str">
        <f>IF(INDEX(VISL!A:A,MATCH(B52,VISL!B:B,0))="x","x","")</f>
        <v/>
      </c>
      <c r="B52" s="344" t="s">
        <v>739</v>
      </c>
      <c r="C52" s="269" t="s">
        <v>1034</v>
      </c>
      <c r="D52" s="201"/>
      <c r="E52" s="194" t="str">
        <f t="shared" si="0"/>
        <v>--</v>
      </c>
      <c r="F52" s="122" t="str">
        <f t="shared" si="1"/>
        <v>--</v>
      </c>
      <c r="G52" s="123" t="str">
        <f t="shared" si="2"/>
        <v>--</v>
      </c>
      <c r="H52" s="124"/>
      <c r="I52" s="121" t="str">
        <f t="shared" si="3"/>
        <v/>
      </c>
      <c r="J52" s="121" t="str">
        <f t="shared" si="4"/>
        <v/>
      </c>
      <c r="K52" s="121">
        <f t="shared" si="5"/>
        <v>1.4999999999999999E-4</v>
      </c>
      <c r="L52" s="121" t="str">
        <f t="shared" si="6"/>
        <v>A</v>
      </c>
      <c r="M52" s="121" t="str">
        <f>VLOOKUP(B52,VISL!$B:$W,22,FALSE)</f>
        <v/>
      </c>
      <c r="N52" s="190"/>
      <c r="O52" s="190" t="str">
        <f t="shared" si="7"/>
        <v/>
      </c>
      <c r="P52" s="190"/>
      <c r="Q52" s="190"/>
      <c r="R52" s="190"/>
      <c r="S52" s="190"/>
      <c r="T52" s="190"/>
    </row>
    <row r="53" spans="1:20">
      <c r="A53" s="124" t="str">
        <f>IF(INDEX(VISL!A:A,MATCH(B53,VISL!B:B,0))="x","x","")</f>
        <v/>
      </c>
      <c r="B53" s="269" t="s">
        <v>740</v>
      </c>
      <c r="C53" s="269" t="s">
        <v>1035</v>
      </c>
      <c r="D53" s="201"/>
      <c r="E53" s="194" t="str">
        <f t="shared" si="0"/>
        <v>--</v>
      </c>
      <c r="F53" s="122" t="str">
        <f t="shared" si="1"/>
        <v>--</v>
      </c>
      <c r="G53" s="123" t="str">
        <f t="shared" si="2"/>
        <v>--</v>
      </c>
      <c r="H53" s="124"/>
      <c r="I53" s="121" t="str">
        <f t="shared" si="3"/>
        <v/>
      </c>
      <c r="J53" s="121" t="str">
        <f t="shared" si="4"/>
        <v/>
      </c>
      <c r="K53" s="121">
        <f t="shared" si="5"/>
        <v>2.0000000000000001E-4</v>
      </c>
      <c r="L53" s="121" t="str">
        <f t="shared" si="6"/>
        <v>I</v>
      </c>
      <c r="M53" s="121" t="str">
        <f>VLOOKUP(B53,VISL!$B:$W,22,FALSE)</f>
        <v/>
      </c>
      <c r="N53" s="190"/>
      <c r="O53" s="190" t="str">
        <f t="shared" si="7"/>
        <v/>
      </c>
      <c r="P53" s="190"/>
      <c r="Q53" s="190"/>
      <c r="R53" s="190"/>
      <c r="S53" s="190"/>
      <c r="T53" s="190"/>
    </row>
    <row r="54" spans="1:20">
      <c r="A54" s="124" t="str">
        <f>IF(INDEX(VISL!A:A,MATCH(B54,VISL!B:B,0))="x","x","")</f>
        <v/>
      </c>
      <c r="B54" s="344" t="s">
        <v>742</v>
      </c>
      <c r="C54" s="269" t="s">
        <v>1037</v>
      </c>
      <c r="D54" s="201"/>
      <c r="E54" s="194" t="str">
        <f t="shared" si="0"/>
        <v>--</v>
      </c>
      <c r="F54" s="122" t="str">
        <f t="shared" si="1"/>
        <v>--</v>
      </c>
      <c r="G54" s="123" t="str">
        <f t="shared" si="2"/>
        <v>--</v>
      </c>
      <c r="H54" s="124"/>
      <c r="I54" s="121" t="str">
        <f t="shared" si="3"/>
        <v/>
      </c>
      <c r="J54" s="121" t="str">
        <f t="shared" si="4"/>
        <v/>
      </c>
      <c r="K54" s="121">
        <f t="shared" si="5"/>
        <v>50</v>
      </c>
      <c r="L54" s="121" t="str">
        <f t="shared" si="6"/>
        <v>I</v>
      </c>
      <c r="M54" s="121" t="str">
        <f>VLOOKUP(B54,VISL!$B:$W,22,FALSE)</f>
        <v/>
      </c>
      <c r="N54" s="190"/>
      <c r="O54" s="190" t="str">
        <f t="shared" si="7"/>
        <v/>
      </c>
      <c r="P54" s="190"/>
      <c r="Q54" s="190"/>
      <c r="R54" s="190"/>
      <c r="S54" s="190"/>
      <c r="T54" s="190"/>
    </row>
    <row r="55" spans="1:20">
      <c r="A55" s="124" t="str">
        <f>IF(INDEX(VISL!A:A,MATCH(B55,VISL!B:B,0))="x","x","")</f>
        <v/>
      </c>
      <c r="B55" s="344" t="s">
        <v>743</v>
      </c>
      <c r="C55" s="269" t="s">
        <v>1038</v>
      </c>
      <c r="D55" s="201"/>
      <c r="E55" s="194" t="str">
        <f t="shared" si="0"/>
        <v>--</v>
      </c>
      <c r="F55" s="122" t="str">
        <f t="shared" si="1"/>
        <v>--</v>
      </c>
      <c r="G55" s="123" t="str">
        <f t="shared" si="2"/>
        <v>--</v>
      </c>
      <c r="H55" s="124"/>
      <c r="I55" s="121">
        <f t="shared" si="3"/>
        <v>2.9999999999999997E-4</v>
      </c>
      <c r="J55" s="121" t="str">
        <f t="shared" si="4"/>
        <v>I</v>
      </c>
      <c r="K55" s="121">
        <f t="shared" si="5"/>
        <v>0.02</v>
      </c>
      <c r="L55" s="121" t="str">
        <f t="shared" si="6"/>
        <v>I</v>
      </c>
      <c r="M55" s="121" t="str">
        <f>VLOOKUP(B55,VISL!$B:$W,22,FALSE)</f>
        <v/>
      </c>
      <c r="N55" s="190"/>
      <c r="O55" s="190" t="str">
        <f t="shared" si="7"/>
        <v/>
      </c>
      <c r="P55" s="190"/>
      <c r="Q55" s="190"/>
      <c r="R55" s="190"/>
      <c r="S55" s="190"/>
      <c r="T55" s="190"/>
    </row>
    <row r="56" spans="1:20">
      <c r="A56" s="124" t="str">
        <f>IF(INDEX(VISL!A:A,MATCH(B56,VISL!B:B,0))="x","x","")</f>
        <v/>
      </c>
      <c r="B56" s="269" t="s">
        <v>750</v>
      </c>
      <c r="C56" s="269" t="s">
        <v>432</v>
      </c>
      <c r="D56" s="201"/>
      <c r="E56" s="194" t="str">
        <f t="shared" si="0"/>
        <v>--</v>
      </c>
      <c r="F56" s="122" t="str">
        <f t="shared" si="1"/>
        <v>--</v>
      </c>
      <c r="G56" s="123" t="str">
        <f t="shared" si="2"/>
        <v>--</v>
      </c>
      <c r="H56" s="124"/>
      <c r="I56" s="121" t="str">
        <f t="shared" ref="I56:I84" si="8">IF(INDEX(IUR,MATCH(B56,CASNoTox,0))=" ","",IF(M56="TCE","see note",INDEX(IUR,MATCH(B56,CASNoTox,0))))</f>
        <v/>
      </c>
      <c r="J56" s="121" t="str">
        <f t="shared" ref="J56:J84" si="9">IF(INDEX(IURSource,MATCH(B56,CASNoTox,0))="","",SUBSTITUTE(INDEX(IURSource,MATCH(B56,CASNoTox,0)),"C","CA"))</f>
        <v/>
      </c>
      <c r="K56" s="121">
        <f t="shared" ref="K56:K84" si="10">IF(INDEX(RFC,MATCH(B56,CASNoTox,0))=" ","",INDEX(RFC,MATCH(B56,CASNoTox,0)))</f>
        <v>0.05</v>
      </c>
      <c r="L56" s="121" t="str">
        <f t="shared" ref="L56:L84" si="11">IF(INDEX(RFCSource,MATCH(B56,CASNoTox,0))="","",SUBSTITUTE(INDEX(RFCSource,MATCH(B56,CASNoTox,0)),"C","CA"))</f>
        <v>P</v>
      </c>
      <c r="M56" s="121" t="str">
        <f>VLOOKUP(B56,VISL!$B:$W,22,FALSE)</f>
        <v/>
      </c>
      <c r="N56" s="190"/>
      <c r="O56" s="190" t="str">
        <f t="shared" si="7"/>
        <v/>
      </c>
      <c r="P56" s="190"/>
      <c r="Q56" s="190"/>
      <c r="R56" s="190"/>
      <c r="S56" s="190"/>
      <c r="T56" s="190"/>
    </row>
    <row r="57" spans="1:20">
      <c r="A57" s="124" t="str">
        <f>IF(INDEX(VISL!A:A,MATCH(B57,VISL!B:B,0))="x","x","")</f>
        <v/>
      </c>
      <c r="B57" s="269" t="s">
        <v>753</v>
      </c>
      <c r="C57" s="269" t="s">
        <v>1044</v>
      </c>
      <c r="D57" s="201"/>
      <c r="E57" s="194" t="str">
        <f t="shared" si="0"/>
        <v>--</v>
      </c>
      <c r="F57" s="122" t="str">
        <f t="shared" si="1"/>
        <v>--</v>
      </c>
      <c r="G57" s="123" t="str">
        <f t="shared" si="2"/>
        <v>--</v>
      </c>
      <c r="H57" s="124"/>
      <c r="I57" s="121" t="str">
        <f t="shared" si="8"/>
        <v/>
      </c>
      <c r="J57" s="121" t="str">
        <f t="shared" si="9"/>
        <v/>
      </c>
      <c r="K57" s="121">
        <f t="shared" si="10"/>
        <v>0.3</v>
      </c>
      <c r="L57" s="121" t="str">
        <f t="shared" si="11"/>
        <v>P</v>
      </c>
      <c r="M57" s="121" t="str">
        <f>VLOOKUP(B57,VISL!$B:$W,22,FALSE)</f>
        <v/>
      </c>
      <c r="N57" s="190"/>
      <c r="O57" s="190" t="str">
        <f t="shared" si="7"/>
        <v/>
      </c>
      <c r="P57" s="190"/>
      <c r="Q57" s="190"/>
      <c r="R57" s="190"/>
      <c r="S57" s="190"/>
      <c r="T57" s="190"/>
    </row>
    <row r="58" spans="1:20">
      <c r="A58" s="124" t="str">
        <f>IF(INDEX(VISL!A:A,MATCH(B58,VISL!B:B,0))="x","x","")</f>
        <v/>
      </c>
      <c r="B58" s="269" t="s">
        <v>755</v>
      </c>
      <c r="C58" s="269" t="s">
        <v>1436</v>
      </c>
      <c r="D58" s="201"/>
      <c r="E58" s="194" t="str">
        <f t="shared" si="0"/>
        <v>--</v>
      </c>
      <c r="F58" s="122" t="str">
        <f t="shared" si="1"/>
        <v>--</v>
      </c>
      <c r="G58" s="123" t="str">
        <f t="shared" si="2"/>
        <v>--</v>
      </c>
      <c r="H58" s="124"/>
      <c r="I58" s="121" t="str">
        <f t="shared" si="8"/>
        <v/>
      </c>
      <c r="J58" s="121" t="str">
        <f t="shared" si="9"/>
        <v/>
      </c>
      <c r="K58" s="121">
        <f t="shared" si="10"/>
        <v>50</v>
      </c>
      <c r="L58" s="121" t="str">
        <f t="shared" si="11"/>
        <v>I</v>
      </c>
      <c r="M58" s="121" t="str">
        <f>VLOOKUP(B58,VISL!$B:$W,22,FALSE)</f>
        <v/>
      </c>
      <c r="N58" s="190"/>
      <c r="O58" s="190" t="str">
        <f t="shared" si="7"/>
        <v/>
      </c>
      <c r="P58" s="190"/>
      <c r="Q58" s="190"/>
      <c r="R58" s="190"/>
      <c r="S58" s="190"/>
      <c r="T58" s="190"/>
    </row>
    <row r="59" spans="1:20">
      <c r="A59" s="124" t="str">
        <f>IF(INDEX(VISL!A:A,MATCH(B59,VISL!B:B,0))="x","x","")</f>
        <v/>
      </c>
      <c r="B59" s="344" t="s">
        <v>756</v>
      </c>
      <c r="C59" s="269" t="s">
        <v>434</v>
      </c>
      <c r="D59" s="201"/>
      <c r="E59" s="194" t="str">
        <f t="shared" si="0"/>
        <v>--</v>
      </c>
      <c r="F59" s="122" t="str">
        <f t="shared" si="1"/>
        <v>--</v>
      </c>
      <c r="G59" s="123" t="str">
        <f t="shared" si="2"/>
        <v>--</v>
      </c>
      <c r="H59" s="124"/>
      <c r="I59" s="121">
        <f t="shared" si="8"/>
        <v>2.3E-5</v>
      </c>
      <c r="J59" s="121" t="str">
        <f t="shared" si="9"/>
        <v>I</v>
      </c>
      <c r="K59" s="121">
        <f t="shared" si="10"/>
        <v>9.8000000000000004E-2</v>
      </c>
      <c r="L59" s="121" t="str">
        <f t="shared" si="11"/>
        <v>A</v>
      </c>
      <c r="M59" s="121" t="str">
        <f>VLOOKUP(B59,VISL!$B:$W,22,FALSE)</f>
        <v/>
      </c>
      <c r="N59" s="190"/>
      <c r="O59" s="190" t="str">
        <f t="shared" si="7"/>
        <v/>
      </c>
      <c r="P59" s="190"/>
      <c r="Q59" s="190"/>
      <c r="R59" s="190"/>
      <c r="S59" s="190"/>
      <c r="T59" s="190"/>
    </row>
    <row r="60" spans="1:20">
      <c r="A60" s="124" t="str">
        <f>IF(INDEX(VISL!A:A,MATCH(B60,VISL!B:B,0))="x","x","")</f>
        <v/>
      </c>
      <c r="B60" s="269" t="s">
        <v>757</v>
      </c>
      <c r="C60" s="269" t="s">
        <v>1046</v>
      </c>
      <c r="D60" s="201"/>
      <c r="E60" s="194" t="str">
        <f t="shared" si="0"/>
        <v>--</v>
      </c>
      <c r="F60" s="122" t="str">
        <f t="shared" si="1"/>
        <v>--</v>
      </c>
      <c r="G60" s="123" t="str">
        <f t="shared" si="2"/>
        <v>--</v>
      </c>
      <c r="H60" s="124"/>
      <c r="I60" s="121" t="str">
        <f t="shared" si="8"/>
        <v/>
      </c>
      <c r="J60" s="121" t="str">
        <f t="shared" si="9"/>
        <v/>
      </c>
      <c r="K60" s="121">
        <f t="shared" si="10"/>
        <v>0.09</v>
      </c>
      <c r="L60" s="121" t="str">
        <f t="shared" si="11"/>
        <v>I</v>
      </c>
      <c r="M60" s="121" t="str">
        <f>VLOOKUP(B60,VISL!$B:$W,22,FALSE)</f>
        <v/>
      </c>
      <c r="N60" s="190"/>
      <c r="O60" s="190" t="str">
        <f t="shared" si="7"/>
        <v/>
      </c>
      <c r="P60" s="190"/>
      <c r="Q60" s="190"/>
      <c r="R60" s="190"/>
      <c r="S60" s="190"/>
      <c r="T60" s="190"/>
    </row>
    <row r="61" spans="1:20">
      <c r="A61" s="124" t="str">
        <f>IF(INDEX(VISL!A:A,MATCH(B61,VISL!B:B,0))="x","x","")</f>
        <v/>
      </c>
      <c r="B61" s="344" t="s">
        <v>758</v>
      </c>
      <c r="C61" s="269" t="s">
        <v>567</v>
      </c>
      <c r="D61" s="201"/>
      <c r="E61" s="194" t="str">
        <f t="shared" si="0"/>
        <v>--</v>
      </c>
      <c r="F61" s="122" t="str">
        <f t="shared" si="1"/>
        <v>--</v>
      </c>
      <c r="G61" s="123" t="str">
        <f t="shared" si="2"/>
        <v>--</v>
      </c>
      <c r="H61" s="124"/>
      <c r="I61" s="121">
        <f t="shared" si="8"/>
        <v>6.8999999999999997E-4</v>
      </c>
      <c r="J61" s="121" t="str">
        <f t="shared" si="9"/>
        <v>CA</v>
      </c>
      <c r="K61" s="121" t="str">
        <f t="shared" si="10"/>
        <v/>
      </c>
      <c r="L61" s="121" t="str">
        <f t="shared" si="11"/>
        <v/>
      </c>
      <c r="M61" s="121" t="str">
        <f>VLOOKUP(B61,VISL!$B:$W,22,FALSE)</f>
        <v/>
      </c>
      <c r="N61" s="190"/>
      <c r="O61" s="190" t="str">
        <f t="shared" si="7"/>
        <v/>
      </c>
      <c r="P61" s="190"/>
      <c r="Q61" s="190"/>
      <c r="R61" s="190"/>
      <c r="S61" s="190"/>
      <c r="T61" s="190"/>
    </row>
    <row r="62" spans="1:20">
      <c r="A62" s="124" t="str">
        <f>IF(INDEX(VISL!A:A,MATCH(B62,VISL!B:B,0))="x","x","")</f>
        <v/>
      </c>
      <c r="B62" s="344" t="s">
        <v>763</v>
      </c>
      <c r="C62" s="269" t="s">
        <v>568</v>
      </c>
      <c r="D62" s="201"/>
      <c r="E62" s="194" t="str">
        <f t="shared" si="0"/>
        <v>--</v>
      </c>
      <c r="F62" s="122" t="str">
        <f t="shared" si="1"/>
        <v>--</v>
      </c>
      <c r="G62" s="123" t="str">
        <f t="shared" si="2"/>
        <v>--</v>
      </c>
      <c r="H62" s="124"/>
      <c r="I62" s="121" t="str">
        <f t="shared" si="8"/>
        <v/>
      </c>
      <c r="J62" s="121" t="str">
        <f t="shared" si="9"/>
        <v/>
      </c>
      <c r="K62" s="121">
        <f t="shared" si="10"/>
        <v>4.0000000000000002E-4</v>
      </c>
      <c r="L62" s="121" t="str">
        <f t="shared" si="11"/>
        <v>CA</v>
      </c>
      <c r="M62" s="121" t="str">
        <f>VLOOKUP(B62,VISL!$B:$W,22,FALSE)</f>
        <v/>
      </c>
      <c r="N62" s="190"/>
      <c r="O62" s="190" t="str">
        <f t="shared" si="7"/>
        <v/>
      </c>
      <c r="P62" s="190"/>
      <c r="Q62" s="190"/>
      <c r="R62" s="190"/>
      <c r="S62" s="190"/>
      <c r="T62" s="190"/>
    </row>
    <row r="63" spans="1:20">
      <c r="A63" s="124" t="str">
        <f>IF(INDEX(VISL!A:A,MATCH(B63,VISL!B:B,0))="x","x","")</f>
        <v/>
      </c>
      <c r="B63" s="344" t="s">
        <v>777</v>
      </c>
      <c r="C63" s="269" t="s">
        <v>1054</v>
      </c>
      <c r="D63" s="201"/>
      <c r="E63" s="194" t="str">
        <f t="shared" si="0"/>
        <v>--</v>
      </c>
      <c r="F63" s="122" t="str">
        <f t="shared" si="1"/>
        <v>--</v>
      </c>
      <c r="G63" s="123" t="str">
        <f t="shared" si="2"/>
        <v>--</v>
      </c>
      <c r="H63" s="124"/>
      <c r="I63" s="121">
        <f t="shared" si="8"/>
        <v>6.2E-4</v>
      </c>
      <c r="J63" s="121" t="str">
        <f t="shared" si="9"/>
        <v>I</v>
      </c>
      <c r="K63" s="121" t="str">
        <f t="shared" si="10"/>
        <v/>
      </c>
      <c r="L63" s="121" t="str">
        <f t="shared" si="11"/>
        <v/>
      </c>
      <c r="M63" s="121" t="str">
        <f>VLOOKUP(B63,VISL!$B:$W,22,FALSE)</f>
        <v>Mut</v>
      </c>
      <c r="N63" s="190"/>
      <c r="O63" s="190" t="str">
        <f t="shared" si="7"/>
        <v/>
      </c>
      <c r="P63" s="190"/>
      <c r="Q63" s="190"/>
      <c r="R63" s="190"/>
      <c r="S63" s="190"/>
      <c r="T63" s="190"/>
    </row>
    <row r="64" spans="1:20">
      <c r="A64" s="124" t="str">
        <f>IF(INDEX(VISL!A:A,MATCH(B64,VISL!B:B,0))="x","x","")</f>
        <v/>
      </c>
      <c r="B64" s="344" t="s">
        <v>785</v>
      </c>
      <c r="C64" s="269" t="s">
        <v>1437</v>
      </c>
      <c r="D64" s="201"/>
      <c r="E64" s="194" t="str">
        <f t="shared" si="0"/>
        <v>--</v>
      </c>
      <c r="F64" s="122" t="str">
        <f t="shared" si="1"/>
        <v>--</v>
      </c>
      <c r="G64" s="123" t="str">
        <f t="shared" si="2"/>
        <v>--</v>
      </c>
      <c r="H64" s="124"/>
      <c r="I64" s="121" t="str">
        <f t="shared" si="8"/>
        <v/>
      </c>
      <c r="J64" s="121" t="str">
        <f t="shared" si="9"/>
        <v/>
      </c>
      <c r="K64" s="121">
        <f t="shared" si="10"/>
        <v>0.4</v>
      </c>
      <c r="L64" s="121" t="str">
        <f t="shared" si="11"/>
        <v>I</v>
      </c>
      <c r="M64" s="121" t="str">
        <f>VLOOKUP(B64,VISL!$B:$W,22,FALSE)</f>
        <v/>
      </c>
      <c r="N64" s="190"/>
      <c r="O64" s="190" t="str">
        <f t="shared" si="7"/>
        <v/>
      </c>
      <c r="P64" s="190"/>
      <c r="Q64" s="190"/>
      <c r="R64" s="190"/>
      <c r="S64" s="190"/>
      <c r="T64" s="190"/>
    </row>
    <row r="65" spans="1:20">
      <c r="A65" s="124" t="str">
        <f>IF(INDEX(VISL!A:A,MATCH(B65,VISL!B:B,0))="x","x","")</f>
        <v/>
      </c>
      <c r="B65" s="344" t="s">
        <v>790</v>
      </c>
      <c r="C65" s="269" t="s">
        <v>2236</v>
      </c>
      <c r="D65" s="201"/>
      <c r="E65" s="194" t="str">
        <f t="shared" si="0"/>
        <v>--</v>
      </c>
      <c r="F65" s="122" t="str">
        <f t="shared" si="1"/>
        <v>--</v>
      </c>
      <c r="G65" s="123" t="str">
        <f t="shared" si="2"/>
        <v>--</v>
      </c>
      <c r="H65" s="124"/>
      <c r="I65" s="121" t="str">
        <f t="shared" si="8"/>
        <v/>
      </c>
      <c r="J65" s="121" t="str">
        <f t="shared" si="9"/>
        <v/>
      </c>
      <c r="K65" s="121">
        <f t="shared" si="10"/>
        <v>8.0000000000000004E-4</v>
      </c>
      <c r="L65" s="121" t="str">
        <f t="shared" si="11"/>
        <v>S</v>
      </c>
      <c r="M65" s="121" t="str">
        <f>VLOOKUP(B65,VISL!$B:$W,22,FALSE)</f>
        <v/>
      </c>
      <c r="N65" s="190"/>
      <c r="O65" s="190" t="str">
        <f t="shared" si="7"/>
        <v/>
      </c>
      <c r="P65" s="190"/>
      <c r="Q65" s="190"/>
      <c r="R65" s="190"/>
      <c r="S65" s="190"/>
      <c r="T65" s="190"/>
    </row>
    <row r="66" spans="1:20">
      <c r="A66" s="124" t="str">
        <f>IF(INDEX(VISL!A:A,MATCH(B66,VISL!B:B,0))="x","x","")</f>
        <v/>
      </c>
      <c r="B66" s="344" t="s">
        <v>801</v>
      </c>
      <c r="C66" s="269" t="s">
        <v>1062</v>
      </c>
      <c r="D66" s="201"/>
      <c r="E66" s="194" t="str">
        <f t="shared" si="0"/>
        <v>--</v>
      </c>
      <c r="F66" s="122" t="str">
        <f t="shared" si="1"/>
        <v>--</v>
      </c>
      <c r="G66" s="123" t="str">
        <f t="shared" si="2"/>
        <v>--</v>
      </c>
      <c r="H66" s="124"/>
      <c r="I66" s="121" t="str">
        <f>IF(INDEX(IUR,MATCH(B66,CASNoTox,0))=" ","",IF(M66="TCE","see note",INDEX(IUR,MATCH(B66,CASNoTox,0))))</f>
        <v/>
      </c>
      <c r="J66" s="121" t="str">
        <f>IF(INDEX(IURSource,MATCH(B66,CASNoTox,0))="","",SUBSTITUTE(INDEX(IURSource,MATCH(B66,CASNoTox,0)),"C","CA"))</f>
        <v/>
      </c>
      <c r="K66" s="121">
        <f>IF(INDEX(RFC,MATCH(B66,CASNoTox,0))=" ","",INDEX(RFC,MATCH(B66,CASNoTox,0)))</f>
        <v>6</v>
      </c>
      <c r="L66" s="121" t="str">
        <f>IF(INDEX(RFCSource,MATCH(B66,CASNoTox,0))="","",SUBSTITUTE(INDEX(RFCSource,MATCH(B66,CASNoTox,0)),"C","CA"))</f>
        <v>I</v>
      </c>
      <c r="M66" s="121" t="str">
        <f>VLOOKUP(B66,VISL!$B:$W,22,FALSE)</f>
        <v/>
      </c>
      <c r="N66" s="190"/>
      <c r="O66" s="190" t="str">
        <f t="shared" si="7"/>
        <v/>
      </c>
      <c r="P66" s="190"/>
      <c r="Q66" s="190"/>
      <c r="R66" s="190"/>
      <c r="S66" s="190"/>
      <c r="T66" s="190"/>
    </row>
    <row r="67" spans="1:20">
      <c r="A67" s="124" t="str">
        <f>IF(INDEX(VISL!A:A,MATCH(B67,VISL!B:B,0))="x","x","")</f>
        <v/>
      </c>
      <c r="B67" s="344" t="s">
        <v>803</v>
      </c>
      <c r="C67" s="269" t="s">
        <v>1064</v>
      </c>
      <c r="D67" s="201"/>
      <c r="E67" s="194" t="str">
        <f t="shared" si="0"/>
        <v>--</v>
      </c>
      <c r="F67" s="122" t="str">
        <f t="shared" si="1"/>
        <v>--</v>
      </c>
      <c r="G67" s="123" t="str">
        <f t="shared" si="2"/>
        <v>--</v>
      </c>
      <c r="H67" s="124"/>
      <c r="I67" s="121" t="str">
        <f t="shared" si="8"/>
        <v/>
      </c>
      <c r="J67" s="121" t="str">
        <f t="shared" si="9"/>
        <v/>
      </c>
      <c r="K67" s="121">
        <f t="shared" si="10"/>
        <v>0.7</v>
      </c>
      <c r="L67" s="121" t="str">
        <f t="shared" si="11"/>
        <v>P</v>
      </c>
      <c r="M67" s="121" t="str">
        <f>VLOOKUP(B67,VISL!$B:$W,22,FALSE)</f>
        <v/>
      </c>
      <c r="N67" s="190"/>
      <c r="O67" s="190" t="str">
        <f t="shared" si="7"/>
        <v/>
      </c>
      <c r="P67" s="190"/>
      <c r="Q67" s="190"/>
      <c r="R67" s="190"/>
      <c r="S67" s="190"/>
      <c r="T67" s="190"/>
    </row>
    <row r="68" spans="1:20">
      <c r="A68" s="124" t="str">
        <f>IF(INDEX(VISL!A:A,MATCH(B68,VISL!B:B,0))="x","x","")</f>
        <v/>
      </c>
      <c r="B68" s="344" t="s">
        <v>1991</v>
      </c>
      <c r="C68" s="269" t="s">
        <v>1990</v>
      </c>
      <c r="D68" s="201"/>
      <c r="E68" s="194" t="str">
        <f t="shared" si="0"/>
        <v>--</v>
      </c>
      <c r="F68" s="122" t="str">
        <f t="shared" si="1"/>
        <v>--</v>
      </c>
      <c r="G68" s="123" t="str">
        <f t="shared" si="2"/>
        <v>--</v>
      </c>
      <c r="H68" s="124"/>
      <c r="I68" s="121" t="str">
        <f t="shared" si="8"/>
        <v/>
      </c>
      <c r="J68" s="121" t="str">
        <f t="shared" si="9"/>
        <v/>
      </c>
      <c r="K68" s="121">
        <f t="shared" si="10"/>
        <v>1</v>
      </c>
      <c r="L68" s="121" t="str">
        <f t="shared" si="11"/>
        <v>X</v>
      </c>
      <c r="M68" s="121" t="str">
        <f>VLOOKUP(B68,VISL!$B:$W,22,FALSE)</f>
        <v/>
      </c>
      <c r="N68" s="190"/>
      <c r="O68" s="190" t="str">
        <f t="shared" si="7"/>
        <v/>
      </c>
      <c r="P68" s="190"/>
      <c r="Q68" s="190"/>
      <c r="R68" s="190"/>
      <c r="S68" s="190"/>
      <c r="T68" s="190"/>
    </row>
    <row r="69" spans="1:20">
      <c r="A69" s="124" t="str">
        <f>IF(INDEX(VISL!A:A,MATCH(B69,VISL!B:B,0))="x","x","")</f>
        <v/>
      </c>
      <c r="B69" s="269" t="s">
        <v>809</v>
      </c>
      <c r="C69" s="269" t="s">
        <v>1069</v>
      </c>
      <c r="D69" s="201"/>
      <c r="E69" s="194" t="str">
        <f t="shared" si="0"/>
        <v>--</v>
      </c>
      <c r="F69" s="122" t="str">
        <f t="shared" si="1"/>
        <v>--</v>
      </c>
      <c r="G69" s="123" t="str">
        <f t="shared" si="2"/>
        <v>--</v>
      </c>
      <c r="H69" s="124"/>
      <c r="I69" s="121">
        <f t="shared" si="8"/>
        <v>9.7E-5</v>
      </c>
      <c r="J69" s="121" t="str">
        <f t="shared" si="9"/>
        <v>CA</v>
      </c>
      <c r="K69" s="121" t="str">
        <f t="shared" si="10"/>
        <v/>
      </c>
      <c r="L69" s="121" t="str">
        <f t="shared" si="11"/>
        <v/>
      </c>
      <c r="M69" s="121" t="str">
        <f>VLOOKUP(B69,VISL!$B:$W,22,FALSE)</f>
        <v/>
      </c>
      <c r="N69" s="190"/>
      <c r="O69" s="190" t="str">
        <f t="shared" si="7"/>
        <v/>
      </c>
      <c r="P69" s="190"/>
      <c r="Q69" s="190"/>
      <c r="R69" s="190"/>
      <c r="S69" s="190"/>
      <c r="T69" s="190"/>
    </row>
    <row r="70" spans="1:20">
      <c r="A70" s="124" t="str">
        <f>IF(INDEX(VISL!A:A,MATCH(B70,VISL!B:B,0))="x","x","")</f>
        <v/>
      </c>
      <c r="B70" s="344" t="s">
        <v>818</v>
      </c>
      <c r="C70" s="269" t="s">
        <v>1074</v>
      </c>
      <c r="D70" s="201"/>
      <c r="E70" s="194" t="str">
        <f t="shared" si="0"/>
        <v>--</v>
      </c>
      <c r="F70" s="122" t="str">
        <f t="shared" si="1"/>
        <v>--</v>
      </c>
      <c r="G70" s="123" t="str">
        <f t="shared" si="2"/>
        <v>--</v>
      </c>
      <c r="H70" s="124"/>
      <c r="I70" s="121">
        <f t="shared" si="8"/>
        <v>6.0000000000000001E-3</v>
      </c>
      <c r="J70" s="121" t="str">
        <f t="shared" si="9"/>
        <v>P</v>
      </c>
      <c r="K70" s="121">
        <f t="shared" si="10"/>
        <v>2.0000000000000001E-4</v>
      </c>
      <c r="L70" s="121" t="str">
        <f t="shared" si="11"/>
        <v>I</v>
      </c>
      <c r="M70" s="121" t="str">
        <f>VLOOKUP(B70,VISL!$B:$W,22,FALSE)</f>
        <v>Mut</v>
      </c>
      <c r="N70" s="190"/>
      <c r="O70" s="190" t="str">
        <f t="shared" si="7"/>
        <v/>
      </c>
      <c r="P70" s="190"/>
      <c r="Q70" s="190"/>
      <c r="R70" s="190"/>
      <c r="S70" s="190"/>
      <c r="T70" s="190"/>
    </row>
    <row r="71" spans="1:20">
      <c r="A71" s="124" t="str">
        <f>IF(INDEX(VISL!A:A,MATCH(B71,VISL!B:B,0))="x","x","")</f>
        <v/>
      </c>
      <c r="B71" s="269" t="s">
        <v>821</v>
      </c>
      <c r="C71" s="269" t="s">
        <v>1077</v>
      </c>
      <c r="D71" s="201"/>
      <c r="E71" s="194" t="str">
        <f t="shared" si="0"/>
        <v>--</v>
      </c>
      <c r="F71" s="122" t="str">
        <f t="shared" si="1"/>
        <v>--</v>
      </c>
      <c r="G71" s="123" t="str">
        <f t="shared" si="2"/>
        <v>--</v>
      </c>
      <c r="H71" s="124"/>
      <c r="I71" s="121">
        <f t="shared" si="8"/>
        <v>5.9999999999999995E-4</v>
      </c>
      <c r="J71" s="121" t="str">
        <f t="shared" si="9"/>
        <v>I</v>
      </c>
      <c r="K71" s="121">
        <f t="shared" si="10"/>
        <v>8.9999999999999993E-3</v>
      </c>
      <c r="L71" s="121" t="str">
        <f t="shared" si="11"/>
        <v>I</v>
      </c>
      <c r="M71" s="121" t="str">
        <f>VLOOKUP(B71,VISL!$B:$W,22,FALSE)</f>
        <v/>
      </c>
      <c r="N71" s="190"/>
      <c r="O71" s="190" t="str">
        <f t="shared" si="7"/>
        <v/>
      </c>
      <c r="P71" s="190"/>
      <c r="Q71" s="190"/>
      <c r="R71" s="190"/>
      <c r="S71" s="190"/>
      <c r="T71" s="190"/>
    </row>
    <row r="72" spans="1:20">
      <c r="A72" s="124" t="str">
        <f>IF(INDEX(VISL!A:A,MATCH(B72,VISL!B:B,0))="x","x","")</f>
        <v/>
      </c>
      <c r="B72" s="344" t="s">
        <v>822</v>
      </c>
      <c r="C72" s="269" t="s">
        <v>1078</v>
      </c>
      <c r="D72" s="201"/>
      <c r="E72" s="194" t="str">
        <f t="shared" si="0"/>
        <v>--</v>
      </c>
      <c r="F72" s="122" t="str">
        <f t="shared" si="1"/>
        <v>--</v>
      </c>
      <c r="G72" s="123" t="str">
        <f t="shared" si="2"/>
        <v>--</v>
      </c>
      <c r="H72" s="124"/>
      <c r="I72" s="121" t="str">
        <f>IF(INDEX(IUR,MATCH(B72,CASNoTox,0))=" ","",IF(M72="TCE","see note",INDEX(IUR,MATCH(B72,CASNoTox,0))))</f>
        <v/>
      </c>
      <c r="J72" s="121" t="str">
        <f>IF(INDEX(IURSource,MATCH(B72,CASNoTox,0))="","",SUBSTITUTE(INDEX(IURSource,MATCH(B72,CASNoTox,0)),"C","CA"))</f>
        <v/>
      </c>
      <c r="K72" s="121">
        <f>IF(INDEX(RFC,MATCH(B72,CASNoTox,0))=" ","",INDEX(RFC,MATCH(B72,CASNoTox,0)))</f>
        <v>4.0000000000000001E-3</v>
      </c>
      <c r="L72" s="121" t="str">
        <f>IF(INDEX(RFCSource,MATCH(B72,CASNoTox,0))="","",SUBSTITUTE(INDEX(RFCSource,MATCH(B72,CASNoTox,0)),"C","CA"))</f>
        <v>X</v>
      </c>
      <c r="M72" s="121" t="str">
        <f>VLOOKUP(B72,VISL!$B:$W,22,FALSE)</f>
        <v/>
      </c>
      <c r="N72" s="190"/>
      <c r="O72" s="190" t="str">
        <f>IF(AND(I72="",K72=""),"X","")</f>
        <v/>
      </c>
      <c r="P72" s="190"/>
      <c r="Q72" s="190"/>
      <c r="R72" s="190"/>
      <c r="S72" s="190"/>
      <c r="T72" s="190"/>
    </row>
    <row r="73" spans="1:20">
      <c r="A73" s="124" t="str">
        <f>IF(INDEX(VISL!A:A,MATCH(B73,VISL!B:B,0))="x","x","")</f>
        <v/>
      </c>
      <c r="B73" s="269" t="s">
        <v>825</v>
      </c>
      <c r="C73" s="269" t="s">
        <v>1081</v>
      </c>
      <c r="D73" s="201"/>
      <c r="E73" s="194" t="str">
        <f t="shared" si="0"/>
        <v>--</v>
      </c>
      <c r="F73" s="122" t="str">
        <f t="shared" si="1"/>
        <v>--</v>
      </c>
      <c r="G73" s="123" t="str">
        <f t="shared" si="2"/>
        <v>--</v>
      </c>
      <c r="H73" s="124"/>
      <c r="I73" s="121">
        <f t="shared" si="8"/>
        <v>4.1999999999999997E-3</v>
      </c>
      <c r="J73" s="121" t="str">
        <f t="shared" si="9"/>
        <v>P</v>
      </c>
      <c r="K73" s="121" t="str">
        <f t="shared" si="10"/>
        <v/>
      </c>
      <c r="L73" s="121" t="str">
        <f t="shared" si="11"/>
        <v/>
      </c>
      <c r="M73" s="121" t="str">
        <f>VLOOKUP(B73,VISL!$B:$W,22,FALSE)</f>
        <v/>
      </c>
      <c r="N73" s="190"/>
      <c r="O73" s="190" t="str">
        <f t="shared" si="7"/>
        <v/>
      </c>
      <c r="P73" s="190"/>
      <c r="Q73" s="190"/>
      <c r="R73" s="190"/>
      <c r="S73" s="190"/>
      <c r="T73" s="190"/>
    </row>
    <row r="74" spans="1:20">
      <c r="A74" s="124" t="str">
        <f>IF(INDEX(VISL!A:A,MATCH(B74,VISL!B:B,0))="x","x","")</f>
        <v/>
      </c>
      <c r="B74" s="344" t="s">
        <v>826</v>
      </c>
      <c r="C74" s="269" t="s">
        <v>576</v>
      </c>
      <c r="D74" s="201"/>
      <c r="E74" s="194" t="str">
        <f t="shared" si="0"/>
        <v>--</v>
      </c>
      <c r="F74" s="122" t="str">
        <f t="shared" si="1"/>
        <v>--</v>
      </c>
      <c r="G74" s="123" t="str">
        <f t="shared" si="2"/>
        <v>--</v>
      </c>
      <c r="H74" s="124"/>
      <c r="I74" s="121">
        <f t="shared" si="8"/>
        <v>4.1999999999999997E-3</v>
      </c>
      <c r="J74" s="121" t="str">
        <f t="shared" si="9"/>
        <v>P</v>
      </c>
      <c r="K74" s="121" t="str">
        <f t="shared" si="10"/>
        <v/>
      </c>
      <c r="L74" s="121" t="str">
        <f t="shared" si="11"/>
        <v/>
      </c>
      <c r="M74" s="121" t="str">
        <f>VLOOKUP(B74,VISL!$B:$W,22,FALSE)</f>
        <v/>
      </c>
      <c r="N74" s="190"/>
      <c r="O74" s="190" t="str">
        <f t="shared" ref="O74:O111" si="12">IF(AND(I74="",K74=""),"X","")</f>
        <v/>
      </c>
      <c r="P74" s="190"/>
      <c r="Q74" s="190"/>
      <c r="R74" s="190"/>
      <c r="S74" s="190"/>
      <c r="T74" s="190"/>
    </row>
    <row r="75" spans="1:20">
      <c r="A75" s="124" t="str">
        <f>IF(INDEX(VISL!A:A,MATCH(B75,VISL!B:B,0))="x","x","")</f>
        <v/>
      </c>
      <c r="B75" s="269" t="s">
        <v>827</v>
      </c>
      <c r="C75" s="269" t="s">
        <v>577</v>
      </c>
      <c r="D75" s="201"/>
      <c r="E75" s="194" t="str">
        <f t="shared" si="0"/>
        <v>--</v>
      </c>
      <c r="F75" s="122" t="str">
        <f t="shared" si="1"/>
        <v>--</v>
      </c>
      <c r="G75" s="123" t="str">
        <f t="shared" si="2"/>
        <v>--</v>
      </c>
      <c r="H75" s="124"/>
      <c r="I75" s="121">
        <f t="shared" si="8"/>
        <v>4.1999999999999997E-3</v>
      </c>
      <c r="J75" s="121" t="str">
        <f t="shared" si="9"/>
        <v>P</v>
      </c>
      <c r="K75" s="121" t="str">
        <f t="shared" si="10"/>
        <v/>
      </c>
      <c r="L75" s="121" t="str">
        <f t="shared" si="11"/>
        <v/>
      </c>
      <c r="M75" s="121" t="str">
        <f>VLOOKUP(B75,VISL!$B:$W,22,FALSE)</f>
        <v/>
      </c>
      <c r="N75" s="190"/>
      <c r="O75" s="190" t="str">
        <f t="shared" si="12"/>
        <v/>
      </c>
      <c r="P75" s="190"/>
      <c r="Q75" s="190"/>
      <c r="R75" s="190"/>
      <c r="S75" s="190"/>
      <c r="T75" s="190"/>
    </row>
    <row r="76" spans="1:20">
      <c r="A76" s="124" t="str">
        <f>IF(INDEX(VISL!A:A,MATCH(B76,VISL!B:B,0))="x","x","")</f>
        <v/>
      </c>
      <c r="B76" s="344" t="s">
        <v>829</v>
      </c>
      <c r="C76" s="269" t="s">
        <v>1083</v>
      </c>
      <c r="D76" s="201"/>
      <c r="E76" s="194" t="str">
        <f t="shared" si="0"/>
        <v>--</v>
      </c>
      <c r="F76" s="122" t="str">
        <f t="shared" si="1"/>
        <v>--</v>
      </c>
      <c r="G76" s="123" t="str">
        <f t="shared" si="2"/>
        <v>--</v>
      </c>
      <c r="H76" s="124"/>
      <c r="I76" s="121" t="str">
        <f t="shared" si="8"/>
        <v/>
      </c>
      <c r="J76" s="121" t="str">
        <f t="shared" si="9"/>
        <v/>
      </c>
      <c r="K76" s="121">
        <f t="shared" si="10"/>
        <v>0.2</v>
      </c>
      <c r="L76" s="121" t="str">
        <f t="shared" si="11"/>
        <v>H</v>
      </c>
      <c r="M76" s="121" t="str">
        <f>VLOOKUP(B76,VISL!$B:$W,22,FALSE)</f>
        <v/>
      </c>
      <c r="N76" s="190"/>
      <c r="O76" s="190" t="str">
        <f t="shared" si="12"/>
        <v/>
      </c>
      <c r="P76" s="190"/>
      <c r="Q76" s="190"/>
      <c r="R76" s="190"/>
      <c r="S76" s="190"/>
      <c r="T76" s="190"/>
    </row>
    <row r="77" spans="1:20">
      <c r="A77" s="124" t="str">
        <f>IF(INDEX(VISL!A:A,MATCH(B77,VISL!B:B,0))="x","x","")</f>
        <v/>
      </c>
      <c r="B77" s="344" t="s">
        <v>830</v>
      </c>
      <c r="C77" s="269" t="s">
        <v>1084</v>
      </c>
      <c r="D77" s="201"/>
      <c r="E77" s="194" t="str">
        <f t="shared" si="0"/>
        <v>--</v>
      </c>
      <c r="F77" s="122" t="str">
        <f t="shared" si="1"/>
        <v>--</v>
      </c>
      <c r="G77" s="123" t="str">
        <f t="shared" si="2"/>
        <v>--</v>
      </c>
      <c r="H77" s="124"/>
      <c r="I77" s="121">
        <f t="shared" si="8"/>
        <v>1.1E-5</v>
      </c>
      <c r="J77" s="121" t="str">
        <f t="shared" si="9"/>
        <v>CA</v>
      </c>
      <c r="K77" s="121">
        <f t="shared" si="10"/>
        <v>0.8</v>
      </c>
      <c r="L77" s="121" t="str">
        <f t="shared" si="11"/>
        <v>I</v>
      </c>
      <c r="M77" s="121" t="str">
        <f>VLOOKUP(B77,VISL!$B:$W,22,FALSE)</f>
        <v/>
      </c>
      <c r="N77" s="190"/>
      <c r="O77" s="190" t="str">
        <f t="shared" si="12"/>
        <v/>
      </c>
      <c r="P77" s="190"/>
      <c r="Q77" s="190"/>
      <c r="R77" s="190"/>
      <c r="S77" s="190"/>
      <c r="T77" s="190"/>
    </row>
    <row r="78" spans="1:20">
      <c r="A78" s="124" t="str">
        <f>IF(INDEX(VISL!A:A,MATCH(B78,VISL!B:B,0))="x","x","")</f>
        <v/>
      </c>
      <c r="B78" s="344" t="s">
        <v>833</v>
      </c>
      <c r="C78" s="269" t="s">
        <v>1438</v>
      </c>
      <c r="D78" s="201"/>
      <c r="E78" s="194" t="str">
        <f t="shared" si="0"/>
        <v>--</v>
      </c>
      <c r="F78" s="122" t="str">
        <f t="shared" si="1"/>
        <v>--</v>
      </c>
      <c r="G78" s="123" t="str">
        <f t="shared" si="2"/>
        <v>--</v>
      </c>
      <c r="H78" s="124"/>
      <c r="I78" s="121" t="str">
        <f t="shared" si="8"/>
        <v/>
      </c>
      <c r="J78" s="121" t="str">
        <f t="shared" si="9"/>
        <v/>
      </c>
      <c r="K78" s="121">
        <f t="shared" si="10"/>
        <v>0.1</v>
      </c>
      <c r="L78" s="121" t="str">
        <f t="shared" si="11"/>
        <v>X</v>
      </c>
      <c r="M78" s="121" t="str">
        <f>VLOOKUP(B78,VISL!$B:$W,22,FALSE)</f>
        <v/>
      </c>
      <c r="N78" s="190"/>
      <c r="O78" s="190" t="str">
        <f t="shared" si="12"/>
        <v/>
      </c>
      <c r="P78" s="190"/>
      <c r="Q78" s="190"/>
      <c r="R78" s="190"/>
      <c r="S78" s="190"/>
      <c r="T78" s="190"/>
    </row>
    <row r="79" spans="1:20">
      <c r="A79" s="124" t="str">
        <f>IF(INDEX(VISL!A:A,MATCH(B79,VISL!B:B,0))="x","x","")</f>
        <v/>
      </c>
      <c r="B79" s="344" t="s">
        <v>834</v>
      </c>
      <c r="C79" s="269" t="s">
        <v>1086</v>
      </c>
      <c r="D79" s="201"/>
      <c r="E79" s="194" t="str">
        <f t="shared" si="0"/>
        <v>--</v>
      </c>
      <c r="F79" s="122" t="str">
        <f t="shared" si="1"/>
        <v>--</v>
      </c>
      <c r="G79" s="123" t="str">
        <f t="shared" si="2"/>
        <v>--</v>
      </c>
      <c r="H79" s="124"/>
      <c r="I79" s="121">
        <f t="shared" si="8"/>
        <v>1.5999999999999999E-6</v>
      </c>
      <c r="J79" s="121" t="str">
        <f t="shared" si="9"/>
        <v>CA</v>
      </c>
      <c r="K79" s="121" t="str">
        <f t="shared" si="10"/>
        <v/>
      </c>
      <c r="L79" s="121" t="str">
        <f t="shared" si="11"/>
        <v/>
      </c>
      <c r="M79" s="121" t="str">
        <f>VLOOKUP(B79,VISL!$B:$W,22,FALSE)</f>
        <v/>
      </c>
      <c r="N79" s="190"/>
      <c r="O79" s="190" t="str">
        <f t="shared" si="12"/>
        <v/>
      </c>
      <c r="P79" s="190"/>
      <c r="Q79" s="190"/>
      <c r="R79" s="190"/>
      <c r="S79" s="190"/>
      <c r="T79" s="190"/>
    </row>
    <row r="80" spans="1:20">
      <c r="A80" s="124" t="str">
        <f>IF(INDEX(VISL!A:A,MATCH(B80,VISL!B:B,0))="x","x","")</f>
        <v/>
      </c>
      <c r="B80" s="344" t="s">
        <v>835</v>
      </c>
      <c r="C80" s="269" t="s">
        <v>1087</v>
      </c>
      <c r="D80" s="201"/>
      <c r="E80" s="194" t="str">
        <f t="shared" si="0"/>
        <v>--</v>
      </c>
      <c r="F80" s="122" t="str">
        <f t="shared" si="1"/>
        <v>--</v>
      </c>
      <c r="G80" s="123" t="str">
        <f t="shared" si="2"/>
        <v>--</v>
      </c>
      <c r="H80" s="124"/>
      <c r="I80" s="121">
        <f t="shared" si="8"/>
        <v>2.5999999999999998E-5</v>
      </c>
      <c r="J80" s="121" t="str">
        <f t="shared" si="9"/>
        <v>I</v>
      </c>
      <c r="K80" s="121">
        <f t="shared" si="10"/>
        <v>7.0000000000000001E-3</v>
      </c>
      <c r="L80" s="121" t="str">
        <f t="shared" si="11"/>
        <v>P</v>
      </c>
      <c r="M80" s="121" t="str">
        <f>VLOOKUP(B80,VISL!$B:$W,22,FALSE)</f>
        <v/>
      </c>
      <c r="N80" s="190"/>
      <c r="O80" s="190" t="str">
        <f t="shared" si="12"/>
        <v/>
      </c>
      <c r="P80" s="190"/>
      <c r="Q80" s="190"/>
      <c r="R80" s="190"/>
      <c r="S80" s="190"/>
      <c r="T80" s="190"/>
    </row>
    <row r="81" spans="1:20">
      <c r="A81" s="124" t="str">
        <f>IF(INDEX(VISL!A:A,MATCH(B81,VISL!B:B,0))="x","x","")</f>
        <v/>
      </c>
      <c r="B81" s="344" t="s">
        <v>836</v>
      </c>
      <c r="C81" s="269" t="s">
        <v>444</v>
      </c>
      <c r="D81" s="201"/>
      <c r="E81" s="194" t="str">
        <f t="shared" si="0"/>
        <v>--</v>
      </c>
      <c r="F81" s="122" t="str">
        <f t="shared" si="1"/>
        <v>--</v>
      </c>
      <c r="G81" s="123" t="str">
        <f t="shared" si="2"/>
        <v>--</v>
      </c>
      <c r="H81" s="124"/>
      <c r="I81" s="121" t="str">
        <f t="shared" si="8"/>
        <v/>
      </c>
      <c r="J81" s="121" t="str">
        <f t="shared" si="9"/>
        <v/>
      </c>
      <c r="K81" s="121">
        <f t="shared" si="10"/>
        <v>0.2</v>
      </c>
      <c r="L81" s="121" t="str">
        <f t="shared" si="11"/>
        <v>I</v>
      </c>
      <c r="M81" s="121" t="str">
        <f>VLOOKUP(B81,VISL!$B:$W,22,FALSE)</f>
        <v/>
      </c>
      <c r="N81" s="190"/>
      <c r="O81" s="190" t="str">
        <f t="shared" si="12"/>
        <v/>
      </c>
      <c r="P81" s="190"/>
      <c r="Q81" s="190"/>
      <c r="R81" s="190"/>
      <c r="S81" s="190"/>
      <c r="T81" s="190"/>
    </row>
    <row r="82" spans="1:20">
      <c r="A82" s="124" t="str">
        <f>IF(INDEX(VISL!A:A,MATCH(B82,VISL!B:B,0))="x","x","")</f>
        <v/>
      </c>
      <c r="B82" s="344" t="s">
        <v>842</v>
      </c>
      <c r="C82" s="269" t="s">
        <v>445</v>
      </c>
      <c r="D82" s="201"/>
      <c r="E82" s="194" t="str">
        <f t="shared" si="0"/>
        <v>--</v>
      </c>
      <c r="F82" s="122" t="str">
        <f t="shared" si="1"/>
        <v>--</v>
      </c>
      <c r="G82" s="123" t="str">
        <f t="shared" si="2"/>
        <v>--</v>
      </c>
      <c r="H82" s="124"/>
      <c r="I82" s="121">
        <f t="shared" si="8"/>
        <v>3.7000000000000002E-6</v>
      </c>
      <c r="J82" s="121" t="str">
        <f t="shared" si="9"/>
        <v>P</v>
      </c>
      <c r="K82" s="121">
        <f t="shared" si="10"/>
        <v>4.0000000000000001E-3</v>
      </c>
      <c r="L82" s="121" t="str">
        <f t="shared" si="11"/>
        <v>I</v>
      </c>
      <c r="M82" s="121" t="str">
        <f>VLOOKUP(B82,VISL!$B:$W,22,FALSE)</f>
        <v/>
      </c>
      <c r="N82" s="190"/>
      <c r="O82" s="190" t="str">
        <f t="shared" si="12"/>
        <v/>
      </c>
      <c r="P82" s="190"/>
      <c r="Q82" s="190"/>
      <c r="R82" s="190"/>
      <c r="S82" s="190"/>
      <c r="T82" s="190"/>
    </row>
    <row r="83" spans="1:20">
      <c r="A83" s="124" t="str">
        <f>IF(INDEX(VISL!A:A,MATCH(B83,VISL!B:B,0))="x","x","")</f>
        <v/>
      </c>
      <c r="B83" s="344" t="s">
        <v>845</v>
      </c>
      <c r="C83" s="269" t="s">
        <v>1094</v>
      </c>
      <c r="D83" s="201"/>
      <c r="E83" s="194" t="str">
        <f t="shared" si="0"/>
        <v>--</v>
      </c>
      <c r="F83" s="122" t="str">
        <f t="shared" si="1"/>
        <v>--</v>
      </c>
      <c r="G83" s="123" t="str">
        <f t="shared" si="2"/>
        <v>--</v>
      </c>
      <c r="H83" s="124"/>
      <c r="I83" s="121">
        <f t="shared" si="8"/>
        <v>3.9999999999999998E-6</v>
      </c>
      <c r="J83" s="121" t="str">
        <f t="shared" si="9"/>
        <v>I</v>
      </c>
      <c r="K83" s="121">
        <f t="shared" si="10"/>
        <v>0.02</v>
      </c>
      <c r="L83" s="121" t="str">
        <f t="shared" si="11"/>
        <v>I</v>
      </c>
      <c r="M83" s="121" t="str">
        <f>VLOOKUP(B83,VISL!$B:$W,22,FALSE)</f>
        <v/>
      </c>
      <c r="N83" s="190"/>
      <c r="O83" s="190" t="str">
        <f t="shared" si="12"/>
        <v/>
      </c>
      <c r="P83" s="190"/>
      <c r="Q83" s="190"/>
      <c r="R83" s="190"/>
      <c r="S83" s="190"/>
      <c r="T83" s="190"/>
    </row>
    <row r="84" spans="1:20">
      <c r="A84" s="124" t="str">
        <f>IF(INDEX(VISL!A:A,MATCH(B84,VISL!B:B,0))="x","x","")</f>
        <v/>
      </c>
      <c r="B84" s="344" t="s">
        <v>847</v>
      </c>
      <c r="C84" s="269" t="s">
        <v>1095</v>
      </c>
      <c r="D84" s="201"/>
      <c r="E84" s="194" t="str">
        <f t="shared" si="0"/>
        <v>--</v>
      </c>
      <c r="F84" s="122" t="str">
        <f t="shared" si="1"/>
        <v>--</v>
      </c>
      <c r="G84" s="123" t="str">
        <f t="shared" si="2"/>
        <v>--</v>
      </c>
      <c r="H84" s="124"/>
      <c r="I84" s="121" t="str">
        <f t="shared" si="8"/>
        <v/>
      </c>
      <c r="J84" s="121" t="str">
        <f t="shared" si="9"/>
        <v/>
      </c>
      <c r="K84" s="121">
        <f t="shared" si="10"/>
        <v>2.9999999999999997E-4</v>
      </c>
      <c r="L84" s="121" t="str">
        <f t="shared" si="11"/>
        <v>X</v>
      </c>
      <c r="M84" s="121" t="str">
        <f>VLOOKUP(B84,VISL!$B:$W,22,FALSE)</f>
        <v/>
      </c>
      <c r="N84" s="190"/>
      <c r="O84" s="190" t="str">
        <f t="shared" si="12"/>
        <v/>
      </c>
      <c r="P84" s="190"/>
      <c r="Q84" s="190"/>
      <c r="R84" s="190"/>
      <c r="S84" s="190"/>
      <c r="T84" s="190"/>
    </row>
    <row r="85" spans="1:20">
      <c r="A85" s="124" t="str">
        <f>IF(INDEX(VISL!A:A,MATCH(B85,VISL!B:B,0))="x","x","")</f>
        <v/>
      </c>
      <c r="B85" s="344" t="s">
        <v>857</v>
      </c>
      <c r="C85" s="269" t="s">
        <v>1100</v>
      </c>
      <c r="D85" s="201"/>
      <c r="E85" s="194" t="str">
        <f t="shared" si="0"/>
        <v>--</v>
      </c>
      <c r="F85" s="122" t="str">
        <f t="shared" si="1"/>
        <v>--</v>
      </c>
      <c r="G85" s="123" t="str">
        <f t="shared" si="2"/>
        <v>--</v>
      </c>
      <c r="H85" s="124"/>
      <c r="I85" s="121" t="str">
        <f>IF(INDEX(IUR,MATCH(B85,CASNoTox,0))=" ","",IF(M85="TCE","see note",INDEX(IUR,MATCH(B85,CASNoTox,0))))</f>
        <v/>
      </c>
      <c r="J85" s="121" t="str">
        <f>IF(INDEX(IURSource,MATCH(B85,CASNoTox,0))="","",SUBSTITUTE(INDEX(IURSource,MATCH(B85,CASNoTox,0)),"C","CA"))</f>
        <v/>
      </c>
      <c r="K85" s="121">
        <f>IF(INDEX(RFC,MATCH(B85,CASNoTox,0))=" ","",INDEX(RFC,MATCH(B85,CASNoTox,0)))</f>
        <v>40</v>
      </c>
      <c r="L85" s="121" t="str">
        <f>IF(INDEX(RFCSource,MATCH(B85,CASNoTox,0))="","",SUBSTITUTE(INDEX(RFCSource,MATCH(B85,CASNoTox,0)),"C","CA"))</f>
        <v>I</v>
      </c>
      <c r="M85" s="121" t="str">
        <f>VLOOKUP(B85,VISL!$B:$W,22,FALSE)</f>
        <v/>
      </c>
      <c r="N85" s="190"/>
      <c r="O85" s="190" t="str">
        <f t="shared" si="12"/>
        <v/>
      </c>
      <c r="P85" s="190"/>
      <c r="Q85" s="190"/>
      <c r="R85" s="190"/>
      <c r="S85" s="190"/>
      <c r="T85" s="190"/>
    </row>
    <row r="86" spans="1:20">
      <c r="A86" s="124" t="str">
        <f>IF(INDEX(VISL!A:A,MATCH(B86,VISL!B:B,0))="x","x","")</f>
        <v/>
      </c>
      <c r="B86" s="344" t="s">
        <v>858</v>
      </c>
      <c r="C86" s="269" t="s">
        <v>580</v>
      </c>
      <c r="D86" s="201"/>
      <c r="E86" s="194" t="str">
        <f t="shared" si="0"/>
        <v>--</v>
      </c>
      <c r="F86" s="122" t="str">
        <f t="shared" si="1"/>
        <v>--</v>
      </c>
      <c r="G86" s="123" t="str">
        <f t="shared" si="2"/>
        <v>--</v>
      </c>
      <c r="H86" s="124"/>
      <c r="I86" s="121">
        <f t="shared" ref="I86:I92" si="13">IF(INDEX(IUR,MATCH(B86,CASNoTox,0))=" ","",IF(M86="TCE","see note",INDEX(IUR,MATCH(B86,CASNoTox,0))))</f>
        <v>1.2999999999999999E-5</v>
      </c>
      <c r="J86" s="121" t="str">
        <f t="shared" ref="J86:J92" si="14">IF(INDEX(IURSource,MATCH(B86,CASNoTox,0))="","",SUBSTITUTE(INDEX(IURSource,MATCH(B86,CASNoTox,0)),"C","CA"))</f>
        <v>CA</v>
      </c>
      <c r="K86" s="121" t="str">
        <f t="shared" ref="K86:K92" si="15">IF(INDEX(RFC,MATCH(B86,CASNoTox,0))=" ","",INDEX(RFC,MATCH(B86,CASNoTox,0)))</f>
        <v/>
      </c>
      <c r="L86" s="121" t="str">
        <f t="shared" ref="L86:L92" si="16">IF(INDEX(RFCSource,MATCH(B86,CASNoTox,0))="","",SUBSTITUTE(INDEX(RFCSource,MATCH(B86,CASNoTox,0)),"C","CA"))</f>
        <v/>
      </c>
      <c r="M86" s="121" t="str">
        <f>VLOOKUP(B86,VISL!$B:$W,22,FALSE)</f>
        <v/>
      </c>
      <c r="N86" s="190"/>
      <c r="O86" s="190" t="str">
        <f t="shared" si="12"/>
        <v/>
      </c>
      <c r="P86" s="190"/>
      <c r="Q86" s="190"/>
      <c r="R86" s="190"/>
      <c r="S86" s="190"/>
      <c r="T86" s="190"/>
    </row>
    <row r="87" spans="1:20">
      <c r="A87" s="124" t="str">
        <f>IF(INDEX(VISL!A:A,MATCH(B87,VISL!B:B,0))="x","x","")</f>
        <v/>
      </c>
      <c r="B87" s="344" t="s">
        <v>859</v>
      </c>
      <c r="C87" s="269" t="s">
        <v>530</v>
      </c>
      <c r="D87" s="201"/>
      <c r="E87" s="194" t="str">
        <f t="shared" ref="E87:E150" si="17">IF(OR(D87="",ISTEXT(D87)),"--",D87*AFss_SG)</f>
        <v>--</v>
      </c>
      <c r="F87" s="122" t="str">
        <f t="shared" ref="F87:F150" si="18">IF(ISTEXT(E87),"--",IF(I87="","No IUR",IF(M87&lt;&gt;"TCE",E87*(IF(AND(M87="VC",Scenario_SG="Residential"),I87,0)+I87*IF(M87="Mut",MMOAAF_SG,ED_SG)*EF_SG*ET_SG/(ATc_SG*365*24)),E87*mIURTCE_SG*MMOAAF_SG*EF_SG*ET_SG/(ATc_SG*365*24)+E87*IURTCE_SG*ED_SG*EF_SG*ET_SG/(ATc_SG*365*24))))</f>
        <v>--</v>
      </c>
      <c r="G87" s="123" t="str">
        <f t="shared" ref="G87:G150" si="19">IF(ISTEXT(E87),"--",IF(K87="","No RfC",E87*EF_SG*ED_SG*ET_SG/(K87*ATnc_SG*365*24*1000)))</f>
        <v>--</v>
      </c>
      <c r="H87" s="124"/>
      <c r="I87" s="121" t="str">
        <f t="shared" si="13"/>
        <v/>
      </c>
      <c r="J87" s="121" t="str">
        <f t="shared" si="14"/>
        <v/>
      </c>
      <c r="K87" s="121">
        <f t="shared" si="15"/>
        <v>0.7</v>
      </c>
      <c r="L87" s="121" t="str">
        <f t="shared" si="16"/>
        <v>P</v>
      </c>
      <c r="M87" s="121" t="str">
        <f>VLOOKUP(B87,VISL!$B:$W,22,FALSE)</f>
        <v/>
      </c>
      <c r="N87" s="190"/>
      <c r="O87" s="190" t="str">
        <f t="shared" si="12"/>
        <v/>
      </c>
      <c r="P87" s="190"/>
      <c r="Q87" s="190"/>
      <c r="R87" s="190"/>
      <c r="S87" s="190"/>
      <c r="T87" s="190"/>
    </row>
    <row r="88" spans="1:20">
      <c r="A88" s="124" t="str">
        <f>IF(INDEX(VISL!A:A,MATCH(B88,VISL!B:B,0))="x","x","")</f>
        <v/>
      </c>
      <c r="B88" s="344" t="s">
        <v>870</v>
      </c>
      <c r="C88" s="269" t="s">
        <v>1109</v>
      </c>
      <c r="D88" s="201"/>
      <c r="E88" s="194" t="str">
        <f t="shared" si="17"/>
        <v>--</v>
      </c>
      <c r="F88" s="122" t="str">
        <f t="shared" si="18"/>
        <v>--</v>
      </c>
      <c r="G88" s="123" t="str">
        <f t="shared" si="19"/>
        <v>--</v>
      </c>
      <c r="H88" s="124"/>
      <c r="I88" s="121" t="str">
        <f t="shared" si="13"/>
        <v/>
      </c>
      <c r="J88" s="121" t="str">
        <f t="shared" si="14"/>
        <v/>
      </c>
      <c r="K88" s="121">
        <f t="shared" si="15"/>
        <v>0.03</v>
      </c>
      <c r="L88" s="121" t="str">
        <f t="shared" si="16"/>
        <v>I</v>
      </c>
      <c r="M88" s="121" t="str">
        <f>VLOOKUP(B88,VISL!$B:$W,22,FALSE)</f>
        <v/>
      </c>
      <c r="N88" s="190"/>
      <c r="O88" s="190" t="str">
        <f t="shared" si="12"/>
        <v/>
      </c>
      <c r="P88" s="190"/>
      <c r="Q88" s="190"/>
      <c r="R88" s="190"/>
      <c r="S88" s="190"/>
      <c r="T88" s="190"/>
    </row>
    <row r="89" spans="1:20">
      <c r="A89" s="124" t="str">
        <f>IF(INDEX(VISL!A:A,MATCH(B89,VISL!B:B,0))="x","x","")</f>
        <v/>
      </c>
      <c r="B89" s="344" t="s">
        <v>871</v>
      </c>
      <c r="C89" s="269" t="s">
        <v>582</v>
      </c>
      <c r="D89" s="201"/>
      <c r="E89" s="194" t="str">
        <f t="shared" si="17"/>
        <v>--</v>
      </c>
      <c r="F89" s="122" t="str">
        <f t="shared" si="18"/>
        <v>--</v>
      </c>
      <c r="G89" s="123" t="str">
        <f t="shared" si="19"/>
        <v>--</v>
      </c>
      <c r="H89" s="124"/>
      <c r="I89" s="121" t="str">
        <f t="shared" si="13"/>
        <v/>
      </c>
      <c r="J89" s="121" t="str">
        <f t="shared" si="14"/>
        <v/>
      </c>
      <c r="K89" s="121">
        <f t="shared" si="15"/>
        <v>1.9999999999999999E-6</v>
      </c>
      <c r="L89" s="121" t="str">
        <f t="shared" si="16"/>
        <v>X</v>
      </c>
      <c r="M89" s="121" t="str">
        <f>VLOOKUP(B89,VISL!$B:$W,22,FALSE)</f>
        <v/>
      </c>
      <c r="N89" s="190"/>
      <c r="O89" s="190" t="str">
        <f t="shared" si="12"/>
        <v/>
      </c>
      <c r="P89" s="190"/>
      <c r="Q89" s="190"/>
      <c r="R89" s="190"/>
      <c r="S89" s="190"/>
      <c r="T89" s="190"/>
    </row>
    <row r="90" spans="1:20">
      <c r="A90" s="124" t="str">
        <f>IF(INDEX(VISL!A:A,MATCH(B90,VISL!B:B,0))="x","x","")</f>
        <v/>
      </c>
      <c r="B90" s="344" t="s">
        <v>872</v>
      </c>
      <c r="C90" s="269" t="s">
        <v>583</v>
      </c>
      <c r="D90" s="201"/>
      <c r="E90" s="194" t="str">
        <f t="shared" si="17"/>
        <v>--</v>
      </c>
      <c r="F90" s="122" t="str">
        <f t="shared" si="18"/>
        <v>--</v>
      </c>
      <c r="G90" s="123" t="str">
        <f t="shared" si="19"/>
        <v>--</v>
      </c>
      <c r="H90" s="124"/>
      <c r="I90" s="121">
        <f t="shared" si="13"/>
        <v>0.16</v>
      </c>
      <c r="J90" s="121" t="str">
        <f t="shared" si="14"/>
        <v>CA</v>
      </c>
      <c r="K90" s="121" t="str">
        <f t="shared" si="15"/>
        <v/>
      </c>
      <c r="L90" s="121" t="str">
        <f t="shared" si="16"/>
        <v/>
      </c>
      <c r="M90" s="121" t="str">
        <f>VLOOKUP(B90,VISL!$B:$W,22,FALSE)</f>
        <v/>
      </c>
      <c r="N90" s="190"/>
      <c r="O90" s="190" t="str">
        <f t="shared" si="12"/>
        <v/>
      </c>
      <c r="P90" s="190"/>
      <c r="Q90" s="190"/>
      <c r="R90" s="190"/>
      <c r="S90" s="190"/>
      <c r="T90" s="190"/>
    </row>
    <row r="91" spans="1:20">
      <c r="A91" s="124" t="str">
        <f>IF(INDEX(VISL!A:A,MATCH(B91,VISL!B:B,0))="x","x","")</f>
        <v/>
      </c>
      <c r="B91" s="344" t="s">
        <v>877</v>
      </c>
      <c r="C91" s="269" t="s">
        <v>584</v>
      </c>
      <c r="D91" s="201"/>
      <c r="E91" s="194" t="str">
        <f t="shared" si="17"/>
        <v>--</v>
      </c>
      <c r="F91" s="122" t="str">
        <f t="shared" si="18"/>
        <v>--</v>
      </c>
      <c r="G91" s="123" t="str">
        <f t="shared" si="19"/>
        <v>--</v>
      </c>
      <c r="H91" s="124"/>
      <c r="I91" s="121">
        <f t="shared" si="13"/>
        <v>1.2999999999999999E-5</v>
      </c>
      <c r="J91" s="121" t="str">
        <f t="shared" si="14"/>
        <v>CA</v>
      </c>
      <c r="K91" s="121" t="str">
        <f t="shared" si="15"/>
        <v/>
      </c>
      <c r="L91" s="121" t="str">
        <f t="shared" si="16"/>
        <v/>
      </c>
      <c r="M91" s="121" t="str">
        <f>VLOOKUP(B91,VISL!$B:$W,22,FALSE)</f>
        <v/>
      </c>
      <c r="N91" s="190"/>
      <c r="O91" s="190" t="str">
        <f t="shared" si="12"/>
        <v/>
      </c>
      <c r="P91" s="190"/>
      <c r="Q91" s="190"/>
      <c r="R91" s="190"/>
      <c r="S91" s="190"/>
      <c r="T91" s="190"/>
    </row>
    <row r="92" spans="1:20">
      <c r="A92" s="124" t="str">
        <f>IF(INDEX(VISL!A:A,MATCH(B92,VISL!B:B,0))="x","x","")</f>
        <v/>
      </c>
      <c r="B92" s="269" t="s">
        <v>890</v>
      </c>
      <c r="C92" s="269" t="s">
        <v>1124</v>
      </c>
      <c r="D92" s="201"/>
      <c r="E92" s="194" t="str">
        <f t="shared" si="17"/>
        <v>--</v>
      </c>
      <c r="F92" s="122" t="str">
        <f t="shared" si="18"/>
        <v>--</v>
      </c>
      <c r="G92" s="123" t="str">
        <f t="shared" si="19"/>
        <v>--</v>
      </c>
      <c r="H92" s="124"/>
      <c r="I92" s="121">
        <f t="shared" si="13"/>
        <v>5.0000000000000004E-6</v>
      </c>
      <c r="J92" s="121" t="str">
        <f t="shared" si="14"/>
        <v>I</v>
      </c>
      <c r="K92" s="121">
        <f t="shared" si="15"/>
        <v>0.03</v>
      </c>
      <c r="L92" s="121" t="str">
        <f t="shared" si="16"/>
        <v>I</v>
      </c>
      <c r="M92" s="121" t="str">
        <f>VLOOKUP(B92,VISL!$B:$W,22,FALSE)</f>
        <v/>
      </c>
      <c r="N92" s="190"/>
      <c r="O92" s="190" t="str">
        <f t="shared" si="12"/>
        <v/>
      </c>
      <c r="P92" s="190"/>
      <c r="Q92" s="190"/>
      <c r="R92" s="190"/>
      <c r="S92" s="190"/>
      <c r="T92" s="190"/>
    </row>
    <row r="93" spans="1:20">
      <c r="A93" s="124" t="str">
        <f>IF(INDEX(VISL!A:A,MATCH(B93,VISL!B:B,0))="x","x","")</f>
        <v/>
      </c>
      <c r="B93" s="344" t="s">
        <v>908</v>
      </c>
      <c r="C93" s="269" t="s">
        <v>1439</v>
      </c>
      <c r="D93" s="201"/>
      <c r="E93" s="194" t="str">
        <f t="shared" si="17"/>
        <v>--</v>
      </c>
      <c r="F93" s="122" t="str">
        <f t="shared" si="18"/>
        <v>--</v>
      </c>
      <c r="G93" s="123" t="str">
        <f t="shared" si="19"/>
        <v>--</v>
      </c>
      <c r="H93" s="124"/>
      <c r="I93" s="121">
        <f t="shared" ref="I93:I100" si="20">IF(INDEX(IUR,MATCH(B93,CASNoTox,0))=" ","",IF(M93="TCE","see note",INDEX(IUR,MATCH(B93,CASNoTox,0))))</f>
        <v>1.1999999999999999E-6</v>
      </c>
      <c r="J93" s="121" t="str">
        <f t="shared" ref="J93:J100" si="21">IF(INDEX(IURSource,MATCH(B93,CASNoTox,0))="","",SUBSTITUTE(INDEX(IURSource,MATCH(B93,CASNoTox,0)),"C","CA"))</f>
        <v>I</v>
      </c>
      <c r="K93" s="121">
        <f t="shared" ref="K93:K100" si="22">IF(INDEX(RFC,MATCH(B93,CASNoTox,0))=" ","",INDEX(RFC,MATCH(B93,CASNoTox,0)))</f>
        <v>1E-3</v>
      </c>
      <c r="L93" s="121" t="str">
        <f t="shared" ref="L93:L100" si="23">IF(INDEX(RFCSource,MATCH(B93,CASNoTox,0))="","",SUBSTITUTE(INDEX(RFCSource,MATCH(B93,CASNoTox,0)),"C","CA"))</f>
        <v>I</v>
      </c>
      <c r="M93" s="121" t="str">
        <f>VLOOKUP(B93,VISL!$B:$W,22,FALSE)</f>
        <v/>
      </c>
      <c r="N93" s="190"/>
      <c r="O93" s="190" t="str">
        <f t="shared" si="12"/>
        <v/>
      </c>
      <c r="P93" s="190"/>
      <c r="Q93" s="190"/>
      <c r="R93" s="190"/>
      <c r="S93" s="190"/>
      <c r="T93" s="190"/>
    </row>
    <row r="94" spans="1:20">
      <c r="A94" s="124" t="str">
        <f>IF(INDEX(VISL!A:A,MATCH(B94,VISL!B:B,0))="x","x","")</f>
        <v/>
      </c>
      <c r="B94" s="344" t="s">
        <v>909</v>
      </c>
      <c r="C94" s="269" t="s">
        <v>1138</v>
      </c>
      <c r="D94" s="201"/>
      <c r="E94" s="194" t="str">
        <f t="shared" si="17"/>
        <v>--</v>
      </c>
      <c r="F94" s="122" t="str">
        <f t="shared" si="18"/>
        <v>--</v>
      </c>
      <c r="G94" s="123" t="str">
        <f t="shared" si="19"/>
        <v>--</v>
      </c>
      <c r="H94" s="124"/>
      <c r="I94" s="121" t="str">
        <f t="shared" si="20"/>
        <v/>
      </c>
      <c r="J94" s="121" t="str">
        <f t="shared" si="21"/>
        <v/>
      </c>
      <c r="K94" s="121">
        <f t="shared" si="22"/>
        <v>0.02</v>
      </c>
      <c r="L94" s="121" t="str">
        <f t="shared" si="23"/>
        <v>I</v>
      </c>
      <c r="M94" s="121" t="str">
        <f>VLOOKUP(B94,VISL!$B:$W,22,FALSE)</f>
        <v/>
      </c>
      <c r="N94" s="190"/>
      <c r="O94" s="190" t="str">
        <f t="shared" si="12"/>
        <v/>
      </c>
      <c r="P94" s="190"/>
      <c r="Q94" s="190"/>
      <c r="R94" s="190"/>
      <c r="S94" s="190"/>
      <c r="T94" s="190"/>
    </row>
    <row r="95" spans="1:20">
      <c r="A95" s="124" t="str">
        <f>IF(INDEX(VISL!A:A,MATCH(B95,VISL!B:B,0))="x","x","")</f>
        <v/>
      </c>
      <c r="B95" s="344" t="s">
        <v>912</v>
      </c>
      <c r="C95" s="269" t="s">
        <v>1142</v>
      </c>
      <c r="D95" s="201"/>
      <c r="E95" s="194" t="str">
        <f t="shared" si="17"/>
        <v>--</v>
      </c>
      <c r="F95" s="122" t="str">
        <f t="shared" si="18"/>
        <v>--</v>
      </c>
      <c r="G95" s="123" t="str">
        <f t="shared" si="19"/>
        <v>--</v>
      </c>
      <c r="H95" s="124"/>
      <c r="I95" s="121" t="str">
        <f t="shared" si="20"/>
        <v/>
      </c>
      <c r="J95" s="121" t="str">
        <f t="shared" si="21"/>
        <v/>
      </c>
      <c r="K95" s="121">
        <f t="shared" si="22"/>
        <v>0.06</v>
      </c>
      <c r="L95" s="121" t="str">
        <f t="shared" si="23"/>
        <v>P</v>
      </c>
      <c r="M95" s="121" t="str">
        <f>VLOOKUP(B95,VISL!$B:$W,22,FALSE)</f>
        <v/>
      </c>
      <c r="N95" s="190"/>
      <c r="O95" s="190" t="str">
        <f t="shared" si="12"/>
        <v/>
      </c>
      <c r="P95" s="190"/>
      <c r="Q95" s="190"/>
      <c r="R95" s="190"/>
      <c r="S95" s="190"/>
      <c r="T95" s="190"/>
    </row>
    <row r="96" spans="1:20">
      <c r="A96" s="124" t="str">
        <f>IF(INDEX(VISL!A:A,MATCH(B96,VISL!B:B,0))="x","x","")</f>
        <v/>
      </c>
      <c r="B96" s="344" t="s">
        <v>913</v>
      </c>
      <c r="C96" s="269" t="s">
        <v>1143</v>
      </c>
      <c r="D96" s="201"/>
      <c r="E96" s="194" t="str">
        <f t="shared" si="17"/>
        <v>--</v>
      </c>
      <c r="F96" s="122" t="str">
        <f t="shared" si="18"/>
        <v>--</v>
      </c>
      <c r="G96" s="123" t="str">
        <f t="shared" si="19"/>
        <v>--</v>
      </c>
      <c r="H96" s="124"/>
      <c r="I96" s="121" t="str">
        <f t="shared" si="20"/>
        <v/>
      </c>
      <c r="J96" s="121" t="str">
        <f t="shared" si="21"/>
        <v/>
      </c>
      <c r="K96" s="121">
        <f t="shared" si="22"/>
        <v>0.2</v>
      </c>
      <c r="L96" s="121" t="str">
        <f t="shared" si="23"/>
        <v>I</v>
      </c>
      <c r="M96" s="121" t="str">
        <f>VLOOKUP(B96,VISL!$B:$W,22,FALSE)</f>
        <v/>
      </c>
      <c r="N96" s="190"/>
      <c r="O96" s="190" t="str">
        <f t="shared" si="12"/>
        <v/>
      </c>
      <c r="P96" s="190"/>
      <c r="Q96" s="190"/>
      <c r="R96" s="190"/>
      <c r="S96" s="190"/>
      <c r="T96" s="190"/>
    </row>
    <row r="97" spans="1:20">
      <c r="A97" s="124" t="str">
        <f>IF(INDEX(VISL!A:A,MATCH(B97,VISL!B:B,0))="x","x","")</f>
        <v/>
      </c>
      <c r="B97" s="269" t="s">
        <v>914</v>
      </c>
      <c r="C97" s="269" t="s">
        <v>1144</v>
      </c>
      <c r="D97" s="201"/>
      <c r="E97" s="194" t="str">
        <f t="shared" si="17"/>
        <v>--</v>
      </c>
      <c r="F97" s="122" t="str">
        <f t="shared" si="18"/>
        <v>--</v>
      </c>
      <c r="G97" s="123" t="str">
        <f t="shared" si="19"/>
        <v>--</v>
      </c>
      <c r="H97" s="124"/>
      <c r="I97" s="121" t="str">
        <f t="shared" si="20"/>
        <v/>
      </c>
      <c r="J97" s="121" t="str">
        <f t="shared" si="21"/>
        <v/>
      </c>
      <c r="K97" s="121">
        <f t="shared" si="22"/>
        <v>7.0000000000000007E-2</v>
      </c>
      <c r="L97" s="121" t="str">
        <f t="shared" si="23"/>
        <v>P</v>
      </c>
      <c r="M97" s="121" t="str">
        <f>VLOOKUP(B97,VISL!$B:$W,22,FALSE)</f>
        <v/>
      </c>
      <c r="N97" s="190"/>
      <c r="O97" s="190" t="str">
        <f t="shared" si="12"/>
        <v/>
      </c>
      <c r="P97" s="190"/>
      <c r="Q97" s="190"/>
      <c r="R97" s="190"/>
      <c r="S97" s="190"/>
      <c r="T97" s="190"/>
    </row>
    <row r="98" spans="1:20">
      <c r="A98" s="124" t="str">
        <f>IF(INDEX(VISL!A:A,MATCH(B98,VISL!B:B,0))="x","x","")</f>
        <v/>
      </c>
      <c r="B98" s="269" t="s">
        <v>915</v>
      </c>
      <c r="C98" s="269" t="s">
        <v>1145</v>
      </c>
      <c r="D98" s="201"/>
      <c r="E98" s="194" t="str">
        <f t="shared" si="17"/>
        <v>--</v>
      </c>
      <c r="F98" s="122" t="str">
        <f t="shared" si="18"/>
        <v>--</v>
      </c>
      <c r="G98" s="123" t="str">
        <f t="shared" si="19"/>
        <v>--</v>
      </c>
      <c r="H98" s="124"/>
      <c r="I98" s="121" t="str">
        <f t="shared" si="20"/>
        <v/>
      </c>
      <c r="J98" s="121" t="str">
        <f t="shared" si="21"/>
        <v/>
      </c>
      <c r="K98" s="121">
        <f t="shared" si="22"/>
        <v>8.0000000000000002E-3</v>
      </c>
      <c r="L98" s="121" t="str">
        <f t="shared" si="23"/>
        <v>P</v>
      </c>
      <c r="M98" s="121" t="str">
        <f>VLOOKUP(B98,VISL!$B:$W,22,FALSE)</f>
        <v/>
      </c>
      <c r="N98" s="190"/>
      <c r="O98" s="190" t="str">
        <f t="shared" si="12"/>
        <v/>
      </c>
      <c r="P98" s="190"/>
      <c r="Q98" s="190"/>
      <c r="R98" s="190"/>
      <c r="S98" s="190"/>
      <c r="T98" s="190"/>
    </row>
    <row r="99" spans="1:20">
      <c r="A99" s="124" t="str">
        <f>IF(INDEX(VISL!A:A,MATCH(B99,VISL!B:B,0))="x","x","")</f>
        <v/>
      </c>
      <c r="B99" s="344" t="s">
        <v>916</v>
      </c>
      <c r="C99" s="269" t="s">
        <v>2046</v>
      </c>
      <c r="D99" s="201"/>
      <c r="E99" s="194" t="str">
        <f t="shared" si="17"/>
        <v>--</v>
      </c>
      <c r="F99" s="122" t="str">
        <f t="shared" si="18"/>
        <v>--</v>
      </c>
      <c r="G99" s="123" t="str">
        <f t="shared" si="19"/>
        <v>--</v>
      </c>
      <c r="H99" s="124"/>
      <c r="I99" s="121" t="str">
        <f t="shared" si="20"/>
        <v/>
      </c>
      <c r="J99" s="121" t="str">
        <f t="shared" si="21"/>
        <v/>
      </c>
      <c r="K99" s="121">
        <f t="shared" si="22"/>
        <v>10</v>
      </c>
      <c r="L99" s="121" t="str">
        <f t="shared" si="23"/>
        <v>I</v>
      </c>
      <c r="M99" s="121" t="str">
        <f>VLOOKUP(B99,VISL!$B:$W,22,FALSE)</f>
        <v/>
      </c>
      <c r="N99" s="190"/>
      <c r="O99" s="190" t="str">
        <f t="shared" si="12"/>
        <v/>
      </c>
      <c r="P99" s="190"/>
      <c r="Q99" s="190"/>
      <c r="R99" s="190"/>
      <c r="S99" s="190"/>
      <c r="T99" s="190"/>
    </row>
    <row r="100" spans="1:20">
      <c r="A100" s="124" t="str">
        <f>IF(INDEX(VISL!A:A,MATCH(B100,VISL!B:B,0))="x","x","")</f>
        <v/>
      </c>
      <c r="B100" s="269" t="s">
        <v>918</v>
      </c>
      <c r="C100" s="269" t="s">
        <v>1147</v>
      </c>
      <c r="D100" s="201"/>
      <c r="E100" s="194" t="str">
        <f t="shared" si="17"/>
        <v>--</v>
      </c>
      <c r="F100" s="122" t="str">
        <f t="shared" si="18"/>
        <v>--</v>
      </c>
      <c r="G100" s="123" t="str">
        <f t="shared" si="19"/>
        <v>--</v>
      </c>
      <c r="H100" s="124"/>
      <c r="I100" s="121" t="str">
        <f t="shared" si="20"/>
        <v/>
      </c>
      <c r="J100" s="121" t="str">
        <f t="shared" si="21"/>
        <v/>
      </c>
      <c r="K100" s="121">
        <f t="shared" si="22"/>
        <v>0.3</v>
      </c>
      <c r="L100" s="121" t="str">
        <f t="shared" si="23"/>
        <v>P</v>
      </c>
      <c r="M100" s="121" t="str">
        <f>VLOOKUP(B100,VISL!$B:$W,22,FALSE)</f>
        <v/>
      </c>
      <c r="N100" s="190"/>
      <c r="O100" s="190" t="str">
        <f t="shared" si="12"/>
        <v/>
      </c>
      <c r="P100" s="190"/>
      <c r="Q100" s="190"/>
      <c r="R100" s="190"/>
      <c r="S100" s="190"/>
      <c r="T100" s="190"/>
    </row>
    <row r="101" spans="1:20">
      <c r="A101" s="124" t="str">
        <f>IF(INDEX(VISL!A:A,MATCH(B101,VISL!B:B,0))="x","x","")</f>
        <v/>
      </c>
      <c r="B101" s="344" t="s">
        <v>920</v>
      </c>
      <c r="C101" s="269" t="s">
        <v>381</v>
      </c>
      <c r="D101" s="201"/>
      <c r="E101" s="194" t="str">
        <f t="shared" si="17"/>
        <v>--</v>
      </c>
      <c r="F101" s="122" t="str">
        <f t="shared" si="18"/>
        <v>--</v>
      </c>
      <c r="G101" s="123" t="str">
        <f t="shared" si="19"/>
        <v>--</v>
      </c>
      <c r="H101" s="124"/>
      <c r="I101" s="121">
        <f>IF(INDEX(IUR,MATCH(B101,CASNoTox,0))=" ","",IF(M101="TCE","see note",INDEX(IUR,MATCH(B101,CASNoTox,0))))</f>
        <v>2.5000000000000002E-6</v>
      </c>
      <c r="J101" s="121" t="str">
        <f>IF(INDEX(IURSource,MATCH(B101,CASNoTox,0))="","",SUBSTITUTE(INDEX(IURSource,MATCH(B101,CASNoTox,0)),"C","CA"))</f>
        <v>CA</v>
      </c>
      <c r="K101" s="121">
        <f>IF(INDEX(RFC,MATCH(B101,CASNoTox,0))=" ","",INDEX(RFC,MATCH(B101,CASNoTox,0)))</f>
        <v>1</v>
      </c>
      <c r="L101" s="121" t="str">
        <f>IF(INDEX(RFCSource,MATCH(B101,CASNoTox,0))="","",SUBSTITUTE(INDEX(RFCSource,MATCH(B101,CASNoTox,0)),"C","CA"))</f>
        <v>I</v>
      </c>
      <c r="M101" s="121" t="str">
        <f>VLOOKUP(B101,VISL!$B:$W,22,FALSE)</f>
        <v/>
      </c>
      <c r="N101" s="190"/>
      <c r="O101" s="190" t="str">
        <f t="shared" si="12"/>
        <v/>
      </c>
      <c r="P101" s="190"/>
      <c r="Q101" s="190"/>
      <c r="R101" s="190"/>
      <c r="S101" s="190"/>
      <c r="T101" s="190"/>
    </row>
    <row r="102" spans="1:20">
      <c r="A102" s="124" t="str">
        <f>IF(INDEX(VISL!A:A,MATCH(B102,VISL!B:B,0))="x","x","")</f>
        <v/>
      </c>
      <c r="B102" s="344" t="s">
        <v>925</v>
      </c>
      <c r="C102" s="269" t="s">
        <v>1153</v>
      </c>
      <c r="D102" s="201"/>
      <c r="E102" s="194" t="str">
        <f t="shared" si="17"/>
        <v>--</v>
      </c>
      <c r="F102" s="122" t="str">
        <f t="shared" si="18"/>
        <v>--</v>
      </c>
      <c r="G102" s="123" t="str">
        <f t="shared" si="19"/>
        <v>--</v>
      </c>
      <c r="H102" s="124"/>
      <c r="I102" s="121">
        <f>IF(INDEX(IUR,MATCH(B102,CASNoTox,0))=" ","",IF(M102="TCE","see note",INDEX(IUR,MATCH(B102,CASNoTox,0))))</f>
        <v>3.0000000000000001E-3</v>
      </c>
      <c r="J102" s="121" t="str">
        <f>IF(INDEX(IURSource,MATCH(B102,CASNoTox,0))="","",SUBSTITUTE(INDEX(IURSource,MATCH(B102,CASNoTox,0)),"C","CA"))</f>
        <v>I</v>
      </c>
      <c r="K102" s="121">
        <f>IF(INDEX(RFC,MATCH(B102,CASNoTox,0))=" ","",INDEX(RFC,MATCH(B102,CASNoTox,0)))</f>
        <v>0.03</v>
      </c>
      <c r="L102" s="121" t="str">
        <f>IF(INDEX(RFCSource,MATCH(B102,CASNoTox,0))="","",SUBSTITUTE(INDEX(RFCSource,MATCH(B102,CASNoTox,0)),"C","CA"))</f>
        <v>CA</v>
      </c>
      <c r="M102" s="121" t="str">
        <f>VLOOKUP(B102,VISL!$B:$W,22,FALSE)</f>
        <v>Mut</v>
      </c>
      <c r="N102" s="190"/>
      <c r="O102" s="190" t="str">
        <f t="shared" si="12"/>
        <v/>
      </c>
      <c r="P102" s="190"/>
      <c r="Q102" s="190"/>
      <c r="R102" s="190"/>
      <c r="S102" s="190"/>
      <c r="T102" s="190"/>
    </row>
    <row r="103" spans="1:20">
      <c r="A103" s="124" t="str">
        <f>IF(INDEX(VISL!A:A,MATCH(B103,VISL!B:B,0))="x","x","")</f>
        <v/>
      </c>
      <c r="B103" s="344" t="s">
        <v>927</v>
      </c>
      <c r="C103" s="269" t="s">
        <v>585</v>
      </c>
      <c r="D103" s="201"/>
      <c r="E103" s="194" t="str">
        <f t="shared" si="17"/>
        <v>--</v>
      </c>
      <c r="F103" s="122" t="str">
        <f t="shared" si="18"/>
        <v>--</v>
      </c>
      <c r="G103" s="123" t="str">
        <f t="shared" si="19"/>
        <v>--</v>
      </c>
      <c r="H103" s="124"/>
      <c r="I103" s="121">
        <f>IF(INDEX(IUR,MATCH(B103,CASNoTox,0))=" ","",IF(M103="TCE","see note",INDEX(IUR,MATCH(B103,CASNoTox,0))))</f>
        <v>1.9E-2</v>
      </c>
      <c r="J103" s="121" t="str">
        <f>IF(INDEX(IURSource,MATCH(B103,CASNoTox,0))="","",SUBSTITUTE(INDEX(IURSource,MATCH(B103,CASNoTox,0)),"C","CA"))</f>
        <v>CA</v>
      </c>
      <c r="K103" s="121" t="str">
        <f>IF(INDEX(RFC,MATCH(B103,CASNoTox,0))=" ","",INDEX(RFC,MATCH(B103,CASNoTox,0)))</f>
        <v/>
      </c>
      <c r="L103" s="121" t="str">
        <f>IF(INDEX(RFCSource,MATCH(B103,CASNoTox,0))="","",SUBSTITUTE(INDEX(RFCSource,MATCH(B103,CASNoTox,0)),"C","CA"))</f>
        <v/>
      </c>
      <c r="M103" s="121" t="str">
        <f>VLOOKUP(B103,VISL!$B:$W,22,FALSE)</f>
        <v/>
      </c>
      <c r="N103" s="190"/>
      <c r="O103" s="190" t="str">
        <f t="shared" si="12"/>
        <v/>
      </c>
      <c r="P103" s="190"/>
      <c r="Q103" s="190"/>
      <c r="R103" s="190"/>
      <c r="S103" s="190"/>
      <c r="T103" s="190"/>
    </row>
    <row r="104" spans="1:20">
      <c r="A104" s="124" t="str">
        <f>IF(INDEX(VISL!A:A,MATCH(B104,VISL!B:B,0))="x","x","")</f>
        <v/>
      </c>
      <c r="B104" s="344" t="s">
        <v>942</v>
      </c>
      <c r="C104" s="269" t="s">
        <v>1405</v>
      </c>
      <c r="D104" s="201"/>
      <c r="E104" s="194" t="str">
        <f t="shared" si="17"/>
        <v>--</v>
      </c>
      <c r="F104" s="122" t="str">
        <f t="shared" si="18"/>
        <v>--</v>
      </c>
      <c r="G104" s="123" t="str">
        <f t="shared" si="19"/>
        <v>--</v>
      </c>
      <c r="H104" s="124"/>
      <c r="I104" s="121">
        <f>IF(INDEX(IUR,MATCH(B104,CASNoTox,0))=" ","",IF(M104="TCE","see note",INDEX(IUR,MATCH(B104,CASNoTox,0))))</f>
        <v>1.2999999999999999E-5</v>
      </c>
      <c r="J104" s="121" t="str">
        <f>IF(INDEX(IURSource,MATCH(B104,CASNoTox,0))="","",SUBSTITUTE(INDEX(IURSource,MATCH(B104,CASNoTox,0)),"C","CA"))</f>
        <v>I</v>
      </c>
      <c r="K104" s="121">
        <f>IF(INDEX(RFC,MATCH(B104,CASNoTox,0))=" ","",INDEX(RFC,MATCH(B104,CASNoTox,0)))</f>
        <v>9.7999999999999997E-3</v>
      </c>
      <c r="L104" s="121" t="str">
        <f>IF(INDEX(RFCSource,MATCH(B104,CASNoTox,0))="","",SUBSTITUTE(INDEX(RFCSource,MATCH(B104,CASNoTox,0)),"C","CA"))</f>
        <v>A</v>
      </c>
      <c r="M104" s="121" t="str">
        <f>VLOOKUP(B104,VISL!$B:$W,22,FALSE)</f>
        <v/>
      </c>
      <c r="N104" s="190"/>
      <c r="O104" s="190" t="str">
        <f t="shared" si="12"/>
        <v/>
      </c>
      <c r="P104" s="190"/>
      <c r="Q104" s="190"/>
      <c r="R104" s="190"/>
      <c r="S104" s="190"/>
      <c r="T104" s="190"/>
    </row>
    <row r="105" spans="1:20">
      <c r="A105" s="124" t="str">
        <f>IF(INDEX(VISL!A:A,MATCH(B105,VISL!B:B,0))="x","x","")</f>
        <v/>
      </c>
      <c r="B105" s="269" t="s">
        <v>943</v>
      </c>
      <c r="C105" s="269" t="s">
        <v>1167</v>
      </c>
      <c r="D105" s="201"/>
      <c r="E105" s="194" t="str">
        <f t="shared" si="17"/>
        <v>--</v>
      </c>
      <c r="F105" s="122" t="str">
        <f t="shared" si="18"/>
        <v>--</v>
      </c>
      <c r="G105" s="123" t="str">
        <f t="shared" si="19"/>
        <v>--</v>
      </c>
      <c r="H105" s="124"/>
      <c r="I105" s="121" t="str">
        <f t="shared" ref="I105:I114" si="24">IF(INDEX(IUR,MATCH(B105,CASNoTox,0))=" ","",IF(M105="TCE","see note",INDEX(IUR,MATCH(B105,CASNoTox,0))))</f>
        <v/>
      </c>
      <c r="J105" s="121" t="str">
        <f t="shared" ref="J105:J114" si="25">IF(INDEX(IURSource,MATCH(B105,CASNoTox,0))="","",SUBSTITUTE(INDEX(IURSource,MATCH(B105,CASNoTox,0)),"C","CA"))</f>
        <v/>
      </c>
      <c r="K105" s="121">
        <f t="shared" ref="K105:K114" si="26">IF(INDEX(RFC,MATCH(B105,CASNoTox,0))=" ","",INDEX(RFC,MATCH(B105,CASNoTox,0)))</f>
        <v>2.9999999999999997E-4</v>
      </c>
      <c r="L105" s="121" t="str">
        <f t="shared" ref="L105:L114" si="27">IF(INDEX(RFCSource,MATCH(B105,CASNoTox,0))="","",SUBSTITUTE(INDEX(RFCSource,MATCH(B105,CASNoTox,0)),"C","CA"))</f>
        <v>X</v>
      </c>
      <c r="M105" s="121" t="str">
        <f>VLOOKUP(B105,VISL!$B:$W,22,FALSE)</f>
        <v/>
      </c>
      <c r="N105" s="190"/>
      <c r="O105" s="190" t="str">
        <f t="shared" si="12"/>
        <v/>
      </c>
      <c r="P105" s="190"/>
      <c r="Q105" s="190"/>
      <c r="R105" s="190"/>
      <c r="S105" s="190"/>
      <c r="T105" s="190"/>
    </row>
    <row r="106" spans="1:20">
      <c r="A106" s="124" t="str">
        <f>IF(INDEX(VISL!A:A,MATCH(B106,VISL!B:B,0))="x","x","")</f>
        <v/>
      </c>
      <c r="B106" s="344" t="s">
        <v>948</v>
      </c>
      <c r="C106" s="269" t="s">
        <v>1171</v>
      </c>
      <c r="D106" s="201"/>
      <c r="E106" s="194" t="str">
        <f t="shared" si="17"/>
        <v>--</v>
      </c>
      <c r="F106" s="122" t="str">
        <f t="shared" si="18"/>
        <v>--</v>
      </c>
      <c r="G106" s="123" t="str">
        <f t="shared" si="19"/>
        <v>--</v>
      </c>
      <c r="H106" s="124"/>
      <c r="I106" s="121" t="str">
        <f t="shared" si="24"/>
        <v/>
      </c>
      <c r="J106" s="121" t="str">
        <f t="shared" si="25"/>
        <v/>
      </c>
      <c r="K106" s="121">
        <f t="shared" si="26"/>
        <v>0.05</v>
      </c>
      <c r="L106" s="121" t="str">
        <f t="shared" si="27"/>
        <v>H</v>
      </c>
      <c r="M106" s="121" t="str">
        <f>VLOOKUP(B106,VISL!$B:$W,22,FALSE)</f>
        <v/>
      </c>
      <c r="N106" s="190"/>
      <c r="O106" s="190" t="str">
        <f t="shared" si="12"/>
        <v/>
      </c>
      <c r="P106" s="190"/>
      <c r="Q106" s="190"/>
      <c r="R106" s="190"/>
      <c r="S106" s="190"/>
      <c r="T106" s="190"/>
    </row>
    <row r="107" spans="1:20">
      <c r="A107" s="124" t="str">
        <f>IF(INDEX(VISL!A:A,MATCH(B107,VISL!B:B,0))="x","x","")</f>
        <v/>
      </c>
      <c r="B107" s="269" t="s">
        <v>953</v>
      </c>
      <c r="C107" s="269" t="s">
        <v>1174</v>
      </c>
      <c r="D107" s="201"/>
      <c r="E107" s="194" t="str">
        <f t="shared" si="17"/>
        <v>--</v>
      </c>
      <c r="F107" s="122" t="str">
        <f t="shared" si="18"/>
        <v>--</v>
      </c>
      <c r="G107" s="123" t="str">
        <f t="shared" si="19"/>
        <v>--</v>
      </c>
      <c r="H107" s="124"/>
      <c r="I107" s="121" t="str">
        <f t="shared" si="24"/>
        <v/>
      </c>
      <c r="J107" s="121" t="str">
        <f t="shared" si="25"/>
        <v/>
      </c>
      <c r="K107" s="121">
        <f t="shared" si="26"/>
        <v>1E-3</v>
      </c>
      <c r="L107" s="121" t="str">
        <f t="shared" si="27"/>
        <v>H</v>
      </c>
      <c r="M107" s="121" t="str">
        <f>VLOOKUP(B107,VISL!$B:$W,22,FALSE)</f>
        <v/>
      </c>
      <c r="N107" s="190"/>
      <c r="O107" s="190" t="str">
        <f t="shared" si="12"/>
        <v/>
      </c>
      <c r="P107" s="190"/>
      <c r="Q107" s="190"/>
      <c r="R107" s="190"/>
      <c r="S107" s="190"/>
      <c r="T107" s="190"/>
    </row>
    <row r="108" spans="1:20">
      <c r="A108" s="124" t="str">
        <f>IF(INDEX(VISL!A:A,MATCH(B108,VISL!B:B,0))="x","x","")</f>
        <v/>
      </c>
      <c r="B108" s="269" t="s">
        <v>959</v>
      </c>
      <c r="C108" s="269" t="s">
        <v>382</v>
      </c>
      <c r="D108" s="201"/>
      <c r="E108" s="194" t="str">
        <f t="shared" si="17"/>
        <v>--</v>
      </c>
      <c r="F108" s="122" t="str">
        <f t="shared" si="18"/>
        <v>--</v>
      </c>
      <c r="G108" s="123" t="str">
        <f t="shared" si="19"/>
        <v>--</v>
      </c>
      <c r="H108" s="124"/>
      <c r="I108" s="121">
        <f t="shared" si="24"/>
        <v>1.2999999999999999E-3</v>
      </c>
      <c r="J108" s="121" t="str">
        <f t="shared" si="25"/>
        <v>I</v>
      </c>
      <c r="K108" s="121" t="str">
        <f t="shared" si="26"/>
        <v/>
      </c>
      <c r="L108" s="121" t="str">
        <f t="shared" si="27"/>
        <v/>
      </c>
      <c r="M108" s="121" t="str">
        <f>VLOOKUP(B108,VISL!$B:$W,22,FALSE)</f>
        <v/>
      </c>
      <c r="N108" s="190"/>
      <c r="O108" s="190" t="str">
        <f t="shared" si="12"/>
        <v/>
      </c>
      <c r="P108" s="190"/>
      <c r="Q108" s="190"/>
      <c r="R108" s="190"/>
      <c r="S108" s="190"/>
      <c r="T108" s="190"/>
    </row>
    <row r="109" spans="1:20">
      <c r="A109" s="124" t="str">
        <f>IF(INDEX(VISL!A:A,MATCH(B109,VISL!B:B,0))="x","x","")</f>
        <v/>
      </c>
      <c r="B109" s="269" t="s">
        <v>1</v>
      </c>
      <c r="C109" s="269" t="s">
        <v>1177</v>
      </c>
      <c r="D109" s="201"/>
      <c r="E109" s="194" t="str">
        <f t="shared" si="17"/>
        <v>--</v>
      </c>
      <c r="F109" s="122" t="str">
        <f t="shared" si="18"/>
        <v>--</v>
      </c>
      <c r="G109" s="123" t="str">
        <f t="shared" si="19"/>
        <v>--</v>
      </c>
      <c r="H109" s="124"/>
      <c r="I109" s="121">
        <f t="shared" si="24"/>
        <v>2.5999999999999999E-3</v>
      </c>
      <c r="J109" s="121" t="str">
        <f t="shared" si="25"/>
        <v>I</v>
      </c>
      <c r="K109" s="121" t="str">
        <f t="shared" si="26"/>
        <v/>
      </c>
      <c r="L109" s="121" t="str">
        <f t="shared" si="27"/>
        <v/>
      </c>
      <c r="M109" s="121" t="str">
        <f>VLOOKUP(B109,VISL!$B:$W,22,FALSE)</f>
        <v/>
      </c>
      <c r="N109" s="190"/>
      <c r="O109" s="190" t="str">
        <f t="shared" si="12"/>
        <v/>
      </c>
      <c r="P109" s="190"/>
      <c r="Q109" s="190"/>
      <c r="R109" s="190"/>
      <c r="S109" s="190"/>
      <c r="T109" s="190"/>
    </row>
    <row r="110" spans="1:20">
      <c r="A110" s="124" t="str">
        <f>IF(INDEX(VISL!A:A,MATCH(B110,VISL!B:B,0))="x","x","")</f>
        <v/>
      </c>
      <c r="B110" s="274" t="s">
        <v>188</v>
      </c>
      <c r="C110" s="269" t="s">
        <v>2237</v>
      </c>
      <c r="D110" s="201"/>
      <c r="E110" s="194" t="str">
        <f t="shared" si="17"/>
        <v>--</v>
      </c>
      <c r="F110" s="122" t="str">
        <f t="shared" si="18"/>
        <v>--</v>
      </c>
      <c r="G110" s="123" t="str">
        <f t="shared" si="19"/>
        <v>--</v>
      </c>
      <c r="H110" s="124"/>
      <c r="I110" s="121">
        <f t="shared" si="24"/>
        <v>1.1000000000000001E-3</v>
      </c>
      <c r="J110" s="121" t="str">
        <f t="shared" si="25"/>
        <v>E</v>
      </c>
      <c r="K110" s="121">
        <f t="shared" si="26"/>
        <v>1.2999999999999999E-3</v>
      </c>
      <c r="L110" s="121" t="str">
        <f t="shared" si="27"/>
        <v>E</v>
      </c>
      <c r="M110" s="121" t="str">
        <f>VLOOKUP(B110,VISL!$B:$W,22,FALSE)</f>
        <v/>
      </c>
      <c r="N110" s="190"/>
      <c r="O110" s="190" t="str">
        <f t="shared" si="12"/>
        <v/>
      </c>
      <c r="P110" s="190"/>
      <c r="Q110" s="190"/>
      <c r="R110" s="190"/>
      <c r="S110" s="190"/>
      <c r="T110" s="190"/>
    </row>
    <row r="111" spans="1:20">
      <c r="A111" s="124" t="str">
        <f>IF(INDEX(VISL!A:A,MATCH(B111,VISL!B:B,0))="x","x","")</f>
        <v/>
      </c>
      <c r="B111" s="344" t="s">
        <v>4</v>
      </c>
      <c r="C111" s="269" t="s">
        <v>383</v>
      </c>
      <c r="D111" s="201"/>
      <c r="E111" s="194" t="str">
        <f t="shared" si="17"/>
        <v>--</v>
      </c>
      <c r="F111" s="122" t="str">
        <f t="shared" si="18"/>
        <v>--</v>
      </c>
      <c r="G111" s="123" t="str">
        <f t="shared" si="19"/>
        <v>--</v>
      </c>
      <c r="H111" s="124"/>
      <c r="I111" s="121">
        <f t="shared" si="24"/>
        <v>4.6000000000000001E-4</v>
      </c>
      <c r="J111" s="121" t="str">
        <f t="shared" si="25"/>
        <v>I</v>
      </c>
      <c r="K111" s="121" t="str">
        <f t="shared" si="26"/>
        <v/>
      </c>
      <c r="L111" s="121" t="str">
        <f t="shared" si="27"/>
        <v/>
      </c>
      <c r="M111" s="121" t="str">
        <f>VLOOKUP(B111,VISL!$B:$W,22,FALSE)</f>
        <v/>
      </c>
      <c r="N111" s="190"/>
      <c r="O111" s="190" t="str">
        <f t="shared" si="12"/>
        <v/>
      </c>
      <c r="P111" s="190"/>
      <c r="Q111" s="190"/>
      <c r="R111" s="190"/>
      <c r="S111" s="190"/>
      <c r="T111" s="190"/>
    </row>
    <row r="112" spans="1:20">
      <c r="A112" s="124" t="str">
        <f>IF(INDEX(VISL!A:A,MATCH(B112,VISL!B:B,0))="x","x","")</f>
        <v/>
      </c>
      <c r="B112" s="344" t="s">
        <v>191</v>
      </c>
      <c r="C112" s="269" t="s">
        <v>2238</v>
      </c>
      <c r="D112" s="201"/>
      <c r="E112" s="194" t="str">
        <f t="shared" si="17"/>
        <v>--</v>
      </c>
      <c r="F112" s="122" t="str">
        <f t="shared" si="18"/>
        <v>--</v>
      </c>
      <c r="G112" s="123" t="str">
        <f t="shared" si="19"/>
        <v>--</v>
      </c>
      <c r="H112" s="124"/>
      <c r="I112" s="121">
        <f t="shared" si="24"/>
        <v>1.1000000000000001E-3</v>
      </c>
      <c r="J112" s="121" t="str">
        <f t="shared" si="25"/>
        <v>E</v>
      </c>
      <c r="K112" s="121">
        <f t="shared" si="26"/>
        <v>1.2999999999999999E-3</v>
      </c>
      <c r="L112" s="121" t="str">
        <f t="shared" si="27"/>
        <v>E</v>
      </c>
      <c r="M112" s="121" t="str">
        <f>VLOOKUP(B112,VISL!$B:$W,22,FALSE)</f>
        <v/>
      </c>
      <c r="N112" s="190"/>
      <c r="O112" s="190" t="str">
        <f t="shared" ref="O112:O138" si="28">IF(AND(I112="",K112=""),"X","")</f>
        <v/>
      </c>
      <c r="P112" s="190"/>
      <c r="Q112" s="190"/>
      <c r="R112" s="190"/>
      <c r="S112" s="190"/>
      <c r="T112" s="190"/>
    </row>
    <row r="113" spans="1:20">
      <c r="A113" s="124" t="str">
        <f>IF(INDEX(VISL!A:A,MATCH(B113,VISL!B:B,0))="x","x","")</f>
        <v/>
      </c>
      <c r="B113" s="344" t="s">
        <v>190</v>
      </c>
      <c r="C113" s="269" t="s">
        <v>2239</v>
      </c>
      <c r="D113" s="201"/>
      <c r="E113" s="194" t="str">
        <f t="shared" si="17"/>
        <v>--</v>
      </c>
      <c r="F113" s="122" t="str">
        <f t="shared" si="18"/>
        <v>--</v>
      </c>
      <c r="G113" s="123" t="str">
        <f t="shared" si="19"/>
        <v>--</v>
      </c>
      <c r="H113" s="124"/>
      <c r="I113" s="121">
        <f t="shared" si="24"/>
        <v>1.1000000000000001E-3</v>
      </c>
      <c r="J113" s="121" t="str">
        <f t="shared" si="25"/>
        <v>E</v>
      </c>
      <c r="K113" s="121">
        <f t="shared" si="26"/>
        <v>1.2999999999999999E-3</v>
      </c>
      <c r="L113" s="121" t="str">
        <f t="shared" si="27"/>
        <v>E</v>
      </c>
      <c r="M113" s="121" t="str">
        <f>VLOOKUP(B113,VISL!$B:$W,22,FALSE)</f>
        <v/>
      </c>
      <c r="N113" s="190"/>
      <c r="O113" s="190" t="str">
        <f t="shared" si="28"/>
        <v/>
      </c>
      <c r="P113" s="190"/>
      <c r="Q113" s="190"/>
      <c r="R113" s="190"/>
      <c r="S113" s="190"/>
      <c r="T113" s="190"/>
    </row>
    <row r="114" spans="1:20">
      <c r="A114" s="124" t="str">
        <f>IF(INDEX(VISL!A:A,MATCH(B114,VISL!B:B,0))="x","x","")</f>
        <v/>
      </c>
      <c r="B114" s="344" t="s">
        <v>189</v>
      </c>
      <c r="C114" s="269" t="s">
        <v>2240</v>
      </c>
      <c r="D114" s="201"/>
      <c r="E114" s="194" t="str">
        <f t="shared" si="17"/>
        <v>--</v>
      </c>
      <c r="F114" s="122" t="str">
        <f t="shared" si="18"/>
        <v>--</v>
      </c>
      <c r="G114" s="123" t="str">
        <f t="shared" si="19"/>
        <v>--</v>
      </c>
      <c r="H114" s="124"/>
      <c r="I114" s="121">
        <f t="shared" si="24"/>
        <v>1.1000000000000001E-3</v>
      </c>
      <c r="J114" s="121" t="str">
        <f t="shared" si="25"/>
        <v>E</v>
      </c>
      <c r="K114" s="121">
        <f t="shared" si="26"/>
        <v>1.2999999999999999E-3</v>
      </c>
      <c r="L114" s="121" t="str">
        <f t="shared" si="27"/>
        <v>E</v>
      </c>
      <c r="M114" s="121" t="str">
        <f>VLOOKUP(B114,VISL!$B:$W,22,FALSE)</f>
        <v/>
      </c>
      <c r="N114" s="190"/>
      <c r="O114" s="190" t="str">
        <f t="shared" si="28"/>
        <v/>
      </c>
      <c r="P114" s="190"/>
      <c r="Q114" s="190"/>
      <c r="R114" s="190"/>
      <c r="S114" s="190"/>
      <c r="T114" s="190"/>
    </row>
    <row r="115" spans="1:20">
      <c r="A115" s="124" t="str">
        <f>IF(INDEX(VISL!A:A,MATCH(B115,VISL!B:B,0))="x","x","")</f>
        <v/>
      </c>
      <c r="B115" s="344" t="s">
        <v>192</v>
      </c>
      <c r="C115" s="269" t="s">
        <v>2241</v>
      </c>
      <c r="D115" s="201"/>
      <c r="E115" s="194" t="str">
        <f t="shared" si="17"/>
        <v>--</v>
      </c>
      <c r="F115" s="122" t="str">
        <f t="shared" si="18"/>
        <v>--</v>
      </c>
      <c r="G115" s="123" t="str">
        <f t="shared" si="19"/>
        <v>--</v>
      </c>
      <c r="H115" s="124"/>
      <c r="I115" s="121">
        <f t="shared" ref="I115:I120" si="29">IF(INDEX(IUR,MATCH(B115,CASNoTox,0))=" ","",IF(M115="TCE","see note",INDEX(IUR,MATCH(B115,CASNoTox,0))))</f>
        <v>1.1000000000000001</v>
      </c>
      <c r="J115" s="121" t="str">
        <f t="shared" ref="J115:J120" si="30">IF(INDEX(IURSource,MATCH(B115,CASNoTox,0))="","",SUBSTITUTE(INDEX(IURSource,MATCH(B115,CASNoTox,0)),"C","CA"))</f>
        <v>E</v>
      </c>
      <c r="K115" s="121">
        <f t="shared" ref="K115:K120" si="31">IF(INDEX(RFC,MATCH(B115,CASNoTox,0))=" ","",INDEX(RFC,MATCH(B115,CASNoTox,0)))</f>
        <v>1.3E-6</v>
      </c>
      <c r="L115" s="121" t="str">
        <f t="shared" ref="L115:L120" si="32">IF(INDEX(RFCSource,MATCH(B115,CASNoTox,0))="","",SUBSTITUTE(INDEX(RFCSource,MATCH(B115,CASNoTox,0)),"C","CA"))</f>
        <v>E</v>
      </c>
      <c r="M115" s="121" t="str">
        <f>VLOOKUP(B115,VISL!$B:$W,22,FALSE)</f>
        <v/>
      </c>
      <c r="N115" s="190"/>
      <c r="O115" s="190" t="str">
        <f t="shared" si="28"/>
        <v/>
      </c>
      <c r="P115" s="190"/>
      <c r="Q115" s="190"/>
      <c r="R115" s="190"/>
      <c r="S115" s="190"/>
      <c r="T115" s="190"/>
    </row>
    <row r="116" spans="1:20">
      <c r="A116" s="124" t="str">
        <f>IF(INDEX(VISL!A:A,MATCH(B116,VISL!B:B,0))="x","x","")</f>
        <v/>
      </c>
      <c r="B116" s="344" t="s">
        <v>5</v>
      </c>
      <c r="C116" s="269" t="s">
        <v>1179</v>
      </c>
      <c r="D116" s="201"/>
      <c r="E116" s="194" t="str">
        <f t="shared" si="17"/>
        <v>--</v>
      </c>
      <c r="F116" s="122" t="str">
        <f t="shared" si="18"/>
        <v>--</v>
      </c>
      <c r="G116" s="123" t="str">
        <f t="shared" si="19"/>
        <v>--</v>
      </c>
      <c r="H116" s="124"/>
      <c r="I116" s="121">
        <f t="shared" si="29"/>
        <v>2.1999999999999999E-5</v>
      </c>
      <c r="J116" s="121" t="str">
        <f t="shared" si="30"/>
        <v>I</v>
      </c>
      <c r="K116" s="121" t="str">
        <f t="shared" si="31"/>
        <v/>
      </c>
      <c r="L116" s="121" t="str">
        <f t="shared" si="32"/>
        <v/>
      </c>
      <c r="M116" s="121" t="str">
        <f>VLOOKUP(B116,VISL!$B:$W,22,FALSE)</f>
        <v/>
      </c>
      <c r="N116" s="190"/>
      <c r="O116" s="190" t="str">
        <f t="shared" si="28"/>
        <v/>
      </c>
      <c r="P116" s="190"/>
      <c r="Q116" s="190"/>
      <c r="R116" s="190"/>
      <c r="S116" s="190"/>
      <c r="T116" s="190"/>
    </row>
    <row r="117" spans="1:20">
      <c r="A117" s="124" t="str">
        <f>IF(INDEX(VISL!A:A,MATCH(B117,VISL!B:B,0))="x","x","")</f>
        <v/>
      </c>
      <c r="B117" s="344" t="s">
        <v>10</v>
      </c>
      <c r="C117" s="269" t="s">
        <v>384</v>
      </c>
      <c r="D117" s="201"/>
      <c r="E117" s="194" t="str">
        <f t="shared" si="17"/>
        <v>--</v>
      </c>
      <c r="F117" s="122" t="str">
        <f t="shared" si="18"/>
        <v>--</v>
      </c>
      <c r="G117" s="123" t="str">
        <f t="shared" si="19"/>
        <v>--</v>
      </c>
      <c r="H117" s="124"/>
      <c r="I117" s="121" t="str">
        <f t="shared" si="29"/>
        <v/>
      </c>
      <c r="J117" s="121" t="str">
        <f t="shared" si="30"/>
        <v/>
      </c>
      <c r="K117" s="121">
        <f t="shared" si="31"/>
        <v>2.0000000000000001E-4</v>
      </c>
      <c r="L117" s="121" t="str">
        <f t="shared" si="32"/>
        <v>I</v>
      </c>
      <c r="M117" s="121" t="str">
        <f>VLOOKUP(B117,VISL!$B:$W,22,FALSE)</f>
        <v/>
      </c>
      <c r="N117" s="190"/>
      <c r="O117" s="190" t="str">
        <f t="shared" si="28"/>
        <v/>
      </c>
      <c r="P117" s="190"/>
      <c r="Q117" s="190"/>
      <c r="R117" s="190"/>
      <c r="S117" s="190"/>
      <c r="T117" s="190"/>
    </row>
    <row r="118" spans="1:20">
      <c r="A118" s="124" t="str">
        <f>IF(INDEX(VISL!A:A,MATCH(B118,VISL!B:B,0))="x","x","")</f>
        <v/>
      </c>
      <c r="B118" s="344" t="s">
        <v>11</v>
      </c>
      <c r="C118" s="269" t="s">
        <v>385</v>
      </c>
      <c r="D118" s="201"/>
      <c r="E118" s="194" t="str">
        <f t="shared" si="17"/>
        <v>--</v>
      </c>
      <c r="F118" s="122" t="str">
        <f t="shared" si="18"/>
        <v>--</v>
      </c>
      <c r="G118" s="123" t="str">
        <f t="shared" si="19"/>
        <v>--</v>
      </c>
      <c r="H118" s="124"/>
      <c r="I118" s="121">
        <f t="shared" si="29"/>
        <v>1.1E-5</v>
      </c>
      <c r="J118" s="121" t="str">
        <f t="shared" si="30"/>
        <v>CA</v>
      </c>
      <c r="K118" s="121">
        <f t="shared" si="31"/>
        <v>0.03</v>
      </c>
      <c r="L118" s="121" t="str">
        <f t="shared" si="32"/>
        <v>I</v>
      </c>
      <c r="M118" s="121" t="str">
        <f>VLOOKUP(B118,VISL!$B:$W,22,FALSE)</f>
        <v/>
      </c>
      <c r="N118" s="190"/>
      <c r="O118" s="190" t="str">
        <f t="shared" si="28"/>
        <v/>
      </c>
      <c r="P118" s="190"/>
      <c r="Q118" s="190"/>
      <c r="R118" s="190"/>
      <c r="S118" s="190"/>
      <c r="T118" s="190"/>
    </row>
    <row r="119" spans="1:20">
      <c r="A119" s="124" t="str">
        <f>IF(INDEX(VISL!A:A,MATCH(B119,VISL!B:B,0))="x","x","")</f>
        <v/>
      </c>
      <c r="B119" s="344" t="s">
        <v>14</v>
      </c>
      <c r="C119" s="269" t="s">
        <v>1186</v>
      </c>
      <c r="D119" s="201"/>
      <c r="E119" s="194" t="str">
        <f t="shared" si="17"/>
        <v>--</v>
      </c>
      <c r="F119" s="122" t="str">
        <f t="shared" si="18"/>
        <v>--</v>
      </c>
      <c r="G119" s="123" t="str">
        <f t="shared" si="19"/>
        <v>--</v>
      </c>
      <c r="H119" s="124"/>
      <c r="I119" s="121" t="str">
        <f t="shared" si="29"/>
        <v/>
      </c>
      <c r="J119" s="121" t="str">
        <f t="shared" si="30"/>
        <v/>
      </c>
      <c r="K119" s="121">
        <f t="shared" si="31"/>
        <v>1.0000000000000001E-5</v>
      </c>
      <c r="L119" s="121" t="str">
        <f t="shared" si="32"/>
        <v>I</v>
      </c>
      <c r="M119" s="121" t="str">
        <f>VLOOKUP(B119,VISL!$B:$W,22,FALSE)</f>
        <v/>
      </c>
      <c r="N119" s="190"/>
      <c r="O119" s="190" t="str">
        <f t="shared" si="28"/>
        <v/>
      </c>
      <c r="P119" s="190"/>
      <c r="Q119" s="190"/>
      <c r="R119" s="190"/>
      <c r="S119" s="190"/>
      <c r="T119" s="190"/>
    </row>
    <row r="120" spans="1:20">
      <c r="A120" s="124" t="str">
        <f>IF(INDEX(VISL!A:A,MATCH(B120,VISL!B:B,0))="x","x","")</f>
        <v/>
      </c>
      <c r="B120" s="344" t="s">
        <v>15</v>
      </c>
      <c r="C120" s="269" t="s">
        <v>1187</v>
      </c>
      <c r="D120" s="201"/>
      <c r="E120" s="194" t="str">
        <f t="shared" si="17"/>
        <v>--</v>
      </c>
      <c r="F120" s="122" t="str">
        <f t="shared" si="18"/>
        <v>--</v>
      </c>
      <c r="G120" s="123" t="str">
        <f t="shared" si="19"/>
        <v>--</v>
      </c>
      <c r="H120" s="124"/>
      <c r="I120" s="121" t="str">
        <f t="shared" si="29"/>
        <v/>
      </c>
      <c r="J120" s="121" t="str">
        <f t="shared" si="30"/>
        <v/>
      </c>
      <c r="K120" s="121">
        <f t="shared" si="31"/>
        <v>0.7</v>
      </c>
      <c r="L120" s="121" t="str">
        <f t="shared" si="32"/>
        <v>I</v>
      </c>
      <c r="M120" s="121" t="str">
        <f>VLOOKUP(B120,VISL!$B:$W,22,FALSE)</f>
        <v/>
      </c>
      <c r="N120" s="190"/>
      <c r="O120" s="190" t="str">
        <f t="shared" si="28"/>
        <v/>
      </c>
      <c r="P120" s="190"/>
      <c r="Q120" s="190"/>
      <c r="R120" s="190"/>
      <c r="S120" s="190"/>
      <c r="T120" s="190"/>
    </row>
    <row r="121" spans="1:20">
      <c r="A121" s="124" t="str">
        <f>IF(INDEX(VISL!A:A,MATCH(B121,VISL!B:B,0))="x","x","")</f>
        <v/>
      </c>
      <c r="B121" s="344" t="s">
        <v>17</v>
      </c>
      <c r="C121" s="269" t="s">
        <v>588</v>
      </c>
      <c r="D121" s="201"/>
      <c r="E121" s="194" t="str">
        <f t="shared" si="17"/>
        <v>--</v>
      </c>
      <c r="F121" s="122" t="str">
        <f t="shared" si="18"/>
        <v>--</v>
      </c>
      <c r="G121" s="123" t="str">
        <f t="shared" si="19"/>
        <v>--</v>
      </c>
      <c r="H121" s="124"/>
      <c r="I121" s="121" t="str">
        <f t="shared" ref="I121:I138" si="33">IF(INDEX(IUR,MATCH(B121,CASNoTox,0))=" ","",IF(M121="TCE","see note",INDEX(IUR,MATCH(B121,CASNoTox,0))))</f>
        <v/>
      </c>
      <c r="J121" s="121" t="str">
        <f t="shared" ref="J121:J138" si="34">IF(INDEX(IURSource,MATCH(B121,CASNoTox,0))="","",SUBSTITUTE(INDEX(IURSource,MATCH(B121,CASNoTox,0)),"C","CA"))</f>
        <v/>
      </c>
      <c r="K121" s="121">
        <f t="shared" ref="K121:K138" si="35">IF(INDEX(RFC,MATCH(B121,CASNoTox,0))=" ","",INDEX(RFC,MATCH(B121,CASNoTox,0)))</f>
        <v>0.03</v>
      </c>
      <c r="L121" s="121" t="str">
        <f t="shared" ref="L121:L138" si="36">IF(INDEX(RFCSource,MATCH(B121,CASNoTox,0))="","",SUBSTITUTE(INDEX(RFCSource,MATCH(B121,CASNoTox,0)),"C","CA"))</f>
        <v>I</v>
      </c>
      <c r="M121" s="121" t="str">
        <f>VLOOKUP(B121,VISL!$B:$W,22,FALSE)</f>
        <v/>
      </c>
      <c r="N121" s="190"/>
      <c r="O121" s="190" t="str">
        <f t="shared" si="28"/>
        <v/>
      </c>
      <c r="P121" s="190"/>
      <c r="Q121" s="190"/>
      <c r="R121" s="190"/>
      <c r="S121" s="190"/>
      <c r="T121" s="190"/>
    </row>
    <row r="122" spans="1:20">
      <c r="A122" s="124" t="str">
        <f>IF(INDEX(VISL!A:A,MATCH(B122,VISL!B:B,0))="x","x","")</f>
        <v/>
      </c>
      <c r="B122" s="344" t="s">
        <v>19</v>
      </c>
      <c r="C122" s="269" t="s">
        <v>1407</v>
      </c>
      <c r="D122" s="201"/>
      <c r="E122" s="194" t="str">
        <f t="shared" si="17"/>
        <v>--</v>
      </c>
      <c r="F122" s="122" t="str">
        <f t="shared" si="18"/>
        <v>--</v>
      </c>
      <c r="G122" s="123" t="str">
        <f t="shared" si="19"/>
        <v>--</v>
      </c>
      <c r="H122" s="124"/>
      <c r="I122" s="121">
        <f t="shared" si="33"/>
        <v>4.8999999999999998E-3</v>
      </c>
      <c r="J122" s="121" t="str">
        <f t="shared" si="34"/>
        <v>I</v>
      </c>
      <c r="K122" s="121">
        <f t="shared" si="35"/>
        <v>3.0000000000000001E-5</v>
      </c>
      <c r="L122" s="121" t="str">
        <f t="shared" si="36"/>
        <v>P</v>
      </c>
      <c r="M122" s="121" t="str">
        <f>VLOOKUP(B122,VISL!$B:$W,22,FALSE)</f>
        <v/>
      </c>
      <c r="N122" s="190"/>
      <c r="O122" s="190" t="str">
        <f t="shared" si="28"/>
        <v/>
      </c>
      <c r="P122" s="190"/>
      <c r="Q122" s="190"/>
      <c r="R122" s="190"/>
      <c r="S122" s="190"/>
      <c r="T122" s="190"/>
    </row>
    <row r="123" spans="1:20">
      <c r="A123" s="124" t="str">
        <f>IF(INDEX(VISL!A:A,MATCH(B123,VISL!B:B,0))="x","x","")</f>
        <v/>
      </c>
      <c r="B123" s="344" t="s">
        <v>21</v>
      </c>
      <c r="C123" s="269" t="s">
        <v>1191</v>
      </c>
      <c r="D123" s="201"/>
      <c r="E123" s="194" t="str">
        <f t="shared" si="17"/>
        <v>--</v>
      </c>
      <c r="F123" s="122" t="str">
        <f t="shared" si="18"/>
        <v>--</v>
      </c>
      <c r="G123" s="123" t="str">
        <f t="shared" si="19"/>
        <v>--</v>
      </c>
      <c r="H123" s="124"/>
      <c r="I123" s="121" t="str">
        <f t="shared" si="33"/>
        <v/>
      </c>
      <c r="J123" s="121" t="str">
        <f t="shared" si="34"/>
        <v/>
      </c>
      <c r="K123" s="121">
        <f t="shared" si="35"/>
        <v>0.02</v>
      </c>
      <c r="L123" s="121" t="str">
        <f t="shared" si="36"/>
        <v>I</v>
      </c>
      <c r="M123" s="121" t="str">
        <f>VLOOKUP(B123,VISL!$B:$W,22,FALSE)</f>
        <v/>
      </c>
      <c r="N123" s="190"/>
      <c r="O123" s="190" t="str">
        <f t="shared" si="28"/>
        <v/>
      </c>
      <c r="P123" s="190"/>
      <c r="Q123" s="190"/>
      <c r="R123" s="190"/>
      <c r="S123" s="190"/>
      <c r="T123" s="190"/>
    </row>
    <row r="124" spans="1:20">
      <c r="A124" s="124" t="str">
        <f>IF(INDEX(VISL!A:A,MATCH(B124,VISL!B:B,0))="x","x","")</f>
        <v/>
      </c>
      <c r="B124" s="344" t="s">
        <v>794</v>
      </c>
      <c r="C124" s="269" t="s">
        <v>2242</v>
      </c>
      <c r="D124" s="201"/>
      <c r="E124" s="194" t="str">
        <f t="shared" si="17"/>
        <v>--</v>
      </c>
      <c r="F124" s="122" t="str">
        <f t="shared" si="18"/>
        <v>--</v>
      </c>
      <c r="G124" s="123" t="str">
        <f t="shared" si="19"/>
        <v>--</v>
      </c>
      <c r="H124" s="124"/>
      <c r="I124" s="121" t="str">
        <f t="shared" si="33"/>
        <v/>
      </c>
      <c r="J124" s="121" t="str">
        <f t="shared" si="34"/>
        <v/>
      </c>
      <c r="K124" s="121">
        <f t="shared" si="35"/>
        <v>8.0000000000000004E-4</v>
      </c>
      <c r="L124" s="121" t="str">
        <f t="shared" si="36"/>
        <v>I</v>
      </c>
      <c r="M124" s="121" t="str">
        <f>VLOOKUP(B124,VISL!$B:$W,22,FALSE)</f>
        <v/>
      </c>
      <c r="N124" s="190"/>
      <c r="O124" s="190" t="str">
        <f t="shared" si="28"/>
        <v/>
      </c>
      <c r="P124" s="190"/>
      <c r="Q124" s="190"/>
      <c r="R124" s="190"/>
      <c r="S124" s="190"/>
      <c r="T124" s="190"/>
    </row>
    <row r="125" spans="1:20">
      <c r="A125" s="124" t="str">
        <f>IF(INDEX(VISL!A:A,MATCH(B125,VISL!B:B,0))="x","x","")</f>
        <v/>
      </c>
      <c r="B125" s="344" t="s">
        <v>22</v>
      </c>
      <c r="C125" s="269" t="s">
        <v>589</v>
      </c>
      <c r="D125" s="201"/>
      <c r="E125" s="194" t="str">
        <f t="shared" si="17"/>
        <v>--</v>
      </c>
      <c r="F125" s="122" t="str">
        <f t="shared" si="18"/>
        <v>--</v>
      </c>
      <c r="G125" s="123" t="str">
        <f t="shared" si="19"/>
        <v>--</v>
      </c>
      <c r="H125" s="124"/>
      <c r="I125" s="121" t="str">
        <f t="shared" si="33"/>
        <v/>
      </c>
      <c r="J125" s="121" t="str">
        <f t="shared" si="34"/>
        <v/>
      </c>
      <c r="K125" s="121">
        <f t="shared" si="35"/>
        <v>1.4E-2</v>
      </c>
      <c r="L125" s="121" t="str">
        <f t="shared" si="36"/>
        <v>CA</v>
      </c>
      <c r="M125" s="121" t="str">
        <f>VLOOKUP(B125,VISL!$B:$W,22,FALSE)</f>
        <v/>
      </c>
      <c r="N125" s="190"/>
      <c r="O125" s="190" t="str">
        <f t="shared" si="28"/>
        <v/>
      </c>
      <c r="P125" s="190"/>
      <c r="Q125" s="190"/>
      <c r="R125" s="190"/>
      <c r="S125" s="190"/>
      <c r="T125" s="190"/>
    </row>
    <row r="126" spans="1:20">
      <c r="A126" s="124" t="str">
        <f>IF(INDEX(VISL!A:A,MATCH(B126,VISL!B:B,0))="x","x","")</f>
        <v/>
      </c>
      <c r="B126" s="344" t="s">
        <v>23</v>
      </c>
      <c r="C126" s="269" t="s">
        <v>1192</v>
      </c>
      <c r="D126" s="201"/>
      <c r="E126" s="194" t="str">
        <f t="shared" si="17"/>
        <v>--</v>
      </c>
      <c r="F126" s="122" t="str">
        <f t="shared" si="18"/>
        <v>--</v>
      </c>
      <c r="G126" s="123" t="str">
        <f t="shared" si="19"/>
        <v>--</v>
      </c>
      <c r="H126" s="124"/>
      <c r="I126" s="121" t="str">
        <f t="shared" si="33"/>
        <v/>
      </c>
      <c r="J126" s="121" t="str">
        <f t="shared" si="34"/>
        <v/>
      </c>
      <c r="K126" s="121">
        <f t="shared" si="35"/>
        <v>2E-3</v>
      </c>
      <c r="L126" s="121" t="str">
        <f t="shared" si="36"/>
        <v>I</v>
      </c>
      <c r="M126" s="121" t="str">
        <f>VLOOKUP(B126,VISL!$B:$W,22,FALSE)</f>
        <v/>
      </c>
      <c r="N126" s="190"/>
      <c r="O126" s="190" t="str">
        <f t="shared" si="28"/>
        <v/>
      </c>
      <c r="P126" s="190"/>
      <c r="Q126" s="190"/>
      <c r="R126" s="190"/>
      <c r="S126" s="190"/>
      <c r="T126" s="190"/>
    </row>
    <row r="127" spans="1:20">
      <c r="A127" s="124" t="str">
        <f>IF(INDEX(VISL!A:A,MATCH(B127,VISL!B:B,0))="x","x","")</f>
        <v/>
      </c>
      <c r="B127" s="344" t="s">
        <v>33</v>
      </c>
      <c r="C127" s="269" t="s">
        <v>591</v>
      </c>
      <c r="D127" s="201"/>
      <c r="E127" s="194" t="str">
        <f t="shared" si="17"/>
        <v>--</v>
      </c>
      <c r="F127" s="122" t="str">
        <f t="shared" si="18"/>
        <v>--</v>
      </c>
      <c r="G127" s="123" t="str">
        <f t="shared" si="19"/>
        <v>--</v>
      </c>
      <c r="H127" s="124"/>
      <c r="I127" s="121" t="str">
        <f t="shared" si="33"/>
        <v/>
      </c>
      <c r="J127" s="121" t="str">
        <f t="shared" si="34"/>
        <v/>
      </c>
      <c r="K127" s="121">
        <f t="shared" si="35"/>
        <v>0.2</v>
      </c>
      <c r="L127" s="121" t="str">
        <f t="shared" si="36"/>
        <v>P</v>
      </c>
      <c r="M127" s="121" t="str">
        <f>VLOOKUP(B127,VISL!$B:$W,22,FALSE)</f>
        <v/>
      </c>
      <c r="N127" s="190"/>
      <c r="O127" s="190" t="str">
        <f t="shared" si="28"/>
        <v/>
      </c>
      <c r="P127" s="190"/>
      <c r="Q127" s="190"/>
      <c r="R127" s="190"/>
      <c r="S127" s="190"/>
      <c r="T127" s="190"/>
    </row>
    <row r="128" spans="1:20">
      <c r="A128" s="124" t="str">
        <f>IF(INDEX(VISL!A:A,MATCH(B128,VISL!B:B,0))="x","x","")</f>
        <v/>
      </c>
      <c r="B128" s="269" t="s">
        <v>59</v>
      </c>
      <c r="C128" s="269" t="s">
        <v>2243</v>
      </c>
      <c r="D128" s="201"/>
      <c r="E128" s="194" t="str">
        <f t="shared" si="17"/>
        <v>--</v>
      </c>
      <c r="F128" s="122" t="str">
        <f t="shared" si="18"/>
        <v>--</v>
      </c>
      <c r="G128" s="123" t="str">
        <f t="shared" si="19"/>
        <v>--</v>
      </c>
      <c r="H128" s="124"/>
      <c r="I128" s="121" t="str">
        <f t="shared" si="33"/>
        <v/>
      </c>
      <c r="J128" s="121" t="str">
        <f t="shared" si="34"/>
        <v/>
      </c>
      <c r="K128" s="121">
        <f t="shared" si="35"/>
        <v>2.9999999999999997E-4</v>
      </c>
      <c r="L128" s="121" t="str">
        <f t="shared" si="36"/>
        <v>I</v>
      </c>
      <c r="M128" s="121" t="str">
        <f>VLOOKUP(B128,VISL!$B:$W,22,FALSE)</f>
        <v/>
      </c>
      <c r="N128" s="190"/>
      <c r="O128" s="190" t="str">
        <f t="shared" si="28"/>
        <v/>
      </c>
      <c r="P128" s="190"/>
      <c r="Q128" s="190"/>
      <c r="R128" s="190"/>
      <c r="S128" s="190"/>
      <c r="T128" s="190"/>
    </row>
    <row r="129" spans="1:20">
      <c r="A129" s="124" t="str">
        <f>IF(INDEX(VISL!A:A,MATCH(B129,VISL!B:B,0))="x","x","")</f>
        <v/>
      </c>
      <c r="B129" s="344" t="s">
        <v>65</v>
      </c>
      <c r="C129" s="269" t="s">
        <v>1441</v>
      </c>
      <c r="D129" s="201"/>
      <c r="E129" s="194" t="str">
        <f t="shared" si="17"/>
        <v>--</v>
      </c>
      <c r="F129" s="122" t="str">
        <f t="shared" si="18"/>
        <v>--</v>
      </c>
      <c r="G129" s="123" t="str">
        <f t="shared" si="19"/>
        <v>--</v>
      </c>
      <c r="H129" s="124"/>
      <c r="I129" s="121" t="str">
        <f t="shared" si="33"/>
        <v/>
      </c>
      <c r="J129" s="121" t="str">
        <f t="shared" si="34"/>
        <v/>
      </c>
      <c r="K129" s="121">
        <f t="shared" si="35"/>
        <v>0.03</v>
      </c>
      <c r="L129" s="121" t="str">
        <f t="shared" si="36"/>
        <v>P</v>
      </c>
      <c r="M129" s="121" t="str">
        <f>VLOOKUP(B129,VISL!$B:$W,22,FALSE)</f>
        <v/>
      </c>
      <c r="N129" s="190"/>
      <c r="O129" s="190" t="str">
        <f t="shared" si="28"/>
        <v/>
      </c>
      <c r="P129" s="190"/>
      <c r="Q129" s="190"/>
      <c r="R129" s="190"/>
      <c r="S129" s="190"/>
      <c r="T129" s="190"/>
    </row>
    <row r="130" spans="1:20">
      <c r="A130" s="124" t="str">
        <f>IF(INDEX(VISL!A:A,MATCH(B130,VISL!B:B,0))="x","x","")</f>
        <v/>
      </c>
      <c r="B130" s="344" t="s">
        <v>67</v>
      </c>
      <c r="C130" s="269" t="s">
        <v>1220</v>
      </c>
      <c r="D130" s="201"/>
      <c r="E130" s="194" t="str">
        <f t="shared" si="17"/>
        <v>--</v>
      </c>
      <c r="F130" s="122" t="str">
        <f t="shared" si="18"/>
        <v>--</v>
      </c>
      <c r="G130" s="123" t="str">
        <f t="shared" si="19"/>
        <v>--</v>
      </c>
      <c r="H130" s="124"/>
      <c r="I130" s="121" t="str">
        <f t="shared" si="33"/>
        <v/>
      </c>
      <c r="J130" s="121" t="str">
        <f t="shared" si="34"/>
        <v/>
      </c>
      <c r="K130" s="121">
        <f t="shared" si="35"/>
        <v>20</v>
      </c>
      <c r="L130" s="121" t="str">
        <f t="shared" si="36"/>
        <v>I</v>
      </c>
      <c r="M130" s="121" t="str">
        <f>VLOOKUP(B130,VISL!$B:$W,22,FALSE)</f>
        <v/>
      </c>
      <c r="N130" s="190"/>
      <c r="O130" s="190" t="str">
        <f t="shared" si="28"/>
        <v/>
      </c>
      <c r="P130" s="190"/>
      <c r="Q130" s="190"/>
      <c r="R130" s="190"/>
      <c r="S130" s="190"/>
      <c r="T130" s="190"/>
    </row>
    <row r="131" spans="1:20">
      <c r="A131" s="124" t="str">
        <f>IF(INDEX(VISL!A:A,MATCH(B131,VISL!B:B,0))="x","x","")</f>
        <v/>
      </c>
      <c r="B131" s="344" t="s">
        <v>72</v>
      </c>
      <c r="C131" s="269" t="s">
        <v>1224</v>
      </c>
      <c r="D131" s="201"/>
      <c r="E131" s="194" t="str">
        <f t="shared" si="17"/>
        <v>--</v>
      </c>
      <c r="F131" s="122" t="str">
        <f t="shared" si="18"/>
        <v>--</v>
      </c>
      <c r="G131" s="123" t="str">
        <f t="shared" si="19"/>
        <v>--</v>
      </c>
      <c r="H131" s="124"/>
      <c r="I131" s="121" t="str">
        <f t="shared" si="33"/>
        <v/>
      </c>
      <c r="J131" s="121" t="str">
        <f t="shared" si="34"/>
        <v/>
      </c>
      <c r="K131" s="121">
        <f t="shared" si="35"/>
        <v>1E-3</v>
      </c>
      <c r="L131" s="121" t="str">
        <f t="shared" si="36"/>
        <v>P</v>
      </c>
      <c r="M131" s="121" t="str">
        <f>VLOOKUP(B131,VISL!$B:$W,22,FALSE)</f>
        <v/>
      </c>
      <c r="N131" s="190"/>
      <c r="O131" s="190" t="str">
        <f t="shared" si="28"/>
        <v/>
      </c>
      <c r="P131" s="190"/>
      <c r="Q131" s="190"/>
      <c r="R131" s="190"/>
      <c r="S131" s="190"/>
      <c r="T131" s="190"/>
    </row>
    <row r="132" spans="1:20">
      <c r="A132" s="124" t="str">
        <f>IF(INDEX(VISL!A:A,MATCH(B132,VISL!B:B,0))="x","x","")</f>
        <v/>
      </c>
      <c r="B132" s="344" t="s">
        <v>73</v>
      </c>
      <c r="C132" s="269" t="s">
        <v>1225</v>
      </c>
      <c r="D132" s="201"/>
      <c r="E132" s="194" t="str">
        <f t="shared" si="17"/>
        <v>--</v>
      </c>
      <c r="F132" s="122" t="str">
        <f t="shared" si="18"/>
        <v>--</v>
      </c>
      <c r="G132" s="123" t="str">
        <f t="shared" si="19"/>
        <v>--</v>
      </c>
      <c r="H132" s="124"/>
      <c r="I132" s="121" t="str">
        <f t="shared" si="33"/>
        <v/>
      </c>
      <c r="J132" s="121" t="str">
        <f t="shared" si="34"/>
        <v/>
      </c>
      <c r="K132" s="121">
        <f t="shared" si="35"/>
        <v>0.02</v>
      </c>
      <c r="L132" s="121" t="str">
        <f t="shared" si="36"/>
        <v>I</v>
      </c>
      <c r="M132" s="121" t="str">
        <f>VLOOKUP(B132,VISL!$B:$W,22,FALSE)</f>
        <v/>
      </c>
      <c r="N132" s="190"/>
      <c r="O132" s="190" t="str">
        <f t="shared" si="28"/>
        <v/>
      </c>
      <c r="P132" s="190"/>
      <c r="Q132" s="190"/>
      <c r="R132" s="190"/>
      <c r="S132" s="190"/>
      <c r="T132" s="190"/>
    </row>
    <row r="133" spans="1:20">
      <c r="A133" s="124" t="str">
        <f>IF(INDEX(VISL!A:A,MATCH(B133,VISL!B:B,0))="x","x","")</f>
        <v/>
      </c>
      <c r="B133" s="344" t="s">
        <v>75</v>
      </c>
      <c r="C133" s="269" t="s">
        <v>1227</v>
      </c>
      <c r="D133" s="201"/>
      <c r="E133" s="194" t="str">
        <f t="shared" si="17"/>
        <v>--</v>
      </c>
      <c r="F133" s="122" t="str">
        <f t="shared" si="18"/>
        <v>--</v>
      </c>
      <c r="G133" s="123" t="str">
        <f t="shared" si="19"/>
        <v>--</v>
      </c>
      <c r="H133" s="124"/>
      <c r="I133" s="121" t="str">
        <f t="shared" si="33"/>
        <v/>
      </c>
      <c r="J133" s="121" t="str">
        <f t="shared" si="34"/>
        <v/>
      </c>
      <c r="K133" s="121">
        <f t="shared" si="35"/>
        <v>0.02</v>
      </c>
      <c r="L133" s="121" t="str">
        <f t="shared" si="36"/>
        <v>P</v>
      </c>
      <c r="M133" s="121" t="str">
        <f>VLOOKUP(B133,VISL!$B:$W,22,FALSE)</f>
        <v/>
      </c>
      <c r="N133" s="190"/>
      <c r="O133" s="190" t="str">
        <f t="shared" si="28"/>
        <v/>
      </c>
      <c r="P133" s="190"/>
      <c r="Q133" s="190"/>
      <c r="R133" s="190"/>
      <c r="S133" s="190"/>
      <c r="T133" s="190"/>
    </row>
    <row r="134" spans="1:20">
      <c r="A134" s="124" t="str">
        <f>IF(INDEX(VISL!A:A,MATCH(B134,VISL!B:B,0))="x","x","")</f>
        <v/>
      </c>
      <c r="B134" s="344" t="s">
        <v>76</v>
      </c>
      <c r="C134" s="269" t="s">
        <v>1228</v>
      </c>
      <c r="D134" s="201"/>
      <c r="E134" s="194" t="str">
        <f t="shared" si="17"/>
        <v>--</v>
      </c>
      <c r="F134" s="122" t="str">
        <f t="shared" si="18"/>
        <v>--</v>
      </c>
      <c r="G134" s="123" t="str">
        <f t="shared" si="19"/>
        <v>--</v>
      </c>
      <c r="H134" s="124"/>
      <c r="I134" s="121" t="str">
        <f t="shared" si="33"/>
        <v/>
      </c>
      <c r="J134" s="121" t="str">
        <f t="shared" si="34"/>
        <v/>
      </c>
      <c r="K134" s="121">
        <f t="shared" si="35"/>
        <v>5</v>
      </c>
      <c r="L134" s="121" t="str">
        <f t="shared" si="36"/>
        <v>I</v>
      </c>
      <c r="M134" s="121" t="str">
        <f>VLOOKUP(B134,VISL!$B:$W,22,FALSE)</f>
        <v/>
      </c>
      <c r="N134" s="190"/>
      <c r="O134" s="190" t="str">
        <f t="shared" si="28"/>
        <v/>
      </c>
      <c r="P134" s="190"/>
      <c r="Q134" s="190"/>
      <c r="R134" s="190"/>
      <c r="S134" s="190"/>
      <c r="T134" s="190"/>
    </row>
    <row r="135" spans="1:20">
      <c r="A135" s="124" t="str">
        <f>IF(INDEX(VISL!A:A,MATCH(B135,VISL!B:B,0))="x","x","")</f>
        <v/>
      </c>
      <c r="B135" s="344" t="s">
        <v>1568</v>
      </c>
      <c r="C135" s="269" t="s">
        <v>1567</v>
      </c>
      <c r="D135" s="201"/>
      <c r="E135" s="194" t="str">
        <f t="shared" si="17"/>
        <v>--</v>
      </c>
      <c r="F135" s="122" t="str">
        <f t="shared" si="18"/>
        <v>--</v>
      </c>
      <c r="G135" s="123" t="str">
        <f t="shared" si="19"/>
        <v>--</v>
      </c>
      <c r="H135" s="124"/>
      <c r="I135" s="121">
        <f t="shared" si="33"/>
        <v>1E-3</v>
      </c>
      <c r="J135" s="121" t="str">
        <f t="shared" si="34"/>
        <v>X</v>
      </c>
      <c r="K135" s="121">
        <f t="shared" si="35"/>
        <v>2.0000000000000002E-5</v>
      </c>
      <c r="L135" s="121" t="str">
        <f t="shared" si="36"/>
        <v>X</v>
      </c>
      <c r="M135" s="121" t="str">
        <f>VLOOKUP(B135,VISL!$B:$W,22,FALSE)</f>
        <v/>
      </c>
      <c r="N135" s="190"/>
      <c r="O135" s="190" t="str">
        <f t="shared" si="28"/>
        <v/>
      </c>
      <c r="P135" s="190"/>
      <c r="Q135" s="190"/>
      <c r="R135" s="190"/>
      <c r="S135" s="190"/>
      <c r="T135" s="190"/>
    </row>
    <row r="136" spans="1:20">
      <c r="A136" s="124" t="str">
        <f>IF(INDEX(VISL!A:A,MATCH(B136,VISL!B:B,0))="x","x","")</f>
        <v/>
      </c>
      <c r="B136" s="344" t="s">
        <v>77</v>
      </c>
      <c r="C136" s="269" t="s">
        <v>1229</v>
      </c>
      <c r="D136" s="201"/>
      <c r="E136" s="194" t="str">
        <f t="shared" si="17"/>
        <v>--</v>
      </c>
      <c r="F136" s="122" t="str">
        <f t="shared" si="18"/>
        <v>--</v>
      </c>
      <c r="G136" s="123" t="str">
        <f t="shared" si="19"/>
        <v>--</v>
      </c>
      <c r="H136" s="124"/>
      <c r="I136" s="121" t="str">
        <f t="shared" si="33"/>
        <v/>
      </c>
      <c r="J136" s="121" t="str">
        <f t="shared" si="34"/>
        <v/>
      </c>
      <c r="K136" s="121">
        <f t="shared" si="35"/>
        <v>3</v>
      </c>
      <c r="L136" s="121" t="str">
        <f t="shared" si="36"/>
        <v>I</v>
      </c>
      <c r="M136" s="121" t="str">
        <f>VLOOKUP(B136,VISL!$B:$W,22,FALSE)</f>
        <v/>
      </c>
      <c r="N136" s="190"/>
      <c r="O136" s="190" t="str">
        <f t="shared" si="28"/>
        <v/>
      </c>
      <c r="P136" s="190"/>
      <c r="Q136" s="190"/>
      <c r="R136" s="190"/>
      <c r="S136" s="190"/>
      <c r="T136" s="190"/>
    </row>
    <row r="137" spans="1:20">
      <c r="A137" s="124" t="str">
        <f>IF(INDEX(VISL!A:A,MATCH(B137,VISL!B:B,0))="x","x","")</f>
        <v/>
      </c>
      <c r="B137" s="344" t="s">
        <v>78</v>
      </c>
      <c r="C137" s="269" t="s">
        <v>593</v>
      </c>
      <c r="D137" s="201"/>
      <c r="E137" s="194" t="str">
        <f t="shared" si="17"/>
        <v>--</v>
      </c>
      <c r="F137" s="122" t="str">
        <f t="shared" si="18"/>
        <v>--</v>
      </c>
      <c r="G137" s="123" t="str">
        <f t="shared" si="19"/>
        <v>--</v>
      </c>
      <c r="H137" s="124"/>
      <c r="I137" s="121" t="str">
        <f t="shared" si="33"/>
        <v/>
      </c>
      <c r="J137" s="121" t="str">
        <f t="shared" si="34"/>
        <v/>
      </c>
      <c r="K137" s="121">
        <f t="shared" si="35"/>
        <v>1E-3</v>
      </c>
      <c r="L137" s="121" t="str">
        <f t="shared" si="36"/>
        <v>CA</v>
      </c>
      <c r="M137" s="121" t="str">
        <f>VLOOKUP(B137,VISL!$B:$W,22,FALSE)</f>
        <v/>
      </c>
      <c r="N137" s="190"/>
      <c r="O137" s="190" t="str">
        <f t="shared" si="28"/>
        <v/>
      </c>
      <c r="P137" s="190"/>
      <c r="Q137" s="190"/>
      <c r="R137" s="190"/>
      <c r="S137" s="190"/>
      <c r="T137" s="190"/>
    </row>
    <row r="138" spans="1:20">
      <c r="A138" s="124" t="str">
        <f>IF(INDEX(VISL!A:A,MATCH(B138,VISL!B:B,0))="x","x","")</f>
        <v/>
      </c>
      <c r="B138" s="344" t="s">
        <v>79</v>
      </c>
      <c r="C138" s="269" t="s">
        <v>1230</v>
      </c>
      <c r="D138" s="201"/>
      <c r="E138" s="194" t="str">
        <f t="shared" si="17"/>
        <v>--</v>
      </c>
      <c r="F138" s="122" t="str">
        <f t="shared" si="18"/>
        <v>--</v>
      </c>
      <c r="G138" s="123" t="str">
        <f t="shared" si="19"/>
        <v>--</v>
      </c>
      <c r="H138" s="124"/>
      <c r="I138" s="121" t="str">
        <f t="shared" si="33"/>
        <v/>
      </c>
      <c r="J138" s="121" t="str">
        <f t="shared" si="34"/>
        <v/>
      </c>
      <c r="K138" s="121">
        <f t="shared" si="35"/>
        <v>0.7</v>
      </c>
      <c r="L138" s="121" t="str">
        <f t="shared" si="36"/>
        <v>I</v>
      </c>
      <c r="M138" s="121" t="str">
        <f>VLOOKUP(B138,VISL!$B:$W,22,FALSE)</f>
        <v/>
      </c>
      <c r="N138" s="190"/>
      <c r="O138" s="190" t="str">
        <f t="shared" si="28"/>
        <v/>
      </c>
      <c r="P138" s="190"/>
      <c r="Q138" s="190"/>
      <c r="R138" s="190"/>
      <c r="S138" s="190"/>
      <c r="T138" s="190"/>
    </row>
    <row r="139" spans="1:20">
      <c r="A139" s="124" t="str">
        <f>IF(INDEX(VISL!A:A,MATCH(B139,VISL!B:B,0))="x","x","")</f>
        <v/>
      </c>
      <c r="B139" s="344" t="s">
        <v>82</v>
      </c>
      <c r="C139" s="269" t="s">
        <v>1232</v>
      </c>
      <c r="D139" s="201"/>
      <c r="E139" s="194" t="str">
        <f t="shared" si="17"/>
        <v>--</v>
      </c>
      <c r="F139" s="122" t="str">
        <f t="shared" si="18"/>
        <v>--</v>
      </c>
      <c r="G139" s="123" t="str">
        <f t="shared" si="19"/>
        <v>--</v>
      </c>
      <c r="H139" s="124"/>
      <c r="I139" s="121" t="str">
        <f t="shared" ref="I139:I199" si="37">IF(INDEX(IUR,MATCH(B139,CASNoTox,0))=" ","",IF(M139="TCE","see note",INDEX(IUR,MATCH(B139,CASNoTox,0))))</f>
        <v/>
      </c>
      <c r="J139" s="121" t="str">
        <f t="shared" ref="J139:J199" si="38">IF(INDEX(IURSource,MATCH(B139,CASNoTox,0))="","",SUBSTITUTE(INDEX(IURSource,MATCH(B139,CASNoTox,0)),"C","CA"))</f>
        <v/>
      </c>
      <c r="K139" s="121">
        <f t="shared" ref="K139:K199" si="39">IF(INDEX(RFC,MATCH(B139,CASNoTox,0))=" ","",INDEX(RFC,MATCH(B139,CASNoTox,0)))</f>
        <v>0.04</v>
      </c>
      <c r="L139" s="121" t="str">
        <f t="shared" ref="L139:L199" si="40">IF(INDEX(RFCSource,MATCH(B139,CASNoTox,0))="","",SUBSTITUTE(INDEX(RFCSource,MATCH(B139,CASNoTox,0)),"C","CA"))</f>
        <v>H</v>
      </c>
      <c r="M139" s="121" t="str">
        <f>VLOOKUP(B139,VISL!$B:$W,22,FALSE)</f>
        <v/>
      </c>
      <c r="N139" s="190"/>
      <c r="O139" s="190" t="str">
        <f t="shared" ref="O139:O199" si="41">IF(AND(I139="",K139=""),"X","")</f>
        <v/>
      </c>
      <c r="P139" s="190"/>
      <c r="Q139" s="190"/>
      <c r="R139" s="190"/>
      <c r="S139" s="190"/>
      <c r="T139" s="190"/>
    </row>
    <row r="140" spans="1:20">
      <c r="A140" s="124" t="str">
        <f>IF(INDEX(VISL!A:A,MATCH(B140,VISL!B:B,0))="x","x","")</f>
        <v/>
      </c>
      <c r="B140" s="344" t="s">
        <v>84</v>
      </c>
      <c r="C140" s="269" t="s">
        <v>1233</v>
      </c>
      <c r="D140" s="201"/>
      <c r="E140" s="194" t="str">
        <f t="shared" si="17"/>
        <v>--</v>
      </c>
      <c r="F140" s="122" t="str">
        <f t="shared" si="18"/>
        <v>--</v>
      </c>
      <c r="G140" s="123" t="str">
        <f t="shared" si="19"/>
        <v>--</v>
      </c>
      <c r="H140" s="124"/>
      <c r="I140" s="121">
        <f t="shared" si="37"/>
        <v>2.6E-7</v>
      </c>
      <c r="J140" s="121" t="str">
        <f t="shared" si="38"/>
        <v>CA</v>
      </c>
      <c r="K140" s="121">
        <f t="shared" si="39"/>
        <v>3</v>
      </c>
      <c r="L140" s="121" t="str">
        <f t="shared" si="40"/>
        <v>I</v>
      </c>
      <c r="M140" s="121" t="str">
        <f>VLOOKUP(B140,VISL!$B:$W,22,FALSE)</f>
        <v/>
      </c>
      <c r="N140" s="190"/>
      <c r="O140" s="190" t="str">
        <f t="shared" si="41"/>
        <v/>
      </c>
      <c r="P140" s="190"/>
      <c r="Q140" s="190"/>
      <c r="R140" s="190"/>
      <c r="S140" s="190"/>
      <c r="T140" s="190"/>
    </row>
    <row r="141" spans="1:20">
      <c r="A141" s="124" t="str">
        <f>IF(INDEX(VISL!A:A,MATCH(B141,VISL!B:B,0))="x","x","")</f>
        <v/>
      </c>
      <c r="B141" s="344" t="s">
        <v>90</v>
      </c>
      <c r="C141" s="269" t="s">
        <v>1237</v>
      </c>
      <c r="D141" s="201"/>
      <c r="E141" s="194" t="str">
        <f t="shared" si="17"/>
        <v>--</v>
      </c>
      <c r="F141" s="122" t="str">
        <f t="shared" si="18"/>
        <v>--</v>
      </c>
      <c r="G141" s="123" t="str">
        <f t="shared" si="19"/>
        <v>--</v>
      </c>
      <c r="H141" s="124"/>
      <c r="I141" s="121">
        <f t="shared" si="37"/>
        <v>1E-8</v>
      </c>
      <c r="J141" s="121" t="str">
        <f t="shared" si="38"/>
        <v>I</v>
      </c>
      <c r="K141" s="121">
        <f t="shared" si="39"/>
        <v>0.6</v>
      </c>
      <c r="L141" s="121" t="str">
        <f t="shared" si="40"/>
        <v>I</v>
      </c>
      <c r="M141" s="121" t="str">
        <f>VLOOKUP(B141,VISL!$B:$W,22,FALSE)</f>
        <v>Mut</v>
      </c>
      <c r="N141" s="190"/>
      <c r="O141" s="190" t="str">
        <f t="shared" si="41"/>
        <v/>
      </c>
      <c r="P141" s="190"/>
      <c r="Q141" s="190"/>
      <c r="R141" s="190"/>
      <c r="S141" s="190"/>
      <c r="T141" s="190"/>
    </row>
    <row r="142" spans="1:20">
      <c r="A142" s="124" t="str">
        <f>IF(INDEX(VISL!A:A,MATCH(B142,VISL!B:B,0))="x","x","")</f>
        <v/>
      </c>
      <c r="B142" s="269" t="s">
        <v>99</v>
      </c>
      <c r="C142" s="269" t="s">
        <v>1408</v>
      </c>
      <c r="D142" s="201"/>
      <c r="E142" s="194" t="str">
        <f t="shared" si="17"/>
        <v>--</v>
      </c>
      <c r="F142" s="122" t="str">
        <f t="shared" si="18"/>
        <v>--</v>
      </c>
      <c r="G142" s="123" t="str">
        <f t="shared" si="19"/>
        <v>--</v>
      </c>
      <c r="H142" s="124"/>
      <c r="I142" s="121">
        <f t="shared" si="37"/>
        <v>5.1000000000000004E-3</v>
      </c>
      <c r="J142" s="121" t="str">
        <f t="shared" si="38"/>
        <v>CA</v>
      </c>
      <c r="K142" s="121" t="str">
        <f t="shared" si="39"/>
        <v/>
      </c>
      <c r="L142" s="121" t="str">
        <f t="shared" si="40"/>
        <v/>
      </c>
      <c r="M142" s="121" t="str">
        <f>VLOOKUP(B142,VISL!$B:$W,22,FALSE)</f>
        <v/>
      </c>
      <c r="N142" s="190"/>
      <c r="O142" s="190" t="str">
        <f t="shared" si="41"/>
        <v/>
      </c>
      <c r="P142" s="190"/>
      <c r="Q142" s="190"/>
      <c r="R142" s="190"/>
      <c r="S142" s="190"/>
      <c r="T142" s="190"/>
    </row>
    <row r="143" spans="1:20">
      <c r="A143" s="124" t="str">
        <f>IF(INDEX(VISL!A:A,MATCH(B143,VISL!B:B,0))="x","x","")</f>
        <v/>
      </c>
      <c r="B143" s="344" t="s">
        <v>2117</v>
      </c>
      <c r="C143" s="269" t="s">
        <v>599</v>
      </c>
      <c r="D143" s="201"/>
      <c r="E143" s="194" t="str">
        <f t="shared" si="17"/>
        <v>--</v>
      </c>
      <c r="F143" s="122" t="str">
        <f t="shared" si="18"/>
        <v>--</v>
      </c>
      <c r="G143" s="123" t="str">
        <f t="shared" si="19"/>
        <v>--</v>
      </c>
      <c r="H143" s="124"/>
      <c r="I143" s="121" t="str">
        <f t="shared" si="37"/>
        <v/>
      </c>
      <c r="J143" s="121" t="str">
        <f t="shared" si="38"/>
        <v/>
      </c>
      <c r="K143" s="121">
        <f t="shared" si="39"/>
        <v>0.1</v>
      </c>
      <c r="L143" s="121" t="str">
        <f t="shared" si="40"/>
        <v>P</v>
      </c>
      <c r="M143" s="121" t="str">
        <f>VLOOKUP(B143,VISL!$B:$W,22,FALSE)</f>
        <v/>
      </c>
      <c r="N143" s="190"/>
      <c r="O143" s="190" t="str">
        <f t="shared" si="41"/>
        <v/>
      </c>
      <c r="P143" s="190"/>
      <c r="Q143" s="190"/>
      <c r="R143" s="190"/>
      <c r="S143" s="190"/>
      <c r="T143" s="190"/>
    </row>
    <row r="144" spans="1:20">
      <c r="A144" s="124" t="str">
        <f>IF(INDEX(VISL!A:A,MATCH(B144,VISL!B:B,0))="x","x","")</f>
        <v/>
      </c>
      <c r="B144" s="344" t="s">
        <v>217</v>
      </c>
      <c r="C144" s="269" t="s">
        <v>2244</v>
      </c>
      <c r="D144" s="201"/>
      <c r="E144" s="194" t="str">
        <f t="shared" si="17"/>
        <v>--</v>
      </c>
      <c r="F144" s="122" t="str">
        <f t="shared" si="18"/>
        <v>--</v>
      </c>
      <c r="G144" s="123" t="str">
        <f t="shared" si="19"/>
        <v>--</v>
      </c>
      <c r="H144" s="124"/>
      <c r="I144" s="121">
        <f t="shared" si="37"/>
        <v>3.4E-5</v>
      </c>
      <c r="J144" s="121" t="str">
        <f t="shared" si="38"/>
        <v>CA</v>
      </c>
      <c r="K144" s="121">
        <f t="shared" si="39"/>
        <v>3.0000000000000001E-3</v>
      </c>
      <c r="L144" s="121" t="str">
        <f t="shared" si="40"/>
        <v>I</v>
      </c>
      <c r="M144" s="121" t="str">
        <f>VLOOKUP(B144,VISL!$B:$W,22,FALSE)</f>
        <v/>
      </c>
      <c r="N144" s="190"/>
      <c r="O144" s="190" t="str">
        <f t="shared" si="41"/>
        <v/>
      </c>
      <c r="P144" s="190"/>
      <c r="Q144" s="190"/>
      <c r="R144" s="190"/>
      <c r="S144" s="190"/>
      <c r="T144" s="190"/>
    </row>
    <row r="145" spans="1:20">
      <c r="A145" s="124" t="str">
        <f>IF(INDEX(VISL!A:A,MATCH(B145,VISL!B:B,0))="x","x","")</f>
        <v/>
      </c>
      <c r="B145" s="344" t="s">
        <v>108</v>
      </c>
      <c r="C145" s="269" t="s">
        <v>601</v>
      </c>
      <c r="D145" s="201"/>
      <c r="E145" s="194" t="str">
        <f t="shared" si="17"/>
        <v>--</v>
      </c>
      <c r="F145" s="122" t="str">
        <f t="shared" si="18"/>
        <v>--</v>
      </c>
      <c r="G145" s="123" t="str">
        <f t="shared" si="19"/>
        <v>--</v>
      </c>
      <c r="H145" s="124"/>
      <c r="I145" s="121">
        <f t="shared" si="37"/>
        <v>2.5999999999999998E-4</v>
      </c>
      <c r="J145" s="121" t="str">
        <f t="shared" si="38"/>
        <v>CA</v>
      </c>
      <c r="K145" s="121">
        <f t="shared" si="39"/>
        <v>1.4E-5</v>
      </c>
      <c r="L145" s="121" t="str">
        <f t="shared" si="40"/>
        <v>CA</v>
      </c>
      <c r="M145" s="121" t="str">
        <f>VLOOKUP(B145,VISL!$B:$W,22,FALSE)</f>
        <v/>
      </c>
      <c r="N145" s="190"/>
      <c r="O145" s="190" t="str">
        <f t="shared" si="41"/>
        <v/>
      </c>
      <c r="P145" s="190"/>
      <c r="Q145" s="190"/>
      <c r="R145" s="190"/>
      <c r="S145" s="190"/>
      <c r="T145" s="190"/>
    </row>
    <row r="146" spans="1:20">
      <c r="A146" s="124" t="str">
        <f>IF(INDEX(VISL!A:A,MATCH(B146,VISL!B:B,0))="x","x","")</f>
        <v/>
      </c>
      <c r="B146" s="344" t="s">
        <v>116</v>
      </c>
      <c r="C146" s="269" t="s">
        <v>391</v>
      </c>
      <c r="D146" s="201"/>
      <c r="E146" s="194" t="str">
        <f t="shared" si="17"/>
        <v>--</v>
      </c>
      <c r="F146" s="122" t="str">
        <f t="shared" si="18"/>
        <v>--</v>
      </c>
      <c r="G146" s="123" t="str">
        <f t="shared" si="19"/>
        <v>--</v>
      </c>
      <c r="H146" s="124"/>
      <c r="I146" s="121">
        <f t="shared" si="37"/>
        <v>4.0000000000000003E-5</v>
      </c>
      <c r="J146" s="121" t="str">
        <f t="shared" si="38"/>
        <v>I</v>
      </c>
      <c r="K146" s="121">
        <f t="shared" si="39"/>
        <v>8.9999999999999993E-3</v>
      </c>
      <c r="L146" s="121" t="str">
        <f t="shared" si="40"/>
        <v>I</v>
      </c>
      <c r="M146" s="121" t="str">
        <f>VLOOKUP(B146,VISL!$B:$W,22,FALSE)</f>
        <v/>
      </c>
      <c r="N146" s="190"/>
      <c r="O146" s="190" t="str">
        <f t="shared" si="41"/>
        <v/>
      </c>
      <c r="P146" s="190"/>
      <c r="Q146" s="190"/>
      <c r="R146" s="190"/>
      <c r="S146" s="190"/>
      <c r="T146" s="190"/>
    </row>
    <row r="147" spans="1:20">
      <c r="A147" s="124" t="str">
        <f>IF(INDEX(VISL!A:A,MATCH(B147,VISL!B:B,0))="x","x","")</f>
        <v/>
      </c>
      <c r="B147" s="269" t="s">
        <v>122</v>
      </c>
      <c r="C147" s="269" t="s">
        <v>1260</v>
      </c>
      <c r="D147" s="201"/>
      <c r="E147" s="194" t="str">
        <f t="shared" si="17"/>
        <v>--</v>
      </c>
      <c r="F147" s="122" t="str">
        <f t="shared" si="18"/>
        <v>--</v>
      </c>
      <c r="G147" s="123" t="str">
        <f t="shared" si="19"/>
        <v>--</v>
      </c>
      <c r="H147" s="124"/>
      <c r="I147" s="121">
        <f t="shared" si="37"/>
        <v>8.8000000000000004E-6</v>
      </c>
      <c r="J147" s="121" t="str">
        <f t="shared" si="38"/>
        <v>P</v>
      </c>
      <c r="K147" s="121">
        <f t="shared" si="39"/>
        <v>5.0000000000000001E-3</v>
      </c>
      <c r="L147" s="121" t="str">
        <f t="shared" si="40"/>
        <v>P</v>
      </c>
      <c r="M147" s="121" t="str">
        <f>VLOOKUP(B147,VISL!$B:$W,22,FALSE)</f>
        <v/>
      </c>
      <c r="N147" s="190"/>
      <c r="O147" s="190" t="str">
        <f t="shared" si="41"/>
        <v/>
      </c>
      <c r="P147" s="190"/>
      <c r="Q147" s="190"/>
      <c r="R147" s="190"/>
      <c r="S147" s="190"/>
      <c r="T147" s="190"/>
    </row>
    <row r="148" spans="1:20">
      <c r="A148" s="124" t="str">
        <f>IF(INDEX(VISL!A:A,MATCH(B148,VISL!B:B,0))="x","x","")</f>
        <v/>
      </c>
      <c r="B148" s="344" t="s">
        <v>123</v>
      </c>
      <c r="C148" s="269" t="s">
        <v>1261</v>
      </c>
      <c r="D148" s="201"/>
      <c r="E148" s="194" t="str">
        <f t="shared" si="17"/>
        <v>--</v>
      </c>
      <c r="F148" s="122" t="str">
        <f t="shared" si="18"/>
        <v>--</v>
      </c>
      <c r="G148" s="123" t="str">
        <f t="shared" si="19"/>
        <v>--</v>
      </c>
      <c r="H148" s="124"/>
      <c r="I148" s="121">
        <f t="shared" si="37"/>
        <v>2.7000000000000001E-3</v>
      </c>
      <c r="J148" s="121" t="str">
        <f t="shared" si="38"/>
        <v>H</v>
      </c>
      <c r="K148" s="121">
        <f t="shared" si="39"/>
        <v>0.02</v>
      </c>
      <c r="L148" s="121" t="str">
        <f t="shared" si="40"/>
        <v>I</v>
      </c>
      <c r="M148" s="121" t="str">
        <f>VLOOKUP(B148,VISL!$B:$W,22,FALSE)</f>
        <v/>
      </c>
      <c r="N148" s="190"/>
      <c r="O148" s="190" t="str">
        <f t="shared" si="41"/>
        <v/>
      </c>
      <c r="P148" s="190"/>
      <c r="Q148" s="190"/>
      <c r="R148" s="190"/>
      <c r="S148" s="190"/>
      <c r="T148" s="190"/>
    </row>
    <row r="149" spans="1:20">
      <c r="A149" s="124" t="str">
        <f>IF(INDEX(VISL!A:A,MATCH(B149,VISL!B:B,0))="x","x","")</f>
        <v/>
      </c>
      <c r="B149" s="269" t="s">
        <v>130</v>
      </c>
      <c r="C149" s="269" t="s">
        <v>1267</v>
      </c>
      <c r="D149" s="201"/>
      <c r="E149" s="194" t="str">
        <f t="shared" si="17"/>
        <v>--</v>
      </c>
      <c r="F149" s="122" t="str">
        <f t="shared" si="18"/>
        <v>--</v>
      </c>
      <c r="G149" s="123" t="str">
        <f t="shared" si="19"/>
        <v>--</v>
      </c>
      <c r="H149" s="124"/>
      <c r="I149" s="121">
        <f t="shared" si="37"/>
        <v>1.4E-2</v>
      </c>
      <c r="J149" s="121" t="str">
        <f t="shared" si="38"/>
        <v>I</v>
      </c>
      <c r="K149" s="121">
        <f t="shared" si="39"/>
        <v>4.0000000000000003E-5</v>
      </c>
      <c r="L149" s="121" t="str">
        <f t="shared" si="40"/>
        <v>X</v>
      </c>
      <c r="M149" s="121" t="str">
        <f>VLOOKUP(B149,VISL!$B:$W,22,FALSE)</f>
        <v>Mut</v>
      </c>
      <c r="N149" s="190"/>
      <c r="O149" s="190" t="str">
        <f t="shared" si="41"/>
        <v/>
      </c>
      <c r="P149" s="190"/>
      <c r="Q149" s="190"/>
      <c r="R149" s="190"/>
      <c r="S149" s="190"/>
      <c r="T149" s="190"/>
    </row>
    <row r="150" spans="1:20">
      <c r="A150" s="124" t="str">
        <f>IF(INDEX(VISL!A:A,MATCH(B150,VISL!B:B,0))="x","x","")</f>
        <v/>
      </c>
      <c r="B150" s="344" t="s">
        <v>126</v>
      </c>
      <c r="C150" s="269" t="s">
        <v>1262</v>
      </c>
      <c r="D150" s="201"/>
      <c r="E150" s="194" t="str">
        <f t="shared" si="17"/>
        <v>--</v>
      </c>
      <c r="F150" s="122" t="str">
        <f t="shared" si="18"/>
        <v>--</v>
      </c>
      <c r="G150" s="123" t="str">
        <f t="shared" si="19"/>
        <v>--</v>
      </c>
      <c r="H150" s="124"/>
      <c r="I150" s="121">
        <f t="shared" si="37"/>
        <v>1.6000000000000001E-3</v>
      </c>
      <c r="J150" s="121" t="str">
        <f t="shared" si="38"/>
        <v>I</v>
      </c>
      <c r="K150" s="121" t="str">
        <f t="shared" si="39"/>
        <v/>
      </c>
      <c r="L150" s="121" t="str">
        <f t="shared" si="40"/>
        <v/>
      </c>
      <c r="M150" s="121" t="str">
        <f>VLOOKUP(B150,VISL!$B:$W,22,FALSE)</f>
        <v/>
      </c>
      <c r="N150" s="190"/>
      <c r="O150" s="190" t="str">
        <f t="shared" si="41"/>
        <v/>
      </c>
      <c r="P150" s="190"/>
      <c r="Q150" s="190"/>
      <c r="R150" s="190"/>
      <c r="S150" s="190"/>
      <c r="T150" s="190"/>
    </row>
    <row r="151" spans="1:20">
      <c r="A151" s="124" t="str">
        <f>IF(INDEX(VISL!A:A,MATCH(B151,VISL!B:B,0))="x","x","")</f>
        <v/>
      </c>
      <c r="B151" s="344" t="s">
        <v>132</v>
      </c>
      <c r="C151" s="269" t="s">
        <v>1269</v>
      </c>
      <c r="D151" s="201"/>
      <c r="E151" s="194" t="str">
        <f t="shared" ref="E151:E199" si="42">IF(OR(D151="",ISTEXT(D151)),"--",D151*AFss_SG)</f>
        <v>--</v>
      </c>
      <c r="F151" s="122" t="str">
        <f t="shared" ref="F151:F199" si="43">IF(ISTEXT(E151),"--",IF(I151="","No IUR",IF(M151&lt;&gt;"TCE",E151*(IF(AND(M151="VC",Scenario_SG="Residential"),I151,0)+I151*IF(M151="Mut",MMOAAF_SG,ED_SG)*EF_SG*ET_SG/(ATc_SG*365*24)),E151*mIURTCE_SG*MMOAAF_SG*EF_SG*ET_SG/(ATc_SG*365*24)+E151*IURTCE_SG*ED_SG*EF_SG*ET_SG/(ATc_SG*365*24))))</f>
        <v>--</v>
      </c>
      <c r="G151" s="123" t="str">
        <f t="shared" ref="G151:G199" si="44">IF(ISTEXT(E151),"--",IF(K151="","No RfC",E151*EF_SG*ED_SG*ET_SG/(K151*ATnc_SG*365*24*1000)))</f>
        <v>--</v>
      </c>
      <c r="H151" s="124"/>
      <c r="I151" s="121">
        <f t="shared" si="37"/>
        <v>6.3E-3</v>
      </c>
      <c r="J151" s="121" t="str">
        <f t="shared" si="38"/>
        <v>CA</v>
      </c>
      <c r="K151" s="121" t="str">
        <f t="shared" si="39"/>
        <v/>
      </c>
      <c r="L151" s="121" t="str">
        <f t="shared" si="40"/>
        <v/>
      </c>
      <c r="M151" s="121" t="str">
        <f>VLOOKUP(B151,VISL!$B:$W,22,FALSE)</f>
        <v/>
      </c>
      <c r="N151" s="190"/>
      <c r="O151" s="190" t="str">
        <f t="shared" si="41"/>
        <v/>
      </c>
      <c r="P151" s="190"/>
      <c r="Q151" s="190"/>
      <c r="R151" s="190"/>
      <c r="S151" s="190"/>
      <c r="T151" s="190"/>
    </row>
    <row r="152" spans="1:20">
      <c r="A152" s="124" t="str">
        <f>IF(INDEX(VISL!A:A,MATCH(B152,VISL!B:B,0))="x","x","")</f>
        <v/>
      </c>
      <c r="B152" s="344" t="s">
        <v>139</v>
      </c>
      <c r="C152" s="269" t="s">
        <v>608</v>
      </c>
      <c r="D152" s="201"/>
      <c r="E152" s="194" t="str">
        <f t="shared" si="42"/>
        <v>--</v>
      </c>
      <c r="F152" s="122" t="str">
        <f t="shared" si="43"/>
        <v>--</v>
      </c>
      <c r="G152" s="123" t="str">
        <f t="shared" si="44"/>
        <v>--</v>
      </c>
      <c r="H152" s="124"/>
      <c r="I152" s="121" t="str">
        <f t="shared" si="37"/>
        <v/>
      </c>
      <c r="J152" s="121" t="str">
        <f t="shared" si="38"/>
        <v/>
      </c>
      <c r="K152" s="121">
        <f t="shared" si="39"/>
        <v>0.02</v>
      </c>
      <c r="L152" s="121" t="str">
        <f t="shared" si="40"/>
        <v>P</v>
      </c>
      <c r="M152" s="121" t="str">
        <f>VLOOKUP(B152,VISL!$B:$W,22,FALSE)</f>
        <v/>
      </c>
      <c r="N152" s="190"/>
      <c r="O152" s="190" t="str">
        <f t="shared" si="41"/>
        <v/>
      </c>
      <c r="P152" s="190"/>
      <c r="Q152" s="190"/>
      <c r="R152" s="190"/>
      <c r="S152" s="190"/>
      <c r="T152" s="190"/>
    </row>
    <row r="153" spans="1:20">
      <c r="A153" s="124" t="str">
        <f>IF(INDEX(VISL!A:A,MATCH(B153,VISL!B:B,0))="x","x","")</f>
        <v/>
      </c>
      <c r="B153" s="344" t="s">
        <v>195</v>
      </c>
      <c r="C153" s="269" t="s">
        <v>2245</v>
      </c>
      <c r="D153" s="201"/>
      <c r="E153" s="194" t="str">
        <f t="shared" si="42"/>
        <v>--</v>
      </c>
      <c r="F153" s="122" t="str">
        <f t="shared" si="43"/>
        <v>--</v>
      </c>
      <c r="G153" s="123" t="str">
        <f t="shared" si="44"/>
        <v>--</v>
      </c>
      <c r="H153" s="124"/>
      <c r="I153" s="121">
        <f t="shared" si="37"/>
        <v>1.1000000000000001E-3</v>
      </c>
      <c r="J153" s="121" t="str">
        <f t="shared" si="38"/>
        <v>E</v>
      </c>
      <c r="K153" s="121">
        <f t="shared" si="39"/>
        <v>1.2999999999999999E-3</v>
      </c>
      <c r="L153" s="121" t="str">
        <f t="shared" si="40"/>
        <v>E</v>
      </c>
      <c r="M153" s="121" t="str">
        <f>VLOOKUP(B153,VISL!$B:$W,22,FALSE)</f>
        <v/>
      </c>
      <c r="N153" s="190"/>
      <c r="O153" s="190" t="str">
        <f t="shared" si="41"/>
        <v/>
      </c>
      <c r="P153" s="190"/>
      <c r="Q153" s="190"/>
      <c r="R153" s="190"/>
      <c r="S153" s="190"/>
      <c r="T153" s="190"/>
    </row>
    <row r="154" spans="1:20">
      <c r="A154" s="124" t="str">
        <f>IF(INDEX(VISL!A:A,MATCH(B154,VISL!B:B,0))="x","x","")</f>
        <v/>
      </c>
      <c r="B154" s="344" t="s">
        <v>196</v>
      </c>
      <c r="C154" s="269" t="s">
        <v>2246</v>
      </c>
      <c r="D154" s="201"/>
      <c r="E154" s="194" t="str">
        <f t="shared" si="42"/>
        <v>--</v>
      </c>
      <c r="F154" s="122" t="str">
        <f t="shared" si="43"/>
        <v>--</v>
      </c>
      <c r="G154" s="123" t="str">
        <f t="shared" si="44"/>
        <v>--</v>
      </c>
      <c r="H154" s="124"/>
      <c r="I154" s="121">
        <f t="shared" si="37"/>
        <v>1.1000000000000001E-3</v>
      </c>
      <c r="J154" s="121" t="str">
        <f t="shared" si="38"/>
        <v>E</v>
      </c>
      <c r="K154" s="121">
        <f t="shared" si="39"/>
        <v>1.2999999999999999E-3</v>
      </c>
      <c r="L154" s="121" t="str">
        <f t="shared" si="40"/>
        <v>E</v>
      </c>
      <c r="M154" s="121" t="str">
        <f>VLOOKUP(B154,VISL!$B:$W,22,FALSE)</f>
        <v/>
      </c>
      <c r="N154" s="190"/>
      <c r="O154" s="190" t="str">
        <f t="shared" si="41"/>
        <v/>
      </c>
      <c r="P154" s="190"/>
      <c r="Q154" s="190"/>
      <c r="R154" s="190"/>
      <c r="S154" s="190"/>
      <c r="T154" s="190"/>
    </row>
    <row r="155" spans="1:20">
      <c r="A155" s="124" t="str">
        <f>IF(INDEX(VISL!A:A,MATCH(B155,VISL!B:B,0))="x","x","")</f>
        <v/>
      </c>
      <c r="B155" s="344" t="s">
        <v>194</v>
      </c>
      <c r="C155" s="269" t="s">
        <v>2247</v>
      </c>
      <c r="D155" s="201"/>
      <c r="E155" s="194" t="str">
        <f t="shared" si="42"/>
        <v>--</v>
      </c>
      <c r="F155" s="122" t="str">
        <f t="shared" si="43"/>
        <v>--</v>
      </c>
      <c r="G155" s="123" t="str">
        <f t="shared" si="44"/>
        <v>--</v>
      </c>
      <c r="H155" s="124"/>
      <c r="I155" s="121">
        <f t="shared" si="37"/>
        <v>1.1000000000000001E-3</v>
      </c>
      <c r="J155" s="121" t="str">
        <f t="shared" si="38"/>
        <v>E</v>
      </c>
      <c r="K155" s="121">
        <f t="shared" si="39"/>
        <v>1.2999999999999999E-3</v>
      </c>
      <c r="L155" s="121" t="str">
        <f t="shared" si="40"/>
        <v>E</v>
      </c>
      <c r="M155" s="121" t="str">
        <f>VLOOKUP(B155,VISL!$B:$W,22,FALSE)</f>
        <v/>
      </c>
      <c r="N155" s="190"/>
      <c r="O155" s="190" t="str">
        <f t="shared" si="41"/>
        <v/>
      </c>
      <c r="P155" s="190"/>
      <c r="Q155" s="190"/>
      <c r="R155" s="190"/>
      <c r="S155" s="190"/>
      <c r="T155" s="190"/>
    </row>
    <row r="156" spans="1:20">
      <c r="A156" s="124" t="str">
        <f>IF(INDEX(VISL!A:A,MATCH(B156,VISL!B:B,0))="x","x","")</f>
        <v/>
      </c>
      <c r="B156" s="344" t="s">
        <v>193</v>
      </c>
      <c r="C156" s="269" t="s">
        <v>2248</v>
      </c>
      <c r="D156" s="201"/>
      <c r="E156" s="194" t="str">
        <f t="shared" si="42"/>
        <v>--</v>
      </c>
      <c r="F156" s="122" t="str">
        <f t="shared" si="43"/>
        <v>--</v>
      </c>
      <c r="G156" s="123" t="str">
        <f t="shared" si="44"/>
        <v>--</v>
      </c>
      <c r="H156" s="124"/>
      <c r="I156" s="121">
        <f t="shared" si="37"/>
        <v>1.1000000000000001E-3</v>
      </c>
      <c r="J156" s="121" t="str">
        <f t="shared" si="38"/>
        <v>E</v>
      </c>
      <c r="K156" s="121">
        <f t="shared" si="39"/>
        <v>1.2999999999999999E-3</v>
      </c>
      <c r="L156" s="121" t="str">
        <f t="shared" si="40"/>
        <v>E</v>
      </c>
      <c r="M156" s="121" t="str">
        <f>VLOOKUP(B156,VISL!$B:$W,22,FALSE)</f>
        <v/>
      </c>
      <c r="N156" s="190"/>
      <c r="O156" s="190" t="str">
        <f t="shared" si="41"/>
        <v/>
      </c>
      <c r="P156" s="190"/>
      <c r="Q156" s="190"/>
      <c r="R156" s="190"/>
      <c r="S156" s="190"/>
      <c r="T156" s="190"/>
    </row>
    <row r="157" spans="1:20">
      <c r="A157" s="124" t="str">
        <f>IF(INDEX(VISL!A:A,MATCH(B157,VISL!B:B,0))="x","x","")</f>
        <v/>
      </c>
      <c r="B157" s="344" t="s">
        <v>197</v>
      </c>
      <c r="C157" s="269" t="s">
        <v>2249</v>
      </c>
      <c r="D157" s="201"/>
      <c r="E157" s="194" t="str">
        <f t="shared" si="42"/>
        <v>--</v>
      </c>
      <c r="F157" s="122" t="str">
        <f t="shared" si="43"/>
        <v>--</v>
      </c>
      <c r="G157" s="123" t="str">
        <f t="shared" si="44"/>
        <v>--</v>
      </c>
      <c r="H157" s="124"/>
      <c r="I157" s="121">
        <f t="shared" si="37"/>
        <v>3.8</v>
      </c>
      <c r="J157" s="121" t="str">
        <f t="shared" si="38"/>
        <v>E</v>
      </c>
      <c r="K157" s="121">
        <f t="shared" si="39"/>
        <v>3.9999999999999998E-7</v>
      </c>
      <c r="L157" s="121" t="str">
        <f t="shared" si="40"/>
        <v>E</v>
      </c>
      <c r="M157" s="121" t="str">
        <f>VLOOKUP(B157,VISL!$B:$W,22,FALSE)</f>
        <v/>
      </c>
      <c r="N157" s="190"/>
      <c r="O157" s="190" t="str">
        <f t="shared" si="41"/>
        <v/>
      </c>
      <c r="P157" s="190"/>
      <c r="Q157" s="190"/>
      <c r="R157" s="190"/>
      <c r="S157" s="190"/>
      <c r="T157" s="190"/>
    </row>
    <row r="158" spans="1:20">
      <c r="A158" s="124" t="str">
        <f>IF(INDEX(VISL!A:A,MATCH(B158,VISL!B:B,0))="x","x","")</f>
        <v/>
      </c>
      <c r="B158" s="344" t="s">
        <v>159</v>
      </c>
      <c r="C158" s="269" t="s">
        <v>609</v>
      </c>
      <c r="D158" s="201"/>
      <c r="E158" s="194" t="str">
        <f t="shared" si="42"/>
        <v>--</v>
      </c>
      <c r="F158" s="122" t="str">
        <f t="shared" si="43"/>
        <v>--</v>
      </c>
      <c r="G158" s="123" t="str">
        <f t="shared" si="44"/>
        <v>--</v>
      </c>
      <c r="H158" s="124"/>
      <c r="I158" s="121" t="str">
        <f t="shared" si="37"/>
        <v/>
      </c>
      <c r="J158" s="121" t="str">
        <f t="shared" si="38"/>
        <v/>
      </c>
      <c r="K158" s="121">
        <f t="shared" si="39"/>
        <v>1</v>
      </c>
      <c r="L158" s="121" t="str">
        <f t="shared" si="40"/>
        <v>P</v>
      </c>
      <c r="M158" s="121" t="str">
        <f>VLOOKUP(B158,VISL!$B:$W,22,FALSE)</f>
        <v/>
      </c>
      <c r="N158" s="190"/>
      <c r="O158" s="190" t="str">
        <f t="shared" si="41"/>
        <v/>
      </c>
      <c r="P158" s="190"/>
      <c r="Q158" s="190"/>
      <c r="R158" s="190"/>
      <c r="S158" s="190"/>
      <c r="T158" s="190"/>
    </row>
    <row r="159" spans="1:20">
      <c r="A159" s="124" t="str">
        <f>IF(INDEX(VISL!A:A,MATCH(B159,VISL!B:B,0))="x","x","")</f>
        <v/>
      </c>
      <c r="B159" s="344" t="s">
        <v>170</v>
      </c>
      <c r="C159" s="269" t="s">
        <v>1296</v>
      </c>
      <c r="D159" s="201"/>
      <c r="E159" s="194" t="str">
        <f t="shared" si="42"/>
        <v>--</v>
      </c>
      <c r="F159" s="122" t="str">
        <f t="shared" si="43"/>
        <v>--</v>
      </c>
      <c r="G159" s="123" t="str">
        <f t="shared" si="44"/>
        <v>--</v>
      </c>
      <c r="H159" s="124"/>
      <c r="I159" s="121" t="str">
        <f t="shared" si="37"/>
        <v/>
      </c>
      <c r="J159" s="121" t="str">
        <f t="shared" si="38"/>
        <v/>
      </c>
      <c r="K159" s="121">
        <f t="shared" si="39"/>
        <v>2.9999999999999997E-4</v>
      </c>
      <c r="L159" s="121" t="str">
        <f t="shared" si="40"/>
        <v>I</v>
      </c>
      <c r="M159" s="121" t="str">
        <f>VLOOKUP(B159,VISL!$B:$W,22,FALSE)</f>
        <v/>
      </c>
      <c r="N159" s="190"/>
      <c r="O159" s="190" t="str">
        <f t="shared" si="41"/>
        <v/>
      </c>
      <c r="P159" s="190"/>
      <c r="Q159" s="190"/>
      <c r="R159" s="190"/>
      <c r="S159" s="190"/>
      <c r="T159" s="190"/>
    </row>
    <row r="160" spans="1:20">
      <c r="A160" s="124" t="str">
        <f>IF(INDEX(VISL!A:A,MATCH(B160,VISL!B:B,0))="x","x","")</f>
        <v/>
      </c>
      <c r="B160" s="344" t="s">
        <v>172</v>
      </c>
      <c r="C160" s="269" t="s">
        <v>1298</v>
      </c>
      <c r="D160" s="201"/>
      <c r="E160" s="194" t="str">
        <f t="shared" si="42"/>
        <v>--</v>
      </c>
      <c r="F160" s="122" t="str">
        <f t="shared" si="43"/>
        <v>--</v>
      </c>
      <c r="G160" s="123" t="str">
        <f t="shared" si="44"/>
        <v>--</v>
      </c>
      <c r="H160" s="124"/>
      <c r="I160" s="121" t="str">
        <f t="shared" si="37"/>
        <v/>
      </c>
      <c r="J160" s="121" t="str">
        <f t="shared" si="38"/>
        <v/>
      </c>
      <c r="K160" s="121">
        <f t="shared" si="39"/>
        <v>2.9999999999999997E-4</v>
      </c>
      <c r="L160" s="121" t="str">
        <f t="shared" si="40"/>
        <v>I</v>
      </c>
      <c r="M160" s="121" t="str">
        <f>VLOOKUP(B160,VISL!$B:$W,22,FALSE)</f>
        <v/>
      </c>
      <c r="N160" s="190"/>
      <c r="O160" s="190" t="str">
        <f t="shared" si="41"/>
        <v/>
      </c>
      <c r="P160" s="190"/>
      <c r="Q160" s="190"/>
      <c r="R160" s="190"/>
      <c r="S160" s="190"/>
      <c r="T160" s="190"/>
    </row>
    <row r="161" spans="1:20">
      <c r="A161" s="124" t="str">
        <f>IF(INDEX(VISL!A:A,MATCH(B161,VISL!B:B,0))="x","x","")</f>
        <v/>
      </c>
      <c r="B161" s="344" t="s">
        <v>232</v>
      </c>
      <c r="C161" s="269" t="s">
        <v>611</v>
      </c>
      <c r="D161" s="201"/>
      <c r="E161" s="194" t="str">
        <f t="shared" si="42"/>
        <v>--</v>
      </c>
      <c r="F161" s="122" t="str">
        <f t="shared" si="43"/>
        <v>--</v>
      </c>
      <c r="G161" s="123" t="str">
        <f t="shared" si="44"/>
        <v>--</v>
      </c>
      <c r="H161" s="124"/>
      <c r="I161" s="121" t="str">
        <f t="shared" si="37"/>
        <v/>
      </c>
      <c r="J161" s="121" t="str">
        <f t="shared" si="38"/>
        <v/>
      </c>
      <c r="K161" s="121">
        <f t="shared" si="39"/>
        <v>8.0000000000000002E-3</v>
      </c>
      <c r="L161" s="121" t="str">
        <f t="shared" si="40"/>
        <v>I</v>
      </c>
      <c r="M161" s="121" t="str">
        <f>VLOOKUP(B161,VISL!$B:$W,22,FALSE)</f>
        <v/>
      </c>
      <c r="N161" s="190"/>
      <c r="O161" s="190" t="str">
        <f t="shared" si="41"/>
        <v/>
      </c>
      <c r="P161" s="190"/>
      <c r="Q161" s="190"/>
      <c r="R161" s="190"/>
      <c r="S161" s="190"/>
      <c r="T161" s="190"/>
    </row>
    <row r="162" spans="1:20">
      <c r="A162" s="124" t="str">
        <f>IF(INDEX(VISL!A:A,MATCH(B162,VISL!B:B,0))="x","x","")</f>
        <v/>
      </c>
      <c r="B162" s="344" t="s">
        <v>233</v>
      </c>
      <c r="C162" s="269" t="s">
        <v>612</v>
      </c>
      <c r="D162" s="201"/>
      <c r="E162" s="194" t="str">
        <f t="shared" si="42"/>
        <v>--</v>
      </c>
      <c r="F162" s="122" t="str">
        <f t="shared" si="43"/>
        <v>--</v>
      </c>
      <c r="G162" s="123" t="str">
        <f t="shared" si="44"/>
        <v>--</v>
      </c>
      <c r="H162" s="124"/>
      <c r="I162" s="121" t="str">
        <f t="shared" si="37"/>
        <v/>
      </c>
      <c r="J162" s="121" t="str">
        <f t="shared" si="38"/>
        <v/>
      </c>
      <c r="K162" s="121">
        <f t="shared" si="39"/>
        <v>1</v>
      </c>
      <c r="L162" s="121" t="str">
        <f t="shared" si="40"/>
        <v>X</v>
      </c>
      <c r="M162" s="121" t="str">
        <f>VLOOKUP(B162,VISL!$B:$W,22,FALSE)</f>
        <v/>
      </c>
      <c r="N162" s="190"/>
      <c r="O162" s="190" t="str">
        <f t="shared" si="41"/>
        <v/>
      </c>
      <c r="P162" s="190"/>
      <c r="Q162" s="190"/>
      <c r="R162" s="190"/>
      <c r="S162" s="190"/>
      <c r="T162" s="190"/>
    </row>
    <row r="163" spans="1:20">
      <c r="A163" s="124" t="str">
        <f>IF(INDEX(VISL!A:A,MATCH(B163,VISL!B:B,0))="x","x","")</f>
        <v/>
      </c>
      <c r="B163" s="344" t="s">
        <v>234</v>
      </c>
      <c r="C163" s="269" t="s">
        <v>613</v>
      </c>
      <c r="D163" s="201"/>
      <c r="E163" s="194" t="str">
        <f t="shared" si="42"/>
        <v>--</v>
      </c>
      <c r="F163" s="122" t="str">
        <f t="shared" si="43"/>
        <v>--</v>
      </c>
      <c r="G163" s="123" t="str">
        <f t="shared" si="44"/>
        <v>--</v>
      </c>
      <c r="H163" s="124"/>
      <c r="I163" s="121" t="str">
        <f t="shared" si="37"/>
        <v/>
      </c>
      <c r="J163" s="121" t="str">
        <f t="shared" si="38"/>
        <v/>
      </c>
      <c r="K163" s="121">
        <f t="shared" si="39"/>
        <v>3</v>
      </c>
      <c r="L163" s="121" t="str">
        <f t="shared" si="40"/>
        <v>CA</v>
      </c>
      <c r="M163" s="121" t="str">
        <f>VLOOKUP(B163,VISL!$B:$W,22,FALSE)</f>
        <v/>
      </c>
      <c r="N163" s="190"/>
      <c r="O163" s="190" t="str">
        <f t="shared" si="41"/>
        <v/>
      </c>
      <c r="P163" s="190"/>
      <c r="Q163" s="190"/>
      <c r="R163" s="190"/>
      <c r="S163" s="190"/>
      <c r="T163" s="190"/>
    </row>
    <row r="164" spans="1:20">
      <c r="A164" s="124" t="str">
        <f>IF(INDEX(VISL!A:A,MATCH(B164,VISL!B:B,0))="x","x","")</f>
        <v/>
      </c>
      <c r="B164" s="269" t="s">
        <v>237</v>
      </c>
      <c r="C164" s="269" t="s">
        <v>1318</v>
      </c>
      <c r="D164" s="201"/>
      <c r="E164" s="194" t="str">
        <f t="shared" si="42"/>
        <v>--</v>
      </c>
      <c r="F164" s="122" t="str">
        <f t="shared" si="43"/>
        <v>--</v>
      </c>
      <c r="G164" s="123" t="str">
        <f t="shared" si="44"/>
        <v>--</v>
      </c>
      <c r="H164" s="124"/>
      <c r="I164" s="121" t="str">
        <f t="shared" si="37"/>
        <v/>
      </c>
      <c r="J164" s="121" t="str">
        <f t="shared" si="38"/>
        <v/>
      </c>
      <c r="K164" s="121">
        <f t="shared" si="39"/>
        <v>2</v>
      </c>
      <c r="L164" s="121" t="str">
        <f t="shared" si="40"/>
        <v>I</v>
      </c>
      <c r="M164" s="121" t="str">
        <f>VLOOKUP(B164,VISL!$B:$W,22,FALSE)</f>
        <v/>
      </c>
      <c r="N164" s="190"/>
      <c r="O164" s="190" t="str">
        <f t="shared" si="41"/>
        <v/>
      </c>
      <c r="P164" s="190"/>
      <c r="Q164" s="190"/>
      <c r="R164" s="190"/>
      <c r="S164" s="190"/>
      <c r="T164" s="190"/>
    </row>
    <row r="165" spans="1:20">
      <c r="A165" s="124" t="str">
        <f>IF(INDEX(VISL!A:A,MATCH(B165,VISL!B:B,0))="x","x","")</f>
        <v/>
      </c>
      <c r="B165" s="344" t="s">
        <v>238</v>
      </c>
      <c r="C165" s="269" t="s">
        <v>1319</v>
      </c>
      <c r="D165" s="201"/>
      <c r="E165" s="194" t="str">
        <f t="shared" si="42"/>
        <v>--</v>
      </c>
      <c r="F165" s="122" t="str">
        <f t="shared" si="43"/>
        <v>--</v>
      </c>
      <c r="G165" s="123" t="str">
        <f t="shared" si="44"/>
        <v>--</v>
      </c>
      <c r="H165" s="124"/>
      <c r="I165" s="121">
        <f t="shared" si="37"/>
        <v>3.7000000000000002E-6</v>
      </c>
      <c r="J165" s="121" t="str">
        <f t="shared" si="38"/>
        <v>I</v>
      </c>
      <c r="K165" s="121">
        <f t="shared" si="39"/>
        <v>0.03</v>
      </c>
      <c r="L165" s="121" t="str">
        <f t="shared" si="40"/>
        <v>I</v>
      </c>
      <c r="M165" s="121" t="str">
        <f>VLOOKUP(B165,VISL!$B:$W,22,FALSE)</f>
        <v/>
      </c>
      <c r="N165" s="190"/>
      <c r="O165" s="190" t="str">
        <f t="shared" si="41"/>
        <v/>
      </c>
      <c r="P165" s="190"/>
      <c r="Q165" s="190"/>
      <c r="R165" s="190"/>
      <c r="S165" s="190"/>
      <c r="T165" s="190"/>
    </row>
    <row r="166" spans="1:20">
      <c r="A166" s="124" t="str">
        <f>IF(INDEX(VISL!A:A,MATCH(B166,VISL!B:B,0))="x","x","")</f>
        <v/>
      </c>
      <c r="B166" s="269" t="s">
        <v>266</v>
      </c>
      <c r="C166" s="269" t="s">
        <v>396</v>
      </c>
      <c r="D166" s="201"/>
      <c r="E166" s="194" t="str">
        <f t="shared" si="42"/>
        <v>--</v>
      </c>
      <c r="F166" s="122" t="str">
        <f t="shared" si="43"/>
        <v>--</v>
      </c>
      <c r="G166" s="123" t="str">
        <f t="shared" si="44"/>
        <v>--</v>
      </c>
      <c r="H166" s="124"/>
      <c r="I166" s="121" t="str">
        <f t="shared" si="37"/>
        <v/>
      </c>
      <c r="J166" s="121" t="str">
        <f t="shared" si="38"/>
        <v/>
      </c>
      <c r="K166" s="121">
        <f t="shared" si="39"/>
        <v>1</v>
      </c>
      <c r="L166" s="121" t="str">
        <f t="shared" si="40"/>
        <v>I</v>
      </c>
      <c r="M166" s="121" t="str">
        <f>VLOOKUP(B166,VISL!$B:$W,22,FALSE)</f>
        <v/>
      </c>
      <c r="N166" s="190"/>
      <c r="O166" s="190" t="str">
        <f t="shared" si="41"/>
        <v/>
      </c>
      <c r="P166" s="190"/>
      <c r="Q166" s="190"/>
      <c r="R166" s="190"/>
      <c r="S166" s="190"/>
      <c r="T166" s="190"/>
    </row>
    <row r="167" spans="1:20">
      <c r="A167" s="124" t="str">
        <f>IF(INDEX(VISL!A:A,MATCH(B167,VISL!B:B,0))="x","x","")</f>
        <v/>
      </c>
      <c r="B167" s="344" t="s">
        <v>2271</v>
      </c>
      <c r="C167" s="269" t="s">
        <v>2130</v>
      </c>
      <c r="D167" s="201"/>
      <c r="E167" s="194" t="str">
        <f t="shared" si="42"/>
        <v>--</v>
      </c>
      <c r="F167" s="122" t="str">
        <f t="shared" si="43"/>
        <v>--</v>
      </c>
      <c r="G167" s="123" t="str">
        <f t="shared" si="44"/>
        <v>--</v>
      </c>
      <c r="H167" s="124"/>
      <c r="I167" s="121" t="str">
        <f t="shared" si="37"/>
        <v/>
      </c>
      <c r="J167" s="121" t="str">
        <f t="shared" si="38"/>
        <v/>
      </c>
      <c r="K167" s="121">
        <f t="shared" si="39"/>
        <v>1E-3</v>
      </c>
      <c r="L167" s="121" t="str">
        <f t="shared" si="40"/>
        <v>CA</v>
      </c>
      <c r="M167" s="121" t="str">
        <f>VLOOKUP(B167,VISL!$B:$W,22,FALSE)</f>
        <v/>
      </c>
      <c r="N167" s="190"/>
      <c r="O167" s="190" t="str">
        <f t="shared" si="41"/>
        <v/>
      </c>
      <c r="P167" s="190"/>
      <c r="Q167" s="190"/>
      <c r="R167" s="190"/>
      <c r="S167" s="190"/>
      <c r="T167" s="190"/>
    </row>
    <row r="168" spans="1:20">
      <c r="A168" s="124" t="str">
        <f>IF(INDEX(VISL!A:A,MATCH(B168,VISL!B:B,0))="x","x","")</f>
        <v/>
      </c>
      <c r="B168" s="344" t="s">
        <v>891</v>
      </c>
      <c r="C168" s="269" t="s">
        <v>2250</v>
      </c>
      <c r="D168" s="201"/>
      <c r="E168" s="194" t="str">
        <f t="shared" si="42"/>
        <v>--</v>
      </c>
      <c r="F168" s="122" t="str">
        <f t="shared" si="43"/>
        <v>--</v>
      </c>
      <c r="G168" s="123" t="str">
        <f t="shared" si="44"/>
        <v>--</v>
      </c>
      <c r="H168" s="124"/>
      <c r="I168" s="121">
        <f t="shared" si="37"/>
        <v>38</v>
      </c>
      <c r="J168" s="121" t="str">
        <f t="shared" si="38"/>
        <v>CA</v>
      </c>
      <c r="K168" s="121">
        <f t="shared" si="39"/>
        <v>4.0000000000000001E-8</v>
      </c>
      <c r="L168" s="121" t="str">
        <f t="shared" si="40"/>
        <v>CA</v>
      </c>
      <c r="M168" s="121" t="str">
        <f>VLOOKUP(B168,VISL!$B:$W,22,FALSE)</f>
        <v/>
      </c>
      <c r="N168" s="190"/>
      <c r="O168" s="190" t="str">
        <f t="shared" si="41"/>
        <v/>
      </c>
      <c r="P168" s="190"/>
      <c r="Q168" s="190"/>
      <c r="R168" s="190"/>
      <c r="S168" s="190"/>
      <c r="T168" s="190"/>
    </row>
    <row r="169" spans="1:20">
      <c r="A169" s="124" t="str">
        <f>IF(INDEX(VISL!A:A,MATCH(B169,VISL!B:B,0))="x","x","")</f>
        <v/>
      </c>
      <c r="B169" s="344" t="s">
        <v>199</v>
      </c>
      <c r="C169" s="269" t="s">
        <v>2251</v>
      </c>
      <c r="D169" s="201"/>
      <c r="E169" s="194" t="str">
        <f t="shared" si="42"/>
        <v>--</v>
      </c>
      <c r="F169" s="122" t="str">
        <f t="shared" si="43"/>
        <v>--</v>
      </c>
      <c r="G169" s="123" t="str">
        <f t="shared" si="44"/>
        <v>--</v>
      </c>
      <c r="H169" s="124"/>
      <c r="I169" s="121">
        <f t="shared" si="37"/>
        <v>1.0999999999999999E-2</v>
      </c>
      <c r="J169" s="121" t="str">
        <f t="shared" si="38"/>
        <v>E</v>
      </c>
      <c r="K169" s="121">
        <f t="shared" si="39"/>
        <v>1.2999999999999999E-4</v>
      </c>
      <c r="L169" s="121" t="str">
        <f t="shared" si="40"/>
        <v>E</v>
      </c>
      <c r="M169" s="121" t="str">
        <f>VLOOKUP(B169,VISL!$B:$W,22,FALSE)</f>
        <v/>
      </c>
      <c r="N169" s="190"/>
      <c r="O169" s="190" t="str">
        <f t="shared" si="41"/>
        <v/>
      </c>
      <c r="P169" s="190"/>
      <c r="Q169" s="190"/>
      <c r="R169" s="190"/>
      <c r="S169" s="190"/>
      <c r="T169" s="190"/>
    </row>
    <row r="170" spans="1:20">
      <c r="A170" s="124" t="str">
        <f>IF(INDEX(VISL!A:A,MATCH(B170,VISL!B:B,0))="x","x","")</f>
        <v/>
      </c>
      <c r="B170" s="344" t="s">
        <v>278</v>
      </c>
      <c r="C170" s="269" t="s">
        <v>441</v>
      </c>
      <c r="D170" s="201"/>
      <c r="E170" s="194" t="str">
        <f t="shared" si="42"/>
        <v>--</v>
      </c>
      <c r="F170" s="122" t="str">
        <f t="shared" si="43"/>
        <v>--</v>
      </c>
      <c r="G170" s="123" t="str">
        <f t="shared" si="44"/>
        <v>--</v>
      </c>
      <c r="H170" s="124"/>
      <c r="I170" s="121">
        <f t="shared" si="37"/>
        <v>7.4000000000000003E-6</v>
      </c>
      <c r="J170" s="121" t="str">
        <f t="shared" si="38"/>
        <v>I</v>
      </c>
      <c r="K170" s="121" t="str">
        <f t="shared" si="39"/>
        <v/>
      </c>
      <c r="L170" s="121" t="str">
        <f t="shared" si="40"/>
        <v/>
      </c>
      <c r="M170" s="121" t="str">
        <f>VLOOKUP(B170,VISL!$B:$W,22,FALSE)</f>
        <v/>
      </c>
      <c r="N170" s="190"/>
      <c r="O170" s="190" t="str">
        <f t="shared" si="41"/>
        <v/>
      </c>
      <c r="P170" s="190"/>
      <c r="Q170" s="190"/>
      <c r="R170" s="190"/>
      <c r="S170" s="190"/>
      <c r="T170" s="190"/>
    </row>
    <row r="171" spans="1:20">
      <c r="A171" s="124" t="str">
        <f>IF(INDEX(VISL!A:A,MATCH(B171,VISL!B:B,0))="x","x","")</f>
        <v/>
      </c>
      <c r="B171" s="269" t="s">
        <v>279</v>
      </c>
      <c r="C171" s="269" t="s">
        <v>443</v>
      </c>
      <c r="D171" s="201"/>
      <c r="E171" s="194" t="str">
        <f t="shared" si="42"/>
        <v>--</v>
      </c>
      <c r="F171" s="122" t="str">
        <f t="shared" si="43"/>
        <v>--</v>
      </c>
      <c r="G171" s="123" t="str">
        <f t="shared" si="44"/>
        <v>--</v>
      </c>
      <c r="H171" s="124"/>
      <c r="I171" s="121">
        <f t="shared" si="37"/>
        <v>5.8E-5</v>
      </c>
      <c r="J171" s="121" t="str">
        <f t="shared" si="38"/>
        <v>CA</v>
      </c>
      <c r="K171" s="121" t="str">
        <f t="shared" si="39"/>
        <v/>
      </c>
      <c r="L171" s="121" t="str">
        <f t="shared" si="40"/>
        <v/>
      </c>
      <c r="M171" s="121" t="str">
        <f>VLOOKUP(B171,VISL!$B:$W,22,FALSE)</f>
        <v/>
      </c>
      <c r="N171" s="190"/>
      <c r="O171" s="190" t="str">
        <f t="shared" si="41"/>
        <v/>
      </c>
      <c r="P171" s="190"/>
      <c r="Q171" s="190"/>
      <c r="R171" s="190"/>
      <c r="S171" s="190"/>
      <c r="T171" s="190"/>
    </row>
    <row r="172" spans="1:20">
      <c r="A172" s="124" t="str">
        <f>IF(INDEX(VISL!A:A,MATCH(B172,VISL!B:B,0))="x","x","")</f>
        <v/>
      </c>
      <c r="B172" s="269" t="s">
        <v>280</v>
      </c>
      <c r="C172" s="269" t="s">
        <v>397</v>
      </c>
      <c r="D172" s="201"/>
      <c r="E172" s="194" t="str">
        <f t="shared" si="42"/>
        <v>--</v>
      </c>
      <c r="F172" s="122" t="str">
        <f t="shared" si="43"/>
        <v>--</v>
      </c>
      <c r="G172" s="123" t="str">
        <f t="shared" si="44"/>
        <v>--</v>
      </c>
      <c r="H172" s="124"/>
      <c r="I172" s="121">
        <f t="shared" si="37"/>
        <v>2.6E-7</v>
      </c>
      <c r="J172" s="121" t="str">
        <f t="shared" si="38"/>
        <v>I</v>
      </c>
      <c r="K172" s="121">
        <f t="shared" si="39"/>
        <v>0.04</v>
      </c>
      <c r="L172" s="121" t="str">
        <f t="shared" si="40"/>
        <v>I</v>
      </c>
      <c r="M172" s="121" t="str">
        <f>VLOOKUP(B172,VISL!$B:$W,22,FALSE)</f>
        <v/>
      </c>
      <c r="N172" s="190"/>
      <c r="O172" s="190" t="str">
        <f t="shared" si="41"/>
        <v/>
      </c>
      <c r="P172" s="190"/>
      <c r="Q172" s="190"/>
      <c r="R172" s="190"/>
      <c r="S172" s="190"/>
      <c r="T172" s="190"/>
    </row>
    <row r="173" spans="1:20">
      <c r="A173" s="124" t="str">
        <f>IF(INDEX(VISL!A:A,MATCH(B173,VISL!B:B,0))="x","x","")</f>
        <v/>
      </c>
      <c r="B173" s="344" t="s">
        <v>284</v>
      </c>
      <c r="C173" s="269" t="s">
        <v>1349</v>
      </c>
      <c r="D173" s="201"/>
      <c r="E173" s="194" t="str">
        <f t="shared" si="42"/>
        <v>--</v>
      </c>
      <c r="F173" s="122" t="str">
        <f t="shared" si="43"/>
        <v>--</v>
      </c>
      <c r="G173" s="123" t="str">
        <f t="shared" si="44"/>
        <v>--</v>
      </c>
      <c r="H173" s="124"/>
      <c r="I173" s="121" t="str">
        <f t="shared" si="37"/>
        <v/>
      </c>
      <c r="J173" s="121" t="str">
        <f t="shared" si="38"/>
        <v/>
      </c>
      <c r="K173" s="121">
        <f t="shared" si="39"/>
        <v>80</v>
      </c>
      <c r="L173" s="121" t="str">
        <f t="shared" si="40"/>
        <v>I</v>
      </c>
      <c r="M173" s="121" t="str">
        <f>VLOOKUP(B173,VISL!$B:$W,22,FALSE)</f>
        <v/>
      </c>
      <c r="N173" s="190"/>
      <c r="O173" s="190" t="str">
        <f t="shared" si="41"/>
        <v/>
      </c>
      <c r="P173" s="190"/>
      <c r="Q173" s="190"/>
      <c r="R173" s="190"/>
      <c r="S173" s="190"/>
      <c r="T173" s="190"/>
    </row>
    <row r="174" spans="1:20">
      <c r="A174" s="124" t="str">
        <f>IF(INDEX(VISL!A:A,MATCH(B174,VISL!B:B,0))="x","x","")</f>
        <v/>
      </c>
      <c r="B174" s="344" t="s">
        <v>1831</v>
      </c>
      <c r="C174" s="269" t="s">
        <v>2252</v>
      </c>
      <c r="D174" s="201"/>
      <c r="E174" s="194" t="str">
        <f t="shared" si="42"/>
        <v>--</v>
      </c>
      <c r="F174" s="122" t="str">
        <f t="shared" si="43"/>
        <v>--</v>
      </c>
      <c r="G174" s="123" t="str">
        <f t="shared" si="44"/>
        <v>--</v>
      </c>
      <c r="H174" s="124"/>
      <c r="I174" s="121" t="str">
        <f t="shared" si="37"/>
        <v/>
      </c>
      <c r="J174" s="121" t="str">
        <f t="shared" si="38"/>
        <v/>
      </c>
      <c r="K174" s="121">
        <f t="shared" si="39"/>
        <v>2</v>
      </c>
      <c r="L174" s="121" t="str">
        <f t="shared" si="40"/>
        <v>I</v>
      </c>
      <c r="M174" s="121" t="str">
        <f>VLOOKUP(B174,VISL!$B:$W,22,FALSE)</f>
        <v/>
      </c>
      <c r="N174" s="190"/>
      <c r="O174" s="190" t="str">
        <f t="shared" si="41"/>
        <v/>
      </c>
      <c r="P174" s="190"/>
      <c r="Q174" s="190"/>
      <c r="R174" s="190"/>
      <c r="S174" s="190"/>
      <c r="T174" s="190"/>
    </row>
    <row r="175" spans="1:20">
      <c r="A175" s="124" t="str">
        <f>IF(INDEX(VISL!A:A,MATCH(B175,VISL!B:B,0))="x","x","")</f>
        <v/>
      </c>
      <c r="B175" s="344" t="s">
        <v>293</v>
      </c>
      <c r="C175" s="269" t="s">
        <v>620</v>
      </c>
      <c r="D175" s="201"/>
      <c r="E175" s="194" t="str">
        <f t="shared" si="42"/>
        <v>--</v>
      </c>
      <c r="F175" s="122" t="str">
        <f t="shared" si="43"/>
        <v>--</v>
      </c>
      <c r="G175" s="123" t="str">
        <f t="shared" si="44"/>
        <v>--</v>
      </c>
      <c r="H175" s="124"/>
      <c r="I175" s="121" t="str">
        <f t="shared" si="37"/>
        <v/>
      </c>
      <c r="J175" s="121" t="str">
        <f t="shared" si="38"/>
        <v/>
      </c>
      <c r="K175" s="121">
        <f t="shared" si="39"/>
        <v>1E-4</v>
      </c>
      <c r="L175" s="121" t="str">
        <f t="shared" si="40"/>
        <v>A</v>
      </c>
      <c r="M175" s="121" t="str">
        <f>VLOOKUP(B175,VISL!$B:$W,22,FALSE)</f>
        <v/>
      </c>
      <c r="N175" s="190"/>
      <c r="O175" s="190" t="str">
        <f t="shared" si="41"/>
        <v/>
      </c>
      <c r="P175" s="190"/>
      <c r="Q175" s="190"/>
      <c r="R175" s="190"/>
      <c r="S175" s="190"/>
      <c r="T175" s="190"/>
    </row>
    <row r="176" spans="1:20">
      <c r="A176" s="124" t="str">
        <f>IF(INDEX(VISL!A:A,MATCH(B176,VISL!B:B,0))="x","x","")</f>
        <v/>
      </c>
      <c r="B176" s="344" t="s">
        <v>294</v>
      </c>
      <c r="C176" s="269" t="s">
        <v>398</v>
      </c>
      <c r="D176" s="201"/>
      <c r="E176" s="194" t="str">
        <f t="shared" si="42"/>
        <v>--</v>
      </c>
      <c r="F176" s="122" t="str">
        <f t="shared" si="43"/>
        <v>--</v>
      </c>
      <c r="G176" s="123" t="str">
        <f t="shared" si="44"/>
        <v>--</v>
      </c>
      <c r="H176" s="124"/>
      <c r="I176" s="121" t="str">
        <f t="shared" si="37"/>
        <v/>
      </c>
      <c r="J176" s="121" t="str">
        <f t="shared" si="38"/>
        <v/>
      </c>
      <c r="K176" s="121">
        <f t="shared" si="39"/>
        <v>5</v>
      </c>
      <c r="L176" s="121" t="str">
        <f t="shared" si="40"/>
        <v>I</v>
      </c>
      <c r="M176" s="121" t="str">
        <f>VLOOKUP(B176,VISL!$B:$W,22,FALSE)</f>
        <v/>
      </c>
      <c r="N176" s="190"/>
      <c r="O176" s="190" t="str">
        <f t="shared" si="41"/>
        <v/>
      </c>
      <c r="P176" s="190"/>
      <c r="Q176" s="190"/>
      <c r="R176" s="190"/>
      <c r="S176" s="190"/>
      <c r="T176" s="190"/>
    </row>
    <row r="177" spans="1:20">
      <c r="A177" s="124" t="str">
        <f>IF(INDEX(VISL!A:A,MATCH(B177,VISL!B:B,0))="x","x","")</f>
        <v/>
      </c>
      <c r="B177" s="269" t="s">
        <v>310</v>
      </c>
      <c r="C177" s="269" t="s">
        <v>1364</v>
      </c>
      <c r="D177" s="201"/>
      <c r="E177" s="194" t="str">
        <f t="shared" si="42"/>
        <v>--</v>
      </c>
      <c r="F177" s="122" t="str">
        <f t="shared" si="43"/>
        <v>--</v>
      </c>
      <c r="G177" s="123" t="str">
        <f t="shared" si="44"/>
        <v>--</v>
      </c>
      <c r="H177" s="124"/>
      <c r="I177" s="121" t="str">
        <f t="shared" si="37"/>
        <v/>
      </c>
      <c r="J177" s="121" t="str">
        <f t="shared" si="38"/>
        <v/>
      </c>
      <c r="K177" s="121">
        <f t="shared" si="39"/>
        <v>5</v>
      </c>
      <c r="L177" s="121" t="str">
        <f t="shared" si="40"/>
        <v>P</v>
      </c>
      <c r="M177" s="121" t="str">
        <f>VLOOKUP(B177,VISL!$B:$W,22,FALSE)</f>
        <v/>
      </c>
      <c r="N177" s="190"/>
      <c r="O177" s="190" t="str">
        <f t="shared" si="41"/>
        <v/>
      </c>
      <c r="P177" s="190"/>
      <c r="Q177" s="190"/>
      <c r="R177" s="190"/>
      <c r="S177" s="190"/>
      <c r="T177" s="190"/>
    </row>
    <row r="178" spans="1:20">
      <c r="A178" s="124" t="str">
        <f>IF(INDEX(VISL!A:A,MATCH(B178,VISL!B:B,0))="x","x","")</f>
        <v/>
      </c>
      <c r="B178" s="344" t="s">
        <v>316</v>
      </c>
      <c r="C178" s="269" t="s">
        <v>1367</v>
      </c>
      <c r="D178" s="201"/>
      <c r="E178" s="194" t="str">
        <f t="shared" si="42"/>
        <v>--</v>
      </c>
      <c r="F178" s="122" t="str">
        <f t="shared" si="43"/>
        <v>--</v>
      </c>
      <c r="G178" s="123" t="str">
        <f t="shared" si="44"/>
        <v>--</v>
      </c>
      <c r="H178" s="124"/>
      <c r="I178" s="121" t="str">
        <f t="shared" si="37"/>
        <v/>
      </c>
      <c r="J178" s="121" t="str">
        <f t="shared" si="38"/>
        <v/>
      </c>
      <c r="K178" s="121">
        <f t="shared" si="39"/>
        <v>2E-3</v>
      </c>
      <c r="L178" s="121" t="str">
        <f t="shared" si="40"/>
        <v>P</v>
      </c>
      <c r="M178" s="121" t="str">
        <f>VLOOKUP(B178,VISL!$B:$W,22,FALSE)</f>
        <v/>
      </c>
      <c r="N178" s="190"/>
      <c r="O178" s="190" t="str">
        <f t="shared" si="41"/>
        <v/>
      </c>
      <c r="P178" s="190"/>
      <c r="Q178" s="190"/>
      <c r="R178" s="190"/>
      <c r="S178" s="190"/>
      <c r="T178" s="190"/>
    </row>
    <row r="179" spans="1:20">
      <c r="A179" s="124" t="str">
        <f>IF(INDEX(VISL!A:A,MATCH(B179,VISL!B:B,0))="x","x","")</f>
        <v/>
      </c>
      <c r="B179" s="345" t="s">
        <v>317</v>
      </c>
      <c r="C179" s="269" t="s">
        <v>442</v>
      </c>
      <c r="D179" s="201"/>
      <c r="E179" s="194" t="str">
        <f t="shared" si="42"/>
        <v>--</v>
      </c>
      <c r="F179" s="122" t="str">
        <f t="shared" si="43"/>
        <v>--</v>
      </c>
      <c r="G179" s="123" t="str">
        <f t="shared" si="44"/>
        <v>--</v>
      </c>
      <c r="H179" s="124"/>
      <c r="I179" s="121" t="str">
        <f t="shared" si="37"/>
        <v/>
      </c>
      <c r="J179" s="121" t="str">
        <f t="shared" si="38"/>
        <v/>
      </c>
      <c r="K179" s="121">
        <f t="shared" si="39"/>
        <v>5</v>
      </c>
      <c r="L179" s="121" t="str">
        <f t="shared" si="40"/>
        <v>I</v>
      </c>
      <c r="M179" s="121" t="str">
        <f>VLOOKUP(B179,VISL!$B:$W,22,FALSE)</f>
        <v/>
      </c>
      <c r="N179" s="190"/>
      <c r="O179" s="190" t="str">
        <f t="shared" si="41"/>
        <v/>
      </c>
      <c r="P179" s="190"/>
      <c r="Q179" s="190"/>
      <c r="R179" s="190"/>
      <c r="S179" s="190"/>
      <c r="T179" s="190"/>
    </row>
    <row r="180" spans="1:20">
      <c r="A180" s="124" t="str">
        <f>IF(INDEX(VISL!A:A,MATCH(B180,VISL!B:B,0))="x","x","")</f>
        <v/>
      </c>
      <c r="B180" s="345" t="s">
        <v>318</v>
      </c>
      <c r="C180" s="269" t="s">
        <v>1368</v>
      </c>
      <c r="D180" s="201"/>
      <c r="E180" s="194" t="str">
        <f t="shared" si="42"/>
        <v>--</v>
      </c>
      <c r="F180" s="122" t="str">
        <f t="shared" si="43"/>
        <v>--</v>
      </c>
      <c r="G180" s="123" t="str">
        <f t="shared" si="44"/>
        <v>--</v>
      </c>
      <c r="H180" s="124"/>
      <c r="I180" s="121">
        <f t="shared" si="37"/>
        <v>1.5999999999999999E-5</v>
      </c>
      <c r="J180" s="121" t="str">
        <f t="shared" si="38"/>
        <v>I</v>
      </c>
      <c r="K180" s="121">
        <f t="shared" si="39"/>
        <v>2.0000000000000001E-4</v>
      </c>
      <c r="L180" s="121" t="str">
        <f t="shared" si="40"/>
        <v>X</v>
      </c>
      <c r="M180" s="121" t="str">
        <f>VLOOKUP(B180,VISL!$B:$W,22,FALSE)</f>
        <v/>
      </c>
      <c r="N180" s="190"/>
      <c r="O180" s="190" t="str">
        <f t="shared" si="41"/>
        <v/>
      </c>
      <c r="P180" s="190"/>
      <c r="Q180" s="190"/>
      <c r="R180" s="190"/>
      <c r="S180" s="190"/>
      <c r="T180" s="190"/>
    </row>
    <row r="181" spans="1:20">
      <c r="A181" s="124" t="str">
        <f>IF(INDEX(VISL!A:A,MATCH(B181,VISL!B:B,0))="x","x","")</f>
        <v/>
      </c>
      <c r="B181" s="345" t="s">
        <v>319</v>
      </c>
      <c r="C181" s="269" t="s">
        <v>400</v>
      </c>
      <c r="D181" s="201"/>
      <c r="E181" s="194" t="str">
        <f t="shared" si="42"/>
        <v>--</v>
      </c>
      <c r="F181" s="122" t="str">
        <f t="shared" si="43"/>
        <v>--</v>
      </c>
      <c r="G181" s="123" t="str">
        <f t="shared" si="44"/>
        <v>--</v>
      </c>
      <c r="H181" s="124"/>
      <c r="I181" s="121" t="str">
        <f>IF(INDEX(IUR,MATCH(B181,CASNoTox,0))=" ","",IF(M181="TCE","see note",INDEX(IUR,MATCH(B181,CASNoTox,0))))</f>
        <v>see note</v>
      </c>
      <c r="J181" s="121" t="str">
        <f>IF(INDEX(IURSource,MATCH(B181,CASNoTox,0))="","",SUBSTITUTE(INDEX(IURSource,MATCH(B181,CASNoTox,0)),"C","CA"))</f>
        <v>I</v>
      </c>
      <c r="K181" s="121">
        <f>IF(INDEX(RFC,MATCH(B181,CASNoTox,0))=" ","",INDEX(RFC,MATCH(B181,CASNoTox,0)))</f>
        <v>2E-3</v>
      </c>
      <c r="L181" s="121" t="str">
        <f>IF(INDEX(RFCSource,MATCH(B181,CASNoTox,0))="","",SUBSTITUTE(INDEX(RFCSource,MATCH(B181,CASNoTox,0)),"C","CA"))</f>
        <v>I</v>
      </c>
      <c r="M181" s="121" t="str">
        <f>VLOOKUP(B181,VISL!$B:$W,22,FALSE)</f>
        <v>TCE</v>
      </c>
      <c r="N181" s="190"/>
      <c r="O181" s="190"/>
      <c r="P181" s="190"/>
      <c r="Q181" s="190"/>
      <c r="R181" s="190"/>
      <c r="S181" s="190"/>
      <c r="T181" s="190"/>
    </row>
    <row r="182" spans="1:20">
      <c r="A182" s="124" t="str">
        <f>IF(INDEX(VISL!A:A,MATCH(B182,VISL!B:B,0))="x","x","")</f>
        <v/>
      </c>
      <c r="B182" s="345" t="s">
        <v>326</v>
      </c>
      <c r="C182" s="269" t="s">
        <v>1373</v>
      </c>
      <c r="D182" s="201"/>
      <c r="E182" s="194" t="str">
        <f t="shared" si="42"/>
        <v>--</v>
      </c>
      <c r="F182" s="122" t="str">
        <f t="shared" si="43"/>
        <v>--</v>
      </c>
      <c r="G182" s="123" t="str">
        <f t="shared" si="44"/>
        <v>--</v>
      </c>
      <c r="H182" s="124"/>
      <c r="I182" s="121" t="str">
        <f>IF(INDEX(IUR,MATCH(B182,CASNoTox,0))=" ","",IF(M182="TCE","see note",INDEX(IUR,MATCH(B182,CASNoTox,0))))</f>
        <v/>
      </c>
      <c r="J182" s="121" t="str">
        <f>IF(INDEX(IURSource,MATCH(B182,CASNoTox,0))="","",SUBSTITUTE(INDEX(IURSource,MATCH(B182,CASNoTox,0)),"C","CA"))</f>
        <v/>
      </c>
      <c r="K182" s="121">
        <f>IF(INDEX(RFC,MATCH(B182,CASNoTox,0))=" ","",INDEX(RFC,MATCH(B182,CASNoTox,0)))</f>
        <v>2.9999999999999997E-4</v>
      </c>
      <c r="L182" s="121" t="str">
        <f>IF(INDEX(RFCSource,MATCH(B182,CASNoTox,0))="","",SUBSTITUTE(INDEX(RFCSource,MATCH(B182,CASNoTox,0)),"C","CA"))</f>
        <v>I</v>
      </c>
      <c r="M182" s="121" t="str">
        <f>VLOOKUP(B182,VISL!$B:$W,22,FALSE)</f>
        <v>Mut</v>
      </c>
      <c r="N182" s="190"/>
      <c r="O182" s="190" t="str">
        <f t="shared" si="41"/>
        <v/>
      </c>
      <c r="P182" s="190"/>
      <c r="Q182" s="190"/>
      <c r="R182" s="190"/>
      <c r="S182" s="190"/>
      <c r="T182" s="190"/>
    </row>
    <row r="183" spans="1:20">
      <c r="A183" s="124" t="str">
        <f>IF(INDEX(VISL!A:A,MATCH(B183,VISL!B:B,0))="x","x","")</f>
        <v/>
      </c>
      <c r="B183" s="345" t="s">
        <v>327</v>
      </c>
      <c r="C183" s="269" t="s">
        <v>544</v>
      </c>
      <c r="D183" s="201"/>
      <c r="E183" s="194" t="str">
        <f t="shared" si="42"/>
        <v>--</v>
      </c>
      <c r="F183" s="122" t="str">
        <f t="shared" si="43"/>
        <v>--</v>
      </c>
      <c r="G183" s="123" t="str">
        <f t="shared" si="44"/>
        <v>--</v>
      </c>
      <c r="H183" s="124"/>
      <c r="I183" s="121" t="str">
        <f t="shared" si="37"/>
        <v/>
      </c>
      <c r="J183" s="121" t="str">
        <f t="shared" si="38"/>
        <v/>
      </c>
      <c r="K183" s="121">
        <f t="shared" si="39"/>
        <v>2.9999999999999997E-4</v>
      </c>
      <c r="L183" s="121" t="str">
        <f t="shared" si="40"/>
        <v>P</v>
      </c>
      <c r="M183" s="121" t="str">
        <f>VLOOKUP(B183,VISL!$B:$W,22,FALSE)</f>
        <v/>
      </c>
      <c r="N183" s="190"/>
      <c r="O183" s="190" t="str">
        <f t="shared" si="41"/>
        <v/>
      </c>
      <c r="P183" s="190"/>
      <c r="Q183" s="190"/>
      <c r="R183" s="190"/>
      <c r="S183" s="190"/>
      <c r="T183" s="190"/>
    </row>
    <row r="184" spans="1:20">
      <c r="A184" s="124" t="str">
        <f>IF(INDEX(VISL!A:A,MATCH(B184,VISL!B:B,0))="x","x","")</f>
        <v/>
      </c>
      <c r="B184" s="345" t="s">
        <v>329</v>
      </c>
      <c r="C184" s="269" t="s">
        <v>1375</v>
      </c>
      <c r="D184" s="201"/>
      <c r="E184" s="194" t="str">
        <f t="shared" si="42"/>
        <v>--</v>
      </c>
      <c r="F184" s="122" t="str">
        <f t="shared" si="43"/>
        <v>--</v>
      </c>
      <c r="G184" s="123" t="str">
        <f t="shared" si="44"/>
        <v>--</v>
      </c>
      <c r="H184" s="124"/>
      <c r="I184" s="121" t="str">
        <f t="shared" si="37"/>
        <v/>
      </c>
      <c r="J184" s="121" t="str">
        <f t="shared" si="38"/>
        <v/>
      </c>
      <c r="K184" s="121">
        <f t="shared" si="39"/>
        <v>7.0000000000000001E-3</v>
      </c>
      <c r="L184" s="121" t="str">
        <f t="shared" si="40"/>
        <v>I</v>
      </c>
      <c r="M184" s="121" t="str">
        <f>VLOOKUP(B184,VISL!$B:$W,22,FALSE)</f>
        <v/>
      </c>
      <c r="N184" s="190"/>
      <c r="O184" s="190" t="str">
        <f t="shared" si="41"/>
        <v/>
      </c>
      <c r="P184" s="190"/>
      <c r="Q184" s="190"/>
      <c r="R184" s="190"/>
      <c r="S184" s="190"/>
      <c r="T184" s="190"/>
    </row>
    <row r="185" spans="1:20">
      <c r="A185" s="124" t="str">
        <f>IF(INDEX(VISL!A:A,MATCH(B185,VISL!B:B,0))="x","x","")</f>
        <v/>
      </c>
      <c r="B185" s="345" t="s">
        <v>2291</v>
      </c>
      <c r="C185" s="269" t="s">
        <v>2294</v>
      </c>
      <c r="D185" s="201"/>
      <c r="E185" s="194" t="str">
        <f t="shared" si="42"/>
        <v>--</v>
      </c>
      <c r="F185" s="122" t="str">
        <f t="shared" si="43"/>
        <v>--</v>
      </c>
      <c r="G185" s="123" t="str">
        <f t="shared" si="44"/>
        <v>--</v>
      </c>
      <c r="H185" s="124"/>
      <c r="I185" s="121" t="str">
        <f>IF(INDEX(IUR,MATCH(B185,CASNoTox,0))=" ","",IF(M185="TCE","see note",INDEX(IUR,MATCH(B185,CASNoTox,0))))</f>
        <v/>
      </c>
      <c r="J185" s="121" t="str">
        <f>IF(INDEX(IURSource,MATCH(B185,CASNoTox,0))="","",SUBSTITUTE(INDEX(IURSource,MATCH(B185,CASNoTox,0)),"C","CA"))</f>
        <v/>
      </c>
      <c r="K185" s="121">
        <f>IF(INDEX(RFC,MATCH(B185,CASNoTox,0))=" ","",INDEX(RFC,MATCH(B185,CASNoTox,0)))</f>
        <v>20</v>
      </c>
      <c r="L185" s="121" t="str">
        <f>IF(INDEX(RFCSource,MATCH(B185,CASNoTox,0))="","",SUBSTITUTE(INDEX(RFCSource,MATCH(B185,CASNoTox,0)),"C","CA"))</f>
        <v>P</v>
      </c>
      <c r="M185" s="121" t="str">
        <f>VLOOKUP(B185,VISL!$B:$W,22,FALSE)</f>
        <v/>
      </c>
      <c r="N185" s="190"/>
      <c r="O185" s="190"/>
      <c r="P185" s="190"/>
      <c r="Q185" s="190"/>
      <c r="R185" s="190"/>
      <c r="S185" s="190"/>
      <c r="T185" s="190"/>
    </row>
    <row r="186" spans="1:20">
      <c r="A186" s="124" t="str">
        <f>IF(INDEX(VISL!A:A,MATCH(B186,VISL!B:B,0))="x","x","")</f>
        <v/>
      </c>
      <c r="B186" s="345" t="s">
        <v>1615</v>
      </c>
      <c r="C186" s="269" t="s">
        <v>1614</v>
      </c>
      <c r="D186" s="201"/>
      <c r="E186" s="194" t="str">
        <f t="shared" si="42"/>
        <v>--</v>
      </c>
      <c r="F186" s="122" t="str">
        <f t="shared" si="43"/>
        <v>--</v>
      </c>
      <c r="G186" s="123" t="str">
        <f t="shared" si="44"/>
        <v>--</v>
      </c>
      <c r="H186" s="124"/>
      <c r="I186" s="121" t="str">
        <f t="shared" si="37"/>
        <v/>
      </c>
      <c r="J186" s="121" t="str">
        <f t="shared" si="38"/>
        <v/>
      </c>
      <c r="K186" s="121">
        <f t="shared" si="39"/>
        <v>0.06</v>
      </c>
      <c r="L186" s="121" t="str">
        <f t="shared" si="40"/>
        <v>I</v>
      </c>
      <c r="M186" s="121" t="str">
        <f>VLOOKUP(B186,VISL!$B:$W,22,FALSE)</f>
        <v/>
      </c>
      <c r="N186" s="190"/>
      <c r="O186" s="190" t="str">
        <f t="shared" si="41"/>
        <v/>
      </c>
      <c r="P186" s="190"/>
      <c r="Q186" s="190"/>
      <c r="R186" s="190"/>
      <c r="S186" s="190"/>
      <c r="T186" s="190"/>
    </row>
    <row r="187" spans="1:20">
      <c r="A187" s="124" t="str">
        <f>IF(INDEX(VISL!A:A,MATCH(B187,VISL!B:B,0))="x","x","")</f>
        <v/>
      </c>
      <c r="B187" s="345" t="s">
        <v>332</v>
      </c>
      <c r="C187" s="269" t="s">
        <v>1378</v>
      </c>
      <c r="D187" s="201"/>
      <c r="E187" s="194" t="str">
        <f t="shared" si="42"/>
        <v>--</v>
      </c>
      <c r="F187" s="122" t="str">
        <f t="shared" si="43"/>
        <v>--</v>
      </c>
      <c r="G187" s="123" t="str">
        <f t="shared" si="44"/>
        <v>--</v>
      </c>
      <c r="H187" s="124"/>
      <c r="I187" s="121" t="str">
        <f t="shared" si="37"/>
        <v/>
      </c>
      <c r="J187" s="121" t="str">
        <f t="shared" si="38"/>
        <v/>
      </c>
      <c r="K187" s="121">
        <f t="shared" si="39"/>
        <v>0.06</v>
      </c>
      <c r="L187" s="121" t="str">
        <f t="shared" si="40"/>
        <v>I</v>
      </c>
      <c r="M187" s="121" t="str">
        <f>VLOOKUP(B187,VISL!$B:$W,22,FALSE)</f>
        <v/>
      </c>
      <c r="N187" s="190"/>
      <c r="O187" s="190" t="str">
        <f t="shared" si="41"/>
        <v/>
      </c>
      <c r="P187" s="190"/>
      <c r="Q187" s="190"/>
      <c r="R187" s="190"/>
      <c r="S187" s="190"/>
      <c r="T187" s="190"/>
    </row>
    <row r="188" spans="1:20">
      <c r="A188" s="124" t="str">
        <f>IF(INDEX(VISL!A:A,MATCH(B188,VISL!B:B,0))="x","x","")</f>
        <v/>
      </c>
      <c r="B188" s="345" t="s">
        <v>333</v>
      </c>
      <c r="C188" s="269" t="s">
        <v>545</v>
      </c>
      <c r="D188" s="201"/>
      <c r="E188" s="194" t="str">
        <f t="shared" si="42"/>
        <v>--</v>
      </c>
      <c r="F188" s="122" t="str">
        <f t="shared" si="43"/>
        <v>--</v>
      </c>
      <c r="G188" s="123" t="str">
        <f t="shared" si="44"/>
        <v>--</v>
      </c>
      <c r="H188" s="124"/>
      <c r="I188" s="121" t="str">
        <f t="shared" si="37"/>
        <v/>
      </c>
      <c r="J188" s="121" t="str">
        <f t="shared" si="38"/>
        <v/>
      </c>
      <c r="K188" s="121">
        <f t="shared" si="39"/>
        <v>0.06</v>
      </c>
      <c r="L188" s="121" t="str">
        <f t="shared" si="40"/>
        <v>I</v>
      </c>
      <c r="M188" s="121" t="str">
        <f>VLOOKUP(B188,VISL!$B:$W,22,FALSE)</f>
        <v/>
      </c>
      <c r="N188" s="190"/>
      <c r="O188" s="190" t="str">
        <f t="shared" si="41"/>
        <v/>
      </c>
      <c r="P188" s="190"/>
      <c r="Q188" s="190"/>
      <c r="R188" s="190"/>
      <c r="S188" s="190"/>
      <c r="T188" s="190"/>
    </row>
    <row r="189" spans="1:20">
      <c r="A189" s="124" t="str">
        <f>IF(INDEX(VISL!A:A,MATCH(B189,VISL!B:B,0))="x","x","")</f>
        <v/>
      </c>
      <c r="B189" s="345" t="s">
        <v>2197</v>
      </c>
      <c r="C189" s="269" t="s">
        <v>2196</v>
      </c>
      <c r="D189" s="201"/>
      <c r="E189" s="194" t="str">
        <f t="shared" si="42"/>
        <v>--</v>
      </c>
      <c r="F189" s="122" t="str">
        <f t="shared" si="43"/>
        <v>--</v>
      </c>
      <c r="G189" s="123" t="str">
        <f t="shared" si="44"/>
        <v>--</v>
      </c>
      <c r="H189" s="124"/>
      <c r="I189" s="121">
        <f t="shared" si="37"/>
        <v>6.6E-4</v>
      </c>
      <c r="J189" s="121" t="str">
        <f t="shared" si="38"/>
        <v>CA</v>
      </c>
      <c r="K189" s="121" t="str">
        <f t="shared" si="39"/>
        <v/>
      </c>
      <c r="L189" s="121" t="str">
        <f t="shared" si="40"/>
        <v/>
      </c>
      <c r="M189" s="121" t="str">
        <f>VLOOKUP(B189,VISL!$B:$W,22,FALSE)</f>
        <v/>
      </c>
      <c r="N189" s="190"/>
      <c r="O189" s="190" t="str">
        <f t="shared" si="41"/>
        <v/>
      </c>
      <c r="P189" s="190"/>
      <c r="Q189" s="190"/>
      <c r="R189" s="190"/>
      <c r="S189" s="190"/>
      <c r="T189" s="190"/>
    </row>
    <row r="190" spans="1:20">
      <c r="A190" s="124" t="str">
        <f>IF(INDEX(VISL!A:A,MATCH(B190,VISL!B:B,0))="x","x","")</f>
        <v/>
      </c>
      <c r="B190" s="345" t="s">
        <v>343</v>
      </c>
      <c r="C190" s="269" t="s">
        <v>1387</v>
      </c>
      <c r="D190" s="201"/>
      <c r="E190" s="194" t="str">
        <f t="shared" si="42"/>
        <v>--</v>
      </c>
      <c r="F190" s="122" t="str">
        <f t="shared" si="43"/>
        <v>--</v>
      </c>
      <c r="G190" s="123" t="str">
        <f t="shared" si="44"/>
        <v>--</v>
      </c>
      <c r="H190" s="124"/>
      <c r="I190" s="121" t="str">
        <f t="shared" si="37"/>
        <v/>
      </c>
      <c r="J190" s="121" t="str">
        <f t="shared" si="38"/>
        <v/>
      </c>
      <c r="K190" s="121">
        <f t="shared" si="39"/>
        <v>0.2</v>
      </c>
      <c r="L190" s="121" t="str">
        <f t="shared" si="40"/>
        <v>I</v>
      </c>
      <c r="M190" s="121" t="str">
        <f>VLOOKUP(B190,VISL!$B:$W,22,FALSE)</f>
        <v/>
      </c>
      <c r="N190" s="190"/>
      <c r="O190" s="190" t="str">
        <f t="shared" si="41"/>
        <v/>
      </c>
      <c r="P190" s="190"/>
      <c r="Q190" s="190"/>
      <c r="R190" s="190"/>
      <c r="S190" s="190"/>
      <c r="T190" s="190"/>
    </row>
    <row r="191" spans="1:20">
      <c r="A191" s="124" t="str">
        <f>IF(INDEX(VISL!A:A,MATCH(B191,VISL!B:B,0))="x","x","")</f>
        <v/>
      </c>
      <c r="B191" s="345" t="s">
        <v>344</v>
      </c>
      <c r="C191" s="269" t="s">
        <v>1388</v>
      </c>
      <c r="D191" s="201"/>
      <c r="E191" s="194" t="str">
        <f t="shared" si="42"/>
        <v>--</v>
      </c>
      <c r="F191" s="122" t="str">
        <f t="shared" si="43"/>
        <v>--</v>
      </c>
      <c r="G191" s="123" t="str">
        <f t="shared" si="44"/>
        <v>--</v>
      </c>
      <c r="H191" s="124"/>
      <c r="I191" s="121">
        <f t="shared" si="37"/>
        <v>3.1999999999999999E-5</v>
      </c>
      <c r="J191" s="121" t="str">
        <f t="shared" si="38"/>
        <v>H</v>
      </c>
      <c r="K191" s="121">
        <f t="shared" si="39"/>
        <v>3.0000000000000001E-3</v>
      </c>
      <c r="L191" s="121" t="str">
        <f t="shared" si="40"/>
        <v>I</v>
      </c>
      <c r="M191" s="121" t="str">
        <f>VLOOKUP(B191,VISL!$B:$W,22,FALSE)</f>
        <v/>
      </c>
      <c r="N191" s="190"/>
      <c r="O191" s="190" t="str">
        <f t="shared" si="41"/>
        <v/>
      </c>
      <c r="P191" s="190"/>
      <c r="Q191" s="190"/>
      <c r="R191" s="190"/>
      <c r="S191" s="190"/>
      <c r="T191" s="190"/>
    </row>
    <row r="192" spans="1:20">
      <c r="A192" s="124" t="str">
        <f>IF(INDEX(VISL!A:A,MATCH(B192,VISL!B:B,0))="x","x","")</f>
        <v/>
      </c>
      <c r="B192" s="345" t="s">
        <v>345</v>
      </c>
      <c r="C192" s="269" t="s">
        <v>1389</v>
      </c>
      <c r="D192" s="201"/>
      <c r="E192" s="194" t="str">
        <f t="shared" si="42"/>
        <v>--</v>
      </c>
      <c r="F192" s="122" t="str">
        <f t="shared" si="43"/>
        <v>--</v>
      </c>
      <c r="G192" s="123" t="str">
        <f t="shared" si="44"/>
        <v>--</v>
      </c>
      <c r="H192" s="124"/>
      <c r="I192" s="121">
        <f t="shared" si="37"/>
        <v>4.4000000000000002E-6</v>
      </c>
      <c r="J192" s="121" t="str">
        <f t="shared" si="38"/>
        <v>I</v>
      </c>
      <c r="K192" s="121">
        <f t="shared" si="39"/>
        <v>0.1</v>
      </c>
      <c r="L192" s="121" t="str">
        <f t="shared" si="40"/>
        <v>I</v>
      </c>
      <c r="M192" s="121" t="str">
        <f>VLOOKUP(B192,VISL!$B:$W,22,FALSE)</f>
        <v>VC</v>
      </c>
      <c r="N192" s="190"/>
      <c r="O192" s="190" t="str">
        <f t="shared" si="41"/>
        <v/>
      </c>
      <c r="P192" s="190"/>
      <c r="Q192" s="190"/>
      <c r="R192" s="190"/>
      <c r="S192" s="190"/>
      <c r="T192" s="190"/>
    </row>
    <row r="193" spans="1:22">
      <c r="A193" s="124" t="str">
        <f>IF(INDEX(VISL!A:A,MATCH(B193,VISL!B:B,0))="x","x","")</f>
        <v/>
      </c>
      <c r="B193" s="344" t="s">
        <v>349</v>
      </c>
      <c r="C193" s="269" t="s">
        <v>1393</v>
      </c>
      <c r="D193" s="201"/>
      <c r="E193" s="194" t="str">
        <f t="shared" si="42"/>
        <v>--</v>
      </c>
      <c r="F193" s="122" t="str">
        <f t="shared" si="43"/>
        <v>--</v>
      </c>
      <c r="G193" s="123" t="str">
        <f t="shared" si="44"/>
        <v>--</v>
      </c>
      <c r="H193" s="124"/>
      <c r="I193" s="121" t="str">
        <f t="shared" si="37"/>
        <v/>
      </c>
      <c r="J193" s="121" t="str">
        <f t="shared" si="38"/>
        <v/>
      </c>
      <c r="K193" s="121">
        <f t="shared" si="39"/>
        <v>0.1</v>
      </c>
      <c r="L193" s="121" t="str">
        <f t="shared" si="40"/>
        <v>S</v>
      </c>
      <c r="M193" s="121" t="str">
        <f>VLOOKUP(B193,VISL!$B:$W,22,FALSE)</f>
        <v/>
      </c>
      <c r="N193" s="190"/>
      <c r="O193" s="190" t="str">
        <f t="shared" si="41"/>
        <v/>
      </c>
      <c r="P193" s="190"/>
      <c r="Q193" s="190"/>
      <c r="R193" s="190"/>
      <c r="S193" s="190"/>
      <c r="T193" s="190"/>
    </row>
    <row r="194" spans="1:22">
      <c r="A194" s="124" t="str">
        <f>IF(INDEX(VISL!A:A,MATCH(B194,VISL!B:B,0))="x","x","")</f>
        <v/>
      </c>
      <c r="B194" s="344" t="s">
        <v>350</v>
      </c>
      <c r="C194" s="269" t="s">
        <v>1394</v>
      </c>
      <c r="D194" s="201"/>
      <c r="E194" s="194" t="str">
        <f t="shared" si="42"/>
        <v>--</v>
      </c>
      <c r="F194" s="122" t="str">
        <f t="shared" si="43"/>
        <v>--</v>
      </c>
      <c r="G194" s="123" t="str">
        <f t="shared" si="44"/>
        <v>--</v>
      </c>
      <c r="H194" s="124"/>
      <c r="I194" s="121" t="str">
        <f t="shared" si="37"/>
        <v/>
      </c>
      <c r="J194" s="121" t="str">
        <f t="shared" si="38"/>
        <v/>
      </c>
      <c r="K194" s="121">
        <f t="shared" si="39"/>
        <v>0.1</v>
      </c>
      <c r="L194" s="121" t="str">
        <f t="shared" si="40"/>
        <v>S</v>
      </c>
      <c r="M194" s="121" t="str">
        <f>VLOOKUP(B194,VISL!$B:$W,22,FALSE)</f>
        <v/>
      </c>
      <c r="N194" s="190"/>
      <c r="O194" s="190" t="str">
        <f t="shared" si="41"/>
        <v/>
      </c>
      <c r="P194" s="190"/>
      <c r="Q194" s="190"/>
      <c r="R194" s="190"/>
      <c r="S194" s="190"/>
      <c r="T194" s="190"/>
    </row>
    <row r="195" spans="1:22">
      <c r="A195" s="124" t="str">
        <f>IF(INDEX(VISL!A:A,MATCH(B195,VISL!B:B,0))="x","x","")</f>
        <v/>
      </c>
      <c r="B195" s="344" t="s">
        <v>348</v>
      </c>
      <c r="C195" s="269" t="s">
        <v>1392</v>
      </c>
      <c r="D195" s="201"/>
      <c r="E195" s="194" t="str">
        <f t="shared" si="42"/>
        <v>--</v>
      </c>
      <c r="F195" s="122" t="str">
        <f t="shared" si="43"/>
        <v>--</v>
      </c>
      <c r="G195" s="123" t="str">
        <f t="shared" si="44"/>
        <v>--</v>
      </c>
      <c r="H195" s="124"/>
      <c r="I195" s="121" t="str">
        <f t="shared" si="37"/>
        <v/>
      </c>
      <c r="J195" s="121" t="str">
        <f t="shared" si="38"/>
        <v/>
      </c>
      <c r="K195" s="121">
        <f t="shared" si="39"/>
        <v>0.1</v>
      </c>
      <c r="L195" s="121" t="str">
        <f t="shared" si="40"/>
        <v>S</v>
      </c>
      <c r="M195" s="121" t="str">
        <f>VLOOKUP(B195,VISL!$B:$W,22,FALSE)</f>
        <v/>
      </c>
      <c r="N195" s="190"/>
      <c r="O195" s="190" t="str">
        <f t="shared" si="41"/>
        <v/>
      </c>
      <c r="P195" s="190"/>
      <c r="Q195" s="190"/>
      <c r="R195" s="190"/>
      <c r="S195" s="190"/>
      <c r="T195" s="190"/>
    </row>
    <row r="196" spans="1:22">
      <c r="A196" s="124" t="str">
        <f>IF(INDEX(VISL!A:A,MATCH(B196,VISL!B:B,0))="x","x","")</f>
        <v/>
      </c>
      <c r="B196" s="344" t="s">
        <v>347</v>
      </c>
      <c r="C196" s="269" t="s">
        <v>1616</v>
      </c>
      <c r="D196" s="201"/>
      <c r="E196" s="194" t="str">
        <f t="shared" si="42"/>
        <v>--</v>
      </c>
      <c r="F196" s="122" t="str">
        <f t="shared" si="43"/>
        <v>--</v>
      </c>
      <c r="G196" s="123" t="str">
        <f t="shared" si="44"/>
        <v>--</v>
      </c>
      <c r="H196" s="124"/>
      <c r="I196" s="121" t="str">
        <f t="shared" si="37"/>
        <v/>
      </c>
      <c r="J196" s="121" t="str">
        <f t="shared" si="38"/>
        <v/>
      </c>
      <c r="K196" s="121">
        <f t="shared" si="39"/>
        <v>0.1</v>
      </c>
      <c r="L196" s="121" t="str">
        <f t="shared" si="40"/>
        <v>I</v>
      </c>
      <c r="M196" s="121" t="str">
        <f>VLOOKUP(B196,VISL!$B:$W,22,FALSE)</f>
        <v/>
      </c>
      <c r="N196" s="190"/>
      <c r="O196" s="190" t="str">
        <f t="shared" si="41"/>
        <v/>
      </c>
      <c r="P196" s="190"/>
      <c r="Q196" s="190"/>
      <c r="R196" s="190"/>
      <c r="S196" s="190"/>
      <c r="T196" s="190"/>
    </row>
    <row r="197" spans="1:22">
      <c r="A197" s="124" t="str">
        <f>IF(INDEX(VISL!A:A,MATCH(B197,VISL!B:B,0))="x","x","")</f>
        <v/>
      </c>
      <c r="B197" s="419" t="s">
        <v>2450</v>
      </c>
      <c r="C197" s="419" t="s">
        <v>2449</v>
      </c>
      <c r="D197" s="201"/>
      <c r="E197" s="194" t="str">
        <f t="shared" si="42"/>
        <v>--</v>
      </c>
      <c r="F197" s="122" t="str">
        <f t="shared" si="43"/>
        <v>--</v>
      </c>
      <c r="G197" s="123" t="str">
        <f t="shared" si="44"/>
        <v>--</v>
      </c>
      <c r="H197" s="124"/>
      <c r="I197" s="121" t="str">
        <f t="shared" si="37"/>
        <v/>
      </c>
      <c r="J197" s="121" t="str">
        <f t="shared" si="38"/>
        <v/>
      </c>
      <c r="K197" s="121">
        <f t="shared" si="39"/>
        <v>0.4</v>
      </c>
      <c r="L197" s="121" t="str">
        <f t="shared" si="40"/>
        <v>P</v>
      </c>
      <c r="M197" s="121" t="str">
        <f>VLOOKUP(B197,VISL!$B:$W,22,FALSE)</f>
        <v/>
      </c>
      <c r="N197" s="190"/>
      <c r="O197" s="190" t="str">
        <f t="shared" si="41"/>
        <v/>
      </c>
      <c r="P197" s="190"/>
      <c r="Q197" s="190"/>
      <c r="R197" s="190"/>
      <c r="S197" s="190"/>
      <c r="T197" s="190"/>
    </row>
    <row r="198" spans="1:22">
      <c r="A198" s="124" t="str">
        <f>IF(INDEX(VISL!A:A,MATCH(B198,VISL!B:B,0))="x","x","")</f>
        <v/>
      </c>
      <c r="B198" s="419" t="s">
        <v>2462</v>
      </c>
      <c r="C198" s="419" t="s">
        <v>2461</v>
      </c>
      <c r="D198" s="201"/>
      <c r="E198" s="194" t="str">
        <f t="shared" si="42"/>
        <v>--</v>
      </c>
      <c r="F198" s="122" t="str">
        <f t="shared" si="43"/>
        <v>--</v>
      </c>
      <c r="G198" s="123" t="str">
        <f t="shared" si="44"/>
        <v>--</v>
      </c>
      <c r="H198" s="124"/>
      <c r="I198" s="121">
        <f t="shared" si="37"/>
        <v>1.1E-5</v>
      </c>
      <c r="J198" s="121" t="str">
        <f t="shared" si="38"/>
        <v>CA</v>
      </c>
      <c r="K198" s="121">
        <f t="shared" si="39"/>
        <v>7.9999999999999996E-6</v>
      </c>
      <c r="L198" s="121" t="str">
        <f t="shared" si="40"/>
        <v>CA</v>
      </c>
      <c r="M198" s="121" t="str">
        <f>VLOOKUP(B198,VISL!$B:$W,22,FALSE)</f>
        <v/>
      </c>
      <c r="N198" s="190"/>
      <c r="O198" s="190" t="str">
        <f t="shared" si="41"/>
        <v/>
      </c>
      <c r="P198" s="190"/>
      <c r="Q198" s="190"/>
      <c r="R198" s="190"/>
      <c r="S198" s="190"/>
      <c r="T198" s="190"/>
    </row>
    <row r="199" spans="1:22">
      <c r="A199" s="124" t="str">
        <f>IF(INDEX(VISL!A:A,MATCH(B199,VISL!B:B,0))="x","x","")</f>
        <v/>
      </c>
      <c r="B199" s="419" t="s">
        <v>2464</v>
      </c>
      <c r="C199" s="419" t="s">
        <v>2463</v>
      </c>
      <c r="D199" s="201"/>
      <c r="E199" s="194" t="str">
        <f t="shared" si="42"/>
        <v>--</v>
      </c>
      <c r="F199" s="122" t="str">
        <f t="shared" si="43"/>
        <v>--</v>
      </c>
      <c r="G199" s="123" t="str">
        <f t="shared" si="44"/>
        <v>--</v>
      </c>
      <c r="H199" s="124"/>
      <c r="I199" s="121">
        <f t="shared" si="37"/>
        <v>1.1E-5</v>
      </c>
      <c r="J199" s="121" t="str">
        <f t="shared" si="38"/>
        <v>CA</v>
      </c>
      <c r="K199" s="121">
        <f t="shared" si="39"/>
        <v>7.9999999999999996E-6</v>
      </c>
      <c r="L199" s="121" t="str">
        <f t="shared" si="40"/>
        <v>CA</v>
      </c>
      <c r="M199" s="121" t="str">
        <f>VLOOKUP(B199,VISL!$B:$W,22,FALSE)</f>
        <v/>
      </c>
      <c r="N199" s="190"/>
      <c r="O199" s="190" t="str">
        <f t="shared" si="41"/>
        <v/>
      </c>
      <c r="P199" s="190"/>
      <c r="Q199" s="190"/>
      <c r="R199" s="190"/>
      <c r="S199" s="190"/>
      <c r="T199" s="190"/>
    </row>
    <row r="200" spans="1:22">
      <c r="A200" s="120"/>
      <c r="B200" s="180"/>
      <c r="C200" s="136"/>
      <c r="D200" s="125"/>
      <c r="E200" s="120"/>
      <c r="F200" s="142"/>
      <c r="G200" s="125"/>
      <c r="H200" s="142"/>
      <c r="I200" s="142"/>
      <c r="J200" s="120"/>
      <c r="K200" s="181"/>
      <c r="L200" s="181"/>
      <c r="M200" s="181"/>
      <c r="N200" s="120"/>
      <c r="O200" s="125"/>
      <c r="P200" s="125"/>
      <c r="Q200" s="125"/>
      <c r="R200" s="125"/>
      <c r="S200" s="125"/>
      <c r="T200" s="125"/>
    </row>
    <row r="201" spans="1:22" s="50" customFormat="1" ht="15.6">
      <c r="A201" s="120"/>
      <c r="B201" s="126" t="s">
        <v>473</v>
      </c>
      <c r="C201" s="124"/>
      <c r="D201" s="114"/>
      <c r="E201" s="114"/>
      <c r="F201" s="127"/>
      <c r="G201" s="127"/>
      <c r="H201" s="114"/>
      <c r="I201" s="114"/>
      <c r="J201" s="128"/>
      <c r="K201" s="129"/>
      <c r="L201" s="129"/>
      <c r="M201" s="129"/>
      <c r="N201" s="187"/>
      <c r="O201" s="114"/>
      <c r="P201" s="130"/>
      <c r="Q201" s="130"/>
      <c r="R201" s="130"/>
      <c r="S201" s="130"/>
      <c r="T201" s="130"/>
      <c r="U201" s="130"/>
      <c r="V201" s="130"/>
    </row>
    <row r="202" spans="1:22" s="50" customFormat="1" ht="15.6">
      <c r="A202" s="120"/>
      <c r="B202" s="126"/>
      <c r="C202" s="124"/>
      <c r="D202" s="114"/>
      <c r="E202" s="114"/>
      <c r="F202" s="127"/>
      <c r="G202" s="127"/>
      <c r="H202" s="114"/>
      <c r="I202" s="131"/>
      <c r="J202" s="131"/>
      <c r="K202" s="129"/>
      <c r="L202" s="114"/>
      <c r="M202" s="129"/>
      <c r="N202" s="129"/>
      <c r="O202" s="114"/>
      <c r="P202" s="130"/>
      <c r="Q202" s="130"/>
      <c r="R202" s="130"/>
      <c r="S202" s="130"/>
      <c r="T202" s="130"/>
      <c r="U202" s="130"/>
      <c r="V202" s="130"/>
    </row>
    <row r="203" spans="1:22" s="50" customFormat="1" ht="33" customHeight="1">
      <c r="A203" s="120"/>
      <c r="B203" s="132" t="s">
        <v>474</v>
      </c>
      <c r="C203" s="133" t="s">
        <v>462</v>
      </c>
      <c r="D203" s="133"/>
      <c r="E203" s="187" t="s">
        <v>1411</v>
      </c>
      <c r="F203" s="114"/>
      <c r="G203" s="565" t="s">
        <v>449</v>
      </c>
      <c r="H203" s="565"/>
      <c r="I203" s="565" t="s">
        <v>472</v>
      </c>
      <c r="J203" s="565"/>
      <c r="K203" s="134"/>
      <c r="L203" s="114"/>
      <c r="M203" s="567" t="str">
        <f>"Selected (based on scenario)"</f>
        <v>Selected (based on scenario)</v>
      </c>
      <c r="N203" s="567"/>
      <c r="O203" s="150"/>
      <c r="P203" s="150"/>
      <c r="Q203" s="182"/>
      <c r="R203" s="130"/>
      <c r="S203" s="130"/>
      <c r="T203" s="130"/>
      <c r="U203" s="130"/>
      <c r="V203" s="130"/>
    </row>
    <row r="204" spans="1:22" s="50" customFormat="1" ht="15.6">
      <c r="A204" s="120"/>
      <c r="B204" s="127"/>
      <c r="C204" s="137" t="s">
        <v>447</v>
      </c>
      <c r="D204" s="137"/>
      <c r="E204" s="127"/>
      <c r="F204" s="114"/>
      <c r="G204" s="187" t="s">
        <v>459</v>
      </c>
      <c r="H204" s="187" t="s">
        <v>469</v>
      </c>
      <c r="I204" s="187" t="s">
        <v>459</v>
      </c>
      <c r="J204" s="187" t="s">
        <v>469</v>
      </c>
      <c r="K204" s="134"/>
      <c r="L204" s="114"/>
      <c r="M204" s="187" t="s">
        <v>459</v>
      </c>
      <c r="N204" s="187" t="s">
        <v>469</v>
      </c>
      <c r="O204" s="128"/>
      <c r="P204" s="130"/>
      <c r="Q204" s="136"/>
      <c r="R204" s="130"/>
      <c r="S204" s="130"/>
      <c r="T204" s="130"/>
      <c r="U204" s="130"/>
      <c r="V204" s="130"/>
    </row>
    <row r="205" spans="1:22" s="50" customFormat="1">
      <c r="A205" s="120"/>
      <c r="B205" s="127"/>
      <c r="C205" s="138" t="s">
        <v>450</v>
      </c>
      <c r="D205" s="138"/>
      <c r="E205" s="139" t="s">
        <v>451</v>
      </c>
      <c r="F205" s="114"/>
      <c r="G205" s="161" t="s">
        <v>1900</v>
      </c>
      <c r="H205" s="162">
        <v>70</v>
      </c>
      <c r="I205" s="161" t="s">
        <v>1905</v>
      </c>
      <c r="J205" s="163">
        <v>70</v>
      </c>
      <c r="K205" s="164"/>
      <c r="L205" s="165"/>
      <c r="M205" s="161" t="s">
        <v>1926</v>
      </c>
      <c r="N205" s="163">
        <f>IF(Scenario_SG="Residential",ATc_R_SG,IF(Scenario_SG="Commercial",ATc_C_SG,"Error"))</f>
        <v>70</v>
      </c>
      <c r="O205" s="128"/>
      <c r="P205" s="141"/>
      <c r="Q205" s="136"/>
      <c r="R205" s="130"/>
      <c r="S205" s="130"/>
      <c r="T205" s="130"/>
      <c r="U205" s="142"/>
      <c r="V205" s="130"/>
    </row>
    <row r="206" spans="1:22" s="50" customFormat="1">
      <c r="A206" s="120"/>
      <c r="B206" s="127"/>
      <c r="C206" s="135" t="s">
        <v>452</v>
      </c>
      <c r="D206" s="135"/>
      <c r="E206" s="139" t="s">
        <v>451</v>
      </c>
      <c r="F206" s="114"/>
      <c r="G206" s="161" t="s">
        <v>1901</v>
      </c>
      <c r="H206" s="162">
        <v>26</v>
      </c>
      <c r="I206" s="161" t="s">
        <v>1906</v>
      </c>
      <c r="J206" s="163">
        <v>25</v>
      </c>
      <c r="K206" s="164"/>
      <c r="L206" s="165"/>
      <c r="M206" s="161" t="s">
        <v>1925</v>
      </c>
      <c r="N206" s="163">
        <f>IF(Scenario_SG="Residential",ATnc_R_SG,IF(Scenario_SG="Commercial",ATnc_C_SG,"Error"))</f>
        <v>26</v>
      </c>
      <c r="O206" s="143"/>
      <c r="P206" s="144"/>
      <c r="Q206" s="136"/>
      <c r="R206" s="130"/>
      <c r="S206" s="130"/>
      <c r="T206" s="130"/>
      <c r="U206" s="142"/>
      <c r="V206" s="130"/>
    </row>
    <row r="207" spans="1:22" s="50" customFormat="1" ht="15.6">
      <c r="A207" s="120"/>
      <c r="B207" s="187"/>
      <c r="C207" s="138" t="s">
        <v>453</v>
      </c>
      <c r="D207" s="138"/>
      <c r="E207" s="127" t="s">
        <v>451</v>
      </c>
      <c r="F207" s="114"/>
      <c r="G207" s="186" t="s">
        <v>1902</v>
      </c>
      <c r="H207" s="163">
        <v>26</v>
      </c>
      <c r="I207" s="186" t="s">
        <v>1907</v>
      </c>
      <c r="J207" s="163">
        <v>25</v>
      </c>
      <c r="K207" s="164"/>
      <c r="L207" s="165"/>
      <c r="M207" s="186" t="s">
        <v>1924</v>
      </c>
      <c r="N207" s="163">
        <f>IF(Scenario_SG="Residential",ED_R_SG,IF(Scenario_SG="Commercial",ED_C_SG,"Error"))</f>
        <v>26</v>
      </c>
      <c r="O207" s="128"/>
      <c r="P207" s="130"/>
      <c r="Q207" s="136"/>
      <c r="R207" s="130"/>
      <c r="S207" s="130"/>
      <c r="T207" s="130"/>
      <c r="U207" s="130"/>
      <c r="V207" s="130"/>
    </row>
    <row r="208" spans="1:22" s="50" customFormat="1">
      <c r="A208" s="120"/>
      <c r="B208" s="127"/>
      <c r="C208" s="138" t="s">
        <v>454</v>
      </c>
      <c r="D208" s="138"/>
      <c r="E208" s="127" t="s">
        <v>455</v>
      </c>
      <c r="F208" s="114"/>
      <c r="G208" s="186" t="s">
        <v>1903</v>
      </c>
      <c r="H208" s="163">
        <v>350</v>
      </c>
      <c r="I208" s="186" t="s">
        <v>1908</v>
      </c>
      <c r="J208" s="163">
        <v>250</v>
      </c>
      <c r="K208" s="164"/>
      <c r="L208" s="165"/>
      <c r="M208" s="186" t="s">
        <v>1923</v>
      </c>
      <c r="N208" s="163">
        <f>IF(Scenario_SG="Residential",EF_R_SG,IF(Scenario_SG="Commercial",EF_C_SG,"Error"))</f>
        <v>350</v>
      </c>
      <c r="O208" s="114"/>
      <c r="P208" s="136"/>
      <c r="Q208" s="136"/>
      <c r="R208" s="130"/>
      <c r="S208" s="130"/>
      <c r="T208" s="130"/>
      <c r="U208" s="130"/>
      <c r="V208" s="130"/>
    </row>
    <row r="209" spans="1:22" s="50" customFormat="1">
      <c r="A209" s="120"/>
      <c r="B209" s="127"/>
      <c r="C209" s="138" t="s">
        <v>516</v>
      </c>
      <c r="D209" s="138"/>
      <c r="E209" s="124" t="s">
        <v>1744</v>
      </c>
      <c r="F209" s="114"/>
      <c r="G209" s="163" t="s">
        <v>1904</v>
      </c>
      <c r="H209" s="163">
        <v>24</v>
      </c>
      <c r="I209" s="163" t="s">
        <v>1909</v>
      </c>
      <c r="J209" s="163">
        <v>8</v>
      </c>
      <c r="K209" s="164"/>
      <c r="L209" s="165"/>
      <c r="M209" s="163" t="s">
        <v>1922</v>
      </c>
      <c r="N209" s="163">
        <f>IF(Scenario_SG="Residential",ET_R_SG,IF(Scenario_SG="Commercial",ET_C_SG,"Error"))</f>
        <v>24</v>
      </c>
      <c r="O209" s="114"/>
      <c r="P209" s="136"/>
      <c r="Q209" s="136"/>
      <c r="R209" s="130"/>
      <c r="S209" s="130"/>
      <c r="T209" s="130"/>
      <c r="U209" s="130"/>
      <c r="V209" s="130"/>
    </row>
    <row r="210" spans="1:22" s="50" customFormat="1">
      <c r="A210" s="120"/>
      <c r="B210" s="127"/>
      <c r="C210" s="138"/>
      <c r="D210" s="138"/>
      <c r="E210" s="124"/>
      <c r="F210" s="114"/>
      <c r="G210" s="124"/>
      <c r="H210" s="124"/>
      <c r="I210" s="124"/>
      <c r="J210" s="124"/>
      <c r="K210" s="134"/>
      <c r="L210" s="114"/>
      <c r="M210" s="124"/>
      <c r="N210" s="145"/>
      <c r="O210" s="114"/>
      <c r="P210" s="136"/>
      <c r="Q210" s="136"/>
      <c r="R210" s="130"/>
      <c r="S210" s="130"/>
      <c r="T210" s="130"/>
      <c r="U210" s="130"/>
      <c r="V210" s="130"/>
    </row>
    <row r="211" spans="1:22" s="50" customFormat="1" ht="30.75" customHeight="1">
      <c r="A211" s="120"/>
      <c r="B211" s="132" t="s">
        <v>476</v>
      </c>
      <c r="C211" s="133" t="s">
        <v>458</v>
      </c>
      <c r="D211" s="133"/>
      <c r="E211" s="127"/>
      <c r="F211" s="114"/>
      <c r="G211" s="565" t="s">
        <v>449</v>
      </c>
      <c r="H211" s="565"/>
      <c r="I211" s="565" t="s">
        <v>472</v>
      </c>
      <c r="J211" s="565"/>
      <c r="K211" s="134"/>
      <c r="L211" s="114"/>
      <c r="M211" s="567" t="s">
        <v>1819</v>
      </c>
      <c r="N211" s="567"/>
      <c r="O211" s="150"/>
      <c r="P211" s="150"/>
      <c r="Q211" s="136"/>
      <c r="R211" s="130"/>
      <c r="S211" s="130"/>
      <c r="T211" s="130"/>
      <c r="U211" s="130"/>
      <c r="V211" s="130"/>
    </row>
    <row r="212" spans="1:22" s="50" customFormat="1" ht="15.6">
      <c r="A212" s="120"/>
      <c r="B212" s="124"/>
      <c r="C212" s="137" t="s">
        <v>456</v>
      </c>
      <c r="D212" s="137"/>
      <c r="E212" s="124"/>
      <c r="F212" s="114"/>
      <c r="G212" s="187" t="s">
        <v>459</v>
      </c>
      <c r="H212" s="187" t="s">
        <v>469</v>
      </c>
      <c r="I212" s="187" t="s">
        <v>459</v>
      </c>
      <c r="J212" s="187" t="s">
        <v>469</v>
      </c>
      <c r="K212" s="134"/>
      <c r="L212" s="114"/>
      <c r="M212" s="187" t="s">
        <v>459</v>
      </c>
      <c r="N212" s="187" t="s">
        <v>469</v>
      </c>
      <c r="O212" s="114"/>
      <c r="P212" s="136"/>
      <c r="Q212" s="136"/>
      <c r="R212" s="130"/>
      <c r="S212" s="130"/>
      <c r="T212" s="130"/>
      <c r="U212" s="130"/>
      <c r="V212" s="130"/>
    </row>
    <row r="213" spans="1:22" s="50" customFormat="1">
      <c r="A213" s="120"/>
      <c r="B213" s="127"/>
      <c r="C213" s="138" t="s">
        <v>457</v>
      </c>
      <c r="D213" s="138"/>
      <c r="E213" s="127" t="s">
        <v>464</v>
      </c>
      <c r="F213" s="114"/>
      <c r="G213" s="186" t="s">
        <v>1912</v>
      </c>
      <c r="H213" s="163">
        <v>1E-3</v>
      </c>
      <c r="I213" s="186" t="s">
        <v>1910</v>
      </c>
      <c r="J213" s="163">
        <v>1E-3</v>
      </c>
      <c r="K213" s="164"/>
      <c r="L213" s="165"/>
      <c r="M213" s="186" t="s">
        <v>1921</v>
      </c>
      <c r="N213" s="163">
        <f>IF(Scenario_SG="Residential",AFgw_R_SG,IF(Scenario_SG="Commercial",AFgw_C_SG,"Error"))</f>
        <v>1E-3</v>
      </c>
      <c r="O213" s="114"/>
      <c r="P213" s="136"/>
      <c r="Q213" s="136"/>
      <c r="R213" s="130"/>
      <c r="S213" s="130"/>
      <c r="T213" s="130"/>
      <c r="U213" s="130"/>
      <c r="V213" s="130"/>
    </row>
    <row r="214" spans="1:22" s="50" customFormat="1">
      <c r="A214" s="120"/>
      <c r="B214" s="127"/>
      <c r="C214" s="138" t="s">
        <v>1694</v>
      </c>
      <c r="D214" s="138"/>
      <c r="E214" s="127" t="s">
        <v>464</v>
      </c>
      <c r="F214" s="114"/>
      <c r="G214" s="186" t="s">
        <v>1913</v>
      </c>
      <c r="H214" s="163">
        <v>0.03</v>
      </c>
      <c r="I214" s="186" t="s">
        <v>1911</v>
      </c>
      <c r="J214" s="163">
        <v>0.03</v>
      </c>
      <c r="K214" s="164"/>
      <c r="L214" s="165"/>
      <c r="M214" s="186" t="s">
        <v>1920</v>
      </c>
      <c r="N214" s="163">
        <f>IF(Scenario_SG="Residential",AFss_R_SG,IF(Scenario_SG="Commercial",AFss_C_SG,"Error"))</f>
        <v>0.03</v>
      </c>
      <c r="O214" s="114"/>
      <c r="P214" s="130"/>
      <c r="Q214" s="130"/>
      <c r="R214" s="130"/>
      <c r="S214" s="130"/>
      <c r="T214" s="130"/>
      <c r="U214" s="130"/>
      <c r="V214" s="130"/>
    </row>
    <row r="215" spans="1:22" s="50" customFormat="1">
      <c r="A215" s="120"/>
      <c r="B215" s="127"/>
      <c r="C215" s="138"/>
      <c r="D215" s="124"/>
      <c r="E215" s="124"/>
      <c r="F215" s="127"/>
      <c r="G215" s="127"/>
      <c r="H215" s="124"/>
      <c r="I215" s="127"/>
      <c r="J215" s="114"/>
      <c r="K215" s="134"/>
      <c r="L215" s="134"/>
      <c r="M215" s="134"/>
      <c r="N215" s="114"/>
      <c r="O215" s="114"/>
      <c r="P215" s="130"/>
      <c r="Q215" s="130"/>
      <c r="R215" s="130"/>
      <c r="S215" s="130"/>
      <c r="T215" s="130"/>
      <c r="U215" s="130"/>
      <c r="V215" s="130"/>
    </row>
    <row r="216" spans="1:22" s="50" customFormat="1" ht="15.6">
      <c r="A216" s="120"/>
      <c r="B216" s="132" t="s">
        <v>477</v>
      </c>
      <c r="C216" s="133" t="s">
        <v>468</v>
      </c>
      <c r="D216" s="138"/>
      <c r="E216" s="138"/>
      <c r="F216" s="127"/>
      <c r="G216" s="127"/>
      <c r="H216" s="127"/>
      <c r="I216" s="127"/>
      <c r="J216" s="114"/>
      <c r="K216" s="134"/>
      <c r="L216" s="134"/>
      <c r="M216" s="134"/>
      <c r="N216" s="114"/>
      <c r="O216" s="114"/>
      <c r="P216" s="130"/>
      <c r="Q216" s="130"/>
      <c r="R216" s="130"/>
      <c r="S216" s="130"/>
      <c r="T216" s="130"/>
      <c r="U216" s="130"/>
      <c r="V216" s="130"/>
    </row>
    <row r="217" spans="1:22" s="50" customFormat="1">
      <c r="A217" s="120"/>
      <c r="B217" s="127"/>
      <c r="C217" s="138" t="s">
        <v>475</v>
      </c>
      <c r="D217" s="124"/>
      <c r="E217" s="124"/>
      <c r="F217" s="127"/>
      <c r="G217" s="114"/>
      <c r="H217" s="124"/>
      <c r="I217" s="127"/>
      <c r="J217" s="114"/>
      <c r="K217" s="134"/>
      <c r="L217" s="134"/>
      <c r="M217" s="134"/>
      <c r="N217" s="114"/>
      <c r="O217" s="114"/>
      <c r="P217" s="130"/>
      <c r="Q217" s="130"/>
      <c r="R217" s="130"/>
      <c r="S217" s="130"/>
      <c r="T217" s="130"/>
      <c r="U217" s="130"/>
      <c r="V217" s="130"/>
    </row>
    <row r="218" spans="1:22" s="50" customFormat="1">
      <c r="A218" s="120"/>
      <c r="B218" s="127"/>
      <c r="C218" s="138" t="s">
        <v>1742</v>
      </c>
      <c r="D218" s="124"/>
      <c r="E218" s="124"/>
      <c r="F218" s="127"/>
      <c r="G218" s="138"/>
      <c r="H218" s="124"/>
      <c r="I218" s="127"/>
      <c r="J218" s="114"/>
      <c r="K218" s="134"/>
      <c r="L218" s="134"/>
      <c r="M218" s="134"/>
      <c r="N218" s="114"/>
      <c r="O218" s="114"/>
      <c r="P218" s="130"/>
      <c r="Q218" s="130"/>
      <c r="R218" s="130"/>
      <c r="S218" s="130"/>
      <c r="T218" s="130"/>
      <c r="U218" s="130"/>
      <c r="V218" s="130"/>
    </row>
    <row r="219" spans="1:22" s="50" customFormat="1">
      <c r="A219" s="120"/>
      <c r="B219" s="127"/>
      <c r="C219" s="138" t="s">
        <v>1743</v>
      </c>
      <c r="D219" s="124"/>
      <c r="E219" s="124"/>
      <c r="F219" s="127"/>
      <c r="G219" s="138"/>
      <c r="H219" s="124"/>
      <c r="I219" s="127"/>
      <c r="J219" s="114"/>
      <c r="K219" s="134"/>
      <c r="L219" s="134"/>
      <c r="M219" s="134"/>
      <c r="N219" s="114"/>
      <c r="O219" s="114"/>
      <c r="P219" s="130"/>
      <c r="Q219" s="130"/>
      <c r="R219" s="130"/>
      <c r="S219" s="130"/>
      <c r="T219" s="130"/>
      <c r="U219" s="130"/>
      <c r="V219" s="130"/>
    </row>
    <row r="220" spans="1:22" s="50" customFormat="1">
      <c r="A220" s="120"/>
      <c r="B220" s="127"/>
      <c r="C220" s="138"/>
      <c r="D220" s="124"/>
      <c r="E220" s="124"/>
      <c r="F220" s="136"/>
      <c r="G220" s="136"/>
      <c r="H220" s="136"/>
      <c r="I220" s="136"/>
      <c r="J220" s="136"/>
      <c r="K220" s="136"/>
      <c r="L220" s="136"/>
      <c r="M220" s="136"/>
      <c r="N220" s="136"/>
      <c r="O220" s="114"/>
      <c r="P220" s="130"/>
      <c r="Q220" s="130"/>
      <c r="R220" s="130"/>
      <c r="S220" s="130"/>
      <c r="T220" s="130"/>
      <c r="U220" s="130"/>
      <c r="V220" s="130"/>
    </row>
    <row r="221" spans="1:22" s="50" customFormat="1" ht="33" customHeight="1">
      <c r="A221" s="120"/>
      <c r="B221" s="132" t="s">
        <v>1630</v>
      </c>
      <c r="C221" s="133" t="s">
        <v>1631</v>
      </c>
      <c r="D221" s="124"/>
      <c r="E221" s="124"/>
      <c r="F221" s="127"/>
      <c r="G221" s="565" t="s">
        <v>449</v>
      </c>
      <c r="H221" s="565"/>
      <c r="I221" s="565" t="s">
        <v>472</v>
      </c>
      <c r="J221" s="565"/>
      <c r="K221" s="146"/>
      <c r="L221" s="147"/>
      <c r="M221" s="567" t="s">
        <v>1819</v>
      </c>
      <c r="N221" s="567"/>
      <c r="O221" s="150"/>
      <c r="P221" s="150"/>
      <c r="Q221" s="130"/>
      <c r="R221" s="130"/>
      <c r="S221" s="130"/>
      <c r="T221" s="130"/>
      <c r="U221" s="130"/>
      <c r="V221" s="130"/>
    </row>
    <row r="222" spans="1:22" s="50" customFormat="1" ht="15.6">
      <c r="A222" s="120"/>
      <c r="B222" s="127"/>
      <c r="C222" s="138" t="s">
        <v>400</v>
      </c>
      <c r="D222" s="124"/>
      <c r="E222" s="124"/>
      <c r="F222" s="136"/>
      <c r="G222" s="187" t="s">
        <v>459</v>
      </c>
      <c r="H222" s="187" t="s">
        <v>469</v>
      </c>
      <c r="I222" s="187" t="s">
        <v>459</v>
      </c>
      <c r="J222" s="187" t="s">
        <v>469</v>
      </c>
      <c r="K222" s="134"/>
      <c r="L222" s="114"/>
      <c r="M222" s="187" t="s">
        <v>459</v>
      </c>
      <c r="N222" s="187" t="s">
        <v>469</v>
      </c>
      <c r="O222" s="114"/>
      <c r="P222" s="130"/>
      <c r="Q222" s="130"/>
      <c r="R222" s="130"/>
      <c r="S222" s="130"/>
      <c r="T222" s="130"/>
      <c r="U222" s="130"/>
      <c r="V222" s="130"/>
    </row>
    <row r="223" spans="1:22" s="50" customFormat="1">
      <c r="A223" s="120"/>
      <c r="B223" s="114"/>
      <c r="C223" s="114"/>
      <c r="D223" s="124"/>
      <c r="E223" s="124"/>
      <c r="F223" s="127"/>
      <c r="G223" s="166" t="s">
        <v>1914</v>
      </c>
      <c r="H223" s="167">
        <v>9.9999999999999995E-7</v>
      </c>
      <c r="I223" s="166" t="s">
        <v>1916</v>
      </c>
      <c r="J223" s="167">
        <v>0</v>
      </c>
      <c r="K223" s="164"/>
      <c r="L223" s="165"/>
      <c r="M223" s="245" t="s">
        <v>1918</v>
      </c>
      <c r="N223" s="167">
        <f>IF(Scenario_SG="Residential",mIURTCE_R_SG,IF(Scenario_SG="Commercial",mIURTCE_C_SG,"Error"))</f>
        <v>9.9999999999999995E-7</v>
      </c>
      <c r="O223" s="114"/>
      <c r="P223" s="130"/>
      <c r="Q223" s="130"/>
      <c r="R223" s="130"/>
      <c r="S223" s="130"/>
      <c r="T223" s="130"/>
      <c r="U223" s="130"/>
      <c r="V223" s="130"/>
    </row>
    <row r="224" spans="1:22" s="50" customFormat="1">
      <c r="A224" s="120"/>
      <c r="B224" s="127"/>
      <c r="C224" s="138"/>
      <c r="D224" s="124"/>
      <c r="E224" s="124"/>
      <c r="F224" s="127"/>
      <c r="G224" s="166" t="s">
        <v>1915</v>
      </c>
      <c r="H224" s="167">
        <v>3.1E-6</v>
      </c>
      <c r="I224" s="166" t="s">
        <v>1917</v>
      </c>
      <c r="J224" s="167">
        <v>4.0999999999999997E-6</v>
      </c>
      <c r="K224" s="164"/>
      <c r="L224" s="165"/>
      <c r="M224" s="245" t="s">
        <v>1919</v>
      </c>
      <c r="N224" s="167">
        <f>IF(Scenario_SG="Residential",IURTCE_R_SG,IF(Scenario_SG="Commercial",IURTCE_C_SG,"Error"))</f>
        <v>3.1E-6</v>
      </c>
      <c r="O224" s="114"/>
      <c r="P224" s="130"/>
      <c r="Q224" s="130"/>
      <c r="R224" s="130"/>
      <c r="S224" s="130"/>
      <c r="T224" s="130"/>
      <c r="U224" s="130"/>
      <c r="V224" s="130"/>
    </row>
    <row r="225" spans="1:22" s="50" customFormat="1">
      <c r="A225" s="120"/>
      <c r="B225" s="127"/>
      <c r="C225" s="138"/>
      <c r="D225" s="148"/>
      <c r="E225" s="124"/>
      <c r="F225" s="127"/>
      <c r="G225" s="138"/>
      <c r="H225" s="124"/>
      <c r="I225" s="127"/>
      <c r="J225" s="114"/>
      <c r="K225" s="145"/>
      <c r="L225" s="145"/>
      <c r="M225" s="145"/>
      <c r="N225" s="127"/>
      <c r="O225" s="114"/>
      <c r="P225" s="130"/>
      <c r="Q225" s="130"/>
      <c r="R225" s="130"/>
      <c r="S225" s="130"/>
      <c r="T225" s="130"/>
      <c r="U225" s="130"/>
      <c r="V225" s="130"/>
    </row>
    <row r="226" spans="1:22" s="50" customFormat="1">
      <c r="A226" s="120"/>
      <c r="B226" s="127"/>
      <c r="C226" s="138" t="s">
        <v>1729</v>
      </c>
      <c r="D226" s="149" t="s">
        <v>1730</v>
      </c>
      <c r="E226" s="124"/>
      <c r="F226" s="127"/>
      <c r="G226" s="138"/>
      <c r="H226" s="124"/>
      <c r="I226" s="127"/>
      <c r="J226" s="114"/>
      <c r="K226" s="114"/>
      <c r="L226" s="114"/>
      <c r="M226" s="114"/>
      <c r="N226" s="114"/>
      <c r="O226" s="114"/>
      <c r="P226" s="130"/>
      <c r="Q226" s="130"/>
      <c r="R226" s="130"/>
      <c r="S226" s="130"/>
      <c r="T226" s="130"/>
      <c r="U226" s="130"/>
      <c r="V226" s="130"/>
    </row>
    <row r="227" spans="1:22" s="50" customFormat="1">
      <c r="A227" s="120"/>
      <c r="B227" s="127"/>
      <c r="C227" s="138"/>
      <c r="D227" s="149"/>
      <c r="E227" s="124"/>
      <c r="F227" s="127"/>
      <c r="G227" s="138"/>
      <c r="H227" s="124"/>
      <c r="I227" s="127"/>
      <c r="J227" s="114"/>
      <c r="K227" s="114"/>
      <c r="L227" s="114"/>
      <c r="M227" s="114"/>
      <c r="N227" s="114"/>
      <c r="O227" s="114"/>
      <c r="P227" s="130"/>
      <c r="Q227" s="130"/>
      <c r="R227" s="130"/>
      <c r="S227" s="130"/>
      <c r="T227" s="130"/>
      <c r="U227" s="130"/>
      <c r="V227" s="130"/>
    </row>
    <row r="228" spans="1:22" s="50" customFormat="1" ht="15.6">
      <c r="A228" s="120"/>
      <c r="B228" s="127"/>
      <c r="C228" s="566" t="s">
        <v>1737</v>
      </c>
      <c r="D228" s="566"/>
      <c r="E228" s="565" t="s">
        <v>1731</v>
      </c>
      <c r="F228" s="567" t="s">
        <v>1732</v>
      </c>
      <c r="G228" s="568" t="s">
        <v>1733</v>
      </c>
      <c r="H228" s="568"/>
      <c r="I228" s="114"/>
      <c r="J228" s="114"/>
      <c r="K228" s="150"/>
      <c r="L228" s="150"/>
      <c r="M228" s="114"/>
      <c r="N228" s="114"/>
      <c r="O228" s="114"/>
      <c r="P228" s="130"/>
      <c r="Q228" s="130"/>
      <c r="R228" s="130"/>
      <c r="S228" s="130"/>
      <c r="T228" s="130"/>
      <c r="U228" s="130"/>
      <c r="V228" s="130"/>
    </row>
    <row r="229" spans="1:22" s="50" customFormat="1">
      <c r="A229" s="120"/>
      <c r="B229" s="127"/>
      <c r="C229" s="566"/>
      <c r="D229" s="566"/>
      <c r="E229" s="565"/>
      <c r="F229" s="567"/>
      <c r="G229" s="568"/>
      <c r="H229" s="568"/>
      <c r="I229" s="114"/>
      <c r="J229" s="114"/>
      <c r="K229" s="114"/>
      <c r="L229" s="114"/>
      <c r="M229" s="114"/>
      <c r="N229" s="114"/>
      <c r="O229" s="114"/>
      <c r="P229" s="130"/>
      <c r="Q229" s="130"/>
      <c r="R229" s="130"/>
      <c r="S229" s="130"/>
      <c r="T229" s="130"/>
      <c r="U229" s="130"/>
      <c r="V229" s="130"/>
    </row>
    <row r="230" spans="1:22" s="50" customFormat="1">
      <c r="A230" s="120"/>
      <c r="B230" s="127"/>
      <c r="C230" s="566"/>
      <c r="D230" s="566"/>
      <c r="E230" s="186" t="s">
        <v>1734</v>
      </c>
      <c r="F230" s="186">
        <v>2</v>
      </c>
      <c r="G230" s="564">
        <v>10</v>
      </c>
      <c r="H230" s="564"/>
      <c r="I230" s="114"/>
      <c r="J230" s="114"/>
      <c r="K230" s="114"/>
      <c r="L230" s="114"/>
      <c r="M230" s="114"/>
      <c r="N230" s="114"/>
      <c r="O230" s="114"/>
      <c r="P230" s="130"/>
      <c r="Q230" s="130"/>
      <c r="R230" s="130"/>
      <c r="S230" s="130"/>
      <c r="T230" s="130"/>
      <c r="U230" s="130"/>
      <c r="V230" s="130"/>
    </row>
    <row r="231" spans="1:22" s="50" customFormat="1">
      <c r="A231" s="120"/>
      <c r="B231" s="127"/>
      <c r="C231" s="566"/>
      <c r="D231" s="566"/>
      <c r="E231" s="186" t="s">
        <v>1735</v>
      </c>
      <c r="F231" s="186">
        <v>4</v>
      </c>
      <c r="G231" s="564">
        <v>3</v>
      </c>
      <c r="H231" s="564"/>
      <c r="I231" s="114"/>
      <c r="J231" s="114"/>
      <c r="K231" s="114"/>
      <c r="L231" s="114"/>
      <c r="M231" s="114"/>
      <c r="N231" s="114"/>
      <c r="O231" s="114"/>
      <c r="P231" s="130"/>
      <c r="Q231" s="130"/>
      <c r="R231" s="130"/>
      <c r="S231" s="130"/>
      <c r="T231" s="130"/>
      <c r="U231" s="130"/>
      <c r="V231" s="130"/>
    </row>
    <row r="232" spans="1:22" s="50" customFormat="1">
      <c r="A232" s="120"/>
      <c r="B232" s="127"/>
      <c r="C232" s="138"/>
      <c r="D232" s="114"/>
      <c r="E232" s="186" t="s">
        <v>1736</v>
      </c>
      <c r="F232" s="186">
        <v>10</v>
      </c>
      <c r="G232" s="564">
        <v>3</v>
      </c>
      <c r="H232" s="564"/>
      <c r="I232" s="114"/>
      <c r="J232" s="114"/>
      <c r="K232" s="114"/>
      <c r="L232" s="114"/>
      <c r="M232" s="127"/>
      <c r="N232" s="127"/>
      <c r="O232" s="114"/>
      <c r="P232" s="130"/>
      <c r="Q232" s="130"/>
      <c r="R232" s="130"/>
      <c r="S232" s="130"/>
      <c r="T232" s="130"/>
      <c r="U232" s="130"/>
      <c r="V232" s="130"/>
    </row>
    <row r="233" spans="1:22" s="50" customFormat="1">
      <c r="A233" s="120"/>
      <c r="B233" s="127"/>
      <c r="C233" s="138"/>
      <c r="D233" s="148"/>
      <c r="E233" s="186" t="s">
        <v>2087</v>
      </c>
      <c r="F233" s="186">
        <v>10</v>
      </c>
      <c r="G233" s="564">
        <v>1</v>
      </c>
      <c r="H233" s="564"/>
      <c r="I233" s="127"/>
      <c r="J233" s="114"/>
      <c r="K233" s="114"/>
      <c r="L233" s="114"/>
      <c r="M233" s="114"/>
      <c r="N233" s="114"/>
      <c r="O233" s="114"/>
      <c r="P233" s="130"/>
      <c r="Q233" s="130"/>
      <c r="R233" s="130"/>
      <c r="S233" s="130"/>
      <c r="T233" s="130"/>
      <c r="U233" s="130"/>
      <c r="V233" s="130"/>
    </row>
    <row r="234" spans="1:22" s="50" customFormat="1">
      <c r="A234" s="120"/>
      <c r="B234" s="127"/>
      <c r="C234" s="138"/>
      <c r="D234" s="148"/>
      <c r="E234" s="127"/>
      <c r="F234" s="127"/>
      <c r="G234" s="127"/>
      <c r="H234" s="127"/>
      <c r="I234" s="127"/>
      <c r="J234" s="114"/>
      <c r="K234" s="114"/>
      <c r="L234" s="114"/>
      <c r="M234" s="114"/>
      <c r="N234" s="114"/>
      <c r="O234" s="114"/>
      <c r="P234" s="130"/>
      <c r="Q234" s="130"/>
      <c r="R234" s="130"/>
      <c r="S234" s="130"/>
      <c r="T234" s="130"/>
      <c r="U234" s="130"/>
      <c r="V234" s="130"/>
    </row>
    <row r="235" spans="1:22" s="50" customFormat="1" ht="15.6">
      <c r="A235" s="120"/>
      <c r="B235" s="127"/>
      <c r="C235" s="138"/>
      <c r="D235" s="148"/>
      <c r="E235" s="114"/>
      <c r="F235" s="151" t="s">
        <v>1739</v>
      </c>
      <c r="G235" s="564">
        <f>IF(Scenario_SG="Residential",SUMPRODUCT(F230:F233,G230:G233),IF(Scenario_SG="Commercial",ED_C_SG,"Error"))</f>
        <v>72</v>
      </c>
      <c r="H235" s="564"/>
      <c r="I235" s="135" t="s">
        <v>1738</v>
      </c>
      <c r="J235" s="114"/>
      <c r="K235" s="152"/>
      <c r="L235" s="127"/>
      <c r="M235" s="127"/>
      <c r="N235" s="127"/>
      <c r="O235" s="114"/>
      <c r="P235" s="130"/>
      <c r="Q235" s="130"/>
      <c r="R235" s="130"/>
      <c r="S235" s="130"/>
      <c r="T235" s="130"/>
      <c r="U235" s="130"/>
      <c r="V235" s="130"/>
    </row>
    <row r="236" spans="1:22" s="50" customFormat="1">
      <c r="A236" s="120"/>
      <c r="B236" s="127"/>
      <c r="C236" s="138"/>
      <c r="D236" s="148"/>
      <c r="E236" s="124"/>
      <c r="F236" s="127"/>
      <c r="G236" s="138"/>
      <c r="H236" s="124"/>
      <c r="I236" s="127"/>
      <c r="J236" s="114"/>
      <c r="K236" s="152"/>
      <c r="L236" s="145"/>
      <c r="M236" s="145"/>
      <c r="N236" s="127"/>
      <c r="O236" s="114"/>
      <c r="P236" s="130"/>
      <c r="Q236" s="130"/>
      <c r="R236" s="130"/>
      <c r="S236" s="130"/>
      <c r="T236" s="130"/>
      <c r="U236" s="130"/>
      <c r="V236" s="130"/>
    </row>
    <row r="237" spans="1:22" s="50" customFormat="1">
      <c r="A237" s="120"/>
      <c r="B237" s="127"/>
      <c r="C237" s="138" t="s">
        <v>1389</v>
      </c>
      <c r="D237" s="148" t="s">
        <v>1702</v>
      </c>
      <c r="E237" s="124"/>
      <c r="F237" s="127"/>
      <c r="G237" s="138"/>
      <c r="H237" s="124"/>
      <c r="I237" s="127"/>
      <c r="J237" s="114"/>
      <c r="K237" s="145"/>
      <c r="L237" s="145"/>
      <c r="M237" s="145"/>
      <c r="N237" s="127"/>
      <c r="O237" s="114"/>
      <c r="P237" s="130"/>
      <c r="Q237" s="130"/>
      <c r="R237" s="130"/>
      <c r="S237" s="130"/>
      <c r="T237" s="130"/>
      <c r="U237" s="130"/>
      <c r="V237" s="130"/>
    </row>
    <row r="238" spans="1:22" s="50" customFormat="1">
      <c r="A238" s="120"/>
      <c r="B238" s="127"/>
      <c r="C238" s="138"/>
      <c r="D238" s="148"/>
      <c r="E238" s="124"/>
      <c r="F238" s="127"/>
      <c r="G238" s="138"/>
      <c r="H238" s="124"/>
      <c r="I238" s="127"/>
      <c r="J238" s="114"/>
      <c r="K238" s="152"/>
      <c r="L238" s="145"/>
      <c r="M238" s="145"/>
      <c r="N238" s="127"/>
      <c r="O238" s="114"/>
      <c r="P238" s="130"/>
      <c r="Q238" s="130"/>
      <c r="R238" s="130"/>
      <c r="S238" s="130"/>
      <c r="T238" s="130"/>
      <c r="U238" s="130"/>
      <c r="V238" s="130"/>
    </row>
    <row r="239" spans="1:22" s="50" customFormat="1" ht="15.6">
      <c r="A239" s="120"/>
      <c r="B239" s="187" t="s">
        <v>962</v>
      </c>
      <c r="C239" s="138"/>
      <c r="D239" s="124"/>
      <c r="E239" s="124"/>
      <c r="F239" s="127"/>
      <c r="G239" s="138"/>
      <c r="H239" s="124"/>
      <c r="I239" s="127"/>
      <c r="J239" s="114"/>
      <c r="K239" s="145"/>
      <c r="L239" s="145"/>
      <c r="M239" s="145"/>
      <c r="N239" s="127"/>
      <c r="O239" s="114"/>
      <c r="P239" s="130"/>
      <c r="Q239" s="130"/>
      <c r="R239" s="130"/>
      <c r="S239" s="130"/>
      <c r="T239" s="130"/>
      <c r="U239" s="130"/>
      <c r="V239" s="130"/>
    </row>
    <row r="240" spans="1:22" s="50" customFormat="1">
      <c r="A240" s="120"/>
      <c r="B240" s="128" t="s">
        <v>1763</v>
      </c>
      <c r="C240" s="128"/>
      <c r="D240" s="128"/>
      <c r="E240" s="114"/>
      <c r="G240" s="153" t="s">
        <v>1764</v>
      </c>
      <c r="H240" s="124"/>
      <c r="I240" s="127"/>
      <c r="J240" s="114"/>
      <c r="K240" s="134"/>
      <c r="L240" s="134"/>
      <c r="M240" s="134"/>
      <c r="N240" s="128"/>
      <c r="O240" s="114"/>
      <c r="P240" s="130"/>
      <c r="Q240" s="130"/>
      <c r="R240" s="130"/>
      <c r="S240" s="130"/>
      <c r="T240" s="130"/>
      <c r="U240" s="130"/>
      <c r="V240" s="130"/>
    </row>
    <row r="241" spans="1:23" s="50" customFormat="1">
      <c r="A241" s="120"/>
      <c r="B241" s="128" t="s">
        <v>1765</v>
      </c>
      <c r="C241" s="128"/>
      <c r="D241" s="124"/>
      <c r="E241" s="140"/>
      <c r="F241" s="128"/>
      <c r="H241" s="154" t="s">
        <v>1766</v>
      </c>
      <c r="I241" s="128"/>
      <c r="J241" s="128"/>
      <c r="K241" s="129"/>
      <c r="L241" s="129"/>
      <c r="M241" s="129"/>
      <c r="N241" s="128"/>
      <c r="O241" s="114"/>
      <c r="P241" s="130"/>
      <c r="Q241" s="130"/>
      <c r="R241" s="130"/>
      <c r="S241" s="130"/>
      <c r="T241" s="130"/>
      <c r="U241" s="130"/>
      <c r="V241" s="130"/>
    </row>
    <row r="242" spans="1:23" s="50" customFormat="1">
      <c r="A242" s="120"/>
      <c r="B242" s="143" t="s">
        <v>1767</v>
      </c>
      <c r="C242" s="128"/>
      <c r="D242" s="124"/>
      <c r="E242" s="140"/>
      <c r="F242" s="128"/>
      <c r="G242" s="128"/>
      <c r="H242" s="114"/>
      <c r="J242" s="155" t="s">
        <v>1768</v>
      </c>
      <c r="K242" s="129"/>
      <c r="L242" s="129"/>
      <c r="M242" s="129"/>
      <c r="N242" s="128"/>
      <c r="O242" s="114"/>
      <c r="P242" s="130"/>
      <c r="Q242" s="130"/>
      <c r="R242" s="130"/>
      <c r="S242" s="130"/>
      <c r="T242" s="130"/>
      <c r="U242" s="130"/>
      <c r="V242" s="130"/>
    </row>
    <row r="243" spans="1:23" s="50" customFormat="1">
      <c r="A243" s="120"/>
      <c r="B243" s="128" t="s">
        <v>1769</v>
      </c>
      <c r="C243" s="128"/>
      <c r="D243" s="124"/>
      <c r="E243" s="140"/>
      <c r="F243" s="128"/>
      <c r="G243" s="128"/>
      <c r="H243" s="128"/>
      <c r="I243" s="128"/>
      <c r="J243" s="114"/>
      <c r="M243" s="154" t="s">
        <v>1770</v>
      </c>
      <c r="N243" s="128"/>
      <c r="O243" s="114"/>
      <c r="P243" s="130"/>
      <c r="Q243" s="130"/>
      <c r="R243" s="130"/>
      <c r="S243" s="130"/>
      <c r="T243" s="130"/>
      <c r="U243" s="130"/>
      <c r="V243" s="130"/>
    </row>
    <row r="244" spans="1:23" s="50" customFormat="1">
      <c r="A244" s="120"/>
      <c r="B244" s="143" t="s">
        <v>1771</v>
      </c>
      <c r="C244" s="114"/>
      <c r="D244" s="114"/>
      <c r="E244" s="114"/>
      <c r="F244" s="114"/>
      <c r="G244" s="128"/>
      <c r="H244" s="128"/>
      <c r="J244" s="154" t="s">
        <v>1772</v>
      </c>
      <c r="K244" s="129"/>
      <c r="L244" s="129"/>
      <c r="M244" s="129"/>
      <c r="N244" s="114"/>
      <c r="O244" s="114"/>
      <c r="P244" s="130"/>
      <c r="Q244" s="130"/>
      <c r="R244" s="130"/>
      <c r="S244" s="130"/>
      <c r="T244" s="130"/>
      <c r="U244" s="130"/>
      <c r="V244" s="130"/>
    </row>
    <row r="245" spans="1:23" s="50" customFormat="1">
      <c r="A245" s="120"/>
      <c r="B245" s="143" t="s">
        <v>1654</v>
      </c>
      <c r="C245" s="114"/>
      <c r="D245" s="114"/>
      <c r="E245" s="114"/>
      <c r="F245" s="114"/>
      <c r="G245" s="114"/>
      <c r="H245" s="114"/>
      <c r="I245" s="114"/>
      <c r="J245" s="114"/>
      <c r="K245" s="134"/>
      <c r="L245" s="134"/>
      <c r="M245" s="134"/>
      <c r="N245" s="114"/>
      <c r="O245" s="114"/>
      <c r="P245" s="130"/>
      <c r="Q245" s="130"/>
      <c r="R245" s="130"/>
      <c r="S245" s="130"/>
      <c r="T245" s="130"/>
      <c r="U245" s="130"/>
      <c r="V245" s="130"/>
    </row>
    <row r="246" spans="1:23" s="50" customFormat="1">
      <c r="A246" s="120"/>
      <c r="B246" s="143" t="s">
        <v>1655</v>
      </c>
      <c r="C246" s="114"/>
      <c r="D246" s="114"/>
      <c r="E246" s="114"/>
      <c r="F246" s="114"/>
      <c r="G246" s="114"/>
      <c r="H246" s="114"/>
      <c r="I246" s="114"/>
      <c r="J246" s="114"/>
      <c r="K246" s="134"/>
      <c r="L246" s="134"/>
      <c r="M246" s="134"/>
      <c r="N246" s="114"/>
      <c r="O246" s="114"/>
      <c r="P246" s="130"/>
      <c r="Q246" s="130"/>
      <c r="R246" s="130"/>
      <c r="S246" s="130"/>
      <c r="T246" s="130"/>
      <c r="U246" s="130"/>
      <c r="V246" s="130"/>
    </row>
    <row r="247" spans="1:23" s="50" customFormat="1">
      <c r="A247" s="120"/>
      <c r="B247" s="148" t="s">
        <v>1745</v>
      </c>
      <c r="C247" s="114"/>
      <c r="D247" s="114"/>
      <c r="E247" s="114"/>
      <c r="F247" s="114"/>
      <c r="G247" s="114"/>
      <c r="H247" s="114"/>
      <c r="I247" s="114"/>
      <c r="J247" s="114"/>
      <c r="K247" s="134"/>
      <c r="L247" s="134"/>
      <c r="M247" s="134"/>
      <c r="N247" s="114"/>
      <c r="O247" s="114"/>
      <c r="P247" s="130"/>
      <c r="Q247" s="130"/>
      <c r="R247" s="130"/>
      <c r="S247" s="130"/>
      <c r="T247" s="130"/>
      <c r="U247" s="130"/>
      <c r="V247" s="130"/>
    </row>
    <row r="248" spans="1:23" s="50" customFormat="1">
      <c r="A248" s="120"/>
      <c r="B248" s="148" t="s">
        <v>1746</v>
      </c>
      <c r="C248" s="114"/>
      <c r="D248" s="114"/>
      <c r="E248" s="114"/>
      <c r="F248" s="114"/>
      <c r="G248" s="114"/>
      <c r="H248" s="114"/>
      <c r="I248" s="114"/>
      <c r="J248" s="114"/>
      <c r="K248" s="134"/>
      <c r="L248" s="134"/>
      <c r="M248" s="134"/>
      <c r="N248" s="114"/>
      <c r="O248" s="114"/>
      <c r="P248" s="130"/>
      <c r="Q248" s="130"/>
      <c r="R248" s="130"/>
      <c r="S248" s="130"/>
      <c r="T248" s="130"/>
      <c r="U248" s="130"/>
      <c r="V248" s="130"/>
    </row>
    <row r="249" spans="1:23" s="50" customFormat="1">
      <c r="A249" s="120"/>
      <c r="B249" s="148" t="s">
        <v>1747</v>
      </c>
      <c r="C249" s="114"/>
      <c r="D249" s="114"/>
      <c r="E249" s="114"/>
      <c r="F249" s="114"/>
      <c r="G249" s="114"/>
      <c r="H249" s="114"/>
      <c r="I249" s="114"/>
      <c r="J249" s="114"/>
      <c r="K249" s="134"/>
      <c r="L249" s="134"/>
      <c r="M249" s="134"/>
      <c r="N249" s="114"/>
      <c r="O249" s="114"/>
      <c r="P249" s="130"/>
      <c r="Q249" s="130"/>
      <c r="R249" s="130"/>
      <c r="S249" s="130"/>
      <c r="T249" s="130"/>
      <c r="U249" s="130"/>
      <c r="V249" s="130"/>
    </row>
    <row r="250" spans="1:23" s="50" customFormat="1">
      <c r="A250" s="120"/>
      <c r="B250" s="157" t="s">
        <v>1815</v>
      </c>
      <c r="C250" s="158"/>
      <c r="D250" s="158"/>
      <c r="E250" s="158"/>
      <c r="F250" s="114"/>
      <c r="G250" s="114"/>
      <c r="H250" s="114"/>
      <c r="I250" s="114"/>
      <c r="J250" s="114"/>
      <c r="K250" s="134"/>
      <c r="L250" s="134"/>
      <c r="M250" s="134"/>
      <c r="N250" s="114"/>
      <c r="O250" s="114"/>
      <c r="P250" s="130"/>
      <c r="Q250" s="130"/>
      <c r="R250" s="130"/>
      <c r="S250" s="130"/>
      <c r="T250" s="130"/>
      <c r="U250" s="130"/>
      <c r="V250" s="130"/>
    </row>
    <row r="251" spans="1:23" s="50" customFormat="1" ht="14.4" customHeight="1">
      <c r="A251" s="120"/>
      <c r="B251" s="168" t="s">
        <v>1897</v>
      </c>
      <c r="C251" s="165"/>
      <c r="D251" s="165"/>
      <c r="E251" s="165"/>
      <c r="F251" s="165"/>
      <c r="G251" s="165"/>
      <c r="H251" s="165"/>
      <c r="I251" s="165"/>
      <c r="J251" s="165"/>
      <c r="K251" s="164"/>
      <c r="L251" s="164"/>
      <c r="M251" s="238"/>
      <c r="N251" s="114"/>
      <c r="O251" s="114"/>
      <c r="P251" s="114"/>
      <c r="Q251" s="130"/>
      <c r="R251" s="130"/>
      <c r="S251" s="130"/>
      <c r="T251" s="130"/>
      <c r="U251" s="130"/>
      <c r="V251" s="130"/>
      <c r="W251" s="130"/>
    </row>
    <row r="252" spans="1:23" s="50" customFormat="1">
      <c r="A252" s="120"/>
      <c r="B252" s="232" t="s">
        <v>1895</v>
      </c>
      <c r="C252" s="233"/>
      <c r="D252" s="233"/>
      <c r="E252" s="233"/>
      <c r="F252" s="233"/>
      <c r="G252" s="233"/>
      <c r="H252" s="233"/>
      <c r="I252" s="233"/>
      <c r="J252" s="233"/>
      <c r="K252" s="234"/>
      <c r="L252" s="234"/>
      <c r="M252" s="114"/>
      <c r="N252" s="114"/>
      <c r="O252" s="114"/>
      <c r="P252" s="130"/>
      <c r="Q252" s="130"/>
      <c r="R252" s="130"/>
      <c r="S252" s="130"/>
      <c r="T252" s="130"/>
      <c r="U252" s="130"/>
    </row>
    <row r="253" spans="1:23">
      <c r="A253" s="120"/>
      <c r="B253" s="183"/>
      <c r="C253" s="177"/>
      <c r="D253" s="177"/>
      <c r="E253" s="177"/>
      <c r="F253" s="177"/>
      <c r="G253" s="136"/>
      <c r="H253" s="159"/>
      <c r="I253" s="136"/>
      <c r="J253" s="136"/>
      <c r="K253" s="184"/>
      <c r="L253" s="184"/>
      <c r="M253" s="184"/>
      <c r="N253" s="177"/>
      <c r="O253" s="185"/>
      <c r="P253" s="185"/>
      <c r="Q253" s="185"/>
      <c r="R253" s="185"/>
      <c r="S253" s="185"/>
      <c r="T253" s="185"/>
    </row>
    <row r="254" spans="1:23">
      <c r="A254" s="120"/>
      <c r="O254" s="53"/>
      <c r="P254" s="53"/>
      <c r="Q254" s="53"/>
      <c r="R254" s="53"/>
      <c r="S254" s="53"/>
      <c r="T254" s="53"/>
    </row>
    <row r="255" spans="1:23">
      <c r="A255" s="120"/>
      <c r="B255" s="51"/>
      <c r="O255" s="53"/>
      <c r="P255" s="53"/>
      <c r="Q255" s="53"/>
      <c r="R255" s="53"/>
      <c r="S255" s="53"/>
      <c r="T255" s="53"/>
    </row>
    <row r="256" spans="1:23">
      <c r="A256" s="120"/>
      <c r="B256" s="51"/>
      <c r="O256" s="53"/>
      <c r="P256" s="53"/>
      <c r="Q256" s="53"/>
      <c r="R256" s="53"/>
      <c r="S256" s="53"/>
      <c r="T256" s="53"/>
    </row>
    <row r="257" spans="1:20">
      <c r="A257" s="120"/>
      <c r="O257" s="53"/>
      <c r="P257" s="53"/>
      <c r="Q257" s="53"/>
      <c r="R257" s="53"/>
      <c r="S257" s="53"/>
      <c r="T257" s="53"/>
    </row>
    <row r="258" spans="1:20">
      <c r="A258" s="120"/>
      <c r="O258" s="53"/>
      <c r="P258" s="53"/>
      <c r="Q258" s="53"/>
      <c r="R258" s="53"/>
      <c r="S258" s="53"/>
      <c r="T258" s="53"/>
    </row>
    <row r="259" spans="1:20">
      <c r="A259" s="176"/>
      <c r="O259" s="53"/>
      <c r="P259" s="53"/>
      <c r="Q259" s="53"/>
      <c r="R259" s="53"/>
      <c r="S259" s="53"/>
      <c r="T259" s="53"/>
    </row>
  </sheetData>
  <sheetProtection algorithmName="SHA-512" hashValue="XWVdiAyGr/X0AMNjpRozgA8jbw5ipGTm/q4Au5j63tfc6/70ukIId10kQHSt0nu5Wi9ZW/KVsVddOOIf06cGaQ==" saltValue="lgQbWO8VM+U2ISnowMangw==" spinCount="100000" sheet="1" selectLockedCells="1" autoFilter="0"/>
  <autoFilter ref="A12:V252"/>
  <sortState ref="B13:C199">
    <sortCondition ref="C13:C199"/>
  </sortState>
  <mergeCells count="27">
    <mergeCell ref="F4:O4"/>
    <mergeCell ref="F5:O5"/>
    <mergeCell ref="F6:O6"/>
    <mergeCell ref="F7:O7"/>
    <mergeCell ref="G203:H203"/>
    <mergeCell ref="I203:J203"/>
    <mergeCell ref="M203:N203"/>
    <mergeCell ref="F11:F12"/>
    <mergeCell ref="G11:G12"/>
    <mergeCell ref="J10:J12"/>
    <mergeCell ref="L10:L12"/>
    <mergeCell ref="M10:M11"/>
    <mergeCell ref="G211:H211"/>
    <mergeCell ref="I211:J211"/>
    <mergeCell ref="M211:N211"/>
    <mergeCell ref="M221:N221"/>
    <mergeCell ref="C228:D231"/>
    <mergeCell ref="E228:E229"/>
    <mergeCell ref="F228:F229"/>
    <mergeCell ref="G228:H229"/>
    <mergeCell ref="G230:H230"/>
    <mergeCell ref="G231:H231"/>
    <mergeCell ref="G232:H232"/>
    <mergeCell ref="G233:H233"/>
    <mergeCell ref="G235:H235"/>
    <mergeCell ref="G221:H221"/>
    <mergeCell ref="I221:J221"/>
  </mergeCells>
  <conditionalFormatting sqref="F13:F199">
    <cfRule type="expression" dxfId="19" priority="25">
      <formula>AND(ISNUMBER(F13),F13&gt;=TCR_SG)</formula>
    </cfRule>
  </conditionalFormatting>
  <conditionalFormatting sqref="G13:G199">
    <cfRule type="expression" dxfId="18" priority="24">
      <formula>AND(ISNUMBER(G13),G13&gt;=THQ_SG)</formula>
    </cfRule>
  </conditionalFormatting>
  <conditionalFormatting sqref="U205:U206">
    <cfRule type="expression" dxfId="17" priority="56">
      <formula>AND($G205="NC",OR($S205="A",$Q205="CA",$Q205="H"),OR($Q205="I",$S205="X",$S205="P"))</formula>
    </cfRule>
    <cfRule type="expression" dxfId="16" priority="57">
      <formula>AND($G205="C",OR($Q205="A",$Q205="CA",$Q205="H"),OR($S205="I",$S205="X",$S205="P"))</formula>
    </cfRule>
  </conditionalFormatting>
  <conditionalFormatting sqref="C13:C199">
    <cfRule type="expression" dxfId="15" priority="1">
      <formula>AND(#REF!&lt;&gt;"",OR(#REF!&lt;0.95,#REF!&gt;1.05))</formula>
    </cfRule>
    <cfRule type="expression" dxfId="14" priority="2">
      <formula>OR(#REF!&lt;0.2,#REF!&gt;5)</formula>
    </cfRule>
  </conditionalFormatting>
  <dataValidations count="1">
    <dataValidation type="list" allowBlank="1" showInputMessage="1" showErrorMessage="1" sqref="E5">
      <formula1>"Residential, Commercial"</formula1>
    </dataValidation>
  </dataValidations>
  <hyperlinks>
    <hyperlink ref="G240" r:id="rId1"/>
    <hyperlink ref="H241" r:id="rId2"/>
    <hyperlink ref="J242" r:id="rId3"/>
    <hyperlink ref="M243" r:id="rId4"/>
    <hyperlink ref="J244" r:id="rId5"/>
  </hyperlinks>
  <pageMargins left="0.7" right="0.7" top="0.75" bottom="0.75" header="0.3" footer="0.3"/>
  <pageSetup scale="48" fitToHeight="0" orientation="landscape" r:id="rId6"/>
  <headerFooter>
    <oddHeader>&amp;CVISL Version 3.5
Updated October 2017
Current Toxicity Values from June 2017 RSL Update</oddHeader>
    <oddFooter>&amp;LVISL Calculator Version 3.5, June 2017 RSLs&amp;CUpdated October 2017&amp;RPage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W260"/>
  <sheetViews>
    <sheetView zoomScale="80" zoomScaleNormal="80" workbookViewId="0">
      <selection activeCell="E6" sqref="E6"/>
    </sheetView>
  </sheetViews>
  <sheetFormatPr defaultRowHeight="15"/>
  <cols>
    <col min="1" max="1" width="4.33203125" style="52" customWidth="1"/>
    <col min="2" max="2" width="17.6640625" style="49" customWidth="1"/>
    <col min="3" max="3" width="52.6640625" style="49" customWidth="1"/>
    <col min="4" max="5" width="18.5546875" style="49" customWidth="1"/>
    <col min="6" max="7" width="16.109375" style="49" customWidth="1"/>
    <col min="8" max="8" width="16" style="49" customWidth="1"/>
    <col min="9" max="9" width="16.6640625" style="49" customWidth="1"/>
    <col min="10" max="10" width="11" style="49" customWidth="1"/>
    <col min="11" max="11" width="16.6640625" style="160" customWidth="1"/>
    <col min="12" max="12" width="10" style="160" customWidth="1"/>
    <col min="13" max="13" width="13.109375" style="160" customWidth="1"/>
    <col min="14" max="14" width="10.88671875" style="49" bestFit="1" customWidth="1"/>
    <col min="15" max="16" width="17" style="160" customWidth="1"/>
    <col min="17" max="17" width="13" style="49" customWidth="1"/>
    <col min="18" max="18" width="17.44140625" style="49" customWidth="1"/>
    <col min="19" max="19" width="18.33203125" style="49" customWidth="1"/>
  </cols>
  <sheetData>
    <row r="1" spans="1:19" ht="15.6">
      <c r="A1" s="115" t="s">
        <v>478</v>
      </c>
      <c r="B1" s="54" t="s">
        <v>361</v>
      </c>
      <c r="C1" s="55"/>
      <c r="D1" s="55"/>
      <c r="E1" s="56"/>
      <c r="F1" s="55"/>
      <c r="G1" s="56"/>
      <c r="H1" s="56"/>
      <c r="I1" s="56"/>
      <c r="J1" s="56"/>
      <c r="K1" s="57"/>
      <c r="L1" s="57"/>
      <c r="M1" s="57"/>
      <c r="N1" s="58"/>
      <c r="O1" s="57"/>
      <c r="P1" s="57"/>
      <c r="Q1" s="190"/>
      <c r="R1" s="190"/>
      <c r="S1" s="190"/>
    </row>
    <row r="2" spans="1:19" ht="15.6">
      <c r="A2" s="115" t="s">
        <v>478</v>
      </c>
      <c r="B2" s="54" t="s">
        <v>2477</v>
      </c>
      <c r="C2" s="55"/>
      <c r="D2" s="55"/>
      <c r="E2" s="56"/>
      <c r="F2" s="108"/>
      <c r="G2" s="56"/>
      <c r="H2" s="56"/>
      <c r="I2" s="56"/>
      <c r="J2" s="56"/>
      <c r="K2" s="57"/>
      <c r="L2" s="57"/>
      <c r="M2" s="57"/>
      <c r="N2" s="58"/>
      <c r="O2" s="57"/>
      <c r="P2" s="57"/>
      <c r="Q2" s="190"/>
      <c r="R2" s="190"/>
      <c r="S2" s="190"/>
    </row>
    <row r="3" spans="1:19" ht="15.6">
      <c r="A3" s="115" t="s">
        <v>478</v>
      </c>
      <c r="B3" s="173"/>
      <c r="C3" s="170"/>
      <c r="D3" s="170"/>
      <c r="E3" s="169"/>
      <c r="F3" s="170"/>
      <c r="G3" s="170"/>
      <c r="H3" s="170"/>
      <c r="I3" s="170"/>
      <c r="J3" s="169"/>
      <c r="K3" s="174"/>
      <c r="L3" s="174"/>
      <c r="M3" s="174"/>
      <c r="N3" s="175"/>
      <c r="O3" s="174"/>
      <c r="P3" s="174"/>
      <c r="Q3" s="190"/>
      <c r="R3" s="190"/>
      <c r="S3" s="190"/>
    </row>
    <row r="4" spans="1:19" ht="15.6">
      <c r="A4" s="115" t="s">
        <v>478</v>
      </c>
      <c r="B4" s="59" t="s">
        <v>1814</v>
      </c>
      <c r="C4" s="60"/>
      <c r="D4" s="61" t="s">
        <v>459</v>
      </c>
      <c r="E4" s="62" t="s">
        <v>469</v>
      </c>
      <c r="F4" s="221" t="s">
        <v>368</v>
      </c>
      <c r="G4" s="222"/>
      <c r="H4" s="222"/>
      <c r="I4" s="222"/>
      <c r="J4" s="222"/>
      <c r="K4" s="222"/>
      <c r="L4" s="222"/>
      <c r="M4" s="222"/>
      <c r="N4" s="222"/>
      <c r="O4" s="223"/>
      <c r="P4" s="190"/>
      <c r="Q4" s="190"/>
      <c r="R4" s="190"/>
      <c r="S4" s="190"/>
    </row>
    <row r="5" spans="1:19">
      <c r="A5" s="115" t="s">
        <v>478</v>
      </c>
      <c r="B5" s="109" t="s">
        <v>447</v>
      </c>
      <c r="C5" s="110"/>
      <c r="D5" s="111" t="s">
        <v>448</v>
      </c>
      <c r="E5" s="117" t="s">
        <v>449</v>
      </c>
      <c r="F5" s="218" t="s">
        <v>366</v>
      </c>
      <c r="G5" s="219"/>
      <c r="H5" s="219"/>
      <c r="I5" s="219"/>
      <c r="J5" s="219"/>
      <c r="K5" s="219"/>
      <c r="L5" s="219"/>
      <c r="M5" s="219"/>
      <c r="N5" s="219"/>
      <c r="O5" s="220"/>
      <c r="P5" s="190"/>
      <c r="Q5" s="190"/>
      <c r="R5" s="190"/>
      <c r="S5" s="190"/>
    </row>
    <row r="6" spans="1:19">
      <c r="A6" s="115" t="s">
        <v>478</v>
      </c>
      <c r="B6" s="109" t="s">
        <v>1811</v>
      </c>
      <c r="C6" s="110"/>
      <c r="D6" s="111" t="s">
        <v>1686</v>
      </c>
      <c r="E6" s="118">
        <v>9.9999999999999995E-7</v>
      </c>
      <c r="F6" s="569" t="s">
        <v>1981</v>
      </c>
      <c r="G6" s="570"/>
      <c r="H6" s="570"/>
      <c r="I6" s="570"/>
      <c r="J6" s="570"/>
      <c r="K6" s="570"/>
      <c r="L6" s="570"/>
      <c r="M6" s="570"/>
      <c r="N6" s="570"/>
      <c r="O6" s="571"/>
      <c r="P6" s="190"/>
      <c r="Q6" s="190"/>
      <c r="R6" s="190"/>
      <c r="S6" s="190"/>
    </row>
    <row r="7" spans="1:19">
      <c r="A7" s="115" t="s">
        <v>478</v>
      </c>
      <c r="B7" s="109" t="s">
        <v>1812</v>
      </c>
      <c r="C7" s="110"/>
      <c r="D7" s="111" t="s">
        <v>1687</v>
      </c>
      <c r="E7" s="119">
        <v>1</v>
      </c>
      <c r="F7" s="569" t="s">
        <v>1982</v>
      </c>
      <c r="G7" s="570"/>
      <c r="H7" s="570"/>
      <c r="I7" s="570"/>
      <c r="J7" s="570"/>
      <c r="K7" s="570"/>
      <c r="L7" s="570"/>
      <c r="M7" s="570"/>
      <c r="N7" s="570"/>
      <c r="O7" s="571"/>
      <c r="P7" s="190"/>
      <c r="Q7" s="190"/>
      <c r="R7" s="190"/>
      <c r="S7" s="190"/>
    </row>
    <row r="8" spans="1:19" ht="17.399999999999999">
      <c r="A8" s="115"/>
      <c r="B8" s="112" t="s">
        <v>1813</v>
      </c>
      <c r="C8" s="113"/>
      <c r="D8" s="111" t="s">
        <v>463</v>
      </c>
      <c r="E8" s="119">
        <v>25</v>
      </c>
      <c r="F8" s="218" t="s">
        <v>1777</v>
      </c>
      <c r="G8" s="219"/>
      <c r="H8" s="219"/>
      <c r="I8" s="219"/>
      <c r="J8" s="219"/>
      <c r="K8" s="219"/>
      <c r="L8" s="219"/>
      <c r="M8" s="219"/>
      <c r="N8" s="219"/>
      <c r="O8" s="220"/>
      <c r="P8" s="190"/>
      <c r="Q8" s="190"/>
      <c r="R8" s="190"/>
      <c r="S8" s="190"/>
    </row>
    <row r="9" spans="1:19">
      <c r="A9" s="115" t="s">
        <v>478</v>
      </c>
      <c r="B9" s="169"/>
      <c r="C9" s="5"/>
      <c r="D9" s="172"/>
      <c r="E9" s="172"/>
      <c r="F9" s="136"/>
      <c r="G9" s="176"/>
      <c r="H9" s="177"/>
      <c r="I9" s="177"/>
      <c r="J9" s="177"/>
      <c r="K9" s="178"/>
      <c r="L9" s="178"/>
      <c r="M9" s="178"/>
      <c r="N9" s="136"/>
      <c r="O9" s="178"/>
      <c r="P9" s="178"/>
      <c r="Q9" s="190"/>
      <c r="R9" s="190"/>
      <c r="S9" s="190"/>
    </row>
    <row r="10" spans="1:19" ht="46.8">
      <c r="A10" s="116" t="s">
        <v>478</v>
      </c>
      <c r="B10" s="64"/>
      <c r="C10" s="64"/>
      <c r="D10" s="189" t="s">
        <v>1829</v>
      </c>
      <c r="E10" s="189" t="s">
        <v>1828</v>
      </c>
      <c r="F10" s="228" t="s">
        <v>1816</v>
      </c>
      <c r="G10" s="228" t="s">
        <v>1817</v>
      </c>
      <c r="H10" s="3"/>
      <c r="I10" s="196" t="s">
        <v>1472</v>
      </c>
      <c r="J10" s="576" t="s">
        <v>298</v>
      </c>
      <c r="K10" s="196" t="s">
        <v>1629</v>
      </c>
      <c r="L10" s="576" t="s">
        <v>299</v>
      </c>
      <c r="M10" s="576" t="s">
        <v>1554</v>
      </c>
      <c r="N10"/>
      <c r="O10"/>
      <c r="P10"/>
      <c r="Q10"/>
      <c r="R10"/>
      <c r="S10"/>
    </row>
    <row r="11" spans="1:19" ht="15" customHeight="1">
      <c r="A11" s="116" t="s">
        <v>478</v>
      </c>
      <c r="B11" s="66"/>
      <c r="C11" s="66"/>
      <c r="D11" s="68" t="s">
        <v>470</v>
      </c>
      <c r="E11" s="68" t="s">
        <v>1818</v>
      </c>
      <c r="F11" s="573" t="s">
        <v>1856</v>
      </c>
      <c r="G11" s="575" t="s">
        <v>1857</v>
      </c>
      <c r="H11" s="70"/>
      <c r="I11" s="197" t="s">
        <v>1410</v>
      </c>
      <c r="J11" s="577"/>
      <c r="K11" s="198" t="s">
        <v>401</v>
      </c>
      <c r="L11" s="577"/>
      <c r="M11" s="578"/>
      <c r="N11"/>
      <c r="O11"/>
      <c r="P11"/>
      <c r="Q11"/>
      <c r="R11"/>
      <c r="S11"/>
    </row>
    <row r="12" spans="1:19" ht="18">
      <c r="A12" s="116" t="s">
        <v>478</v>
      </c>
      <c r="B12" s="188" t="s">
        <v>365</v>
      </c>
      <c r="C12" s="71" t="s">
        <v>500</v>
      </c>
      <c r="D12" s="74" t="s">
        <v>412</v>
      </c>
      <c r="E12" s="74" t="s">
        <v>372</v>
      </c>
      <c r="F12" s="574"/>
      <c r="G12" s="574"/>
      <c r="H12" s="63"/>
      <c r="I12" s="198" t="s">
        <v>1536</v>
      </c>
      <c r="J12" s="578"/>
      <c r="K12" s="199" t="s">
        <v>373</v>
      </c>
      <c r="L12" s="578"/>
      <c r="M12" s="231" t="s">
        <v>1650</v>
      </c>
      <c r="N12"/>
      <c r="O12"/>
      <c r="P12"/>
      <c r="Q12"/>
      <c r="R12"/>
      <c r="S12"/>
    </row>
    <row r="13" spans="1:19">
      <c r="A13" s="124" t="str">
        <f>IF(INDEX(VISL!A:A,MATCH(B13,VISL!B:B,0))="x","x","")</f>
        <v/>
      </c>
      <c r="B13" s="344" t="s">
        <v>633</v>
      </c>
      <c r="C13" s="269" t="s">
        <v>1428</v>
      </c>
      <c r="D13" s="201"/>
      <c r="E13" s="194" t="str">
        <f t="shared" ref="E13:E44" si="0">IF(INDEX(HLC_GW,MATCH(C13,ChemNameChem,0))="","No HLC",IF(OR(D13="",ISTEXT(D13)),"--",D13*AFgw_GW*1000*INDEX(HLC_GW, MATCH(C13, ChemNameChem,0))))</f>
        <v>--</v>
      </c>
      <c r="F13" s="122" t="str">
        <f t="shared" ref="F13:F44" si="1">IF(ISTEXT(E13),"--",IF(I13="","No IUR",IF(LEFT(E13,1)="N",E13,IF(M13&lt;&gt;"TCE",E13*(IF(AND(M13="VC",Scenario_GW="Residential"),I13,0)+I13*IF(M13="Mut",MMOAAF_GW,ED_GW)*EF_GW*ET_GW/(ATc_GW*365*24)),E13*mIURTCE_GW*MMOAAF_GW*EF_GW*ET_GW/(ATc_GW*365*24)+E13*IURTCE_GW*ED_GW*EF_GW*ET_GW/(ATc_GW*365*24)))))</f>
        <v>--</v>
      </c>
      <c r="G13" s="123" t="str">
        <f t="shared" ref="G13:G44" si="2">IF(ISTEXT(E13),"--",IF(K13="","No RfC",IF(E13="No HLC","No HLC",E13*EF_GW*ED_GW*ET_GW/(K13*Atnc_GW*365*24*1000))))</f>
        <v>--</v>
      </c>
      <c r="H13" s="124"/>
      <c r="I13" s="121">
        <f t="shared" ref="I13:I44" si="3">IF(INDEX(IUR,MATCH(B13,CASNoTox,0))=" ","",IF(M13="TCE","see note",INDEX(IUR,MATCH(B13,CASNoTox,0))))</f>
        <v>2.2000000000000001E-6</v>
      </c>
      <c r="J13" s="121" t="str">
        <f t="shared" ref="J13:J44" si="4">IF(INDEX(IURSource,MATCH(B13,CASNoTox,0))="","",SUBSTITUTE(INDEX(IURSource,MATCH(B13,CASNoTox,0)),"C","CA"))</f>
        <v>I</v>
      </c>
      <c r="K13" s="121">
        <f t="shared" ref="K13:K44" si="5">IF(INDEX(RFC,MATCH(B13,CASNoTox,0))=" ","",INDEX(RFC,MATCH(B13,CASNoTox,0)))</f>
        <v>8.9999999999999993E-3</v>
      </c>
      <c r="L13" s="121" t="str">
        <f t="shared" ref="L13:L44" si="6">IF(INDEX(RFCSource,MATCH(B13,CASNoTox,0))="","",SUBSTITUTE(INDEX(RFCSource,MATCH(B13,CASNoTox,0)),"C","CA"))</f>
        <v>I</v>
      </c>
      <c r="M13" s="121" t="str">
        <f>VLOOKUP(B13,VISL!$B:$W,22,FALSE)</f>
        <v/>
      </c>
      <c r="N13"/>
      <c r="O13" s="190" t="str">
        <f t="shared" ref="O13:O61" si="7">IF(AND(I13="",K13=""),"X","")</f>
        <v/>
      </c>
      <c r="P13"/>
      <c r="Q13"/>
      <c r="R13"/>
      <c r="S13"/>
    </row>
    <row r="14" spans="1:19">
      <c r="A14" s="124" t="str">
        <f>IF(INDEX(VISL!A:A,MATCH(B14,VISL!B:B,0))="x","x","")</f>
        <v/>
      </c>
      <c r="B14" s="269" t="s">
        <v>635</v>
      </c>
      <c r="C14" s="269" t="s">
        <v>424</v>
      </c>
      <c r="D14" s="201"/>
      <c r="E14" s="194" t="str">
        <f t="shared" si="0"/>
        <v>--</v>
      </c>
      <c r="F14" s="122" t="str">
        <f t="shared" si="1"/>
        <v>--</v>
      </c>
      <c r="G14" s="123" t="str">
        <f t="shared" si="2"/>
        <v>--</v>
      </c>
      <c r="H14" s="124"/>
      <c r="I14" s="121" t="str">
        <f t="shared" si="3"/>
        <v/>
      </c>
      <c r="J14" s="121" t="str">
        <f t="shared" si="4"/>
        <v/>
      </c>
      <c r="K14" s="121">
        <f t="shared" si="5"/>
        <v>31</v>
      </c>
      <c r="L14" s="121" t="str">
        <f t="shared" si="6"/>
        <v>A</v>
      </c>
      <c r="M14" s="121" t="str">
        <f>VLOOKUP(B14,VISL!$B:$W,22,FALSE)</f>
        <v/>
      </c>
      <c r="N14"/>
      <c r="O14" s="190" t="str">
        <f t="shared" si="7"/>
        <v/>
      </c>
      <c r="P14"/>
      <c r="Q14"/>
      <c r="R14"/>
      <c r="S14"/>
    </row>
    <row r="15" spans="1:19">
      <c r="A15" s="124" t="str">
        <f>IF(INDEX(VISL!A:A,MATCH(B15,VISL!B:B,0))="x","x","")</f>
        <v/>
      </c>
      <c r="B15" s="344" t="s">
        <v>637</v>
      </c>
      <c r="C15" s="269" t="s">
        <v>1429</v>
      </c>
      <c r="D15" s="201"/>
      <c r="E15" s="194" t="str">
        <f t="shared" si="0"/>
        <v>--</v>
      </c>
      <c r="F15" s="122" t="str">
        <f t="shared" si="1"/>
        <v>--</v>
      </c>
      <c r="G15" s="123" t="str">
        <f t="shared" si="2"/>
        <v>--</v>
      </c>
      <c r="H15" s="124"/>
      <c r="I15" s="121" t="str">
        <f t="shared" si="3"/>
        <v/>
      </c>
      <c r="J15" s="121" t="str">
        <f t="shared" si="4"/>
        <v/>
      </c>
      <c r="K15" s="121">
        <f t="shared" si="5"/>
        <v>0.06</v>
      </c>
      <c r="L15" s="121" t="str">
        <f t="shared" si="6"/>
        <v>I</v>
      </c>
      <c r="M15" s="121" t="str">
        <f>VLOOKUP(B15,VISL!$B:$W,22,FALSE)</f>
        <v/>
      </c>
      <c r="N15"/>
      <c r="O15" s="190" t="str">
        <f t="shared" si="7"/>
        <v/>
      </c>
      <c r="P15"/>
      <c r="Q15"/>
      <c r="R15"/>
      <c r="S15"/>
    </row>
    <row r="16" spans="1:19" s="190" customFormat="1">
      <c r="A16" s="124"/>
      <c r="B16" s="269" t="s">
        <v>640</v>
      </c>
      <c r="C16" s="269" t="s">
        <v>1431</v>
      </c>
      <c r="D16" s="201"/>
      <c r="E16" s="194"/>
      <c r="F16" s="122"/>
      <c r="G16" s="123"/>
      <c r="H16" s="124"/>
      <c r="I16" s="121"/>
      <c r="J16" s="121"/>
      <c r="K16" s="121"/>
      <c r="L16" s="121"/>
      <c r="M16" s="121"/>
    </row>
    <row r="17" spans="1:19" s="190" customFormat="1">
      <c r="A17" s="124"/>
      <c r="B17" s="344" t="s">
        <v>642</v>
      </c>
      <c r="C17" s="269" t="s">
        <v>972</v>
      </c>
      <c r="D17" s="201"/>
      <c r="E17" s="194"/>
      <c r="F17" s="122"/>
      <c r="G17" s="123"/>
      <c r="H17" s="124"/>
      <c r="I17" s="121"/>
      <c r="J17" s="121"/>
      <c r="K17" s="121"/>
      <c r="L17" s="121"/>
      <c r="M17" s="121"/>
    </row>
    <row r="18" spans="1:19" s="190" customFormat="1">
      <c r="A18" s="124"/>
      <c r="B18" s="344" t="s">
        <v>643</v>
      </c>
      <c r="C18" s="269" t="s">
        <v>1432</v>
      </c>
      <c r="D18" s="201"/>
      <c r="E18" s="194"/>
      <c r="F18" s="122"/>
      <c r="G18" s="123"/>
      <c r="H18" s="124"/>
      <c r="I18" s="121"/>
      <c r="J18" s="121"/>
      <c r="K18" s="121"/>
      <c r="L18" s="121"/>
      <c r="M18" s="121"/>
    </row>
    <row r="19" spans="1:19" s="190" customFormat="1">
      <c r="A19" s="124"/>
      <c r="B19" s="344" t="s">
        <v>648</v>
      </c>
      <c r="C19" s="269" t="s">
        <v>425</v>
      </c>
      <c r="D19" s="201"/>
      <c r="E19" s="194"/>
      <c r="F19" s="122"/>
      <c r="G19" s="123"/>
      <c r="H19" s="124"/>
      <c r="I19" s="121"/>
      <c r="J19" s="121"/>
      <c r="K19" s="121"/>
      <c r="L19" s="121"/>
      <c r="M19" s="121"/>
    </row>
    <row r="20" spans="1:19" s="190" customFormat="1">
      <c r="A20" s="124"/>
      <c r="B20" s="269" t="s">
        <v>650</v>
      </c>
      <c r="C20" s="269" t="s">
        <v>977</v>
      </c>
      <c r="D20" s="201"/>
      <c r="E20" s="194"/>
      <c r="F20" s="122"/>
      <c r="G20" s="123"/>
      <c r="H20" s="124"/>
      <c r="I20" s="121"/>
      <c r="J20" s="121"/>
      <c r="K20" s="121"/>
      <c r="L20" s="121"/>
      <c r="M20" s="121"/>
    </row>
    <row r="21" spans="1:19" s="190" customFormat="1">
      <c r="A21" s="124"/>
      <c r="B21" s="269" t="s">
        <v>651</v>
      </c>
      <c r="C21" s="269" t="s">
        <v>978</v>
      </c>
      <c r="D21" s="201"/>
      <c r="E21" s="194"/>
      <c r="F21" s="122"/>
      <c r="G21" s="123"/>
      <c r="H21" s="124"/>
      <c r="I21" s="121"/>
      <c r="J21" s="121"/>
      <c r="K21" s="121"/>
      <c r="L21" s="121"/>
      <c r="M21" s="121"/>
    </row>
    <row r="22" spans="1:19">
      <c r="A22" s="124" t="str">
        <f>IF(INDEX(VISL!A:A,MATCH(B22,VISL!B:B,0))="x","x","")</f>
        <v/>
      </c>
      <c r="B22" s="344" t="s">
        <v>660</v>
      </c>
      <c r="C22" s="269" t="s">
        <v>985</v>
      </c>
      <c r="D22" s="201"/>
      <c r="E22" s="194" t="str">
        <f t="shared" si="0"/>
        <v>--</v>
      </c>
      <c r="F22" s="122" t="str">
        <f t="shared" si="1"/>
        <v>--</v>
      </c>
      <c r="G22" s="123" t="str">
        <f t="shared" si="2"/>
        <v>--</v>
      </c>
      <c r="H22" s="124"/>
      <c r="I22" s="121" t="str">
        <f t="shared" si="3"/>
        <v/>
      </c>
      <c r="J22" s="121" t="str">
        <f t="shared" si="4"/>
        <v/>
      </c>
      <c r="K22" s="121">
        <f t="shared" si="5"/>
        <v>0.5</v>
      </c>
      <c r="L22" s="121" t="str">
        <f t="shared" si="6"/>
        <v>I</v>
      </c>
      <c r="M22" s="121" t="str">
        <f>VLOOKUP(B22,VISL!$B:$W,22,FALSE)</f>
        <v/>
      </c>
      <c r="N22"/>
      <c r="O22" s="190" t="str">
        <f t="shared" si="7"/>
        <v/>
      </c>
      <c r="P22"/>
      <c r="Q22"/>
      <c r="R22"/>
      <c r="S22"/>
    </row>
    <row r="23" spans="1:19">
      <c r="A23" s="124" t="str">
        <f>IF(INDEX(VISL!A:A,MATCH(B23,VISL!B:B,0))="x","x","")</f>
        <v/>
      </c>
      <c r="B23" s="344" t="s">
        <v>2041</v>
      </c>
      <c r="C23" s="269" t="s">
        <v>2040</v>
      </c>
      <c r="D23" s="201"/>
      <c r="E23" s="194" t="str">
        <f t="shared" si="0"/>
        <v>--</v>
      </c>
      <c r="F23" s="122" t="str">
        <f t="shared" si="1"/>
        <v>--</v>
      </c>
      <c r="G23" s="123" t="str">
        <f t="shared" si="2"/>
        <v>--</v>
      </c>
      <c r="H23" s="124"/>
      <c r="I23" s="121" t="str">
        <f t="shared" si="3"/>
        <v/>
      </c>
      <c r="J23" s="121" t="str">
        <f t="shared" si="4"/>
        <v/>
      </c>
      <c r="K23" s="121">
        <f t="shared" si="5"/>
        <v>3.0000000000000001E-3</v>
      </c>
      <c r="L23" s="121" t="str">
        <f t="shared" si="6"/>
        <v>X</v>
      </c>
      <c r="M23" s="121" t="str">
        <f>VLOOKUP(B23,VISL!$B:$W,22,FALSE)</f>
        <v/>
      </c>
      <c r="N23"/>
      <c r="O23" s="190" t="str">
        <f t="shared" si="7"/>
        <v/>
      </c>
      <c r="P23"/>
      <c r="Q23"/>
      <c r="R23"/>
      <c r="S23"/>
    </row>
    <row r="24" spans="1:19">
      <c r="A24" s="124" t="str">
        <f>IF(INDEX(VISL!A:A,MATCH(B24,VISL!B:B,0))="x","x","")</f>
        <v/>
      </c>
      <c r="B24" s="344" t="s">
        <v>181</v>
      </c>
      <c r="C24" s="269" t="s">
        <v>2228</v>
      </c>
      <c r="D24" s="201"/>
      <c r="E24" s="194" t="str">
        <f t="shared" si="0"/>
        <v>--</v>
      </c>
      <c r="F24" s="122" t="str">
        <f t="shared" si="1"/>
        <v>--</v>
      </c>
      <c r="G24" s="123" t="str">
        <f t="shared" si="2"/>
        <v>--</v>
      </c>
      <c r="H24" s="124"/>
      <c r="I24" s="121">
        <f t="shared" si="3"/>
        <v>2.0000000000000002E-5</v>
      </c>
      <c r="J24" s="121" t="str">
        <f t="shared" si="4"/>
        <v>S</v>
      </c>
      <c r="K24" s="121" t="str">
        <f t="shared" si="5"/>
        <v/>
      </c>
      <c r="L24" s="121" t="str">
        <f t="shared" si="6"/>
        <v/>
      </c>
      <c r="M24" s="121" t="str">
        <f>VLOOKUP(B24,VISL!$B:$W,22,FALSE)</f>
        <v/>
      </c>
      <c r="N24"/>
      <c r="O24" s="190" t="str">
        <f t="shared" si="7"/>
        <v/>
      </c>
      <c r="P24"/>
      <c r="Q24"/>
      <c r="R24"/>
      <c r="S24"/>
    </row>
    <row r="25" spans="1:19">
      <c r="A25" s="124" t="str">
        <f>IF(INDEX(VISL!A:A,MATCH(B25,VISL!B:B,0))="x","x","")</f>
        <v/>
      </c>
      <c r="B25" s="344" t="s">
        <v>182</v>
      </c>
      <c r="C25" s="269" t="s">
        <v>2229</v>
      </c>
      <c r="D25" s="201"/>
      <c r="E25" s="194" t="str">
        <f t="shared" si="0"/>
        <v>--</v>
      </c>
      <c r="F25" s="122" t="str">
        <f t="shared" si="1"/>
        <v>--</v>
      </c>
      <c r="G25" s="123" t="str">
        <f t="shared" si="2"/>
        <v>--</v>
      </c>
      <c r="H25" s="124"/>
      <c r="I25" s="121">
        <f t="shared" si="3"/>
        <v>5.6999999999999998E-4</v>
      </c>
      <c r="J25" s="121" t="str">
        <f t="shared" si="4"/>
        <v>S</v>
      </c>
      <c r="K25" s="121" t="str">
        <f t="shared" si="5"/>
        <v/>
      </c>
      <c r="L25" s="121" t="str">
        <f t="shared" si="6"/>
        <v/>
      </c>
      <c r="M25" s="121" t="str">
        <f>VLOOKUP(B25,VISL!$B:$W,22,FALSE)</f>
        <v/>
      </c>
      <c r="N25"/>
      <c r="O25" s="190" t="str">
        <f t="shared" si="7"/>
        <v/>
      </c>
      <c r="P25"/>
      <c r="Q25"/>
      <c r="R25"/>
      <c r="S25"/>
    </row>
    <row r="26" spans="1:19" s="190" customFormat="1">
      <c r="A26" s="124" t="str">
        <f>IF(INDEX(VISL!A:A,MATCH(B26,VISL!B:B,0))="x","x","")</f>
        <v/>
      </c>
      <c r="B26" s="344" t="s">
        <v>183</v>
      </c>
      <c r="C26" s="269" t="s">
        <v>2230</v>
      </c>
      <c r="D26" s="201"/>
      <c r="E26" s="194" t="str">
        <f>IF(INDEX(HLC_GW,MATCH(C26,ChemNameChem,0))="","No HLC",IF(OR(D26="",ISTEXT(D26)),"--",D26*AFgw_GW*1000*INDEX(HLC_GW, MATCH(C26, ChemNameChem,0))))</f>
        <v>--</v>
      </c>
      <c r="F26" s="122" t="str">
        <f>IF(ISTEXT(E26),"--",IF(I26="","No IUR",IF(LEFT(E26,1)="N",E26,IF(M26&lt;&gt;"TCE",E26*(IF(AND(M26="VC",Scenario_GW="Residential"),I26,0)+I26*IF(M26="Mut",MMOAAF_GW,ED_GW)*EF_GW*ET_GW/(ATc_GW*365*24)),E26*mIURTCE_GW*MMOAAF_GW*EF_GW*ET_GW/(ATc_GW*365*24)+E26*IURTCE_GW*ED_GW*EF_GW*ET_GW/(ATc_GW*365*24)))))</f>
        <v>--</v>
      </c>
      <c r="G26" s="123" t="str">
        <f>IF(ISTEXT(E26),"--",IF(K26="","No RfC",IF(E26="No HLC","No HLC",E26*EF_GW*ED_GW*ET_GW/(K26*Atnc_GW*365*24*1000))))</f>
        <v>--</v>
      </c>
      <c r="H26" s="124"/>
      <c r="I26" s="121">
        <f>IF(INDEX(IUR,MATCH(B26,CASNoTox,0))=" ","",IF(M26="TCE","see note",INDEX(IUR,MATCH(B26,CASNoTox,0))))</f>
        <v>5.6999999999999998E-4</v>
      </c>
      <c r="J26" s="121" t="str">
        <f>IF(INDEX(IURSource,MATCH(B26,CASNoTox,0))="","",SUBSTITUTE(INDEX(IURSource,MATCH(B26,CASNoTox,0)),"C","CA"))</f>
        <v>S</v>
      </c>
      <c r="K26" s="121" t="str">
        <f>IF(INDEX(RFC,MATCH(B26,CASNoTox,0))=" ","",INDEX(RFC,MATCH(B26,CASNoTox,0)))</f>
        <v/>
      </c>
      <c r="L26" s="121" t="str">
        <f>IF(INDEX(RFCSource,MATCH(B26,CASNoTox,0))="","",SUBSTITUTE(INDEX(RFCSource,MATCH(B26,CASNoTox,0)),"C","CA"))</f>
        <v/>
      </c>
      <c r="M26" s="121" t="str">
        <f>VLOOKUP(B26,VISL!$B:$W,22,FALSE)</f>
        <v/>
      </c>
      <c r="O26" s="190" t="str">
        <f t="shared" si="7"/>
        <v/>
      </c>
    </row>
    <row r="27" spans="1:19">
      <c r="A27" s="124" t="str">
        <f>IF(INDEX(VISL!A:A,MATCH(B27,VISL!B:B,0))="x","x","")</f>
        <v/>
      </c>
      <c r="B27" s="269" t="s">
        <v>184</v>
      </c>
      <c r="C27" s="269" t="s">
        <v>2231</v>
      </c>
      <c r="D27" s="201"/>
      <c r="E27" s="194" t="str">
        <f t="shared" si="0"/>
        <v>--</v>
      </c>
      <c r="F27" s="122" t="str">
        <f t="shared" si="1"/>
        <v>--</v>
      </c>
      <c r="G27" s="123" t="str">
        <f t="shared" si="2"/>
        <v>--</v>
      </c>
      <c r="H27" s="124"/>
      <c r="I27" s="121">
        <f t="shared" si="3"/>
        <v>5.6999999999999998E-4</v>
      </c>
      <c r="J27" s="121" t="str">
        <f t="shared" si="4"/>
        <v>S</v>
      </c>
      <c r="K27" s="121" t="str">
        <f t="shared" si="5"/>
        <v/>
      </c>
      <c r="L27" s="121" t="str">
        <f t="shared" si="6"/>
        <v/>
      </c>
      <c r="M27" s="121" t="str">
        <f>VLOOKUP(B27,VISL!$B:$W,22,FALSE)</f>
        <v/>
      </c>
      <c r="N27"/>
      <c r="O27" s="190" t="str">
        <f t="shared" si="7"/>
        <v/>
      </c>
      <c r="P27"/>
      <c r="Q27"/>
      <c r="R27"/>
      <c r="S27"/>
    </row>
    <row r="28" spans="1:19">
      <c r="A28" s="124" t="str">
        <f>IF(INDEX(VISL!A:A,MATCH(B28,VISL!B:B,0))="x","x","")</f>
        <v/>
      </c>
      <c r="B28" s="269" t="s">
        <v>185</v>
      </c>
      <c r="C28" s="269" t="s">
        <v>2232</v>
      </c>
      <c r="D28" s="201"/>
      <c r="E28" s="194" t="str">
        <f t="shared" si="0"/>
        <v>--</v>
      </c>
      <c r="F28" s="122" t="str">
        <f t="shared" si="1"/>
        <v>--</v>
      </c>
      <c r="G28" s="123" t="str">
        <f t="shared" si="2"/>
        <v>--</v>
      </c>
      <c r="H28" s="124"/>
      <c r="I28" s="121">
        <f t="shared" si="3"/>
        <v>5.6999999999999998E-4</v>
      </c>
      <c r="J28" s="121" t="str">
        <f t="shared" si="4"/>
        <v>S</v>
      </c>
      <c r="K28" s="121" t="str">
        <f t="shared" si="5"/>
        <v/>
      </c>
      <c r="L28" s="121" t="str">
        <f t="shared" si="6"/>
        <v/>
      </c>
      <c r="M28" s="121" t="str">
        <f>VLOOKUP(B28,VISL!$B:$W,22,FALSE)</f>
        <v/>
      </c>
      <c r="N28"/>
      <c r="O28" s="190" t="str">
        <f t="shared" si="7"/>
        <v/>
      </c>
      <c r="P28"/>
      <c r="Q28"/>
      <c r="R28"/>
      <c r="S28"/>
    </row>
    <row r="29" spans="1:19">
      <c r="A29" s="124" t="str">
        <f>IF(INDEX(VISL!A:A,MATCH(B29,VISL!B:B,0))="x","x","")</f>
        <v/>
      </c>
      <c r="B29" s="269" t="s">
        <v>186</v>
      </c>
      <c r="C29" s="269" t="s">
        <v>2233</v>
      </c>
      <c r="D29" s="201"/>
      <c r="E29" s="194" t="str">
        <f t="shared" si="0"/>
        <v>--</v>
      </c>
      <c r="F29" s="122" t="str">
        <f t="shared" si="1"/>
        <v>--</v>
      </c>
      <c r="G29" s="123" t="str">
        <f t="shared" si="2"/>
        <v>--</v>
      </c>
      <c r="H29" s="124"/>
      <c r="I29" s="121">
        <f t="shared" si="3"/>
        <v>5.6999999999999998E-4</v>
      </c>
      <c r="J29" s="121" t="str">
        <f t="shared" si="4"/>
        <v>S</v>
      </c>
      <c r="K29" s="121" t="str">
        <f t="shared" si="5"/>
        <v/>
      </c>
      <c r="L29" s="121" t="str">
        <f t="shared" si="6"/>
        <v/>
      </c>
      <c r="M29" s="121" t="str">
        <f>VLOOKUP(B29,VISL!$B:$W,22,FALSE)</f>
        <v/>
      </c>
      <c r="N29"/>
      <c r="O29" s="190" t="str">
        <f t="shared" si="7"/>
        <v/>
      </c>
      <c r="P29"/>
      <c r="Q29"/>
      <c r="R29"/>
      <c r="S29"/>
    </row>
    <row r="30" spans="1:19">
      <c r="A30" s="124" t="str">
        <f>IF(INDEX(VISL!A:A,MATCH(B30,VISL!B:B,0))="x","x","")</f>
        <v/>
      </c>
      <c r="B30" s="269" t="s">
        <v>187</v>
      </c>
      <c r="C30" s="269" t="s">
        <v>2234</v>
      </c>
      <c r="D30" s="201"/>
      <c r="E30" s="194" t="str">
        <f t="shared" si="0"/>
        <v>--</v>
      </c>
      <c r="F30" s="122" t="str">
        <f t="shared" si="1"/>
        <v>--</v>
      </c>
      <c r="G30" s="123" t="str">
        <f t="shared" si="2"/>
        <v>--</v>
      </c>
      <c r="H30" s="124"/>
      <c r="I30" s="121">
        <f t="shared" si="3"/>
        <v>5.6999999999999998E-4</v>
      </c>
      <c r="J30" s="121" t="str">
        <f t="shared" si="4"/>
        <v>S</v>
      </c>
      <c r="K30" s="121" t="str">
        <f t="shared" si="5"/>
        <v/>
      </c>
      <c r="L30" s="121" t="str">
        <f t="shared" si="6"/>
        <v/>
      </c>
      <c r="M30" s="121" t="str">
        <f>VLOOKUP(B30,VISL!$B:$W,22,FALSE)</f>
        <v/>
      </c>
      <c r="N30"/>
      <c r="O30" s="190" t="str">
        <f t="shared" si="7"/>
        <v/>
      </c>
      <c r="P30"/>
      <c r="Q30"/>
      <c r="R30"/>
      <c r="S30"/>
    </row>
    <row r="31" spans="1:19">
      <c r="A31" s="124" t="str">
        <f>IF(INDEX(VISL!A:A,MATCH(B31,VISL!B:B,0))="x","x","")</f>
        <v/>
      </c>
      <c r="B31" s="344" t="s">
        <v>677</v>
      </c>
      <c r="C31" s="269" t="s">
        <v>1398</v>
      </c>
      <c r="D31" s="201"/>
      <c r="E31" s="194" t="str">
        <f t="shared" si="0"/>
        <v>--</v>
      </c>
      <c r="F31" s="122" t="str">
        <f t="shared" si="1"/>
        <v>--</v>
      </c>
      <c r="G31" s="123" t="str">
        <f t="shared" si="2"/>
        <v>--</v>
      </c>
      <c r="H31" s="124"/>
      <c r="I31" s="121">
        <f t="shared" si="3"/>
        <v>3.1000000000000001E-5</v>
      </c>
      <c r="J31" s="121" t="str">
        <f t="shared" si="4"/>
        <v>I</v>
      </c>
      <c r="K31" s="121" t="str">
        <f t="shared" si="5"/>
        <v/>
      </c>
      <c r="L31" s="121" t="str">
        <f t="shared" si="6"/>
        <v/>
      </c>
      <c r="M31" s="121" t="str">
        <f>VLOOKUP(B31,VISL!$B:$W,22,FALSE)</f>
        <v/>
      </c>
      <c r="N31"/>
      <c r="O31" s="190" t="str">
        <f t="shared" si="7"/>
        <v/>
      </c>
      <c r="P31"/>
      <c r="Q31"/>
      <c r="R31"/>
      <c r="S31"/>
    </row>
    <row r="32" spans="1:19">
      <c r="A32" s="124" t="str">
        <f>IF(INDEX(VISL!A:A,MATCH(B32,VISL!B:B,0))="x","x","")</f>
        <v/>
      </c>
      <c r="B32" s="344" t="s">
        <v>203</v>
      </c>
      <c r="C32" s="269" t="s">
        <v>2235</v>
      </c>
      <c r="D32" s="201"/>
      <c r="E32" s="194" t="str">
        <f t="shared" si="0"/>
        <v>--</v>
      </c>
      <c r="F32" s="122" t="str">
        <f t="shared" si="1"/>
        <v>--</v>
      </c>
      <c r="G32" s="123" t="str">
        <f t="shared" si="2"/>
        <v>--</v>
      </c>
      <c r="H32" s="124"/>
      <c r="I32" s="121">
        <f t="shared" si="3"/>
        <v>6.0000000000000002E-5</v>
      </c>
      <c r="J32" s="121" t="str">
        <f t="shared" si="4"/>
        <v>E</v>
      </c>
      <c r="K32" s="121" t="str">
        <f t="shared" si="5"/>
        <v/>
      </c>
      <c r="L32" s="121" t="str">
        <f t="shared" si="6"/>
        <v/>
      </c>
      <c r="M32" s="121" t="str">
        <f>VLOOKUP(B32,VISL!$B:$W,22,FALSE)</f>
        <v>Mut</v>
      </c>
      <c r="N32"/>
      <c r="O32" s="190" t="str">
        <f t="shared" si="7"/>
        <v/>
      </c>
      <c r="P32"/>
      <c r="Q32"/>
      <c r="R32"/>
      <c r="S32"/>
    </row>
    <row r="33" spans="1:19">
      <c r="A33" s="124" t="str">
        <f>IF(INDEX(VISL!A:A,MATCH(B33,VISL!B:B,0))="x","x","")</f>
        <v/>
      </c>
      <c r="B33" s="344" t="s">
        <v>686</v>
      </c>
      <c r="C33" s="269" t="s">
        <v>426</v>
      </c>
      <c r="D33" s="201"/>
      <c r="E33" s="194" t="str">
        <f t="shared" si="0"/>
        <v>--</v>
      </c>
      <c r="F33" s="122" t="str">
        <f t="shared" si="1"/>
        <v>--</v>
      </c>
      <c r="G33" s="123" t="str">
        <f t="shared" si="2"/>
        <v>--</v>
      </c>
      <c r="H33" s="124"/>
      <c r="I33" s="121">
        <f t="shared" si="3"/>
        <v>7.7999999999999999E-6</v>
      </c>
      <c r="J33" s="121" t="str">
        <f t="shared" si="4"/>
        <v>I</v>
      </c>
      <c r="K33" s="121">
        <f t="shared" si="5"/>
        <v>0.03</v>
      </c>
      <c r="L33" s="121" t="str">
        <f t="shared" si="6"/>
        <v>I</v>
      </c>
      <c r="M33" s="121" t="str">
        <f>VLOOKUP(B33,VISL!$B:$W,22,FALSE)</f>
        <v/>
      </c>
      <c r="N33"/>
      <c r="O33" s="190" t="str">
        <f t="shared" si="7"/>
        <v/>
      </c>
      <c r="P33"/>
      <c r="Q33"/>
      <c r="R33"/>
      <c r="S33"/>
    </row>
    <row r="34" spans="1:19">
      <c r="A34" s="124" t="str">
        <f>IF(INDEX(VISL!A:A,MATCH(B34,VISL!B:B,0))="x","x","")</f>
        <v/>
      </c>
      <c r="B34" s="344" t="s">
        <v>692</v>
      </c>
      <c r="C34" s="269" t="s">
        <v>1002</v>
      </c>
      <c r="D34" s="201"/>
      <c r="E34" s="194" t="str">
        <f t="shared" si="0"/>
        <v>--</v>
      </c>
      <c r="F34" s="122" t="str">
        <f t="shared" si="1"/>
        <v>--</v>
      </c>
      <c r="G34" s="123" t="str">
        <f t="shared" si="2"/>
        <v>--</v>
      </c>
      <c r="H34" s="124"/>
      <c r="I34" s="121">
        <f t="shared" si="3"/>
        <v>4.8999999999999998E-5</v>
      </c>
      <c r="J34" s="121" t="str">
        <f t="shared" si="4"/>
        <v>CA</v>
      </c>
      <c r="K34" s="121">
        <f t="shared" si="5"/>
        <v>1E-3</v>
      </c>
      <c r="L34" s="121" t="str">
        <f t="shared" si="6"/>
        <v>P</v>
      </c>
      <c r="M34" s="121" t="str">
        <f>VLOOKUP(B34,VISL!$B:$W,22,FALSE)</f>
        <v/>
      </c>
      <c r="N34"/>
      <c r="O34" s="190" t="str">
        <f t="shared" si="7"/>
        <v/>
      </c>
      <c r="P34"/>
      <c r="Q34"/>
      <c r="R34"/>
      <c r="S34"/>
    </row>
    <row r="35" spans="1:19">
      <c r="A35" s="124" t="str">
        <f>IF(INDEX(VISL!A:A,MATCH(B35,VISL!B:B,0))="x","x","")</f>
        <v/>
      </c>
      <c r="B35" s="344" t="s">
        <v>374</v>
      </c>
      <c r="C35" s="269" t="s">
        <v>1006</v>
      </c>
      <c r="D35" s="201"/>
      <c r="E35" s="194" t="str">
        <f t="shared" si="0"/>
        <v>--</v>
      </c>
      <c r="F35" s="122" t="str">
        <f t="shared" si="1"/>
        <v>--</v>
      </c>
      <c r="G35" s="123" t="str">
        <f t="shared" si="2"/>
        <v>--</v>
      </c>
      <c r="H35" s="124"/>
      <c r="I35" s="121" t="str">
        <f t="shared" si="3"/>
        <v/>
      </c>
      <c r="J35" s="121" t="str">
        <f t="shared" si="4"/>
        <v/>
      </c>
      <c r="K35" s="121">
        <f t="shared" si="5"/>
        <v>4.0000000000000002E-4</v>
      </c>
      <c r="L35" s="121" t="str">
        <f t="shared" si="6"/>
        <v>X</v>
      </c>
      <c r="M35" s="121" t="str">
        <f>VLOOKUP(B35,VISL!$B:$W,22,FALSE)</f>
        <v/>
      </c>
      <c r="N35"/>
      <c r="O35" s="190" t="str">
        <f t="shared" si="7"/>
        <v/>
      </c>
      <c r="P35"/>
      <c r="Q35"/>
      <c r="R35"/>
      <c r="S35"/>
    </row>
    <row r="36" spans="1:19">
      <c r="A36" s="124" t="str">
        <f>IF(INDEX(VISL!A:A,MATCH(B36,VISL!B:B,0))="x","x","")</f>
        <v/>
      </c>
      <c r="B36" s="269" t="s">
        <v>698</v>
      </c>
      <c r="C36" s="269" t="s">
        <v>428</v>
      </c>
      <c r="D36" s="201"/>
      <c r="E36" s="194" t="str">
        <f t="shared" si="0"/>
        <v>--</v>
      </c>
      <c r="F36" s="122" t="str">
        <f t="shared" si="1"/>
        <v>--</v>
      </c>
      <c r="G36" s="123" t="str">
        <f t="shared" si="2"/>
        <v>--</v>
      </c>
      <c r="H36" s="124"/>
      <c r="I36" s="121">
        <f t="shared" si="3"/>
        <v>3.3E-4</v>
      </c>
      <c r="J36" s="121" t="str">
        <f t="shared" si="4"/>
        <v>I</v>
      </c>
      <c r="K36" s="121" t="str">
        <f t="shared" si="5"/>
        <v/>
      </c>
      <c r="L36" s="121" t="str">
        <f t="shared" si="6"/>
        <v/>
      </c>
      <c r="M36" s="121" t="str">
        <f>VLOOKUP(B36,VISL!$B:$W,22,FALSE)</f>
        <v/>
      </c>
      <c r="N36"/>
      <c r="O36" s="190" t="str">
        <f t="shared" si="7"/>
        <v/>
      </c>
      <c r="P36"/>
      <c r="Q36"/>
      <c r="R36"/>
      <c r="S36"/>
    </row>
    <row r="37" spans="1:19">
      <c r="A37" s="124" t="str">
        <f>IF(INDEX(VISL!A:A,MATCH(B37,VISL!B:B,0))="x","x","")</f>
        <v/>
      </c>
      <c r="B37" s="344" t="s">
        <v>700</v>
      </c>
      <c r="C37" s="269" t="s">
        <v>1435</v>
      </c>
      <c r="D37" s="201"/>
      <c r="E37" s="194" t="str">
        <f t="shared" si="0"/>
        <v>--</v>
      </c>
      <c r="F37" s="122" t="str">
        <f t="shared" si="1"/>
        <v>--</v>
      </c>
      <c r="G37" s="123" t="str">
        <f t="shared" si="2"/>
        <v>--</v>
      </c>
      <c r="H37" s="124"/>
      <c r="I37" s="121">
        <f t="shared" si="3"/>
        <v>6.2E-2</v>
      </c>
      <c r="J37" s="121" t="str">
        <f t="shared" si="4"/>
        <v>I</v>
      </c>
      <c r="K37" s="121" t="str">
        <f t="shared" si="5"/>
        <v/>
      </c>
      <c r="L37" s="121" t="str">
        <f t="shared" si="6"/>
        <v/>
      </c>
      <c r="M37" s="121" t="str">
        <f>VLOOKUP(B37,VISL!$B:$W,22,FALSE)</f>
        <v/>
      </c>
      <c r="N37"/>
      <c r="O37" s="190" t="str">
        <f t="shared" si="7"/>
        <v/>
      </c>
      <c r="P37"/>
      <c r="Q37"/>
      <c r="R37"/>
      <c r="S37"/>
    </row>
    <row r="38" spans="1:19">
      <c r="A38" s="124" t="str">
        <f>IF(INDEX(VISL!A:A,MATCH(B38,VISL!B:B,0))="x","x","")</f>
        <v/>
      </c>
      <c r="B38" s="269" t="s">
        <v>1997</v>
      </c>
      <c r="C38" s="269" t="s">
        <v>1996</v>
      </c>
      <c r="D38" s="201"/>
      <c r="E38" s="194" t="str">
        <f t="shared" si="0"/>
        <v>--</v>
      </c>
      <c r="F38" s="122" t="str">
        <f t="shared" si="1"/>
        <v>--</v>
      </c>
      <c r="G38" s="123" t="str">
        <f t="shared" si="2"/>
        <v>--</v>
      </c>
      <c r="H38" s="124"/>
      <c r="I38" s="121" t="str">
        <f t="shared" si="3"/>
        <v/>
      </c>
      <c r="J38" s="121" t="str">
        <f t="shared" si="4"/>
        <v/>
      </c>
      <c r="K38" s="121">
        <f t="shared" si="5"/>
        <v>0.02</v>
      </c>
      <c r="L38" s="121" t="str">
        <f t="shared" si="6"/>
        <v>P</v>
      </c>
      <c r="M38" s="121" t="str">
        <f>VLOOKUP(B38,VISL!$B:$W,22,FALSE)</f>
        <v/>
      </c>
      <c r="N38"/>
      <c r="O38" s="190" t="str">
        <f t="shared" si="7"/>
        <v/>
      </c>
      <c r="P38"/>
      <c r="Q38"/>
      <c r="R38"/>
      <c r="S38"/>
    </row>
    <row r="39" spans="1:19">
      <c r="A39" s="124" t="str">
        <f>IF(INDEX(VISL!A:A,MATCH(B39,VISL!B:B,0))="x","x","")</f>
        <v/>
      </c>
      <c r="B39" s="344" t="s">
        <v>703</v>
      </c>
      <c r="C39" s="269" t="s">
        <v>1011</v>
      </c>
      <c r="D39" s="201"/>
      <c r="E39" s="194" t="str">
        <f t="shared" si="0"/>
        <v>--</v>
      </c>
      <c r="F39" s="122" t="str">
        <f t="shared" si="1"/>
        <v>--</v>
      </c>
      <c r="G39" s="123" t="str">
        <f t="shared" si="2"/>
        <v>--</v>
      </c>
      <c r="H39" s="124"/>
      <c r="I39" s="121" t="str">
        <f t="shared" si="3"/>
        <v/>
      </c>
      <c r="J39" s="121" t="str">
        <f t="shared" si="4"/>
        <v/>
      </c>
      <c r="K39" s="121">
        <f t="shared" si="5"/>
        <v>1.2999999999999999E-2</v>
      </c>
      <c r="L39" s="121" t="str">
        <f t="shared" si="6"/>
        <v>CA</v>
      </c>
      <c r="M39" s="121" t="str">
        <f>VLOOKUP(B39,VISL!$B:$W,22,FALSE)</f>
        <v/>
      </c>
      <c r="N39"/>
      <c r="O39" s="190" t="str">
        <f t="shared" si="7"/>
        <v/>
      </c>
      <c r="P39"/>
      <c r="Q39"/>
      <c r="R39"/>
      <c r="S39"/>
    </row>
    <row r="40" spans="1:19">
      <c r="A40" s="124" t="str">
        <f>IF(INDEX(VISL!A:A,MATCH(B40,VISL!B:B,0))="x","x","")</f>
        <v/>
      </c>
      <c r="B40" s="269" t="s">
        <v>705</v>
      </c>
      <c r="C40" s="269" t="s">
        <v>561</v>
      </c>
      <c r="D40" s="201"/>
      <c r="E40" s="194" t="str">
        <f t="shared" si="0"/>
        <v>--</v>
      </c>
      <c r="F40" s="122" t="str">
        <f t="shared" si="1"/>
        <v>--</v>
      </c>
      <c r="G40" s="123" t="str">
        <f t="shared" si="2"/>
        <v>--</v>
      </c>
      <c r="H40" s="124"/>
      <c r="I40" s="121">
        <f t="shared" si="3"/>
        <v>5.9999999999999995E-4</v>
      </c>
      <c r="J40" s="121" t="str">
        <f t="shared" si="4"/>
        <v>X</v>
      </c>
      <c r="K40" s="121" t="str">
        <f t="shared" si="5"/>
        <v/>
      </c>
      <c r="L40" s="121" t="str">
        <f t="shared" si="6"/>
        <v/>
      </c>
      <c r="M40" s="121" t="str">
        <f>VLOOKUP(B40,VISL!$B:$W,22,FALSE)</f>
        <v/>
      </c>
      <c r="N40"/>
      <c r="O40" s="190" t="str">
        <f t="shared" si="7"/>
        <v/>
      </c>
      <c r="P40"/>
      <c r="Q40"/>
      <c r="R40"/>
      <c r="S40"/>
    </row>
    <row r="41" spans="1:19">
      <c r="A41" s="124" t="str">
        <f>IF(INDEX(VISL!A:A,MATCH(B41,VISL!B:B,0))="x","x","")</f>
        <v/>
      </c>
      <c r="B41" s="274" t="s">
        <v>706</v>
      </c>
      <c r="C41" s="269" t="s">
        <v>523</v>
      </c>
      <c r="D41" s="201"/>
      <c r="E41" s="194" t="str">
        <f t="shared" si="0"/>
        <v>--</v>
      </c>
      <c r="F41" s="122" t="str">
        <f t="shared" si="1"/>
        <v>--</v>
      </c>
      <c r="G41" s="123" t="str">
        <f t="shared" si="2"/>
        <v>--</v>
      </c>
      <c r="H41" s="124"/>
      <c r="I41" s="121" t="str">
        <f t="shared" si="3"/>
        <v/>
      </c>
      <c r="J41" s="121" t="str">
        <f t="shared" si="4"/>
        <v/>
      </c>
      <c r="K41" s="121">
        <f t="shared" si="5"/>
        <v>0.06</v>
      </c>
      <c r="L41" s="121" t="str">
        <f t="shared" si="6"/>
        <v>I</v>
      </c>
      <c r="M41" s="121" t="str">
        <f>VLOOKUP(B41,VISL!$B:$W,22,FALSE)</f>
        <v/>
      </c>
      <c r="N41"/>
      <c r="O41" s="190" t="str">
        <f t="shared" si="7"/>
        <v/>
      </c>
      <c r="P41"/>
      <c r="Q41"/>
      <c r="R41"/>
      <c r="S41"/>
    </row>
    <row r="42" spans="1:19">
      <c r="A42" s="124" t="str">
        <f>IF(INDEX(VISL!A:A,MATCH(B42,VISL!B:B,0))="x","x","")</f>
        <v/>
      </c>
      <c r="B42" s="344" t="s">
        <v>1562</v>
      </c>
      <c r="C42" s="269" t="s">
        <v>1561</v>
      </c>
      <c r="D42" s="201"/>
      <c r="E42" s="194" t="str">
        <f t="shared" si="0"/>
        <v>--</v>
      </c>
      <c r="F42" s="122" t="str">
        <f t="shared" si="1"/>
        <v>--</v>
      </c>
      <c r="G42" s="123" t="str">
        <f t="shared" si="2"/>
        <v>--</v>
      </c>
      <c r="H42" s="124"/>
      <c r="I42" s="121" t="str">
        <f t="shared" si="3"/>
        <v/>
      </c>
      <c r="J42" s="121" t="str">
        <f t="shared" si="4"/>
        <v/>
      </c>
      <c r="K42" s="121">
        <f t="shared" si="5"/>
        <v>0.04</v>
      </c>
      <c r="L42" s="121" t="str">
        <f t="shared" si="6"/>
        <v>X</v>
      </c>
      <c r="M42" s="121" t="str">
        <f>VLOOKUP(B42,VISL!$B:$W,22,FALSE)</f>
        <v/>
      </c>
      <c r="N42"/>
      <c r="O42" s="190" t="str">
        <f t="shared" si="7"/>
        <v/>
      </c>
      <c r="P42"/>
      <c r="Q42"/>
      <c r="R42"/>
      <c r="S42"/>
    </row>
    <row r="43" spans="1:19">
      <c r="A43" s="124" t="str">
        <f>IF(INDEX(VISL!A:A,MATCH(B43,VISL!B:B,0))="x","x","")</f>
        <v/>
      </c>
      <c r="B43" s="269" t="s">
        <v>707</v>
      </c>
      <c r="C43" s="269" t="s">
        <v>429</v>
      </c>
      <c r="D43" s="201"/>
      <c r="E43" s="194" t="str">
        <f t="shared" si="0"/>
        <v>--</v>
      </c>
      <c r="F43" s="122" t="str">
        <f t="shared" si="1"/>
        <v>--</v>
      </c>
      <c r="G43" s="123" t="str">
        <f t="shared" si="2"/>
        <v>--</v>
      </c>
      <c r="H43" s="124"/>
      <c r="I43" s="121">
        <f t="shared" si="3"/>
        <v>3.6999999999999998E-5</v>
      </c>
      <c r="J43" s="121" t="str">
        <f t="shared" si="4"/>
        <v>CA</v>
      </c>
      <c r="K43" s="121" t="str">
        <f t="shared" si="5"/>
        <v/>
      </c>
      <c r="L43" s="121" t="str">
        <f t="shared" si="6"/>
        <v/>
      </c>
      <c r="M43" s="121" t="str">
        <f>VLOOKUP(B43,VISL!$B:$W,22,FALSE)</f>
        <v/>
      </c>
      <c r="N43"/>
      <c r="O43" s="190" t="str">
        <f t="shared" si="7"/>
        <v/>
      </c>
      <c r="P43"/>
      <c r="Q43"/>
      <c r="R43"/>
      <c r="S43"/>
    </row>
    <row r="44" spans="1:19">
      <c r="A44" s="124" t="str">
        <f>IF(INDEX(VISL!A:A,MATCH(B44,VISL!B:B,0))="x","x","")</f>
        <v/>
      </c>
      <c r="B44" s="269" t="s">
        <v>708</v>
      </c>
      <c r="C44" s="269" t="s">
        <v>430</v>
      </c>
      <c r="D44" s="201"/>
      <c r="E44" s="194" t="str">
        <f t="shared" si="0"/>
        <v>--</v>
      </c>
      <c r="F44" s="122" t="str">
        <f t="shared" si="1"/>
        <v>--</v>
      </c>
      <c r="G44" s="123" t="str">
        <f t="shared" si="2"/>
        <v>--</v>
      </c>
      <c r="H44" s="124"/>
      <c r="I44" s="121">
        <f t="shared" si="3"/>
        <v>1.1000000000000001E-6</v>
      </c>
      <c r="J44" s="121" t="str">
        <f t="shared" si="4"/>
        <v>I</v>
      </c>
      <c r="K44" s="121" t="str">
        <f t="shared" si="5"/>
        <v/>
      </c>
      <c r="L44" s="121" t="str">
        <f t="shared" si="6"/>
        <v/>
      </c>
      <c r="M44" s="121" t="str">
        <f>VLOOKUP(B44,VISL!$B:$W,22,FALSE)</f>
        <v/>
      </c>
      <c r="N44"/>
      <c r="O44" s="190" t="str">
        <f t="shared" si="7"/>
        <v/>
      </c>
      <c r="P44"/>
      <c r="Q44"/>
      <c r="R44"/>
      <c r="S44"/>
    </row>
    <row r="45" spans="1:19" s="190" customFormat="1">
      <c r="A45" s="124" t="str">
        <f>IF(INDEX(VISL!A:A,MATCH(B45,VISL!B:B,0))="x","x","")</f>
        <v/>
      </c>
      <c r="B45" s="269" t="s">
        <v>709</v>
      </c>
      <c r="C45" s="269" t="s">
        <v>1013</v>
      </c>
      <c r="D45" s="201"/>
      <c r="E45" s="194" t="str">
        <f t="shared" ref="E45:E66" si="8">IF(INDEX(HLC_GW,MATCH(C45,ChemNameChem,0))="","No HLC",IF(OR(D45="",ISTEXT(D45)),"--",D45*AFgw_GW*1000*INDEX(HLC_GW, MATCH(C45, ChemNameChem,0))))</f>
        <v>--</v>
      </c>
      <c r="F45" s="122" t="str">
        <f t="shared" ref="F45:F66" si="9">IF(ISTEXT(E45),"--",IF(I45="","No IUR",IF(LEFT(E45,1)="N",E45,IF(M45&lt;&gt;"TCE",E45*(IF(AND(M45="VC",Scenario_GW="Residential"),I45,0)+I45*IF(M45="Mut",MMOAAF_GW,ED_GW)*EF_GW*ET_GW/(ATc_GW*365*24)),E45*mIURTCE_GW*MMOAAF_GW*EF_GW*ET_GW/(ATc_GW*365*24)+E45*IURTCE_GW*ED_GW*EF_GW*ET_GW/(ATc_GW*365*24)))))</f>
        <v>--</v>
      </c>
      <c r="G45" s="123" t="str">
        <f t="shared" ref="G45:G66" si="10">IF(ISTEXT(E45),"--",IF(K45="","No RfC",IF(E45="No HLC","No HLC",E45*EF_GW*ED_GW*ET_GW/(K45*Atnc_GW*365*24*1000))))</f>
        <v>--</v>
      </c>
      <c r="H45" s="124"/>
      <c r="I45" s="121" t="str">
        <f t="shared" ref="I45:I66" si="11">IF(INDEX(IUR,MATCH(B45,CASNoTox,0))=" ","",IF(M45="TCE","see note",INDEX(IUR,MATCH(B45,CASNoTox,0))))</f>
        <v/>
      </c>
      <c r="J45" s="121" t="str">
        <f t="shared" ref="J45:J66" si="12">IF(INDEX(IURSource,MATCH(B45,CASNoTox,0))="","",SUBSTITUTE(INDEX(IURSource,MATCH(B45,CASNoTox,0)),"C","CA"))</f>
        <v/>
      </c>
      <c r="K45" s="121">
        <f t="shared" ref="K45:K66" si="13">IF(INDEX(RFC,MATCH(B45,CASNoTox,0))=" ","",INDEX(RFC,MATCH(B45,CASNoTox,0)))</f>
        <v>5.0000000000000001E-3</v>
      </c>
      <c r="L45" s="121" t="str">
        <f t="shared" ref="L45:L66" si="14">IF(INDEX(RFCSource,MATCH(B45,CASNoTox,0))="","",SUBSTITUTE(INDEX(RFCSource,MATCH(B45,CASNoTox,0)),"C","CA"))</f>
        <v>I</v>
      </c>
      <c r="M45" s="121" t="str">
        <f>VLOOKUP(B45,VISL!$B:$W,22,FALSE)</f>
        <v/>
      </c>
      <c r="O45" s="190" t="str">
        <f t="shared" si="7"/>
        <v/>
      </c>
    </row>
    <row r="46" spans="1:19">
      <c r="A46" s="124" t="str">
        <f>IF(INDEX(VISL!A:A,MATCH(B46,VISL!B:B,0))="x","x","")</f>
        <v/>
      </c>
      <c r="B46" s="344" t="s">
        <v>713</v>
      </c>
      <c r="C46" s="269" t="s">
        <v>1017</v>
      </c>
      <c r="D46" s="201"/>
      <c r="E46" s="194" t="str">
        <f t="shared" si="8"/>
        <v>--</v>
      </c>
      <c r="F46" s="122" t="str">
        <f t="shared" si="9"/>
        <v>--</v>
      </c>
      <c r="G46" s="123" t="str">
        <f t="shared" si="10"/>
        <v>--</v>
      </c>
      <c r="H46" s="124"/>
      <c r="I46" s="121">
        <f t="shared" si="11"/>
        <v>3.0000000000000001E-5</v>
      </c>
      <c r="J46" s="121" t="str">
        <f t="shared" si="12"/>
        <v>I</v>
      </c>
      <c r="K46" s="121">
        <f t="shared" si="13"/>
        <v>2E-3</v>
      </c>
      <c r="L46" s="121" t="str">
        <f t="shared" si="14"/>
        <v>I</v>
      </c>
      <c r="M46" s="121" t="str">
        <f>VLOOKUP(B46,VISL!$B:$W,22,FALSE)</f>
        <v/>
      </c>
      <c r="N46"/>
      <c r="O46" s="190" t="str">
        <f t="shared" si="7"/>
        <v/>
      </c>
      <c r="P46"/>
      <c r="Q46"/>
      <c r="R46"/>
      <c r="S46"/>
    </row>
    <row r="47" spans="1:19">
      <c r="A47" s="124" t="str">
        <f>IF(INDEX(VISL!A:A,MATCH(B47,VISL!B:B,0))="x","x","")</f>
        <v/>
      </c>
      <c r="B47" s="344" t="s">
        <v>716</v>
      </c>
      <c r="C47" s="269" t="s">
        <v>562</v>
      </c>
      <c r="D47" s="201"/>
      <c r="E47" s="194" t="str">
        <f t="shared" si="8"/>
        <v>--</v>
      </c>
      <c r="F47" s="122" t="str">
        <f t="shared" si="9"/>
        <v>--</v>
      </c>
      <c r="G47" s="123" t="str">
        <f t="shared" si="10"/>
        <v>--</v>
      </c>
      <c r="H47" s="124"/>
      <c r="I47" s="121" t="str">
        <f t="shared" si="11"/>
        <v/>
      </c>
      <c r="J47" s="121" t="str">
        <f t="shared" si="12"/>
        <v/>
      </c>
      <c r="K47" s="121">
        <f t="shared" si="13"/>
        <v>30</v>
      </c>
      <c r="L47" s="121" t="str">
        <f t="shared" si="14"/>
        <v>P</v>
      </c>
      <c r="M47" s="121" t="str">
        <f>VLOOKUP(B47,VISL!$B:$W,22,FALSE)</f>
        <v/>
      </c>
      <c r="N47"/>
      <c r="O47" s="190" t="str">
        <f t="shared" si="7"/>
        <v/>
      </c>
      <c r="P47"/>
      <c r="Q47"/>
      <c r="R47"/>
      <c r="S47"/>
    </row>
    <row r="48" spans="1:19">
      <c r="A48" s="124" t="str">
        <f>IF(INDEX(VISL!A:A,MATCH(B48,VISL!B:B,0))="x","x","")</f>
        <v/>
      </c>
      <c r="B48" s="269" t="s">
        <v>727</v>
      </c>
      <c r="C48" s="269" t="s">
        <v>1025</v>
      </c>
      <c r="D48" s="201"/>
      <c r="E48" s="194" t="str">
        <f t="shared" si="8"/>
        <v>--</v>
      </c>
      <c r="F48" s="122" t="str">
        <f t="shared" si="9"/>
        <v>--</v>
      </c>
      <c r="G48" s="123" t="str">
        <f t="shared" si="10"/>
        <v>--</v>
      </c>
      <c r="H48" s="124"/>
      <c r="I48" s="121" t="str">
        <f t="shared" si="11"/>
        <v/>
      </c>
      <c r="J48" s="121" t="str">
        <f t="shared" si="12"/>
        <v/>
      </c>
      <c r="K48" s="121">
        <f t="shared" si="13"/>
        <v>0.7</v>
      </c>
      <c r="L48" s="121" t="str">
        <f t="shared" si="14"/>
        <v>I</v>
      </c>
      <c r="M48" s="121" t="str">
        <f>VLOOKUP(B48,VISL!$B:$W,22,FALSE)</f>
        <v/>
      </c>
      <c r="N48"/>
      <c r="O48" s="190" t="str">
        <f t="shared" si="7"/>
        <v/>
      </c>
      <c r="P48"/>
      <c r="Q48"/>
      <c r="R48"/>
      <c r="S48"/>
    </row>
    <row r="49" spans="1:19">
      <c r="A49" s="124" t="str">
        <f>IF(INDEX(VISL!A:A,MATCH(B49,VISL!B:B,0))="x","x","")</f>
        <v/>
      </c>
      <c r="B49" s="344" t="s">
        <v>728</v>
      </c>
      <c r="C49" s="269" t="s">
        <v>1026</v>
      </c>
      <c r="D49" s="201"/>
      <c r="E49" s="194" t="str">
        <f t="shared" si="8"/>
        <v>--</v>
      </c>
      <c r="F49" s="122" t="str">
        <f t="shared" si="9"/>
        <v>--</v>
      </c>
      <c r="G49" s="123" t="str">
        <f t="shared" si="10"/>
        <v>--</v>
      </c>
      <c r="H49" s="124"/>
      <c r="I49" s="121">
        <f t="shared" si="11"/>
        <v>6.0000000000000002E-6</v>
      </c>
      <c r="J49" s="121" t="str">
        <f t="shared" si="12"/>
        <v>I</v>
      </c>
      <c r="K49" s="121">
        <f t="shared" si="13"/>
        <v>0.1</v>
      </c>
      <c r="L49" s="121" t="str">
        <f t="shared" si="14"/>
        <v>I</v>
      </c>
      <c r="M49" s="121" t="str">
        <f>VLOOKUP(B49,VISL!$B:$W,22,FALSE)</f>
        <v/>
      </c>
      <c r="N49"/>
      <c r="O49" s="190" t="str">
        <f t="shared" si="7"/>
        <v/>
      </c>
      <c r="P49"/>
      <c r="Q49"/>
      <c r="R49"/>
      <c r="S49"/>
    </row>
    <row r="50" spans="1:19">
      <c r="A50" s="124" t="str">
        <f>IF(INDEX(VISL!A:A,MATCH(B50,VISL!B:B,0))="x","x","")</f>
        <v/>
      </c>
      <c r="B50" s="344" t="s">
        <v>2280</v>
      </c>
      <c r="C50" s="269" t="s">
        <v>2281</v>
      </c>
      <c r="D50" s="201"/>
      <c r="E50" s="194" t="str">
        <f t="shared" si="8"/>
        <v>--</v>
      </c>
      <c r="F50" s="122" t="str">
        <f t="shared" si="9"/>
        <v>--</v>
      </c>
      <c r="G50" s="123" t="str">
        <f t="shared" si="10"/>
        <v>--</v>
      </c>
      <c r="H50" s="124"/>
      <c r="I50" s="121" t="str">
        <f t="shared" si="11"/>
        <v/>
      </c>
      <c r="J50" s="121" t="str">
        <f t="shared" si="12"/>
        <v/>
      </c>
      <c r="K50" s="121">
        <f t="shared" si="13"/>
        <v>0.1</v>
      </c>
      <c r="L50" s="121" t="str">
        <f t="shared" si="14"/>
        <v>P</v>
      </c>
      <c r="M50" s="121" t="str">
        <f>VLOOKUP(B50,VISL!$B:$W,22,FALSE)</f>
        <v/>
      </c>
      <c r="N50"/>
      <c r="O50" s="190" t="str">
        <f t="shared" si="7"/>
        <v/>
      </c>
      <c r="P50"/>
      <c r="Q50"/>
      <c r="R50"/>
      <c r="S50"/>
    </row>
    <row r="51" spans="1:19">
      <c r="A51" s="124" t="str">
        <f>IF(INDEX(VISL!A:A,MATCH(B51,VISL!B:B,0))="x","x","")</f>
        <v/>
      </c>
      <c r="B51" s="344" t="s">
        <v>735</v>
      </c>
      <c r="C51" s="269" t="s">
        <v>431</v>
      </c>
      <c r="D51" s="201"/>
      <c r="E51" s="194" t="str">
        <f t="shared" si="8"/>
        <v>--</v>
      </c>
      <c r="F51" s="122" t="str">
        <f t="shared" si="9"/>
        <v>--</v>
      </c>
      <c r="G51" s="123" t="str">
        <f t="shared" si="10"/>
        <v>--</v>
      </c>
      <c r="H51" s="124"/>
      <c r="I51" s="121">
        <f t="shared" si="11"/>
        <v>1E-4</v>
      </c>
      <c r="J51" s="121" t="str">
        <f t="shared" si="12"/>
        <v>I</v>
      </c>
      <c r="K51" s="121">
        <f t="shared" si="13"/>
        <v>6.9999999999999999E-4</v>
      </c>
      <c r="L51" s="121" t="str">
        <f t="shared" si="14"/>
        <v>I</v>
      </c>
      <c r="M51" s="121" t="str">
        <f>VLOOKUP(B51,VISL!$B:$W,22,FALSE)</f>
        <v/>
      </c>
      <c r="N51"/>
      <c r="O51" s="190" t="str">
        <f t="shared" si="7"/>
        <v/>
      </c>
      <c r="P51"/>
      <c r="Q51"/>
      <c r="R51"/>
      <c r="S51"/>
    </row>
    <row r="52" spans="1:19">
      <c r="A52" s="124" t="str">
        <f>IF(INDEX(VISL!A:A,MATCH(B52,VISL!B:B,0))="x","x","")</f>
        <v/>
      </c>
      <c r="B52" s="344" t="s">
        <v>739</v>
      </c>
      <c r="C52" s="269" t="s">
        <v>1034</v>
      </c>
      <c r="D52" s="201"/>
      <c r="E52" s="194" t="str">
        <f t="shared" si="8"/>
        <v>--</v>
      </c>
      <c r="F52" s="122" t="str">
        <f t="shared" si="9"/>
        <v>--</v>
      </c>
      <c r="G52" s="123" t="str">
        <f t="shared" si="10"/>
        <v>--</v>
      </c>
      <c r="H52" s="124"/>
      <c r="I52" s="121" t="str">
        <f t="shared" si="11"/>
        <v/>
      </c>
      <c r="J52" s="121" t="str">
        <f t="shared" si="12"/>
        <v/>
      </c>
      <c r="K52" s="121">
        <f t="shared" si="13"/>
        <v>1.4999999999999999E-4</v>
      </c>
      <c r="L52" s="121" t="str">
        <f t="shared" si="14"/>
        <v>A</v>
      </c>
      <c r="M52" s="121" t="str">
        <f>VLOOKUP(B52,VISL!$B:$W,22,FALSE)</f>
        <v/>
      </c>
      <c r="N52"/>
      <c r="O52" s="190" t="str">
        <f t="shared" si="7"/>
        <v/>
      </c>
      <c r="P52"/>
      <c r="Q52"/>
      <c r="R52"/>
      <c r="S52"/>
    </row>
    <row r="53" spans="1:19">
      <c r="A53" s="124" t="str">
        <f>IF(INDEX(VISL!A:A,MATCH(B53,VISL!B:B,0))="x","x","")</f>
        <v/>
      </c>
      <c r="B53" s="269" t="s">
        <v>740</v>
      </c>
      <c r="C53" s="269" t="s">
        <v>1035</v>
      </c>
      <c r="D53" s="201"/>
      <c r="E53" s="194" t="str">
        <f t="shared" si="8"/>
        <v>--</v>
      </c>
      <c r="F53" s="122" t="str">
        <f t="shared" si="9"/>
        <v>--</v>
      </c>
      <c r="G53" s="123" t="str">
        <f t="shared" si="10"/>
        <v>--</v>
      </c>
      <c r="H53" s="124"/>
      <c r="I53" s="121" t="str">
        <f t="shared" si="11"/>
        <v/>
      </c>
      <c r="J53" s="121" t="str">
        <f t="shared" si="12"/>
        <v/>
      </c>
      <c r="K53" s="121">
        <f t="shared" si="13"/>
        <v>2.0000000000000001E-4</v>
      </c>
      <c r="L53" s="121" t="str">
        <f t="shared" si="14"/>
        <v>I</v>
      </c>
      <c r="M53" s="121" t="str">
        <f>VLOOKUP(B53,VISL!$B:$W,22,FALSE)</f>
        <v/>
      </c>
      <c r="N53"/>
      <c r="O53" s="190" t="str">
        <f t="shared" si="7"/>
        <v/>
      </c>
      <c r="P53"/>
      <c r="Q53"/>
      <c r="R53"/>
      <c r="S53"/>
    </row>
    <row r="54" spans="1:19">
      <c r="A54" s="124" t="str">
        <f>IF(INDEX(VISL!A:A,MATCH(B54,VISL!B:B,0))="x","x","")</f>
        <v/>
      </c>
      <c r="B54" s="344" t="s">
        <v>742</v>
      </c>
      <c r="C54" s="269" t="s">
        <v>1037</v>
      </c>
      <c r="D54" s="244"/>
      <c r="E54" s="194" t="str">
        <f t="shared" si="8"/>
        <v>--</v>
      </c>
      <c r="F54" s="122" t="str">
        <f t="shared" si="9"/>
        <v>--</v>
      </c>
      <c r="G54" s="123" t="str">
        <f t="shared" si="10"/>
        <v>--</v>
      </c>
      <c r="H54" s="124"/>
      <c r="I54" s="121" t="str">
        <f t="shared" si="11"/>
        <v/>
      </c>
      <c r="J54" s="121" t="str">
        <f t="shared" si="12"/>
        <v/>
      </c>
      <c r="K54" s="121">
        <f t="shared" si="13"/>
        <v>50</v>
      </c>
      <c r="L54" s="121" t="str">
        <f t="shared" si="14"/>
        <v>I</v>
      </c>
      <c r="M54" s="121" t="str">
        <f>VLOOKUP(B54,VISL!$B:$W,22,FALSE)</f>
        <v/>
      </c>
      <c r="N54"/>
      <c r="O54" s="190" t="str">
        <f t="shared" si="7"/>
        <v/>
      </c>
      <c r="P54"/>
      <c r="Q54"/>
      <c r="R54"/>
      <c r="S54"/>
    </row>
    <row r="55" spans="1:19">
      <c r="A55" s="124" t="str">
        <f>IF(INDEX(VISL!A:A,MATCH(B55,VISL!B:B,0))="x","x","")</f>
        <v/>
      </c>
      <c r="B55" s="344" t="s">
        <v>743</v>
      </c>
      <c r="C55" s="269" t="s">
        <v>1038</v>
      </c>
      <c r="D55" s="201"/>
      <c r="E55" s="194" t="str">
        <f t="shared" si="8"/>
        <v>--</v>
      </c>
      <c r="F55" s="122" t="str">
        <f t="shared" si="9"/>
        <v>--</v>
      </c>
      <c r="G55" s="123" t="str">
        <f t="shared" si="10"/>
        <v>--</v>
      </c>
      <c r="H55" s="124"/>
      <c r="I55" s="121">
        <f t="shared" si="11"/>
        <v>2.9999999999999997E-4</v>
      </c>
      <c r="J55" s="121" t="str">
        <f t="shared" si="12"/>
        <v>I</v>
      </c>
      <c r="K55" s="121">
        <f t="shared" si="13"/>
        <v>0.02</v>
      </c>
      <c r="L55" s="121" t="str">
        <f t="shared" si="14"/>
        <v>I</v>
      </c>
      <c r="M55" s="121" t="str">
        <f>VLOOKUP(B55,VISL!$B:$W,22,FALSE)</f>
        <v/>
      </c>
      <c r="N55"/>
      <c r="O55" s="190" t="str">
        <f t="shared" si="7"/>
        <v/>
      </c>
      <c r="P55"/>
      <c r="Q55"/>
      <c r="R55"/>
      <c r="S55"/>
    </row>
    <row r="56" spans="1:19" s="190" customFormat="1">
      <c r="A56" s="124" t="str">
        <f>IF(INDEX(VISL!A:A,MATCH(B56,VISL!B:B,0))="x","x","")</f>
        <v/>
      </c>
      <c r="B56" s="269" t="s">
        <v>750</v>
      </c>
      <c r="C56" s="269" t="s">
        <v>432</v>
      </c>
      <c r="D56" s="201"/>
      <c r="E56" s="194" t="str">
        <f>IF(INDEX(HLC_GW,MATCH(C56,ChemNameChem,0))="","No HLC",IF(OR(D56="",ISTEXT(D56)),"--",D56*AFgw_GW*1000*INDEX(HLC_GW, MATCH(C56, ChemNameChem,0))))</f>
        <v>--</v>
      </c>
      <c r="F56" s="122" t="str">
        <f>IF(ISTEXT(E56),"--",IF(I56="","No IUR",IF(LEFT(E56,1)="N",E56,IF(M56&lt;&gt;"TCE",E56*(IF(AND(M56="VC",Scenario_GW="Residential"),I56,0)+I56*IF(M56="Mut",MMOAAF_GW,ED_GW)*EF_GW*ET_GW/(ATc_GW*365*24)),E56*mIURTCE_GW*MMOAAF_GW*EF_GW*ET_GW/(ATc_GW*365*24)+E56*IURTCE_GW*ED_GW*EF_GW*ET_GW/(ATc_GW*365*24)))))</f>
        <v>--</v>
      </c>
      <c r="G56" s="123" t="str">
        <f>IF(ISTEXT(E56),"--",IF(K56="","No RfC",IF(E56="No HLC","No HLC",E56*EF_GW*ED_GW*ET_GW/(K56*Atnc_GW*365*24*1000))))</f>
        <v>--</v>
      </c>
      <c r="H56" s="124"/>
      <c r="I56" s="121" t="str">
        <f>IF(INDEX(IUR,MATCH(B56,CASNoTox,0))=" ","",IF(M56="TCE","see note",INDEX(IUR,MATCH(B56,CASNoTox,0))))</f>
        <v/>
      </c>
      <c r="J56" s="121" t="str">
        <f>IF(INDEX(IURSource,MATCH(B56,CASNoTox,0))="","",SUBSTITUTE(INDEX(IURSource,MATCH(B56,CASNoTox,0)),"C","CA"))</f>
        <v/>
      </c>
      <c r="K56" s="121">
        <f>IF(INDEX(RFC,MATCH(B56,CASNoTox,0))=" ","",INDEX(RFC,MATCH(B56,CASNoTox,0)))</f>
        <v>0.05</v>
      </c>
      <c r="L56" s="121" t="str">
        <f>IF(INDEX(RFCSource,MATCH(B56,CASNoTox,0))="","",SUBSTITUTE(INDEX(RFCSource,MATCH(B56,CASNoTox,0)),"C","CA"))</f>
        <v>P</v>
      </c>
      <c r="M56" s="121" t="str">
        <f>VLOOKUP(B56,VISL!$B:$W,22,FALSE)</f>
        <v/>
      </c>
      <c r="O56" s="190" t="str">
        <f t="shared" si="7"/>
        <v/>
      </c>
    </row>
    <row r="57" spans="1:19">
      <c r="A57" s="124" t="str">
        <f>IF(INDEX(VISL!A:A,MATCH(B57,VISL!B:B,0))="x","x","")</f>
        <v/>
      </c>
      <c r="B57" s="269" t="s">
        <v>753</v>
      </c>
      <c r="C57" s="269" t="s">
        <v>1044</v>
      </c>
      <c r="D57" s="201"/>
      <c r="E57" s="194" t="str">
        <f t="shared" si="8"/>
        <v>--</v>
      </c>
      <c r="F57" s="122" t="str">
        <f t="shared" si="9"/>
        <v>--</v>
      </c>
      <c r="G57" s="123" t="str">
        <f t="shared" si="10"/>
        <v>--</v>
      </c>
      <c r="H57" s="124"/>
      <c r="I57" s="121" t="str">
        <f t="shared" si="11"/>
        <v/>
      </c>
      <c r="J57" s="121" t="str">
        <f t="shared" si="12"/>
        <v/>
      </c>
      <c r="K57" s="121">
        <f t="shared" si="13"/>
        <v>0.3</v>
      </c>
      <c r="L57" s="121" t="str">
        <f t="shared" si="14"/>
        <v>P</v>
      </c>
      <c r="M57" s="121" t="str">
        <f>VLOOKUP(B57,VISL!$B:$W,22,FALSE)</f>
        <v/>
      </c>
      <c r="N57"/>
      <c r="O57" s="190" t="str">
        <f t="shared" si="7"/>
        <v/>
      </c>
      <c r="P57"/>
      <c r="Q57"/>
      <c r="R57"/>
      <c r="S57"/>
    </row>
    <row r="58" spans="1:19">
      <c r="A58" s="124" t="str">
        <f>IF(INDEX(VISL!A:A,MATCH(B58,VISL!B:B,0))="x","x","")</f>
        <v/>
      </c>
      <c r="B58" s="269" t="s">
        <v>755</v>
      </c>
      <c r="C58" s="269" t="s">
        <v>1436</v>
      </c>
      <c r="D58" s="201"/>
      <c r="E58" s="194" t="str">
        <f t="shared" si="8"/>
        <v>--</v>
      </c>
      <c r="F58" s="122" t="str">
        <f t="shared" si="9"/>
        <v>--</v>
      </c>
      <c r="G58" s="123" t="str">
        <f t="shared" si="10"/>
        <v>--</v>
      </c>
      <c r="H58" s="124"/>
      <c r="I58" s="121" t="str">
        <f t="shared" si="11"/>
        <v/>
      </c>
      <c r="J58" s="121" t="str">
        <f t="shared" si="12"/>
        <v/>
      </c>
      <c r="K58" s="121">
        <f t="shared" si="13"/>
        <v>50</v>
      </c>
      <c r="L58" s="121" t="str">
        <f t="shared" si="14"/>
        <v>I</v>
      </c>
      <c r="M58" s="121" t="str">
        <f>VLOOKUP(B58,VISL!$B:$W,22,FALSE)</f>
        <v/>
      </c>
      <c r="N58"/>
      <c r="O58" s="190" t="str">
        <f t="shared" si="7"/>
        <v/>
      </c>
      <c r="P58"/>
      <c r="Q58"/>
      <c r="R58"/>
      <c r="S58"/>
    </row>
    <row r="59" spans="1:19">
      <c r="A59" s="124" t="str">
        <f>IF(INDEX(VISL!A:A,MATCH(B59,VISL!B:B,0))="x","x","")</f>
        <v/>
      </c>
      <c r="B59" s="344" t="s">
        <v>756</v>
      </c>
      <c r="C59" s="269" t="s">
        <v>434</v>
      </c>
      <c r="D59" s="201"/>
      <c r="E59" s="194" t="str">
        <f t="shared" si="8"/>
        <v>--</v>
      </c>
      <c r="F59" s="122" t="str">
        <f t="shared" si="9"/>
        <v>--</v>
      </c>
      <c r="G59" s="123" t="str">
        <f t="shared" si="10"/>
        <v>--</v>
      </c>
      <c r="H59" s="124"/>
      <c r="I59" s="121">
        <f t="shared" si="11"/>
        <v>2.3E-5</v>
      </c>
      <c r="J59" s="121" t="str">
        <f t="shared" si="12"/>
        <v>I</v>
      </c>
      <c r="K59" s="121">
        <f t="shared" si="13"/>
        <v>9.8000000000000004E-2</v>
      </c>
      <c r="L59" s="121" t="str">
        <f t="shared" si="14"/>
        <v>A</v>
      </c>
      <c r="M59" s="121" t="str">
        <f>VLOOKUP(B59,VISL!$B:$W,22,FALSE)</f>
        <v/>
      </c>
      <c r="N59"/>
      <c r="O59" s="190" t="str">
        <f t="shared" si="7"/>
        <v/>
      </c>
      <c r="P59"/>
      <c r="Q59"/>
      <c r="R59"/>
      <c r="S59"/>
    </row>
    <row r="60" spans="1:19">
      <c r="A60" s="124" t="str">
        <f>IF(INDEX(VISL!A:A,MATCH(B60,VISL!B:B,0))="x","x","")</f>
        <v/>
      </c>
      <c r="B60" s="269" t="s">
        <v>757</v>
      </c>
      <c r="C60" s="269" t="s">
        <v>1046</v>
      </c>
      <c r="D60" s="201"/>
      <c r="E60" s="194" t="str">
        <f t="shared" si="8"/>
        <v>--</v>
      </c>
      <c r="F60" s="122" t="str">
        <f t="shared" si="9"/>
        <v>--</v>
      </c>
      <c r="G60" s="123" t="str">
        <f t="shared" si="10"/>
        <v>--</v>
      </c>
      <c r="H60" s="124"/>
      <c r="I60" s="121" t="str">
        <f t="shared" si="11"/>
        <v/>
      </c>
      <c r="J60" s="121" t="str">
        <f t="shared" si="12"/>
        <v/>
      </c>
      <c r="K60" s="121">
        <f t="shared" si="13"/>
        <v>0.09</v>
      </c>
      <c r="L60" s="121" t="str">
        <f t="shared" si="14"/>
        <v>I</v>
      </c>
      <c r="M60" s="121" t="str">
        <f>VLOOKUP(B60,VISL!$B:$W,22,FALSE)</f>
        <v/>
      </c>
      <c r="N60"/>
      <c r="O60" s="190" t="str">
        <f t="shared" si="7"/>
        <v/>
      </c>
      <c r="P60"/>
      <c r="Q60"/>
      <c r="R60"/>
      <c r="S60"/>
    </row>
    <row r="61" spans="1:19">
      <c r="A61" s="124" t="str">
        <f>IF(INDEX(VISL!A:A,MATCH(B61,VISL!B:B,0))="x","x","")</f>
        <v/>
      </c>
      <c r="B61" s="344" t="s">
        <v>758</v>
      </c>
      <c r="C61" s="269" t="s">
        <v>567</v>
      </c>
      <c r="D61" s="201"/>
      <c r="E61" s="194" t="str">
        <f t="shared" si="8"/>
        <v>--</v>
      </c>
      <c r="F61" s="122" t="str">
        <f t="shared" si="9"/>
        <v>--</v>
      </c>
      <c r="G61" s="123" t="str">
        <f t="shared" si="10"/>
        <v>--</v>
      </c>
      <c r="H61" s="124"/>
      <c r="I61" s="121">
        <f t="shared" si="11"/>
        <v>6.8999999999999997E-4</v>
      </c>
      <c r="J61" s="121" t="str">
        <f t="shared" si="12"/>
        <v>CA</v>
      </c>
      <c r="K61" s="121" t="str">
        <f t="shared" si="13"/>
        <v/>
      </c>
      <c r="L61" s="121" t="str">
        <f t="shared" si="14"/>
        <v/>
      </c>
      <c r="M61" s="121" t="str">
        <f>VLOOKUP(B61,VISL!$B:$W,22,FALSE)</f>
        <v/>
      </c>
      <c r="N61"/>
      <c r="O61" s="190" t="str">
        <f t="shared" si="7"/>
        <v/>
      </c>
      <c r="P61"/>
      <c r="Q61"/>
      <c r="R61"/>
      <c r="S61"/>
    </row>
    <row r="62" spans="1:19">
      <c r="A62" s="124" t="str">
        <f>IF(INDEX(VISL!A:A,MATCH(B62,VISL!B:B,0))="x","x","")</f>
        <v/>
      </c>
      <c r="B62" s="344" t="s">
        <v>763</v>
      </c>
      <c r="C62" s="269" t="s">
        <v>568</v>
      </c>
      <c r="D62" s="201"/>
      <c r="E62" s="194" t="str">
        <f t="shared" si="8"/>
        <v>--</v>
      </c>
      <c r="F62" s="122" t="str">
        <f t="shared" si="9"/>
        <v>--</v>
      </c>
      <c r="G62" s="123" t="str">
        <f t="shared" si="10"/>
        <v>--</v>
      </c>
      <c r="H62" s="124"/>
      <c r="I62" s="121" t="str">
        <f t="shared" si="11"/>
        <v/>
      </c>
      <c r="J62" s="121" t="str">
        <f t="shared" si="12"/>
        <v/>
      </c>
      <c r="K62" s="121">
        <f t="shared" si="13"/>
        <v>4.0000000000000002E-4</v>
      </c>
      <c r="L62" s="121" t="str">
        <f t="shared" si="14"/>
        <v>CA</v>
      </c>
      <c r="M62" s="121" t="str">
        <f>VLOOKUP(B62,VISL!$B:$W,22,FALSE)</f>
        <v/>
      </c>
      <c r="N62"/>
      <c r="O62" s="190" t="str">
        <f t="shared" ref="O62:O104" si="15">IF(AND(I62="",K62=""),"X","")</f>
        <v/>
      </c>
      <c r="P62"/>
      <c r="Q62"/>
      <c r="R62"/>
      <c r="S62"/>
    </row>
    <row r="63" spans="1:19">
      <c r="A63" s="124" t="str">
        <f>IF(INDEX(VISL!A:A,MATCH(B63,VISL!B:B,0))="x","x","")</f>
        <v/>
      </c>
      <c r="B63" s="344" t="s">
        <v>777</v>
      </c>
      <c r="C63" s="269" t="s">
        <v>1054</v>
      </c>
      <c r="D63" s="201"/>
      <c r="E63" s="194" t="str">
        <f t="shared" si="8"/>
        <v>--</v>
      </c>
      <c r="F63" s="122" t="str">
        <f t="shared" si="9"/>
        <v>--</v>
      </c>
      <c r="G63" s="123" t="str">
        <f t="shared" si="10"/>
        <v>--</v>
      </c>
      <c r="H63" s="124"/>
      <c r="I63" s="121">
        <f t="shared" si="11"/>
        <v>6.2E-4</v>
      </c>
      <c r="J63" s="121" t="str">
        <f t="shared" si="12"/>
        <v>I</v>
      </c>
      <c r="K63" s="121" t="str">
        <f t="shared" si="13"/>
        <v/>
      </c>
      <c r="L63" s="121" t="str">
        <f t="shared" si="14"/>
        <v/>
      </c>
      <c r="M63" s="121" t="str">
        <f>VLOOKUP(B63,VISL!$B:$W,22,FALSE)</f>
        <v>Mut</v>
      </c>
      <c r="N63"/>
      <c r="O63" s="190" t="str">
        <f t="shared" si="15"/>
        <v/>
      </c>
      <c r="P63"/>
      <c r="Q63"/>
      <c r="R63"/>
      <c r="S63"/>
    </row>
    <row r="64" spans="1:19">
      <c r="A64" s="124" t="str">
        <f>IF(INDEX(VISL!A:A,MATCH(B64,VISL!B:B,0))="x","x","")</f>
        <v/>
      </c>
      <c r="B64" s="344" t="s">
        <v>785</v>
      </c>
      <c r="C64" s="269" t="s">
        <v>1437</v>
      </c>
      <c r="D64" s="201"/>
      <c r="E64" s="194" t="str">
        <f t="shared" si="8"/>
        <v>--</v>
      </c>
      <c r="F64" s="122" t="str">
        <f t="shared" si="9"/>
        <v>--</v>
      </c>
      <c r="G64" s="123" t="str">
        <f t="shared" si="10"/>
        <v>--</v>
      </c>
      <c r="H64" s="124"/>
      <c r="I64" s="121" t="str">
        <f t="shared" si="11"/>
        <v/>
      </c>
      <c r="J64" s="121" t="str">
        <f t="shared" si="12"/>
        <v/>
      </c>
      <c r="K64" s="121">
        <f t="shared" si="13"/>
        <v>0.4</v>
      </c>
      <c r="L64" s="121" t="str">
        <f t="shared" si="14"/>
        <v>I</v>
      </c>
      <c r="M64" s="121" t="str">
        <f>VLOOKUP(B64,VISL!$B:$W,22,FALSE)</f>
        <v/>
      </c>
      <c r="N64"/>
      <c r="O64" s="190" t="str">
        <f t="shared" si="15"/>
        <v/>
      </c>
      <c r="P64"/>
      <c r="Q64"/>
      <c r="R64"/>
      <c r="S64"/>
    </row>
    <row r="65" spans="1:19">
      <c r="A65" s="124" t="str">
        <f>IF(INDEX(VISL!A:A,MATCH(B65,VISL!B:B,0))="x","x","")</f>
        <v/>
      </c>
      <c r="B65" s="344" t="s">
        <v>790</v>
      </c>
      <c r="C65" s="269" t="s">
        <v>2236</v>
      </c>
      <c r="D65" s="201"/>
      <c r="E65" s="194" t="str">
        <f t="shared" si="8"/>
        <v>--</v>
      </c>
      <c r="F65" s="122" t="str">
        <f t="shared" si="9"/>
        <v>--</v>
      </c>
      <c r="G65" s="123" t="str">
        <f t="shared" si="10"/>
        <v>--</v>
      </c>
      <c r="H65" s="124"/>
      <c r="I65" s="121" t="str">
        <f t="shared" si="11"/>
        <v/>
      </c>
      <c r="J65" s="121" t="str">
        <f t="shared" si="12"/>
        <v/>
      </c>
      <c r="K65" s="121">
        <f t="shared" si="13"/>
        <v>8.0000000000000004E-4</v>
      </c>
      <c r="L65" s="121" t="str">
        <f t="shared" si="14"/>
        <v>S</v>
      </c>
      <c r="M65" s="121" t="str">
        <f>VLOOKUP(B65,VISL!$B:$W,22,FALSE)</f>
        <v/>
      </c>
      <c r="N65"/>
      <c r="O65" s="190" t="str">
        <f t="shared" si="15"/>
        <v/>
      </c>
      <c r="P65"/>
      <c r="Q65"/>
      <c r="R65"/>
      <c r="S65"/>
    </row>
    <row r="66" spans="1:19">
      <c r="A66" s="124" t="str">
        <f>IF(INDEX(VISL!A:A,MATCH(B66,VISL!B:B,0))="x","x","")</f>
        <v/>
      </c>
      <c r="B66" s="344" t="s">
        <v>801</v>
      </c>
      <c r="C66" s="269" t="s">
        <v>1062</v>
      </c>
      <c r="D66" s="201"/>
      <c r="E66" s="194" t="str">
        <f t="shared" si="8"/>
        <v>--</v>
      </c>
      <c r="F66" s="122" t="str">
        <f t="shared" si="9"/>
        <v>--</v>
      </c>
      <c r="G66" s="123" t="str">
        <f t="shared" si="10"/>
        <v>--</v>
      </c>
      <c r="H66" s="124"/>
      <c r="I66" s="121" t="str">
        <f t="shared" si="11"/>
        <v/>
      </c>
      <c r="J66" s="121" t="str">
        <f t="shared" si="12"/>
        <v/>
      </c>
      <c r="K66" s="121">
        <f t="shared" si="13"/>
        <v>6</v>
      </c>
      <c r="L66" s="121" t="str">
        <f t="shared" si="14"/>
        <v>I</v>
      </c>
      <c r="M66" s="121" t="str">
        <f>VLOOKUP(B66,VISL!$B:$W,22,FALSE)</f>
        <v/>
      </c>
      <c r="N66"/>
      <c r="O66" s="190" t="str">
        <f t="shared" si="15"/>
        <v/>
      </c>
      <c r="P66"/>
      <c r="Q66"/>
      <c r="R66"/>
      <c r="S66"/>
    </row>
    <row r="67" spans="1:19">
      <c r="A67" s="124" t="str">
        <f>IF(INDEX(VISL!A:A,MATCH(B67,VISL!B:B,0))="x","x","")</f>
        <v/>
      </c>
      <c r="B67" s="344" t="s">
        <v>803</v>
      </c>
      <c r="C67" s="269" t="s">
        <v>1064</v>
      </c>
      <c r="D67" s="201"/>
      <c r="E67" s="194" t="str">
        <f t="shared" ref="E67:E86" si="16">IF(INDEX(HLC_GW,MATCH(C67,ChemNameChem,0))="","No HLC",IF(OR(D67="",ISTEXT(D67)),"--",D67*AFgw_GW*1000*INDEX(HLC_GW, MATCH(C67, ChemNameChem,0))))</f>
        <v>--</v>
      </c>
      <c r="F67" s="122" t="str">
        <f t="shared" ref="F67:F86" si="17">IF(ISTEXT(E67),"--",IF(I67="","No IUR",IF(LEFT(E67,1)="N",E67,IF(M67&lt;&gt;"TCE",E67*(IF(AND(M67="VC",Scenario_GW="Residential"),I67,0)+I67*IF(M67="Mut",MMOAAF_GW,ED_GW)*EF_GW*ET_GW/(ATc_GW*365*24)),E67*mIURTCE_GW*MMOAAF_GW*EF_GW*ET_GW/(ATc_GW*365*24)+E67*IURTCE_GW*ED_GW*EF_GW*ET_GW/(ATc_GW*365*24)))))</f>
        <v>--</v>
      </c>
      <c r="G67" s="123" t="str">
        <f t="shared" ref="G67:G86" si="18">IF(ISTEXT(E67),"--",IF(K67="","No RfC",IF(E67="No HLC","No HLC",E67*EF_GW*ED_GW*ET_GW/(K67*Atnc_GW*365*24*1000))))</f>
        <v>--</v>
      </c>
      <c r="H67" s="124"/>
      <c r="I67" s="121" t="str">
        <f t="shared" ref="I67:I86" si="19">IF(INDEX(IUR,MATCH(B67,CASNoTox,0))=" ","",IF(M67="TCE","see note",INDEX(IUR,MATCH(B67,CASNoTox,0))))</f>
        <v/>
      </c>
      <c r="J67" s="121" t="str">
        <f t="shared" ref="J67:J86" si="20">IF(INDEX(IURSource,MATCH(B67,CASNoTox,0))="","",SUBSTITUTE(INDEX(IURSource,MATCH(B67,CASNoTox,0)),"C","CA"))</f>
        <v/>
      </c>
      <c r="K67" s="121">
        <f t="shared" ref="K67:K86" si="21">IF(INDEX(RFC,MATCH(B67,CASNoTox,0))=" ","",INDEX(RFC,MATCH(B67,CASNoTox,0)))</f>
        <v>0.7</v>
      </c>
      <c r="L67" s="121" t="str">
        <f t="shared" ref="L67:L86" si="22">IF(INDEX(RFCSource,MATCH(B67,CASNoTox,0))="","",SUBSTITUTE(INDEX(RFCSource,MATCH(B67,CASNoTox,0)),"C","CA"))</f>
        <v>P</v>
      </c>
      <c r="M67" s="121" t="str">
        <f>VLOOKUP(B67,VISL!$B:$W,22,FALSE)</f>
        <v/>
      </c>
      <c r="N67"/>
      <c r="O67" s="190" t="str">
        <f t="shared" si="15"/>
        <v/>
      </c>
      <c r="P67"/>
      <c r="Q67"/>
      <c r="R67"/>
      <c r="S67"/>
    </row>
    <row r="68" spans="1:19" s="190" customFormat="1">
      <c r="A68" s="124" t="str">
        <f>IF(INDEX(VISL!A:A,MATCH(B68,VISL!B:B,0))="x","x","")</f>
        <v/>
      </c>
      <c r="B68" s="344" t="s">
        <v>1991</v>
      </c>
      <c r="C68" s="269" t="s">
        <v>1990</v>
      </c>
      <c r="D68" s="201"/>
      <c r="E68" s="194" t="str">
        <f>IF(INDEX(HLC_GW,MATCH(C68,ChemNameChem,0))="","No HLC",IF(OR(D68="",ISTEXT(D68)),"--",D68*AFgw_GW*1000*INDEX(HLC_GW, MATCH(C68, ChemNameChem,0))))</f>
        <v>--</v>
      </c>
      <c r="F68" s="122" t="str">
        <f>IF(ISTEXT(E68),"--",IF(I68="","No IUR",IF(LEFT(E68,1)="N",E68,IF(M68&lt;&gt;"TCE",E68*(IF(AND(M68="VC",Scenario_GW="Residential"),I68,0)+I68*IF(M68="Mut",MMOAAF_GW,ED_GW)*EF_GW*ET_GW/(ATc_GW*365*24)),E68*mIURTCE_GW*MMOAAF_GW*EF_GW*ET_GW/(ATc_GW*365*24)+E68*IURTCE_GW*ED_GW*EF_GW*ET_GW/(ATc_GW*365*24)))))</f>
        <v>--</v>
      </c>
      <c r="G68" s="123" t="str">
        <f>IF(ISTEXT(E68),"--",IF(K68="","No RfC",IF(E68="No HLC","No HLC",E68*EF_GW*ED_GW*ET_GW/(K68*Atnc_GW*365*24*1000))))</f>
        <v>--</v>
      </c>
      <c r="H68" s="124"/>
      <c r="I68" s="121" t="str">
        <f>IF(INDEX(IUR,MATCH(B68,CASNoTox,0))=" ","",IF(M68="TCE","see note",INDEX(IUR,MATCH(B68,CASNoTox,0))))</f>
        <v/>
      </c>
      <c r="J68" s="121" t="str">
        <f>IF(INDEX(IURSource,MATCH(B68,CASNoTox,0))="","",SUBSTITUTE(INDEX(IURSource,MATCH(B68,CASNoTox,0)),"C","CA"))</f>
        <v/>
      </c>
      <c r="K68" s="121">
        <f>IF(INDEX(RFC,MATCH(B68,CASNoTox,0))=" ","",INDEX(RFC,MATCH(B68,CASNoTox,0)))</f>
        <v>1</v>
      </c>
      <c r="L68" s="121" t="str">
        <f>IF(INDEX(RFCSource,MATCH(B68,CASNoTox,0))="","",SUBSTITUTE(INDEX(RFCSource,MATCH(B68,CASNoTox,0)),"C","CA"))</f>
        <v>X</v>
      </c>
      <c r="M68" s="121" t="str">
        <f>VLOOKUP(B68,VISL!$B:$W,22,FALSE)</f>
        <v/>
      </c>
      <c r="O68" s="190" t="str">
        <f>IF(AND(I68="",K68=""),"X","")</f>
        <v/>
      </c>
    </row>
    <row r="69" spans="1:19">
      <c r="A69" s="124" t="str">
        <f>IF(INDEX(VISL!A:A,MATCH(B69,VISL!B:B,0))="x","x","")</f>
        <v/>
      </c>
      <c r="B69" s="269" t="s">
        <v>809</v>
      </c>
      <c r="C69" s="269" t="s">
        <v>1069</v>
      </c>
      <c r="D69" s="201"/>
      <c r="E69" s="194" t="str">
        <f t="shared" si="16"/>
        <v>--</v>
      </c>
      <c r="F69" s="122" t="str">
        <f t="shared" si="17"/>
        <v>--</v>
      </c>
      <c r="G69" s="123" t="str">
        <f t="shared" si="18"/>
        <v>--</v>
      </c>
      <c r="H69" s="124"/>
      <c r="I69" s="121">
        <f t="shared" si="19"/>
        <v>9.7E-5</v>
      </c>
      <c r="J69" s="121" t="str">
        <f t="shared" si="20"/>
        <v>CA</v>
      </c>
      <c r="K69" s="121" t="str">
        <f t="shared" si="21"/>
        <v/>
      </c>
      <c r="L69" s="121" t="str">
        <f t="shared" si="22"/>
        <v/>
      </c>
      <c r="M69" s="121" t="str">
        <f>VLOOKUP(B69,VISL!$B:$W,22,FALSE)</f>
        <v/>
      </c>
      <c r="N69"/>
      <c r="O69" s="190" t="str">
        <f t="shared" si="15"/>
        <v/>
      </c>
      <c r="P69"/>
      <c r="Q69"/>
      <c r="R69"/>
      <c r="S69"/>
    </row>
    <row r="70" spans="1:19">
      <c r="A70" s="124" t="str">
        <f>IF(INDEX(VISL!A:A,MATCH(B70,VISL!B:B,0))="x","x","")</f>
        <v/>
      </c>
      <c r="B70" s="344" t="s">
        <v>818</v>
      </c>
      <c r="C70" s="269" t="s">
        <v>1074</v>
      </c>
      <c r="D70" s="201"/>
      <c r="E70" s="194" t="str">
        <f t="shared" si="16"/>
        <v>--</v>
      </c>
      <c r="F70" s="122" t="str">
        <f t="shared" si="17"/>
        <v>--</v>
      </c>
      <c r="G70" s="123" t="str">
        <f t="shared" si="18"/>
        <v>--</v>
      </c>
      <c r="H70" s="124"/>
      <c r="I70" s="121">
        <f t="shared" si="19"/>
        <v>6.0000000000000001E-3</v>
      </c>
      <c r="J70" s="121" t="str">
        <f t="shared" si="20"/>
        <v>P</v>
      </c>
      <c r="K70" s="121">
        <f t="shared" si="21"/>
        <v>2.0000000000000001E-4</v>
      </c>
      <c r="L70" s="121" t="str">
        <f t="shared" si="22"/>
        <v>I</v>
      </c>
      <c r="M70" s="121" t="str">
        <f>VLOOKUP(B70,VISL!$B:$W,22,FALSE)</f>
        <v>Mut</v>
      </c>
      <c r="N70"/>
      <c r="O70" s="190" t="str">
        <f t="shared" si="15"/>
        <v/>
      </c>
      <c r="P70"/>
      <c r="Q70"/>
      <c r="R70"/>
      <c r="S70"/>
    </row>
    <row r="71" spans="1:19">
      <c r="A71" s="124" t="str">
        <f>IF(INDEX(VISL!A:A,MATCH(B71,VISL!B:B,0))="x","x","")</f>
        <v/>
      </c>
      <c r="B71" s="269" t="s">
        <v>821</v>
      </c>
      <c r="C71" s="269" t="s">
        <v>1077</v>
      </c>
      <c r="D71" s="201"/>
      <c r="E71" s="194" t="str">
        <f t="shared" si="16"/>
        <v>--</v>
      </c>
      <c r="F71" s="122" t="str">
        <f t="shared" si="17"/>
        <v>--</v>
      </c>
      <c r="G71" s="123" t="str">
        <f t="shared" si="18"/>
        <v>--</v>
      </c>
      <c r="H71" s="124"/>
      <c r="I71" s="121">
        <f t="shared" si="19"/>
        <v>5.9999999999999995E-4</v>
      </c>
      <c r="J71" s="121" t="str">
        <f t="shared" si="20"/>
        <v>I</v>
      </c>
      <c r="K71" s="121">
        <f t="shared" si="21"/>
        <v>8.9999999999999993E-3</v>
      </c>
      <c r="L71" s="121" t="str">
        <f t="shared" si="22"/>
        <v>I</v>
      </c>
      <c r="M71" s="121" t="str">
        <f>VLOOKUP(B71,VISL!$B:$W,22,FALSE)</f>
        <v/>
      </c>
      <c r="N71"/>
      <c r="O71" s="190" t="str">
        <f t="shared" si="15"/>
        <v/>
      </c>
      <c r="P71"/>
      <c r="Q71"/>
      <c r="R71"/>
      <c r="S71"/>
    </row>
    <row r="72" spans="1:19">
      <c r="A72" s="124" t="str">
        <f>IF(INDEX(VISL!A:A,MATCH(B72,VISL!B:B,0))="x","x","")</f>
        <v/>
      </c>
      <c r="B72" s="344" t="s">
        <v>822</v>
      </c>
      <c r="C72" s="269" t="s">
        <v>1078</v>
      </c>
      <c r="D72" s="201"/>
      <c r="E72" s="194" t="str">
        <f t="shared" si="16"/>
        <v>--</v>
      </c>
      <c r="F72" s="122" t="str">
        <f t="shared" si="17"/>
        <v>--</v>
      </c>
      <c r="G72" s="123" t="str">
        <f t="shared" si="18"/>
        <v>--</v>
      </c>
      <c r="H72" s="124"/>
      <c r="I72" s="121" t="str">
        <f t="shared" si="19"/>
        <v/>
      </c>
      <c r="J72" s="121" t="str">
        <f t="shared" si="20"/>
        <v/>
      </c>
      <c r="K72" s="121">
        <f t="shared" si="21"/>
        <v>4.0000000000000001E-3</v>
      </c>
      <c r="L72" s="121" t="str">
        <f t="shared" si="22"/>
        <v>X</v>
      </c>
      <c r="M72" s="121" t="str">
        <f>VLOOKUP(B72,VISL!$B:$W,22,FALSE)</f>
        <v/>
      </c>
      <c r="N72"/>
      <c r="O72" s="190" t="str">
        <f t="shared" si="15"/>
        <v/>
      </c>
      <c r="P72"/>
      <c r="Q72"/>
      <c r="R72"/>
      <c r="S72"/>
    </row>
    <row r="73" spans="1:19" s="190" customFormat="1">
      <c r="A73" s="124" t="str">
        <f>IF(INDEX(VISL!A:A,MATCH(B73,VISL!B:B,0))="x","x","")</f>
        <v/>
      </c>
      <c r="B73" s="269" t="s">
        <v>825</v>
      </c>
      <c r="C73" s="269" t="s">
        <v>1081</v>
      </c>
      <c r="D73" s="201"/>
      <c r="E73" s="194" t="str">
        <f t="shared" si="16"/>
        <v>--</v>
      </c>
      <c r="F73" s="122" t="str">
        <f t="shared" si="17"/>
        <v>--</v>
      </c>
      <c r="G73" s="123" t="str">
        <f t="shared" si="18"/>
        <v>--</v>
      </c>
      <c r="H73" s="124"/>
      <c r="I73" s="121">
        <f t="shared" si="19"/>
        <v>4.1999999999999997E-3</v>
      </c>
      <c r="J73" s="121" t="str">
        <f t="shared" si="20"/>
        <v>P</v>
      </c>
      <c r="K73" s="121" t="str">
        <f t="shared" si="21"/>
        <v/>
      </c>
      <c r="L73" s="121" t="str">
        <f t="shared" si="22"/>
        <v/>
      </c>
      <c r="M73" s="121" t="str">
        <f>VLOOKUP(B73,VISL!$B:$W,22,FALSE)</f>
        <v/>
      </c>
      <c r="O73" s="190" t="str">
        <f t="shared" si="15"/>
        <v/>
      </c>
    </row>
    <row r="74" spans="1:19">
      <c r="A74" s="124" t="str">
        <f>IF(INDEX(VISL!A:A,MATCH(B74,VISL!B:B,0))="x","x","")</f>
        <v/>
      </c>
      <c r="B74" s="344" t="s">
        <v>826</v>
      </c>
      <c r="C74" s="269" t="s">
        <v>576</v>
      </c>
      <c r="D74" s="201"/>
      <c r="E74" s="194" t="str">
        <f t="shared" si="16"/>
        <v>--</v>
      </c>
      <c r="F74" s="122" t="str">
        <f t="shared" si="17"/>
        <v>--</v>
      </c>
      <c r="G74" s="123" t="str">
        <f t="shared" si="18"/>
        <v>--</v>
      </c>
      <c r="H74" s="124"/>
      <c r="I74" s="121">
        <f t="shared" si="19"/>
        <v>4.1999999999999997E-3</v>
      </c>
      <c r="J74" s="121" t="str">
        <f t="shared" si="20"/>
        <v>P</v>
      </c>
      <c r="K74" s="121" t="str">
        <f t="shared" si="21"/>
        <v/>
      </c>
      <c r="L74" s="121" t="str">
        <f t="shared" si="22"/>
        <v/>
      </c>
      <c r="M74" s="121" t="str">
        <f>VLOOKUP(B74,VISL!$B:$W,22,FALSE)</f>
        <v/>
      </c>
      <c r="N74"/>
      <c r="O74" s="190" t="str">
        <f t="shared" si="15"/>
        <v/>
      </c>
      <c r="P74"/>
      <c r="Q74"/>
      <c r="R74"/>
      <c r="S74"/>
    </row>
    <row r="75" spans="1:19">
      <c r="A75" s="124" t="str">
        <f>IF(INDEX(VISL!A:A,MATCH(B75,VISL!B:B,0))="x","x","")</f>
        <v/>
      </c>
      <c r="B75" s="269" t="s">
        <v>827</v>
      </c>
      <c r="C75" s="269" t="s">
        <v>577</v>
      </c>
      <c r="D75" s="244"/>
      <c r="E75" s="194" t="str">
        <f t="shared" si="16"/>
        <v>--</v>
      </c>
      <c r="F75" s="122" t="str">
        <f t="shared" si="17"/>
        <v>--</v>
      </c>
      <c r="G75" s="123" t="str">
        <f t="shared" si="18"/>
        <v>--</v>
      </c>
      <c r="H75" s="124"/>
      <c r="I75" s="121">
        <f t="shared" si="19"/>
        <v>4.1999999999999997E-3</v>
      </c>
      <c r="J75" s="121" t="str">
        <f t="shared" si="20"/>
        <v>P</v>
      </c>
      <c r="K75" s="121" t="str">
        <f t="shared" si="21"/>
        <v/>
      </c>
      <c r="L75" s="121" t="str">
        <f t="shared" si="22"/>
        <v/>
      </c>
      <c r="M75" s="121" t="str">
        <f>VLOOKUP(B75,VISL!$B:$W,22,FALSE)</f>
        <v/>
      </c>
      <c r="N75"/>
      <c r="O75" s="190" t="str">
        <f t="shared" si="15"/>
        <v/>
      </c>
      <c r="P75"/>
      <c r="Q75"/>
      <c r="R75"/>
      <c r="S75"/>
    </row>
    <row r="76" spans="1:19">
      <c r="A76" s="124" t="str">
        <f>IF(INDEX(VISL!A:A,MATCH(B76,VISL!B:B,0))="x","x","")</f>
        <v/>
      </c>
      <c r="B76" s="344" t="s">
        <v>829</v>
      </c>
      <c r="C76" s="269" t="s">
        <v>1083</v>
      </c>
      <c r="D76" s="201"/>
      <c r="E76" s="194" t="str">
        <f t="shared" si="16"/>
        <v>--</v>
      </c>
      <c r="F76" s="122" t="str">
        <f t="shared" si="17"/>
        <v>--</v>
      </c>
      <c r="G76" s="123" t="str">
        <f t="shared" si="18"/>
        <v>--</v>
      </c>
      <c r="H76" s="124"/>
      <c r="I76" s="121" t="str">
        <f t="shared" si="19"/>
        <v/>
      </c>
      <c r="J76" s="121" t="str">
        <f t="shared" si="20"/>
        <v/>
      </c>
      <c r="K76" s="121">
        <f t="shared" si="21"/>
        <v>0.2</v>
      </c>
      <c r="L76" s="121" t="str">
        <f t="shared" si="22"/>
        <v>H</v>
      </c>
      <c r="M76" s="121" t="str">
        <f>VLOOKUP(B76,VISL!$B:$W,22,FALSE)</f>
        <v/>
      </c>
      <c r="N76"/>
      <c r="O76" s="190" t="str">
        <f t="shared" si="15"/>
        <v/>
      </c>
      <c r="P76"/>
      <c r="Q76"/>
      <c r="R76"/>
      <c r="S76"/>
    </row>
    <row r="77" spans="1:19">
      <c r="A77" s="124" t="str">
        <f>IF(INDEX(VISL!A:A,MATCH(B77,VISL!B:B,0))="x","x","")</f>
        <v/>
      </c>
      <c r="B77" s="344" t="s">
        <v>830</v>
      </c>
      <c r="C77" s="269" t="s">
        <v>1084</v>
      </c>
      <c r="D77" s="244"/>
      <c r="E77" s="194" t="str">
        <f t="shared" si="16"/>
        <v>--</v>
      </c>
      <c r="F77" s="122" t="str">
        <f t="shared" si="17"/>
        <v>--</v>
      </c>
      <c r="G77" s="123" t="str">
        <f t="shared" si="18"/>
        <v>--</v>
      </c>
      <c r="H77" s="124"/>
      <c r="I77" s="121">
        <f t="shared" si="19"/>
        <v>1.1E-5</v>
      </c>
      <c r="J77" s="121" t="str">
        <f t="shared" si="20"/>
        <v>CA</v>
      </c>
      <c r="K77" s="121">
        <f t="shared" si="21"/>
        <v>0.8</v>
      </c>
      <c r="L77" s="121" t="str">
        <f t="shared" si="22"/>
        <v>I</v>
      </c>
      <c r="M77" s="121" t="str">
        <f>VLOOKUP(B77,VISL!$B:$W,22,FALSE)</f>
        <v/>
      </c>
      <c r="N77"/>
      <c r="O77" s="190" t="str">
        <f t="shared" si="15"/>
        <v/>
      </c>
      <c r="P77"/>
      <c r="Q77"/>
      <c r="R77"/>
      <c r="S77"/>
    </row>
    <row r="78" spans="1:19">
      <c r="A78" s="124" t="str">
        <f>IF(INDEX(VISL!A:A,MATCH(B78,VISL!B:B,0))="x","x","")</f>
        <v/>
      </c>
      <c r="B78" s="344" t="s">
        <v>833</v>
      </c>
      <c r="C78" s="269" t="s">
        <v>1438</v>
      </c>
      <c r="D78" s="201"/>
      <c r="E78" s="194" t="str">
        <f t="shared" si="16"/>
        <v>--</v>
      </c>
      <c r="F78" s="122" t="str">
        <f t="shared" si="17"/>
        <v>--</v>
      </c>
      <c r="G78" s="123" t="str">
        <f t="shared" si="18"/>
        <v>--</v>
      </c>
      <c r="H78" s="124"/>
      <c r="I78" s="121" t="str">
        <f t="shared" si="19"/>
        <v/>
      </c>
      <c r="J78" s="121" t="str">
        <f t="shared" si="20"/>
        <v/>
      </c>
      <c r="K78" s="121">
        <f t="shared" si="21"/>
        <v>0.1</v>
      </c>
      <c r="L78" s="121" t="str">
        <f t="shared" si="22"/>
        <v>X</v>
      </c>
      <c r="M78" s="121" t="str">
        <f>VLOOKUP(B78,VISL!$B:$W,22,FALSE)</f>
        <v/>
      </c>
      <c r="N78"/>
      <c r="O78" s="190" t="str">
        <f t="shared" si="15"/>
        <v/>
      </c>
      <c r="P78"/>
      <c r="Q78"/>
      <c r="R78"/>
      <c r="S78"/>
    </row>
    <row r="79" spans="1:19">
      <c r="A79" s="124" t="str">
        <f>IF(INDEX(VISL!A:A,MATCH(B79,VISL!B:B,0))="x","x","")</f>
        <v/>
      </c>
      <c r="B79" s="344" t="s">
        <v>834</v>
      </c>
      <c r="C79" s="269" t="s">
        <v>1086</v>
      </c>
      <c r="D79" s="201"/>
      <c r="E79" s="194" t="str">
        <f t="shared" si="16"/>
        <v>--</v>
      </c>
      <c r="F79" s="122" t="str">
        <f t="shared" si="17"/>
        <v>--</v>
      </c>
      <c r="G79" s="123" t="str">
        <f t="shared" si="18"/>
        <v>--</v>
      </c>
      <c r="H79" s="124"/>
      <c r="I79" s="121">
        <f t="shared" si="19"/>
        <v>1.5999999999999999E-6</v>
      </c>
      <c r="J79" s="121" t="str">
        <f t="shared" si="20"/>
        <v>CA</v>
      </c>
      <c r="K79" s="121" t="str">
        <f t="shared" si="21"/>
        <v/>
      </c>
      <c r="L79" s="121" t="str">
        <f t="shared" si="22"/>
        <v/>
      </c>
      <c r="M79" s="121" t="str">
        <f>VLOOKUP(B79,VISL!$B:$W,22,FALSE)</f>
        <v/>
      </c>
      <c r="N79"/>
      <c r="O79" s="190" t="str">
        <f t="shared" si="15"/>
        <v/>
      </c>
      <c r="P79"/>
      <c r="Q79"/>
      <c r="R79"/>
      <c r="S79"/>
    </row>
    <row r="80" spans="1:19">
      <c r="A80" s="124" t="str">
        <f>IF(INDEX(VISL!A:A,MATCH(B80,VISL!B:B,0))="x","x","")</f>
        <v/>
      </c>
      <c r="B80" s="344" t="s">
        <v>835</v>
      </c>
      <c r="C80" s="269" t="s">
        <v>1087</v>
      </c>
      <c r="D80" s="244"/>
      <c r="E80" s="194" t="str">
        <f t="shared" si="16"/>
        <v>--</v>
      </c>
      <c r="F80" s="122" t="str">
        <f t="shared" si="17"/>
        <v>--</v>
      </c>
      <c r="G80" s="123" t="str">
        <f t="shared" si="18"/>
        <v>--</v>
      </c>
      <c r="H80" s="124"/>
      <c r="I80" s="121">
        <f t="shared" si="19"/>
        <v>2.5999999999999998E-5</v>
      </c>
      <c r="J80" s="121" t="str">
        <f t="shared" si="20"/>
        <v>I</v>
      </c>
      <c r="K80" s="121">
        <f t="shared" si="21"/>
        <v>7.0000000000000001E-3</v>
      </c>
      <c r="L80" s="121" t="str">
        <f t="shared" si="22"/>
        <v>P</v>
      </c>
      <c r="M80" s="121" t="str">
        <f>VLOOKUP(B80,VISL!$B:$W,22,FALSE)</f>
        <v/>
      </c>
      <c r="N80"/>
      <c r="O80" s="190" t="str">
        <f t="shared" si="15"/>
        <v/>
      </c>
      <c r="P80"/>
      <c r="Q80"/>
      <c r="R80"/>
      <c r="S80"/>
    </row>
    <row r="81" spans="1:19">
      <c r="A81" s="124" t="str">
        <f>IF(INDEX(VISL!A:A,MATCH(B81,VISL!B:B,0))="x","x","")</f>
        <v/>
      </c>
      <c r="B81" s="344" t="s">
        <v>836</v>
      </c>
      <c r="C81" s="269" t="s">
        <v>444</v>
      </c>
      <c r="D81" s="201"/>
      <c r="E81" s="194" t="str">
        <f t="shared" si="16"/>
        <v>--</v>
      </c>
      <c r="F81" s="122" t="str">
        <f t="shared" si="17"/>
        <v>--</v>
      </c>
      <c r="G81" s="123" t="str">
        <f t="shared" si="18"/>
        <v>--</v>
      </c>
      <c r="H81" s="124"/>
      <c r="I81" s="121" t="str">
        <f t="shared" si="19"/>
        <v/>
      </c>
      <c r="J81" s="121" t="str">
        <f t="shared" si="20"/>
        <v/>
      </c>
      <c r="K81" s="121">
        <f t="shared" si="21"/>
        <v>0.2</v>
      </c>
      <c r="L81" s="121" t="str">
        <f t="shared" si="22"/>
        <v>I</v>
      </c>
      <c r="M81" s="121" t="str">
        <f>VLOOKUP(B81,VISL!$B:$W,22,FALSE)</f>
        <v/>
      </c>
      <c r="N81"/>
      <c r="O81" s="190" t="str">
        <f t="shared" si="15"/>
        <v/>
      </c>
      <c r="P81"/>
      <c r="Q81"/>
      <c r="R81"/>
      <c r="S81"/>
    </row>
    <row r="82" spans="1:19">
      <c r="A82" s="124" t="str">
        <f>IF(INDEX(VISL!A:A,MATCH(B82,VISL!B:B,0))="x","x","")</f>
        <v/>
      </c>
      <c r="B82" s="344" t="s">
        <v>842</v>
      </c>
      <c r="C82" s="269" t="s">
        <v>445</v>
      </c>
      <c r="D82" s="201"/>
      <c r="E82" s="194" t="str">
        <f t="shared" si="16"/>
        <v>--</v>
      </c>
      <c r="F82" s="122" t="str">
        <f t="shared" si="17"/>
        <v>--</v>
      </c>
      <c r="G82" s="123" t="str">
        <f t="shared" si="18"/>
        <v>--</v>
      </c>
      <c r="H82" s="124"/>
      <c r="I82" s="121">
        <f t="shared" si="19"/>
        <v>3.7000000000000002E-6</v>
      </c>
      <c r="J82" s="121" t="str">
        <f t="shared" si="20"/>
        <v>P</v>
      </c>
      <c r="K82" s="121">
        <f t="shared" si="21"/>
        <v>4.0000000000000001E-3</v>
      </c>
      <c r="L82" s="121" t="str">
        <f t="shared" si="22"/>
        <v>I</v>
      </c>
      <c r="M82" s="121" t="str">
        <f>VLOOKUP(B82,VISL!$B:$W,22,FALSE)</f>
        <v/>
      </c>
      <c r="N82"/>
      <c r="O82" s="190" t="str">
        <f t="shared" si="15"/>
        <v/>
      </c>
      <c r="P82"/>
      <c r="Q82"/>
      <c r="R82"/>
      <c r="S82"/>
    </row>
    <row r="83" spans="1:19">
      <c r="A83" s="124" t="str">
        <f>IF(INDEX(VISL!A:A,MATCH(B83,VISL!B:B,0))="x","x","")</f>
        <v/>
      </c>
      <c r="B83" s="344" t="s">
        <v>845</v>
      </c>
      <c r="C83" s="269" t="s">
        <v>1094</v>
      </c>
      <c r="D83" s="201"/>
      <c r="E83" s="194" t="str">
        <f t="shared" si="16"/>
        <v>--</v>
      </c>
      <c r="F83" s="122" t="str">
        <f t="shared" si="17"/>
        <v>--</v>
      </c>
      <c r="G83" s="123" t="str">
        <f t="shared" si="18"/>
        <v>--</v>
      </c>
      <c r="H83" s="124"/>
      <c r="I83" s="121">
        <f t="shared" si="19"/>
        <v>3.9999999999999998E-6</v>
      </c>
      <c r="J83" s="121" t="str">
        <f t="shared" si="20"/>
        <v>I</v>
      </c>
      <c r="K83" s="121">
        <f t="shared" si="21"/>
        <v>0.02</v>
      </c>
      <c r="L83" s="121" t="str">
        <f t="shared" si="22"/>
        <v>I</v>
      </c>
      <c r="M83" s="121" t="str">
        <f>VLOOKUP(B83,VISL!$B:$W,22,FALSE)</f>
        <v/>
      </c>
      <c r="N83"/>
      <c r="O83" s="190" t="str">
        <f t="shared" si="15"/>
        <v/>
      </c>
      <c r="P83"/>
      <c r="Q83"/>
      <c r="R83"/>
      <c r="S83"/>
    </row>
    <row r="84" spans="1:19">
      <c r="A84" s="124" t="str">
        <f>IF(INDEX(VISL!A:A,MATCH(B84,VISL!B:B,0))="x","x","")</f>
        <v/>
      </c>
      <c r="B84" s="344" t="s">
        <v>847</v>
      </c>
      <c r="C84" s="269" t="s">
        <v>1095</v>
      </c>
      <c r="D84" s="201"/>
      <c r="E84" s="194" t="str">
        <f t="shared" si="16"/>
        <v>--</v>
      </c>
      <c r="F84" s="122" t="str">
        <f t="shared" si="17"/>
        <v>--</v>
      </c>
      <c r="G84" s="123" t="str">
        <f t="shared" si="18"/>
        <v>--</v>
      </c>
      <c r="H84" s="124"/>
      <c r="I84" s="121" t="str">
        <f t="shared" si="19"/>
        <v/>
      </c>
      <c r="J84" s="121" t="str">
        <f t="shared" si="20"/>
        <v/>
      </c>
      <c r="K84" s="121">
        <f t="shared" si="21"/>
        <v>2.9999999999999997E-4</v>
      </c>
      <c r="L84" s="121" t="str">
        <f t="shared" si="22"/>
        <v>X</v>
      </c>
      <c r="M84" s="121" t="str">
        <f>VLOOKUP(B84,VISL!$B:$W,22,FALSE)</f>
        <v/>
      </c>
      <c r="N84"/>
      <c r="O84" s="190" t="str">
        <f t="shared" si="15"/>
        <v/>
      </c>
      <c r="P84"/>
      <c r="Q84"/>
      <c r="R84"/>
      <c r="S84"/>
    </row>
    <row r="85" spans="1:19">
      <c r="A85" s="124" t="str">
        <f>IF(INDEX(VISL!A:A,MATCH(B85,VISL!B:B,0))="x","x","")</f>
        <v/>
      </c>
      <c r="B85" s="344" t="s">
        <v>857</v>
      </c>
      <c r="C85" s="269" t="s">
        <v>1100</v>
      </c>
      <c r="D85" s="244"/>
      <c r="E85" s="194" t="str">
        <f t="shared" si="16"/>
        <v>--</v>
      </c>
      <c r="F85" s="122" t="str">
        <f t="shared" si="17"/>
        <v>--</v>
      </c>
      <c r="G85" s="123" t="str">
        <f t="shared" si="18"/>
        <v>--</v>
      </c>
      <c r="H85" s="124"/>
      <c r="I85" s="121" t="str">
        <f t="shared" si="19"/>
        <v/>
      </c>
      <c r="J85" s="121" t="str">
        <f t="shared" si="20"/>
        <v/>
      </c>
      <c r="K85" s="121">
        <f t="shared" si="21"/>
        <v>40</v>
      </c>
      <c r="L85" s="121" t="str">
        <f t="shared" si="22"/>
        <v>I</v>
      </c>
      <c r="M85" s="121" t="str">
        <f>VLOOKUP(B85,VISL!$B:$W,22,FALSE)</f>
        <v/>
      </c>
      <c r="N85"/>
      <c r="O85" s="190" t="str">
        <f t="shared" si="15"/>
        <v/>
      </c>
      <c r="P85"/>
      <c r="Q85"/>
      <c r="R85"/>
      <c r="S85"/>
    </row>
    <row r="86" spans="1:19">
      <c r="A86" s="124" t="str">
        <f>IF(INDEX(VISL!A:A,MATCH(B86,VISL!B:B,0))="x","x","")</f>
        <v/>
      </c>
      <c r="B86" s="344" t="s">
        <v>858</v>
      </c>
      <c r="C86" s="269" t="s">
        <v>580</v>
      </c>
      <c r="D86" s="201"/>
      <c r="E86" s="194" t="str">
        <f t="shared" si="16"/>
        <v>--</v>
      </c>
      <c r="F86" s="122" t="str">
        <f t="shared" si="17"/>
        <v>--</v>
      </c>
      <c r="G86" s="123" t="str">
        <f t="shared" si="18"/>
        <v>--</v>
      </c>
      <c r="H86" s="124"/>
      <c r="I86" s="121">
        <f t="shared" si="19"/>
        <v>1.2999999999999999E-5</v>
      </c>
      <c r="J86" s="121" t="str">
        <f t="shared" si="20"/>
        <v>CA</v>
      </c>
      <c r="K86" s="121" t="str">
        <f t="shared" si="21"/>
        <v/>
      </c>
      <c r="L86" s="121" t="str">
        <f t="shared" si="22"/>
        <v/>
      </c>
      <c r="M86" s="121" t="str">
        <f>VLOOKUP(B86,VISL!$B:$W,22,FALSE)</f>
        <v/>
      </c>
      <c r="N86"/>
      <c r="O86" s="190" t="str">
        <f t="shared" si="15"/>
        <v/>
      </c>
      <c r="P86"/>
      <c r="Q86"/>
      <c r="R86"/>
      <c r="S86"/>
    </row>
    <row r="87" spans="1:19">
      <c r="A87" s="124" t="str">
        <f>IF(INDEX(VISL!A:A,MATCH(B87,VISL!B:B,0))="x","x","")</f>
        <v/>
      </c>
      <c r="B87" s="344" t="s">
        <v>859</v>
      </c>
      <c r="C87" s="269" t="s">
        <v>530</v>
      </c>
      <c r="D87" s="201"/>
      <c r="E87" s="194" t="str">
        <f t="shared" ref="E87:E109" si="23">IF(INDEX(HLC_GW,MATCH(C87,ChemNameChem,0))="","No HLC",IF(OR(D87="",ISTEXT(D87)),"--",D87*AFgw_GW*1000*INDEX(HLC_GW, MATCH(C87, ChemNameChem,0))))</f>
        <v>--</v>
      </c>
      <c r="F87" s="122" t="str">
        <f t="shared" ref="F87:F109" si="24">IF(ISTEXT(E87),"--",IF(I87="","No IUR",IF(LEFT(E87,1)="N",E87,IF(M87&lt;&gt;"TCE",E87*(IF(AND(M87="VC",Scenario_GW="Residential"),I87,0)+I87*IF(M87="Mut",MMOAAF_GW,ED_GW)*EF_GW*ET_GW/(ATc_GW*365*24)),E87*mIURTCE_GW*MMOAAF_GW*EF_GW*ET_GW/(ATc_GW*365*24)+E87*IURTCE_GW*ED_GW*EF_GW*ET_GW/(ATc_GW*365*24)))))</f>
        <v>--</v>
      </c>
      <c r="G87" s="123" t="str">
        <f t="shared" ref="G87:G109" si="25">IF(ISTEXT(E87),"--",IF(K87="","No RfC",IF(E87="No HLC","No HLC",E87*EF_GW*ED_GW*ET_GW/(K87*Atnc_GW*365*24*1000))))</f>
        <v>--</v>
      </c>
      <c r="H87" s="124"/>
      <c r="I87" s="121" t="str">
        <f t="shared" ref="I87:I109" si="26">IF(INDEX(IUR,MATCH(B87,CASNoTox,0))=" ","",IF(M87="TCE","see note",INDEX(IUR,MATCH(B87,CASNoTox,0))))</f>
        <v/>
      </c>
      <c r="J87" s="121" t="str">
        <f t="shared" ref="J87:J109" si="27">IF(INDEX(IURSource,MATCH(B87,CASNoTox,0))="","",SUBSTITUTE(INDEX(IURSource,MATCH(B87,CASNoTox,0)),"C","CA"))</f>
        <v/>
      </c>
      <c r="K87" s="121">
        <f t="shared" ref="K87:K109" si="28">IF(INDEX(RFC,MATCH(B87,CASNoTox,0))=" ","",INDEX(RFC,MATCH(B87,CASNoTox,0)))</f>
        <v>0.7</v>
      </c>
      <c r="L87" s="121" t="str">
        <f t="shared" ref="L87:L109" si="29">IF(INDEX(RFCSource,MATCH(B87,CASNoTox,0))="","",SUBSTITUTE(INDEX(RFCSource,MATCH(B87,CASNoTox,0)),"C","CA"))</f>
        <v>P</v>
      </c>
      <c r="M87" s="121" t="str">
        <f>VLOOKUP(B87,VISL!$B:$W,22,FALSE)</f>
        <v/>
      </c>
      <c r="N87"/>
      <c r="O87" s="190" t="str">
        <f t="shared" si="15"/>
        <v/>
      </c>
      <c r="P87"/>
      <c r="Q87"/>
      <c r="R87"/>
      <c r="S87"/>
    </row>
    <row r="88" spans="1:19">
      <c r="A88" s="124" t="str">
        <f>IF(INDEX(VISL!A:A,MATCH(B88,VISL!B:B,0))="x","x","")</f>
        <v/>
      </c>
      <c r="B88" s="344" t="s">
        <v>870</v>
      </c>
      <c r="C88" s="269" t="s">
        <v>1109</v>
      </c>
      <c r="D88" s="201"/>
      <c r="E88" s="194" t="str">
        <f t="shared" si="23"/>
        <v>--</v>
      </c>
      <c r="F88" s="122" t="str">
        <f t="shared" si="24"/>
        <v>--</v>
      </c>
      <c r="G88" s="123" t="str">
        <f t="shared" si="25"/>
        <v>--</v>
      </c>
      <c r="H88" s="124"/>
      <c r="I88" s="121" t="str">
        <f t="shared" si="26"/>
        <v/>
      </c>
      <c r="J88" s="121" t="str">
        <f t="shared" si="27"/>
        <v/>
      </c>
      <c r="K88" s="121">
        <f t="shared" si="28"/>
        <v>0.03</v>
      </c>
      <c r="L88" s="121" t="str">
        <f t="shared" si="29"/>
        <v>I</v>
      </c>
      <c r="M88" s="121" t="str">
        <f>VLOOKUP(B88,VISL!$B:$W,22,FALSE)</f>
        <v/>
      </c>
      <c r="N88"/>
      <c r="O88" s="190" t="str">
        <f t="shared" si="15"/>
        <v/>
      </c>
      <c r="P88"/>
      <c r="Q88"/>
      <c r="R88"/>
      <c r="S88"/>
    </row>
    <row r="89" spans="1:19">
      <c r="A89" s="124" t="str">
        <f>IF(INDEX(VISL!A:A,MATCH(B89,VISL!B:B,0))="x","x","")</f>
        <v/>
      </c>
      <c r="B89" s="344" t="s">
        <v>871</v>
      </c>
      <c r="C89" s="269" t="s">
        <v>582</v>
      </c>
      <c r="D89" s="201"/>
      <c r="E89" s="194" t="str">
        <f t="shared" si="23"/>
        <v>--</v>
      </c>
      <c r="F89" s="122" t="str">
        <f t="shared" si="24"/>
        <v>--</v>
      </c>
      <c r="G89" s="123" t="str">
        <f t="shared" si="25"/>
        <v>--</v>
      </c>
      <c r="H89" s="124"/>
      <c r="I89" s="121" t="str">
        <f t="shared" si="26"/>
        <v/>
      </c>
      <c r="J89" s="121" t="str">
        <f t="shared" si="27"/>
        <v/>
      </c>
      <c r="K89" s="121">
        <f t="shared" si="28"/>
        <v>1.9999999999999999E-6</v>
      </c>
      <c r="L89" s="121" t="str">
        <f t="shared" si="29"/>
        <v>X</v>
      </c>
      <c r="M89" s="121" t="str">
        <f>VLOOKUP(B89,VISL!$B:$W,22,FALSE)</f>
        <v/>
      </c>
      <c r="N89"/>
      <c r="O89" s="190" t="str">
        <f t="shared" si="15"/>
        <v/>
      </c>
      <c r="P89"/>
      <c r="Q89"/>
      <c r="R89"/>
      <c r="S89"/>
    </row>
    <row r="90" spans="1:19">
      <c r="A90" s="124" t="str">
        <f>IF(INDEX(VISL!A:A,MATCH(B90,VISL!B:B,0))="x","x","")</f>
        <v/>
      </c>
      <c r="B90" s="344" t="s">
        <v>872</v>
      </c>
      <c r="C90" s="269" t="s">
        <v>583</v>
      </c>
      <c r="D90" s="201"/>
      <c r="E90" s="194" t="str">
        <f t="shared" si="23"/>
        <v>--</v>
      </c>
      <c r="F90" s="122" t="str">
        <f t="shared" si="24"/>
        <v>--</v>
      </c>
      <c r="G90" s="123" t="str">
        <f t="shared" si="25"/>
        <v>--</v>
      </c>
      <c r="H90" s="124"/>
      <c r="I90" s="121">
        <f t="shared" si="26"/>
        <v>0.16</v>
      </c>
      <c r="J90" s="121" t="str">
        <f t="shared" si="27"/>
        <v>CA</v>
      </c>
      <c r="K90" s="121" t="str">
        <f t="shared" si="28"/>
        <v/>
      </c>
      <c r="L90" s="121" t="str">
        <f t="shared" si="29"/>
        <v/>
      </c>
      <c r="M90" s="121" t="str">
        <f>VLOOKUP(B90,VISL!$B:$W,22,FALSE)</f>
        <v/>
      </c>
      <c r="N90"/>
      <c r="O90" s="190" t="str">
        <f t="shared" si="15"/>
        <v/>
      </c>
      <c r="P90"/>
      <c r="Q90"/>
      <c r="R90"/>
      <c r="S90"/>
    </row>
    <row r="91" spans="1:19">
      <c r="A91" s="124" t="str">
        <f>IF(INDEX(VISL!A:A,MATCH(B91,VISL!B:B,0))="x","x","")</f>
        <v/>
      </c>
      <c r="B91" s="344" t="s">
        <v>877</v>
      </c>
      <c r="C91" s="269" t="s">
        <v>584</v>
      </c>
      <c r="D91" s="244"/>
      <c r="E91" s="194" t="str">
        <f t="shared" si="23"/>
        <v>--</v>
      </c>
      <c r="F91" s="122" t="str">
        <f t="shared" si="24"/>
        <v>--</v>
      </c>
      <c r="G91" s="123" t="str">
        <f t="shared" si="25"/>
        <v>--</v>
      </c>
      <c r="H91" s="124"/>
      <c r="I91" s="121">
        <f t="shared" si="26"/>
        <v>1.2999999999999999E-5</v>
      </c>
      <c r="J91" s="121" t="str">
        <f t="shared" si="27"/>
        <v>CA</v>
      </c>
      <c r="K91" s="121" t="str">
        <f t="shared" si="28"/>
        <v/>
      </c>
      <c r="L91" s="121" t="str">
        <f t="shared" si="29"/>
        <v/>
      </c>
      <c r="M91" s="121" t="str">
        <f>VLOOKUP(B91,VISL!$B:$W,22,FALSE)</f>
        <v/>
      </c>
      <c r="N91"/>
      <c r="O91" s="190" t="str">
        <f t="shared" si="15"/>
        <v/>
      </c>
      <c r="P91"/>
      <c r="Q91"/>
      <c r="R91"/>
      <c r="S91"/>
    </row>
    <row r="92" spans="1:19">
      <c r="A92" s="124" t="str">
        <f>IF(INDEX(VISL!A:A,MATCH(B92,VISL!B:B,0))="x","x","")</f>
        <v/>
      </c>
      <c r="B92" s="269" t="s">
        <v>890</v>
      </c>
      <c r="C92" s="269" t="s">
        <v>1124</v>
      </c>
      <c r="D92" s="201"/>
      <c r="E92" s="194" t="str">
        <f t="shared" si="23"/>
        <v>--</v>
      </c>
      <c r="F92" s="122" t="str">
        <f t="shared" si="24"/>
        <v>--</v>
      </c>
      <c r="G92" s="123" t="str">
        <f t="shared" si="25"/>
        <v>--</v>
      </c>
      <c r="H92" s="124"/>
      <c r="I92" s="121">
        <f t="shared" si="26"/>
        <v>5.0000000000000004E-6</v>
      </c>
      <c r="J92" s="121" t="str">
        <f t="shared" si="27"/>
        <v>I</v>
      </c>
      <c r="K92" s="121">
        <f t="shared" si="28"/>
        <v>0.03</v>
      </c>
      <c r="L92" s="121" t="str">
        <f t="shared" si="29"/>
        <v>I</v>
      </c>
      <c r="M92" s="121" t="str">
        <f>VLOOKUP(B92,VISL!$B:$W,22,FALSE)</f>
        <v/>
      </c>
      <c r="N92"/>
      <c r="O92" s="190" t="str">
        <f t="shared" si="15"/>
        <v/>
      </c>
      <c r="P92"/>
      <c r="Q92"/>
      <c r="R92"/>
      <c r="S92"/>
    </row>
    <row r="93" spans="1:19">
      <c r="A93" s="124" t="str">
        <f>IF(INDEX(VISL!A:A,MATCH(B93,VISL!B:B,0))="x","x","")</f>
        <v/>
      </c>
      <c r="B93" s="344" t="s">
        <v>908</v>
      </c>
      <c r="C93" s="269" t="s">
        <v>1439</v>
      </c>
      <c r="D93" s="201"/>
      <c r="E93" s="194" t="str">
        <f t="shared" si="23"/>
        <v>--</v>
      </c>
      <c r="F93" s="122" t="str">
        <f t="shared" si="24"/>
        <v>--</v>
      </c>
      <c r="G93" s="123" t="str">
        <f t="shared" si="25"/>
        <v>--</v>
      </c>
      <c r="H93" s="124"/>
      <c r="I93" s="121">
        <f t="shared" si="26"/>
        <v>1.1999999999999999E-6</v>
      </c>
      <c r="J93" s="121" t="str">
        <f t="shared" si="27"/>
        <v>I</v>
      </c>
      <c r="K93" s="121">
        <f t="shared" si="28"/>
        <v>1E-3</v>
      </c>
      <c r="L93" s="121" t="str">
        <f t="shared" si="29"/>
        <v>I</v>
      </c>
      <c r="M93" s="121" t="str">
        <f>VLOOKUP(B93,VISL!$B:$W,22,FALSE)</f>
        <v/>
      </c>
      <c r="N93"/>
      <c r="O93" s="190" t="str">
        <f t="shared" si="15"/>
        <v/>
      </c>
      <c r="P93"/>
      <c r="Q93"/>
      <c r="R93"/>
      <c r="S93"/>
    </row>
    <row r="94" spans="1:19">
      <c r="A94" s="124" t="str">
        <f>IF(INDEX(VISL!A:A,MATCH(B94,VISL!B:B,0))="x","x","")</f>
        <v/>
      </c>
      <c r="B94" s="344" t="s">
        <v>909</v>
      </c>
      <c r="C94" s="269" t="s">
        <v>1138</v>
      </c>
      <c r="D94" s="244"/>
      <c r="E94" s="194" t="str">
        <f t="shared" si="23"/>
        <v>--</v>
      </c>
      <c r="F94" s="122" t="str">
        <f t="shared" si="24"/>
        <v>--</v>
      </c>
      <c r="G94" s="123" t="str">
        <f t="shared" si="25"/>
        <v>--</v>
      </c>
      <c r="H94" s="124"/>
      <c r="I94" s="121" t="str">
        <f t="shared" si="26"/>
        <v/>
      </c>
      <c r="J94" s="121" t="str">
        <f t="shared" si="27"/>
        <v/>
      </c>
      <c r="K94" s="121">
        <f t="shared" si="28"/>
        <v>0.02</v>
      </c>
      <c r="L94" s="121" t="str">
        <f t="shared" si="29"/>
        <v>I</v>
      </c>
      <c r="M94" s="121" t="str">
        <f>VLOOKUP(B94,VISL!$B:$W,22,FALSE)</f>
        <v/>
      </c>
      <c r="N94"/>
      <c r="O94" s="190" t="str">
        <f t="shared" si="15"/>
        <v/>
      </c>
      <c r="P94"/>
      <c r="Q94"/>
      <c r="R94"/>
      <c r="S94"/>
    </row>
    <row r="95" spans="1:19">
      <c r="A95" s="124" t="str">
        <f>IF(INDEX(VISL!A:A,MATCH(B95,VISL!B:B,0))="x","x","")</f>
        <v/>
      </c>
      <c r="B95" s="344" t="s">
        <v>912</v>
      </c>
      <c r="C95" s="269" t="s">
        <v>1142</v>
      </c>
      <c r="D95" s="201"/>
      <c r="E95" s="194" t="str">
        <f t="shared" si="23"/>
        <v>--</v>
      </c>
      <c r="F95" s="122" t="str">
        <f t="shared" si="24"/>
        <v>--</v>
      </c>
      <c r="G95" s="123" t="str">
        <f t="shared" si="25"/>
        <v>--</v>
      </c>
      <c r="H95" s="124"/>
      <c r="I95" s="121" t="str">
        <f t="shared" si="26"/>
        <v/>
      </c>
      <c r="J95" s="121" t="str">
        <f t="shared" si="27"/>
        <v/>
      </c>
      <c r="K95" s="121">
        <f t="shared" si="28"/>
        <v>0.06</v>
      </c>
      <c r="L95" s="121" t="str">
        <f t="shared" si="29"/>
        <v>P</v>
      </c>
      <c r="M95" s="121" t="str">
        <f>VLOOKUP(B95,VISL!$B:$W,22,FALSE)</f>
        <v/>
      </c>
      <c r="N95"/>
      <c r="O95" s="190" t="str">
        <f t="shared" si="15"/>
        <v/>
      </c>
      <c r="P95"/>
      <c r="Q95"/>
      <c r="R95"/>
      <c r="S95"/>
    </row>
    <row r="96" spans="1:19" s="190" customFormat="1">
      <c r="A96" s="124" t="str">
        <f>IF(INDEX(VISL!A:A,MATCH(B96,VISL!B:B,0))="x","x","")</f>
        <v/>
      </c>
      <c r="B96" s="344" t="s">
        <v>913</v>
      </c>
      <c r="C96" s="269" t="s">
        <v>1143</v>
      </c>
      <c r="D96" s="201"/>
      <c r="E96" s="194" t="str">
        <f t="shared" si="23"/>
        <v>--</v>
      </c>
      <c r="F96" s="122" t="str">
        <f t="shared" si="24"/>
        <v>--</v>
      </c>
      <c r="G96" s="123" t="str">
        <f t="shared" si="25"/>
        <v>--</v>
      </c>
      <c r="H96" s="124"/>
      <c r="I96" s="121" t="str">
        <f t="shared" si="26"/>
        <v/>
      </c>
      <c r="J96" s="121" t="str">
        <f t="shared" si="27"/>
        <v/>
      </c>
      <c r="K96" s="121">
        <f t="shared" si="28"/>
        <v>0.2</v>
      </c>
      <c r="L96" s="121" t="str">
        <f t="shared" si="29"/>
        <v>I</v>
      </c>
      <c r="M96" s="121" t="str">
        <f>VLOOKUP(B96,VISL!$B:$W,22,FALSE)</f>
        <v/>
      </c>
      <c r="O96" s="190" t="str">
        <f t="shared" si="15"/>
        <v/>
      </c>
    </row>
    <row r="97" spans="1:19">
      <c r="A97" s="124" t="str">
        <f>IF(INDEX(VISL!A:A,MATCH(B97,VISL!B:B,0))="x","x","")</f>
        <v/>
      </c>
      <c r="B97" s="269" t="s">
        <v>914</v>
      </c>
      <c r="C97" s="269" t="s">
        <v>1144</v>
      </c>
      <c r="D97" s="201"/>
      <c r="E97" s="194" t="str">
        <f t="shared" si="23"/>
        <v>--</v>
      </c>
      <c r="F97" s="122" t="str">
        <f t="shared" si="24"/>
        <v>--</v>
      </c>
      <c r="G97" s="123" t="str">
        <f t="shared" si="25"/>
        <v>--</v>
      </c>
      <c r="H97" s="124"/>
      <c r="I97" s="121" t="str">
        <f t="shared" si="26"/>
        <v/>
      </c>
      <c r="J97" s="121" t="str">
        <f t="shared" si="27"/>
        <v/>
      </c>
      <c r="K97" s="121">
        <f t="shared" si="28"/>
        <v>7.0000000000000007E-2</v>
      </c>
      <c r="L97" s="121" t="str">
        <f t="shared" si="29"/>
        <v>P</v>
      </c>
      <c r="M97" s="121" t="str">
        <f>VLOOKUP(B97,VISL!$B:$W,22,FALSE)</f>
        <v/>
      </c>
      <c r="N97"/>
      <c r="O97" s="190" t="str">
        <f t="shared" si="15"/>
        <v/>
      </c>
      <c r="P97"/>
      <c r="Q97"/>
      <c r="R97"/>
      <c r="S97"/>
    </row>
    <row r="98" spans="1:19">
      <c r="A98" s="124" t="str">
        <f>IF(INDEX(VISL!A:A,MATCH(B98,VISL!B:B,0))="x","x","")</f>
        <v/>
      </c>
      <c r="B98" s="269" t="s">
        <v>915</v>
      </c>
      <c r="C98" s="269" t="s">
        <v>1145</v>
      </c>
      <c r="D98" s="201"/>
      <c r="E98" s="194" t="str">
        <f t="shared" si="23"/>
        <v>--</v>
      </c>
      <c r="F98" s="122" t="str">
        <f t="shared" si="24"/>
        <v>--</v>
      </c>
      <c r="G98" s="123" t="str">
        <f t="shared" si="25"/>
        <v>--</v>
      </c>
      <c r="H98" s="124"/>
      <c r="I98" s="121" t="str">
        <f t="shared" si="26"/>
        <v/>
      </c>
      <c r="J98" s="121" t="str">
        <f t="shared" si="27"/>
        <v/>
      </c>
      <c r="K98" s="121">
        <f t="shared" si="28"/>
        <v>8.0000000000000002E-3</v>
      </c>
      <c r="L98" s="121" t="str">
        <f t="shared" si="29"/>
        <v>P</v>
      </c>
      <c r="M98" s="121" t="str">
        <f>VLOOKUP(B98,VISL!$B:$W,22,FALSE)</f>
        <v/>
      </c>
      <c r="N98"/>
      <c r="O98" s="190" t="str">
        <f t="shared" si="15"/>
        <v/>
      </c>
      <c r="P98"/>
      <c r="Q98"/>
      <c r="R98"/>
      <c r="S98"/>
    </row>
    <row r="99" spans="1:19">
      <c r="A99" s="124" t="str">
        <f>IF(INDEX(VISL!A:A,MATCH(B99,VISL!B:B,0))="x","x","")</f>
        <v/>
      </c>
      <c r="B99" s="344" t="s">
        <v>916</v>
      </c>
      <c r="C99" s="269" t="s">
        <v>2046</v>
      </c>
      <c r="D99" s="201"/>
      <c r="E99" s="194" t="str">
        <f t="shared" si="23"/>
        <v>--</v>
      </c>
      <c r="F99" s="122" t="str">
        <f t="shared" si="24"/>
        <v>--</v>
      </c>
      <c r="G99" s="123" t="str">
        <f t="shared" si="25"/>
        <v>--</v>
      </c>
      <c r="H99" s="124"/>
      <c r="I99" s="121" t="str">
        <f t="shared" si="26"/>
        <v/>
      </c>
      <c r="J99" s="121" t="str">
        <f t="shared" si="27"/>
        <v/>
      </c>
      <c r="K99" s="121">
        <f t="shared" si="28"/>
        <v>10</v>
      </c>
      <c r="L99" s="121" t="str">
        <f t="shared" si="29"/>
        <v>I</v>
      </c>
      <c r="M99" s="121" t="str">
        <f>VLOOKUP(B99,VISL!$B:$W,22,FALSE)</f>
        <v/>
      </c>
      <c r="N99"/>
      <c r="O99" s="190" t="str">
        <f t="shared" si="15"/>
        <v/>
      </c>
      <c r="P99"/>
      <c r="Q99"/>
      <c r="R99"/>
      <c r="S99"/>
    </row>
    <row r="100" spans="1:19">
      <c r="A100" s="124" t="str">
        <f>IF(INDEX(VISL!A:A,MATCH(B100,VISL!B:B,0))="x","x","")</f>
        <v/>
      </c>
      <c r="B100" s="269" t="s">
        <v>918</v>
      </c>
      <c r="C100" s="269" t="s">
        <v>1147</v>
      </c>
      <c r="D100" s="201"/>
      <c r="E100" s="194" t="str">
        <f t="shared" si="23"/>
        <v>--</v>
      </c>
      <c r="F100" s="122" t="str">
        <f t="shared" si="24"/>
        <v>--</v>
      </c>
      <c r="G100" s="123" t="str">
        <f t="shared" si="25"/>
        <v>--</v>
      </c>
      <c r="H100" s="124"/>
      <c r="I100" s="121" t="str">
        <f t="shared" si="26"/>
        <v/>
      </c>
      <c r="J100" s="121" t="str">
        <f t="shared" si="27"/>
        <v/>
      </c>
      <c r="K100" s="121">
        <f t="shared" si="28"/>
        <v>0.3</v>
      </c>
      <c r="L100" s="121" t="str">
        <f t="shared" si="29"/>
        <v>P</v>
      </c>
      <c r="M100" s="121" t="str">
        <f>VLOOKUP(B100,VISL!$B:$W,22,FALSE)</f>
        <v/>
      </c>
      <c r="N100"/>
      <c r="O100" s="190" t="str">
        <f t="shared" si="15"/>
        <v/>
      </c>
      <c r="P100"/>
      <c r="Q100"/>
      <c r="R100"/>
      <c r="S100"/>
    </row>
    <row r="101" spans="1:19">
      <c r="A101" s="124" t="str">
        <f>IF(INDEX(VISL!A:A,MATCH(B101,VISL!B:B,0))="x","x","")</f>
        <v/>
      </c>
      <c r="B101" s="344" t="s">
        <v>920</v>
      </c>
      <c r="C101" s="269" t="s">
        <v>381</v>
      </c>
      <c r="D101" s="201"/>
      <c r="E101" s="194" t="str">
        <f t="shared" si="23"/>
        <v>--</v>
      </c>
      <c r="F101" s="122" t="str">
        <f t="shared" si="24"/>
        <v>--</v>
      </c>
      <c r="G101" s="123" t="str">
        <f t="shared" si="25"/>
        <v>--</v>
      </c>
      <c r="H101" s="124"/>
      <c r="I101" s="121">
        <f t="shared" si="26"/>
        <v>2.5000000000000002E-6</v>
      </c>
      <c r="J101" s="121" t="str">
        <f t="shared" si="27"/>
        <v>CA</v>
      </c>
      <c r="K101" s="121">
        <f t="shared" si="28"/>
        <v>1</v>
      </c>
      <c r="L101" s="121" t="str">
        <f t="shared" si="29"/>
        <v>I</v>
      </c>
      <c r="M101" s="121" t="str">
        <f>VLOOKUP(B101,VISL!$B:$W,22,FALSE)</f>
        <v/>
      </c>
      <c r="N101"/>
      <c r="O101" s="190" t="str">
        <f t="shared" si="15"/>
        <v/>
      </c>
      <c r="P101"/>
      <c r="Q101"/>
      <c r="R101"/>
      <c r="S101"/>
    </row>
    <row r="102" spans="1:19">
      <c r="A102" s="124" t="str">
        <f>IF(INDEX(VISL!A:A,MATCH(B102,VISL!B:B,0))="x","x","")</f>
        <v/>
      </c>
      <c r="B102" s="344" t="s">
        <v>925</v>
      </c>
      <c r="C102" s="269" t="s">
        <v>1153</v>
      </c>
      <c r="D102" s="201"/>
      <c r="E102" s="194" t="str">
        <f t="shared" si="23"/>
        <v>--</v>
      </c>
      <c r="F102" s="122" t="str">
        <f t="shared" si="24"/>
        <v>--</v>
      </c>
      <c r="G102" s="123" t="str">
        <f t="shared" si="25"/>
        <v>--</v>
      </c>
      <c r="H102" s="124"/>
      <c r="I102" s="121">
        <f t="shared" si="26"/>
        <v>3.0000000000000001E-3</v>
      </c>
      <c r="J102" s="121" t="str">
        <f t="shared" si="27"/>
        <v>I</v>
      </c>
      <c r="K102" s="121">
        <f t="shared" si="28"/>
        <v>0.03</v>
      </c>
      <c r="L102" s="121" t="str">
        <f t="shared" si="29"/>
        <v>CA</v>
      </c>
      <c r="M102" s="121" t="str">
        <f>VLOOKUP(B102,VISL!$B:$W,22,FALSE)</f>
        <v>Mut</v>
      </c>
      <c r="N102"/>
      <c r="O102" s="190" t="str">
        <f t="shared" si="15"/>
        <v/>
      </c>
      <c r="P102"/>
      <c r="Q102"/>
      <c r="R102"/>
      <c r="S102"/>
    </row>
    <row r="103" spans="1:19">
      <c r="A103" s="124" t="str">
        <f>IF(INDEX(VISL!A:A,MATCH(B103,VISL!B:B,0))="x","x","")</f>
        <v/>
      </c>
      <c r="B103" s="344" t="s">
        <v>927</v>
      </c>
      <c r="C103" s="269" t="s">
        <v>585</v>
      </c>
      <c r="D103" s="201"/>
      <c r="E103" s="194" t="str">
        <f t="shared" si="23"/>
        <v>--</v>
      </c>
      <c r="F103" s="122" t="str">
        <f t="shared" si="24"/>
        <v>--</v>
      </c>
      <c r="G103" s="123" t="str">
        <f t="shared" si="25"/>
        <v>--</v>
      </c>
      <c r="H103" s="124"/>
      <c r="I103" s="121">
        <f t="shared" si="26"/>
        <v>1.9E-2</v>
      </c>
      <c r="J103" s="121" t="str">
        <f t="shared" si="27"/>
        <v>CA</v>
      </c>
      <c r="K103" s="121" t="str">
        <f t="shared" si="28"/>
        <v/>
      </c>
      <c r="L103" s="121" t="str">
        <f t="shared" si="29"/>
        <v/>
      </c>
      <c r="M103" s="121" t="str">
        <f>VLOOKUP(B103,VISL!$B:$W,22,FALSE)</f>
        <v/>
      </c>
      <c r="N103"/>
      <c r="O103" s="190" t="str">
        <f t="shared" si="15"/>
        <v/>
      </c>
      <c r="P103"/>
      <c r="Q103"/>
      <c r="R103"/>
      <c r="S103"/>
    </row>
    <row r="104" spans="1:19">
      <c r="A104" s="124" t="str">
        <f>IF(INDEX(VISL!A:A,MATCH(B104,VISL!B:B,0))="x","x","")</f>
        <v/>
      </c>
      <c r="B104" s="344" t="s">
        <v>942</v>
      </c>
      <c r="C104" s="269" t="s">
        <v>1405</v>
      </c>
      <c r="D104" s="201"/>
      <c r="E104" s="194" t="str">
        <f t="shared" si="23"/>
        <v>--</v>
      </c>
      <c r="F104" s="122" t="str">
        <f t="shared" si="24"/>
        <v>--</v>
      </c>
      <c r="G104" s="123" t="str">
        <f t="shared" si="25"/>
        <v>--</v>
      </c>
      <c r="H104" s="124"/>
      <c r="I104" s="121">
        <f t="shared" si="26"/>
        <v>1.2999999999999999E-5</v>
      </c>
      <c r="J104" s="121" t="str">
        <f t="shared" si="27"/>
        <v>I</v>
      </c>
      <c r="K104" s="121">
        <f t="shared" si="28"/>
        <v>9.7999999999999997E-3</v>
      </c>
      <c r="L104" s="121" t="str">
        <f t="shared" si="29"/>
        <v>A</v>
      </c>
      <c r="M104" s="121" t="str">
        <f>VLOOKUP(B104,VISL!$B:$W,22,FALSE)</f>
        <v/>
      </c>
      <c r="N104"/>
      <c r="O104" s="190" t="str">
        <f t="shared" si="15"/>
        <v/>
      </c>
      <c r="P104"/>
      <c r="Q104"/>
      <c r="R104"/>
      <c r="S104"/>
    </row>
    <row r="105" spans="1:19">
      <c r="A105" s="124" t="str">
        <f>IF(INDEX(VISL!A:A,MATCH(B105,VISL!B:B,0))="x","x","")</f>
        <v/>
      </c>
      <c r="B105" s="269" t="s">
        <v>943</v>
      </c>
      <c r="C105" s="269" t="s">
        <v>1167</v>
      </c>
      <c r="D105" s="201"/>
      <c r="E105" s="194" t="str">
        <f t="shared" si="23"/>
        <v>--</v>
      </c>
      <c r="F105" s="122" t="str">
        <f t="shared" si="24"/>
        <v>--</v>
      </c>
      <c r="G105" s="123" t="str">
        <f t="shared" si="25"/>
        <v>--</v>
      </c>
      <c r="H105" s="124"/>
      <c r="I105" s="121" t="str">
        <f t="shared" si="26"/>
        <v/>
      </c>
      <c r="J105" s="121" t="str">
        <f t="shared" si="27"/>
        <v/>
      </c>
      <c r="K105" s="121">
        <f t="shared" si="28"/>
        <v>2.9999999999999997E-4</v>
      </c>
      <c r="L105" s="121" t="str">
        <f t="shared" si="29"/>
        <v>X</v>
      </c>
      <c r="M105" s="121" t="str">
        <f>VLOOKUP(B105,VISL!$B:$W,22,FALSE)</f>
        <v/>
      </c>
      <c r="N105"/>
      <c r="O105" s="190" t="str">
        <f t="shared" ref="O105:O134" si="30">IF(AND(I105="",K105=""),"X","")</f>
        <v/>
      </c>
      <c r="P105"/>
      <c r="Q105"/>
      <c r="R105"/>
      <c r="S105"/>
    </row>
    <row r="106" spans="1:19">
      <c r="A106" s="124" t="str">
        <f>IF(INDEX(VISL!A:A,MATCH(B106,VISL!B:B,0))="x","x","")</f>
        <v/>
      </c>
      <c r="B106" s="344" t="s">
        <v>948</v>
      </c>
      <c r="C106" s="269" t="s">
        <v>1171</v>
      </c>
      <c r="D106" s="201"/>
      <c r="E106" s="194" t="str">
        <f t="shared" si="23"/>
        <v>--</v>
      </c>
      <c r="F106" s="122" t="str">
        <f t="shared" si="24"/>
        <v>--</v>
      </c>
      <c r="G106" s="123" t="str">
        <f t="shared" si="25"/>
        <v>--</v>
      </c>
      <c r="H106" s="124"/>
      <c r="I106" s="121" t="str">
        <f t="shared" si="26"/>
        <v/>
      </c>
      <c r="J106" s="121" t="str">
        <f t="shared" si="27"/>
        <v/>
      </c>
      <c r="K106" s="121">
        <f t="shared" si="28"/>
        <v>0.05</v>
      </c>
      <c r="L106" s="121" t="str">
        <f t="shared" si="29"/>
        <v>H</v>
      </c>
      <c r="M106" s="121" t="str">
        <f>VLOOKUP(B106,VISL!$B:$W,22,FALSE)</f>
        <v/>
      </c>
      <c r="N106"/>
      <c r="O106" s="190" t="str">
        <f t="shared" si="30"/>
        <v/>
      </c>
      <c r="P106"/>
      <c r="Q106"/>
      <c r="R106"/>
      <c r="S106"/>
    </row>
    <row r="107" spans="1:19">
      <c r="A107" s="124" t="str">
        <f>IF(INDEX(VISL!A:A,MATCH(B107,VISL!B:B,0))="x","x","")</f>
        <v/>
      </c>
      <c r="B107" s="269" t="s">
        <v>953</v>
      </c>
      <c r="C107" s="269" t="s">
        <v>1174</v>
      </c>
      <c r="D107" s="201"/>
      <c r="E107" s="194" t="str">
        <f t="shared" si="23"/>
        <v>--</v>
      </c>
      <c r="F107" s="122" t="str">
        <f t="shared" si="24"/>
        <v>--</v>
      </c>
      <c r="G107" s="123" t="str">
        <f t="shared" si="25"/>
        <v>--</v>
      </c>
      <c r="H107" s="124"/>
      <c r="I107" s="121" t="str">
        <f t="shared" si="26"/>
        <v/>
      </c>
      <c r="J107" s="121" t="str">
        <f t="shared" si="27"/>
        <v/>
      </c>
      <c r="K107" s="121">
        <f t="shared" si="28"/>
        <v>1E-3</v>
      </c>
      <c r="L107" s="121" t="str">
        <f t="shared" si="29"/>
        <v>H</v>
      </c>
      <c r="M107" s="121" t="str">
        <f>VLOOKUP(B107,VISL!$B:$W,22,FALSE)</f>
        <v/>
      </c>
      <c r="N107"/>
      <c r="O107" s="190" t="str">
        <f t="shared" si="30"/>
        <v/>
      </c>
      <c r="P107"/>
      <c r="Q107"/>
      <c r="R107"/>
      <c r="S107"/>
    </row>
    <row r="108" spans="1:19">
      <c r="A108" s="124" t="str">
        <f>IF(INDEX(VISL!A:A,MATCH(B108,VISL!B:B,0))="x","x","")</f>
        <v/>
      </c>
      <c r="B108" s="269" t="s">
        <v>959</v>
      </c>
      <c r="C108" s="269" t="s">
        <v>382</v>
      </c>
      <c r="D108" s="201"/>
      <c r="E108" s="194" t="str">
        <f t="shared" si="23"/>
        <v>--</v>
      </c>
      <c r="F108" s="122" t="str">
        <f t="shared" si="24"/>
        <v>--</v>
      </c>
      <c r="G108" s="123" t="str">
        <f t="shared" si="25"/>
        <v>--</v>
      </c>
      <c r="H108" s="124"/>
      <c r="I108" s="121">
        <f t="shared" si="26"/>
        <v>1.2999999999999999E-3</v>
      </c>
      <c r="J108" s="121" t="str">
        <f t="shared" si="27"/>
        <v>I</v>
      </c>
      <c r="K108" s="121" t="str">
        <f t="shared" si="28"/>
        <v/>
      </c>
      <c r="L108" s="121" t="str">
        <f t="shared" si="29"/>
        <v/>
      </c>
      <c r="M108" s="121" t="str">
        <f>VLOOKUP(B108,VISL!$B:$W,22,FALSE)</f>
        <v/>
      </c>
      <c r="N108"/>
      <c r="O108" s="190" t="str">
        <f t="shared" si="30"/>
        <v/>
      </c>
      <c r="P108"/>
      <c r="Q108"/>
      <c r="R108"/>
      <c r="S108"/>
    </row>
    <row r="109" spans="1:19" s="190" customFormat="1">
      <c r="A109" s="124" t="str">
        <f>IF(INDEX(VISL!A:A,MATCH(B109,VISL!B:B,0))="x","x","")</f>
        <v/>
      </c>
      <c r="B109" s="269" t="s">
        <v>1</v>
      </c>
      <c r="C109" s="269" t="s">
        <v>1177</v>
      </c>
      <c r="D109" s="244"/>
      <c r="E109" s="194" t="str">
        <f t="shared" si="23"/>
        <v>--</v>
      </c>
      <c r="F109" s="122" t="str">
        <f t="shared" si="24"/>
        <v>--</v>
      </c>
      <c r="G109" s="123" t="str">
        <f t="shared" si="25"/>
        <v>--</v>
      </c>
      <c r="H109" s="124"/>
      <c r="I109" s="121">
        <f t="shared" si="26"/>
        <v>2.5999999999999999E-3</v>
      </c>
      <c r="J109" s="121" t="str">
        <f t="shared" si="27"/>
        <v>I</v>
      </c>
      <c r="K109" s="121" t="str">
        <f t="shared" si="28"/>
        <v/>
      </c>
      <c r="L109" s="121" t="str">
        <f t="shared" si="29"/>
        <v/>
      </c>
      <c r="M109" s="121" t="str">
        <f>VLOOKUP(B109,VISL!$B:$W,22,FALSE)</f>
        <v/>
      </c>
      <c r="O109" s="190" t="str">
        <f t="shared" si="30"/>
        <v/>
      </c>
    </row>
    <row r="110" spans="1:19">
      <c r="A110" s="124" t="str">
        <f>IF(INDEX(VISL!A:A,MATCH(B110,VISL!B:B,0))="x","x","")</f>
        <v/>
      </c>
      <c r="B110" s="274" t="s">
        <v>188</v>
      </c>
      <c r="C110" s="269" t="s">
        <v>2237</v>
      </c>
      <c r="D110" s="201"/>
      <c r="E110" s="194" t="str">
        <f t="shared" ref="E110:E134" si="31">IF(INDEX(HLC_GW,MATCH(C110,ChemNameChem,0))="","No HLC",IF(OR(D110="",ISTEXT(D110)),"--",D110*AFgw_GW*1000*INDEX(HLC_GW, MATCH(C110, ChemNameChem,0))))</f>
        <v>--</v>
      </c>
      <c r="F110" s="122" t="str">
        <f t="shared" ref="F110:F134" si="32">IF(ISTEXT(E110),"--",IF(I110="","No IUR",IF(LEFT(E110,1)="N",E110,IF(M110&lt;&gt;"TCE",E110*(IF(AND(M110="VC",Scenario_GW="Residential"),I110,0)+I110*IF(M110="Mut",MMOAAF_GW,ED_GW)*EF_GW*ET_GW/(ATc_GW*365*24)),E110*mIURTCE_GW*MMOAAF_GW*EF_GW*ET_GW/(ATc_GW*365*24)+E110*IURTCE_GW*ED_GW*EF_GW*ET_GW/(ATc_GW*365*24)))))</f>
        <v>--</v>
      </c>
      <c r="G110" s="123" t="str">
        <f t="shared" ref="G110:G134" si="33">IF(ISTEXT(E110),"--",IF(K110="","No RfC",IF(E110="No HLC","No HLC",E110*EF_GW*ED_GW*ET_GW/(K110*Atnc_GW*365*24*1000))))</f>
        <v>--</v>
      </c>
      <c r="H110" s="124"/>
      <c r="I110" s="121">
        <f t="shared" ref="I110:I134" si="34">IF(INDEX(IUR,MATCH(B110,CASNoTox,0))=" ","",IF(M110="TCE","see note",INDEX(IUR,MATCH(B110,CASNoTox,0))))</f>
        <v>1.1000000000000001E-3</v>
      </c>
      <c r="J110" s="121" t="str">
        <f t="shared" ref="J110:J134" si="35">IF(INDEX(IURSource,MATCH(B110,CASNoTox,0))="","",SUBSTITUTE(INDEX(IURSource,MATCH(B110,CASNoTox,0)),"C","CA"))</f>
        <v>E</v>
      </c>
      <c r="K110" s="121">
        <f t="shared" ref="K110:K134" si="36">IF(INDEX(RFC,MATCH(B110,CASNoTox,0))=" ","",INDEX(RFC,MATCH(B110,CASNoTox,0)))</f>
        <v>1.2999999999999999E-3</v>
      </c>
      <c r="L110" s="121" t="str">
        <f t="shared" ref="L110:L134" si="37">IF(INDEX(RFCSource,MATCH(B110,CASNoTox,0))="","",SUBSTITUTE(INDEX(RFCSource,MATCH(B110,CASNoTox,0)),"C","CA"))</f>
        <v>E</v>
      </c>
      <c r="M110" s="121" t="str">
        <f>VLOOKUP(B110,VISL!$B:$W,22,FALSE)</f>
        <v/>
      </c>
      <c r="N110"/>
      <c r="O110" s="190" t="str">
        <f t="shared" si="30"/>
        <v/>
      </c>
      <c r="P110"/>
      <c r="Q110"/>
      <c r="R110"/>
      <c r="S110"/>
    </row>
    <row r="111" spans="1:19">
      <c r="A111" s="124" t="str">
        <f>IF(INDEX(VISL!A:A,MATCH(B111,VISL!B:B,0))="x","x","")</f>
        <v/>
      </c>
      <c r="B111" s="344" t="s">
        <v>4</v>
      </c>
      <c r="C111" s="269" t="s">
        <v>383</v>
      </c>
      <c r="D111" s="201"/>
      <c r="E111" s="194" t="str">
        <f t="shared" si="31"/>
        <v>--</v>
      </c>
      <c r="F111" s="122" t="str">
        <f t="shared" si="32"/>
        <v>--</v>
      </c>
      <c r="G111" s="123" t="str">
        <f t="shared" si="33"/>
        <v>--</v>
      </c>
      <c r="H111" s="124"/>
      <c r="I111" s="121">
        <f t="shared" si="34"/>
        <v>4.6000000000000001E-4</v>
      </c>
      <c r="J111" s="121" t="str">
        <f t="shared" si="35"/>
        <v>I</v>
      </c>
      <c r="K111" s="121" t="str">
        <f t="shared" si="36"/>
        <v/>
      </c>
      <c r="L111" s="121" t="str">
        <f t="shared" si="37"/>
        <v/>
      </c>
      <c r="M111" s="121" t="str">
        <f>VLOOKUP(B111,VISL!$B:$W,22,FALSE)</f>
        <v/>
      </c>
      <c r="N111"/>
      <c r="O111" s="190" t="str">
        <f t="shared" si="30"/>
        <v/>
      </c>
      <c r="P111"/>
      <c r="Q111"/>
      <c r="R111"/>
      <c r="S111"/>
    </row>
    <row r="112" spans="1:19">
      <c r="A112" s="124" t="str">
        <f>IF(INDEX(VISL!A:A,MATCH(B112,VISL!B:B,0))="x","x","")</f>
        <v/>
      </c>
      <c r="B112" s="344" t="s">
        <v>191</v>
      </c>
      <c r="C112" s="269" t="s">
        <v>2238</v>
      </c>
      <c r="D112" s="201"/>
      <c r="E112" s="194" t="str">
        <f t="shared" si="31"/>
        <v>--</v>
      </c>
      <c r="F112" s="122" t="str">
        <f t="shared" si="32"/>
        <v>--</v>
      </c>
      <c r="G112" s="123" t="str">
        <f t="shared" si="33"/>
        <v>--</v>
      </c>
      <c r="H112" s="124"/>
      <c r="I112" s="121">
        <f t="shared" si="34"/>
        <v>1.1000000000000001E-3</v>
      </c>
      <c r="J112" s="121" t="str">
        <f t="shared" si="35"/>
        <v>E</v>
      </c>
      <c r="K112" s="121">
        <f t="shared" si="36"/>
        <v>1.2999999999999999E-3</v>
      </c>
      <c r="L112" s="121" t="str">
        <f t="shared" si="37"/>
        <v>E</v>
      </c>
      <c r="M112" s="121" t="str">
        <f>VLOOKUP(B112,VISL!$B:$W,22,FALSE)</f>
        <v/>
      </c>
      <c r="N112"/>
      <c r="O112" s="190" t="str">
        <f t="shared" si="30"/>
        <v/>
      </c>
      <c r="P112"/>
      <c r="Q112"/>
      <c r="R112"/>
      <c r="S112"/>
    </row>
    <row r="113" spans="1:19">
      <c r="A113" s="124" t="str">
        <f>IF(INDEX(VISL!A:A,MATCH(B113,VISL!B:B,0))="x","x","")</f>
        <v/>
      </c>
      <c r="B113" s="344" t="s">
        <v>190</v>
      </c>
      <c r="C113" s="269" t="s">
        <v>2239</v>
      </c>
      <c r="D113" s="201"/>
      <c r="E113" s="194" t="str">
        <f t="shared" si="31"/>
        <v>--</v>
      </c>
      <c r="F113" s="122" t="str">
        <f t="shared" si="32"/>
        <v>--</v>
      </c>
      <c r="G113" s="123" t="str">
        <f t="shared" si="33"/>
        <v>--</v>
      </c>
      <c r="H113" s="124"/>
      <c r="I113" s="121">
        <f t="shared" si="34"/>
        <v>1.1000000000000001E-3</v>
      </c>
      <c r="J113" s="121" t="str">
        <f t="shared" si="35"/>
        <v>E</v>
      </c>
      <c r="K113" s="121">
        <f t="shared" si="36"/>
        <v>1.2999999999999999E-3</v>
      </c>
      <c r="L113" s="121" t="str">
        <f t="shared" si="37"/>
        <v>E</v>
      </c>
      <c r="M113" s="121" t="str">
        <f>VLOOKUP(B113,VISL!$B:$W,22,FALSE)</f>
        <v/>
      </c>
      <c r="N113"/>
      <c r="O113" s="190" t="str">
        <f t="shared" si="30"/>
        <v/>
      </c>
      <c r="P113"/>
      <c r="Q113"/>
      <c r="R113"/>
      <c r="S113"/>
    </row>
    <row r="114" spans="1:19">
      <c r="A114" s="124" t="str">
        <f>IF(INDEX(VISL!A:A,MATCH(B114,VISL!B:B,0))="x","x","")</f>
        <v/>
      </c>
      <c r="B114" s="344" t="s">
        <v>189</v>
      </c>
      <c r="C114" s="269" t="s">
        <v>2240</v>
      </c>
      <c r="D114" s="201"/>
      <c r="E114" s="194" t="str">
        <f t="shared" si="31"/>
        <v>--</v>
      </c>
      <c r="F114" s="122" t="str">
        <f t="shared" si="32"/>
        <v>--</v>
      </c>
      <c r="G114" s="123" t="str">
        <f t="shared" si="33"/>
        <v>--</v>
      </c>
      <c r="H114" s="124"/>
      <c r="I114" s="121">
        <f t="shared" si="34"/>
        <v>1.1000000000000001E-3</v>
      </c>
      <c r="J114" s="121" t="str">
        <f t="shared" si="35"/>
        <v>E</v>
      </c>
      <c r="K114" s="121">
        <f t="shared" si="36"/>
        <v>1.2999999999999999E-3</v>
      </c>
      <c r="L114" s="121" t="str">
        <f t="shared" si="37"/>
        <v>E</v>
      </c>
      <c r="M114" s="121" t="str">
        <f>VLOOKUP(B114,VISL!$B:$W,22,FALSE)</f>
        <v/>
      </c>
      <c r="N114"/>
      <c r="O114" s="190" t="str">
        <f t="shared" si="30"/>
        <v/>
      </c>
      <c r="P114"/>
      <c r="Q114"/>
      <c r="R114"/>
      <c r="S114"/>
    </row>
    <row r="115" spans="1:19">
      <c r="A115" s="124" t="str">
        <f>IF(INDEX(VISL!A:A,MATCH(B115,VISL!B:B,0))="x","x","")</f>
        <v/>
      </c>
      <c r="B115" s="344" t="s">
        <v>192</v>
      </c>
      <c r="C115" s="269" t="s">
        <v>2241</v>
      </c>
      <c r="D115" s="201"/>
      <c r="E115" s="194" t="str">
        <f t="shared" si="31"/>
        <v>--</v>
      </c>
      <c r="F115" s="122" t="str">
        <f t="shared" si="32"/>
        <v>--</v>
      </c>
      <c r="G115" s="123" t="str">
        <f t="shared" si="33"/>
        <v>--</v>
      </c>
      <c r="H115" s="124"/>
      <c r="I115" s="121">
        <f t="shared" si="34"/>
        <v>1.1000000000000001</v>
      </c>
      <c r="J115" s="121" t="str">
        <f t="shared" si="35"/>
        <v>E</v>
      </c>
      <c r="K115" s="121">
        <f t="shared" si="36"/>
        <v>1.3E-6</v>
      </c>
      <c r="L115" s="121" t="str">
        <f t="shared" si="37"/>
        <v>E</v>
      </c>
      <c r="M115" s="121" t="str">
        <f>VLOOKUP(B115,VISL!$B:$W,22,FALSE)</f>
        <v/>
      </c>
      <c r="N115"/>
      <c r="O115" s="190" t="str">
        <f t="shared" si="30"/>
        <v/>
      </c>
      <c r="P115"/>
      <c r="Q115"/>
      <c r="R115"/>
      <c r="S115"/>
    </row>
    <row r="116" spans="1:19" s="190" customFormat="1">
      <c r="A116" s="124" t="str">
        <f>IF(INDEX(VISL!A:A,MATCH(B116,VISL!B:B,0))="x","x","")</f>
        <v/>
      </c>
      <c r="B116" s="344" t="s">
        <v>5</v>
      </c>
      <c r="C116" s="269" t="s">
        <v>1179</v>
      </c>
      <c r="D116" s="244"/>
      <c r="E116" s="194" t="str">
        <f t="shared" si="31"/>
        <v>--</v>
      </c>
      <c r="F116" s="122" t="str">
        <f t="shared" si="32"/>
        <v>--</v>
      </c>
      <c r="G116" s="123" t="str">
        <f t="shared" si="33"/>
        <v>--</v>
      </c>
      <c r="H116" s="124"/>
      <c r="I116" s="121">
        <f t="shared" si="34"/>
        <v>2.1999999999999999E-5</v>
      </c>
      <c r="J116" s="121" t="str">
        <f t="shared" si="35"/>
        <v>I</v>
      </c>
      <c r="K116" s="121" t="str">
        <f t="shared" si="36"/>
        <v/>
      </c>
      <c r="L116" s="121" t="str">
        <f t="shared" si="37"/>
        <v/>
      </c>
      <c r="M116" s="121" t="str">
        <f>VLOOKUP(B116,VISL!$B:$W,22,FALSE)</f>
        <v/>
      </c>
      <c r="O116" s="190" t="str">
        <f t="shared" si="30"/>
        <v/>
      </c>
    </row>
    <row r="117" spans="1:19">
      <c r="A117" s="124" t="str">
        <f>IF(INDEX(VISL!A:A,MATCH(B117,VISL!B:B,0))="x","x","")</f>
        <v/>
      </c>
      <c r="B117" s="344" t="s">
        <v>10</v>
      </c>
      <c r="C117" s="269" t="s">
        <v>384</v>
      </c>
      <c r="D117" s="201"/>
      <c r="E117" s="194" t="str">
        <f t="shared" si="31"/>
        <v>--</v>
      </c>
      <c r="F117" s="122" t="str">
        <f t="shared" si="32"/>
        <v>--</v>
      </c>
      <c r="G117" s="123" t="str">
        <f t="shared" si="33"/>
        <v>--</v>
      </c>
      <c r="H117" s="124"/>
      <c r="I117" s="121" t="str">
        <f t="shared" si="34"/>
        <v/>
      </c>
      <c r="J117" s="121" t="str">
        <f t="shared" si="35"/>
        <v/>
      </c>
      <c r="K117" s="121">
        <f t="shared" si="36"/>
        <v>2.0000000000000001E-4</v>
      </c>
      <c r="L117" s="121" t="str">
        <f t="shared" si="37"/>
        <v>I</v>
      </c>
      <c r="M117" s="121" t="str">
        <f>VLOOKUP(B117,VISL!$B:$W,22,FALSE)</f>
        <v/>
      </c>
      <c r="N117"/>
      <c r="O117" s="190" t="str">
        <f t="shared" si="30"/>
        <v/>
      </c>
      <c r="P117"/>
      <c r="Q117"/>
      <c r="R117"/>
      <c r="S117"/>
    </row>
    <row r="118" spans="1:19">
      <c r="A118" s="124" t="str">
        <f>IF(INDEX(VISL!A:A,MATCH(B118,VISL!B:B,0))="x","x","")</f>
        <v/>
      </c>
      <c r="B118" s="344" t="s">
        <v>11</v>
      </c>
      <c r="C118" s="269" t="s">
        <v>385</v>
      </c>
      <c r="D118" s="201"/>
      <c r="E118" s="194" t="str">
        <f t="shared" si="31"/>
        <v>--</v>
      </c>
      <c r="F118" s="122" t="str">
        <f t="shared" si="32"/>
        <v>--</v>
      </c>
      <c r="G118" s="123" t="str">
        <f t="shared" si="33"/>
        <v>--</v>
      </c>
      <c r="H118" s="124"/>
      <c r="I118" s="121">
        <f t="shared" si="34"/>
        <v>1.1E-5</v>
      </c>
      <c r="J118" s="121" t="str">
        <f t="shared" si="35"/>
        <v>CA</v>
      </c>
      <c r="K118" s="121">
        <f t="shared" si="36"/>
        <v>0.03</v>
      </c>
      <c r="L118" s="121" t="str">
        <f t="shared" si="37"/>
        <v>I</v>
      </c>
      <c r="M118" s="121" t="str">
        <f>VLOOKUP(B118,VISL!$B:$W,22,FALSE)</f>
        <v/>
      </c>
      <c r="N118"/>
      <c r="O118" s="190" t="str">
        <f t="shared" si="30"/>
        <v/>
      </c>
      <c r="P118"/>
      <c r="Q118"/>
      <c r="R118"/>
      <c r="S118"/>
    </row>
    <row r="119" spans="1:19">
      <c r="A119" s="124" t="str">
        <f>IF(INDEX(VISL!A:A,MATCH(B119,VISL!B:B,0))="x","x","")</f>
        <v/>
      </c>
      <c r="B119" s="344" t="s">
        <v>14</v>
      </c>
      <c r="C119" s="269" t="s">
        <v>1186</v>
      </c>
      <c r="D119" s="201"/>
      <c r="E119" s="194" t="str">
        <f t="shared" si="31"/>
        <v>--</v>
      </c>
      <c r="F119" s="122" t="str">
        <f t="shared" si="32"/>
        <v>--</v>
      </c>
      <c r="G119" s="123" t="str">
        <f t="shared" si="33"/>
        <v>--</v>
      </c>
      <c r="H119" s="124"/>
      <c r="I119" s="121" t="str">
        <f t="shared" si="34"/>
        <v/>
      </c>
      <c r="J119" s="121" t="str">
        <f t="shared" si="35"/>
        <v/>
      </c>
      <c r="K119" s="121">
        <f t="shared" si="36"/>
        <v>1.0000000000000001E-5</v>
      </c>
      <c r="L119" s="121" t="str">
        <f t="shared" si="37"/>
        <v>I</v>
      </c>
      <c r="M119" s="121" t="str">
        <f>VLOOKUP(B119,VISL!$B:$W,22,FALSE)</f>
        <v/>
      </c>
      <c r="N119"/>
      <c r="O119" s="190" t="str">
        <f t="shared" si="30"/>
        <v/>
      </c>
      <c r="P119"/>
      <c r="Q119"/>
      <c r="R119"/>
      <c r="S119"/>
    </row>
    <row r="120" spans="1:19">
      <c r="A120" s="124" t="str">
        <f>IF(INDEX(VISL!A:A,MATCH(B120,VISL!B:B,0))="x","x","")</f>
        <v/>
      </c>
      <c r="B120" s="344" t="s">
        <v>15</v>
      </c>
      <c r="C120" s="269" t="s">
        <v>1187</v>
      </c>
      <c r="D120" s="201"/>
      <c r="E120" s="194" t="str">
        <f t="shared" si="31"/>
        <v>--</v>
      </c>
      <c r="F120" s="122" t="str">
        <f t="shared" si="32"/>
        <v>--</v>
      </c>
      <c r="G120" s="123" t="str">
        <f t="shared" si="33"/>
        <v>--</v>
      </c>
      <c r="H120" s="124"/>
      <c r="I120" s="121" t="str">
        <f t="shared" si="34"/>
        <v/>
      </c>
      <c r="J120" s="121" t="str">
        <f t="shared" si="35"/>
        <v/>
      </c>
      <c r="K120" s="121">
        <f t="shared" si="36"/>
        <v>0.7</v>
      </c>
      <c r="L120" s="121" t="str">
        <f t="shared" si="37"/>
        <v>I</v>
      </c>
      <c r="M120" s="121" t="str">
        <f>VLOOKUP(B120,VISL!$B:$W,22,FALSE)</f>
        <v/>
      </c>
      <c r="N120"/>
      <c r="O120" s="190" t="str">
        <f t="shared" si="30"/>
        <v/>
      </c>
      <c r="P120"/>
      <c r="Q120"/>
      <c r="R120"/>
      <c r="S120"/>
    </row>
    <row r="121" spans="1:19">
      <c r="A121" s="124" t="str">
        <f>IF(INDEX(VISL!A:A,MATCH(B121,VISL!B:B,0))="x","x","")</f>
        <v/>
      </c>
      <c r="B121" s="344" t="s">
        <v>17</v>
      </c>
      <c r="C121" s="269" t="s">
        <v>588</v>
      </c>
      <c r="D121" s="201"/>
      <c r="E121" s="194" t="str">
        <f t="shared" si="31"/>
        <v>--</v>
      </c>
      <c r="F121" s="122" t="str">
        <f t="shared" si="32"/>
        <v>--</v>
      </c>
      <c r="G121" s="123" t="str">
        <f t="shared" si="33"/>
        <v>--</v>
      </c>
      <c r="H121" s="124"/>
      <c r="I121" s="121" t="str">
        <f t="shared" si="34"/>
        <v/>
      </c>
      <c r="J121" s="121" t="str">
        <f t="shared" si="35"/>
        <v/>
      </c>
      <c r="K121" s="121">
        <f t="shared" si="36"/>
        <v>0.03</v>
      </c>
      <c r="L121" s="121" t="str">
        <f t="shared" si="37"/>
        <v>I</v>
      </c>
      <c r="M121" s="121" t="str">
        <f>VLOOKUP(B121,VISL!$B:$W,22,FALSE)</f>
        <v/>
      </c>
      <c r="N121"/>
      <c r="O121" s="190" t="str">
        <f t="shared" si="30"/>
        <v/>
      </c>
      <c r="P121"/>
      <c r="Q121"/>
      <c r="R121"/>
      <c r="S121"/>
    </row>
    <row r="122" spans="1:19">
      <c r="A122" s="124" t="str">
        <f>IF(INDEX(VISL!A:A,MATCH(B122,VISL!B:B,0))="x","x","")</f>
        <v/>
      </c>
      <c r="B122" s="344" t="s">
        <v>19</v>
      </c>
      <c r="C122" s="269" t="s">
        <v>1407</v>
      </c>
      <c r="D122" s="201"/>
      <c r="E122" s="194" t="str">
        <f t="shared" si="31"/>
        <v>--</v>
      </c>
      <c r="F122" s="122" t="str">
        <f t="shared" si="32"/>
        <v>--</v>
      </c>
      <c r="G122" s="123" t="str">
        <f t="shared" si="33"/>
        <v>--</v>
      </c>
      <c r="H122" s="124"/>
      <c r="I122" s="121">
        <f t="shared" si="34"/>
        <v>4.8999999999999998E-3</v>
      </c>
      <c r="J122" s="121" t="str">
        <f t="shared" si="35"/>
        <v>I</v>
      </c>
      <c r="K122" s="121">
        <f t="shared" si="36"/>
        <v>3.0000000000000001E-5</v>
      </c>
      <c r="L122" s="121" t="str">
        <f t="shared" si="37"/>
        <v>P</v>
      </c>
      <c r="M122" s="121" t="str">
        <f>VLOOKUP(B122,VISL!$B:$W,22,FALSE)</f>
        <v/>
      </c>
      <c r="N122"/>
      <c r="O122" s="190" t="str">
        <f t="shared" si="30"/>
        <v/>
      </c>
      <c r="P122"/>
      <c r="Q122"/>
      <c r="R122"/>
      <c r="S122"/>
    </row>
    <row r="123" spans="1:19">
      <c r="A123" s="124" t="str">
        <f>IF(INDEX(VISL!A:A,MATCH(B123,VISL!B:B,0))="x","x","")</f>
        <v/>
      </c>
      <c r="B123" s="344" t="s">
        <v>21</v>
      </c>
      <c r="C123" s="269" t="s">
        <v>1191</v>
      </c>
      <c r="D123" s="201"/>
      <c r="E123" s="194" t="str">
        <f t="shared" si="31"/>
        <v>--</v>
      </c>
      <c r="F123" s="122" t="str">
        <f t="shared" si="32"/>
        <v>--</v>
      </c>
      <c r="G123" s="123" t="str">
        <f t="shared" si="33"/>
        <v>--</v>
      </c>
      <c r="H123" s="124"/>
      <c r="I123" s="121" t="str">
        <f t="shared" si="34"/>
        <v/>
      </c>
      <c r="J123" s="121" t="str">
        <f t="shared" si="35"/>
        <v/>
      </c>
      <c r="K123" s="121">
        <f t="shared" si="36"/>
        <v>0.02</v>
      </c>
      <c r="L123" s="121" t="str">
        <f t="shared" si="37"/>
        <v>I</v>
      </c>
      <c r="M123" s="121" t="str">
        <f>VLOOKUP(B123,VISL!$B:$W,22,FALSE)</f>
        <v/>
      </c>
      <c r="N123"/>
      <c r="O123" s="190" t="str">
        <f t="shared" si="30"/>
        <v/>
      </c>
      <c r="P123"/>
      <c r="Q123"/>
      <c r="R123"/>
      <c r="S123"/>
    </row>
    <row r="124" spans="1:19">
      <c r="A124" s="124" t="str">
        <f>IF(INDEX(VISL!A:A,MATCH(B124,VISL!B:B,0))="x","x","")</f>
        <v/>
      </c>
      <c r="B124" s="344" t="s">
        <v>794</v>
      </c>
      <c r="C124" s="269" t="s">
        <v>2242</v>
      </c>
      <c r="D124" s="201"/>
      <c r="E124" s="194" t="str">
        <f t="shared" si="31"/>
        <v>--</v>
      </c>
      <c r="F124" s="122" t="str">
        <f t="shared" si="32"/>
        <v>--</v>
      </c>
      <c r="G124" s="123" t="str">
        <f t="shared" si="33"/>
        <v>--</v>
      </c>
      <c r="H124" s="124"/>
      <c r="I124" s="121" t="str">
        <f t="shared" si="34"/>
        <v/>
      </c>
      <c r="J124" s="121" t="str">
        <f t="shared" si="35"/>
        <v/>
      </c>
      <c r="K124" s="121">
        <f t="shared" si="36"/>
        <v>8.0000000000000004E-4</v>
      </c>
      <c r="L124" s="121" t="str">
        <f t="shared" si="37"/>
        <v>I</v>
      </c>
      <c r="M124" s="121" t="str">
        <f>VLOOKUP(B124,VISL!$B:$W,22,FALSE)</f>
        <v/>
      </c>
      <c r="N124"/>
      <c r="O124" s="190" t="str">
        <f t="shared" si="30"/>
        <v/>
      </c>
      <c r="P124"/>
      <c r="Q124"/>
      <c r="R124"/>
      <c r="S124"/>
    </row>
    <row r="125" spans="1:19">
      <c r="A125" s="124" t="str">
        <f>IF(INDEX(VISL!A:A,MATCH(B125,VISL!B:B,0))="x","x","")</f>
        <v/>
      </c>
      <c r="B125" s="344" t="s">
        <v>22</v>
      </c>
      <c r="C125" s="269" t="s">
        <v>589</v>
      </c>
      <c r="D125" s="201"/>
      <c r="E125" s="194" t="str">
        <f t="shared" si="31"/>
        <v>--</v>
      </c>
      <c r="F125" s="122" t="str">
        <f t="shared" si="32"/>
        <v>--</v>
      </c>
      <c r="G125" s="123" t="str">
        <f t="shared" si="33"/>
        <v>--</v>
      </c>
      <c r="H125" s="124"/>
      <c r="I125" s="121" t="str">
        <f t="shared" si="34"/>
        <v/>
      </c>
      <c r="J125" s="121" t="str">
        <f t="shared" si="35"/>
        <v/>
      </c>
      <c r="K125" s="121">
        <f t="shared" si="36"/>
        <v>1.4E-2</v>
      </c>
      <c r="L125" s="121" t="str">
        <f t="shared" si="37"/>
        <v>CA</v>
      </c>
      <c r="M125" s="121" t="str">
        <f>VLOOKUP(B125,VISL!$B:$W,22,FALSE)</f>
        <v/>
      </c>
      <c r="N125"/>
      <c r="O125" s="190" t="str">
        <f t="shared" si="30"/>
        <v/>
      </c>
      <c r="P125"/>
      <c r="Q125"/>
      <c r="R125"/>
      <c r="S125"/>
    </row>
    <row r="126" spans="1:19">
      <c r="A126" s="124" t="str">
        <f>IF(INDEX(VISL!A:A,MATCH(B126,VISL!B:B,0))="x","x","")</f>
        <v/>
      </c>
      <c r="B126" s="344" t="s">
        <v>23</v>
      </c>
      <c r="C126" s="269" t="s">
        <v>1192</v>
      </c>
      <c r="D126" s="201"/>
      <c r="E126" s="194" t="str">
        <f t="shared" si="31"/>
        <v>--</v>
      </c>
      <c r="F126" s="122" t="str">
        <f t="shared" si="32"/>
        <v>--</v>
      </c>
      <c r="G126" s="123" t="str">
        <f t="shared" si="33"/>
        <v>--</v>
      </c>
      <c r="H126" s="124"/>
      <c r="I126" s="121" t="str">
        <f t="shared" si="34"/>
        <v/>
      </c>
      <c r="J126" s="121" t="str">
        <f t="shared" si="35"/>
        <v/>
      </c>
      <c r="K126" s="121">
        <f t="shared" si="36"/>
        <v>2E-3</v>
      </c>
      <c r="L126" s="121" t="str">
        <f t="shared" si="37"/>
        <v>I</v>
      </c>
      <c r="M126" s="121" t="str">
        <f>VLOOKUP(B126,VISL!$B:$W,22,FALSE)</f>
        <v/>
      </c>
      <c r="N126"/>
      <c r="O126" s="190" t="str">
        <f t="shared" si="30"/>
        <v/>
      </c>
      <c r="P126"/>
      <c r="Q126"/>
      <c r="R126"/>
      <c r="S126"/>
    </row>
    <row r="127" spans="1:19">
      <c r="A127" s="124" t="str">
        <f>IF(INDEX(VISL!A:A,MATCH(B127,VISL!B:B,0))="x","x","")</f>
        <v/>
      </c>
      <c r="B127" s="344" t="s">
        <v>33</v>
      </c>
      <c r="C127" s="269" t="s">
        <v>591</v>
      </c>
      <c r="D127" s="201"/>
      <c r="E127" s="194" t="str">
        <f t="shared" si="31"/>
        <v>--</v>
      </c>
      <c r="F127" s="122" t="str">
        <f t="shared" si="32"/>
        <v>--</v>
      </c>
      <c r="G127" s="123" t="str">
        <f t="shared" si="33"/>
        <v>--</v>
      </c>
      <c r="H127" s="124"/>
      <c r="I127" s="121" t="str">
        <f t="shared" si="34"/>
        <v/>
      </c>
      <c r="J127" s="121" t="str">
        <f t="shared" si="35"/>
        <v/>
      </c>
      <c r="K127" s="121">
        <f t="shared" si="36"/>
        <v>0.2</v>
      </c>
      <c r="L127" s="121" t="str">
        <f t="shared" si="37"/>
        <v>P</v>
      </c>
      <c r="M127" s="121" t="str">
        <f>VLOOKUP(B127,VISL!$B:$W,22,FALSE)</f>
        <v/>
      </c>
      <c r="N127"/>
      <c r="O127" s="190" t="str">
        <f t="shared" si="30"/>
        <v/>
      </c>
      <c r="P127"/>
      <c r="Q127"/>
      <c r="R127"/>
      <c r="S127"/>
    </row>
    <row r="128" spans="1:19">
      <c r="A128" s="124" t="str">
        <f>IF(INDEX(VISL!A:A,MATCH(B128,VISL!B:B,0))="x","x","")</f>
        <v/>
      </c>
      <c r="B128" s="269" t="s">
        <v>59</v>
      </c>
      <c r="C128" s="269" t="s">
        <v>2243</v>
      </c>
      <c r="D128" s="201"/>
      <c r="E128" s="194" t="str">
        <f t="shared" si="31"/>
        <v>--</v>
      </c>
      <c r="F128" s="122" t="str">
        <f t="shared" si="32"/>
        <v>--</v>
      </c>
      <c r="G128" s="123" t="str">
        <f t="shared" si="33"/>
        <v>--</v>
      </c>
      <c r="H128" s="124"/>
      <c r="I128" s="121" t="str">
        <f t="shared" si="34"/>
        <v/>
      </c>
      <c r="J128" s="121" t="str">
        <f t="shared" si="35"/>
        <v/>
      </c>
      <c r="K128" s="121">
        <f t="shared" si="36"/>
        <v>2.9999999999999997E-4</v>
      </c>
      <c r="L128" s="121" t="str">
        <f t="shared" si="37"/>
        <v>I</v>
      </c>
      <c r="M128" s="121" t="str">
        <f>VLOOKUP(B128,VISL!$B:$W,22,FALSE)</f>
        <v/>
      </c>
      <c r="N128"/>
      <c r="O128" s="190" t="str">
        <f t="shared" si="30"/>
        <v/>
      </c>
      <c r="P128"/>
      <c r="Q128"/>
      <c r="R128"/>
      <c r="S128"/>
    </row>
    <row r="129" spans="1:19">
      <c r="A129" s="124" t="str">
        <f>IF(INDEX(VISL!A:A,MATCH(B129,VISL!B:B,0))="x","x","")</f>
        <v/>
      </c>
      <c r="B129" s="344" t="s">
        <v>65</v>
      </c>
      <c r="C129" s="269" t="s">
        <v>1441</v>
      </c>
      <c r="D129" s="201"/>
      <c r="E129" s="194" t="str">
        <f t="shared" si="31"/>
        <v>--</v>
      </c>
      <c r="F129" s="122" t="str">
        <f t="shared" si="32"/>
        <v>--</v>
      </c>
      <c r="G129" s="123" t="str">
        <f t="shared" si="33"/>
        <v>--</v>
      </c>
      <c r="H129" s="124"/>
      <c r="I129" s="121" t="str">
        <f t="shared" si="34"/>
        <v/>
      </c>
      <c r="J129" s="121" t="str">
        <f t="shared" si="35"/>
        <v/>
      </c>
      <c r="K129" s="121">
        <f t="shared" si="36"/>
        <v>0.03</v>
      </c>
      <c r="L129" s="121" t="str">
        <f t="shared" si="37"/>
        <v>P</v>
      </c>
      <c r="M129" s="121" t="str">
        <f>VLOOKUP(B129,VISL!$B:$W,22,FALSE)</f>
        <v/>
      </c>
      <c r="N129"/>
      <c r="O129" s="190" t="str">
        <f t="shared" si="30"/>
        <v/>
      </c>
      <c r="P129"/>
      <c r="Q129"/>
      <c r="R129"/>
      <c r="S129"/>
    </row>
    <row r="130" spans="1:19">
      <c r="A130" s="124" t="str">
        <f>IF(INDEX(VISL!A:A,MATCH(B130,VISL!B:B,0))="x","x","")</f>
        <v/>
      </c>
      <c r="B130" s="344" t="s">
        <v>67</v>
      </c>
      <c r="C130" s="269" t="s">
        <v>1220</v>
      </c>
      <c r="D130" s="244"/>
      <c r="E130" s="194" t="str">
        <f t="shared" si="31"/>
        <v>--</v>
      </c>
      <c r="F130" s="122" t="str">
        <f t="shared" si="32"/>
        <v>--</v>
      </c>
      <c r="G130" s="123" t="str">
        <f t="shared" si="33"/>
        <v>--</v>
      </c>
      <c r="H130" s="124"/>
      <c r="I130" s="121" t="str">
        <f t="shared" si="34"/>
        <v/>
      </c>
      <c r="J130" s="121" t="str">
        <f t="shared" si="35"/>
        <v/>
      </c>
      <c r="K130" s="121">
        <f t="shared" si="36"/>
        <v>20</v>
      </c>
      <c r="L130" s="121" t="str">
        <f t="shared" si="37"/>
        <v>I</v>
      </c>
      <c r="M130" s="121" t="str">
        <f>VLOOKUP(B130,VISL!$B:$W,22,FALSE)</f>
        <v/>
      </c>
      <c r="N130"/>
      <c r="O130" s="190" t="str">
        <f t="shared" si="30"/>
        <v/>
      </c>
      <c r="P130"/>
      <c r="Q130"/>
      <c r="R130"/>
      <c r="S130"/>
    </row>
    <row r="131" spans="1:19">
      <c r="A131" s="124" t="str">
        <f>IF(INDEX(VISL!A:A,MATCH(B131,VISL!B:B,0))="x","x","")</f>
        <v/>
      </c>
      <c r="B131" s="344" t="s">
        <v>72</v>
      </c>
      <c r="C131" s="269" t="s">
        <v>1224</v>
      </c>
      <c r="D131" s="201"/>
      <c r="E131" s="194" t="str">
        <f t="shared" si="31"/>
        <v>--</v>
      </c>
      <c r="F131" s="122" t="str">
        <f t="shared" si="32"/>
        <v>--</v>
      </c>
      <c r="G131" s="123" t="str">
        <f t="shared" si="33"/>
        <v>--</v>
      </c>
      <c r="H131" s="124"/>
      <c r="I131" s="121" t="str">
        <f t="shared" si="34"/>
        <v/>
      </c>
      <c r="J131" s="121" t="str">
        <f t="shared" si="35"/>
        <v/>
      </c>
      <c r="K131" s="121">
        <f t="shared" si="36"/>
        <v>1E-3</v>
      </c>
      <c r="L131" s="121" t="str">
        <f t="shared" si="37"/>
        <v>P</v>
      </c>
      <c r="M131" s="121" t="str">
        <f>VLOOKUP(B131,VISL!$B:$W,22,FALSE)</f>
        <v/>
      </c>
      <c r="N131"/>
      <c r="O131" s="190" t="str">
        <f t="shared" si="30"/>
        <v/>
      </c>
      <c r="P131"/>
      <c r="Q131"/>
      <c r="R131"/>
      <c r="S131"/>
    </row>
    <row r="132" spans="1:19">
      <c r="A132" s="124" t="str">
        <f>IF(INDEX(VISL!A:A,MATCH(B132,VISL!B:B,0))="x","x","")</f>
        <v/>
      </c>
      <c r="B132" s="344" t="s">
        <v>73</v>
      </c>
      <c r="C132" s="269" t="s">
        <v>1225</v>
      </c>
      <c r="D132" s="201"/>
      <c r="E132" s="194" t="str">
        <f t="shared" si="31"/>
        <v>--</v>
      </c>
      <c r="F132" s="122" t="str">
        <f t="shared" si="32"/>
        <v>--</v>
      </c>
      <c r="G132" s="123" t="str">
        <f t="shared" si="33"/>
        <v>--</v>
      </c>
      <c r="H132" s="124"/>
      <c r="I132" s="121" t="str">
        <f t="shared" si="34"/>
        <v/>
      </c>
      <c r="J132" s="121" t="str">
        <f t="shared" si="35"/>
        <v/>
      </c>
      <c r="K132" s="121">
        <f t="shared" si="36"/>
        <v>0.02</v>
      </c>
      <c r="L132" s="121" t="str">
        <f t="shared" si="37"/>
        <v>I</v>
      </c>
      <c r="M132" s="121" t="str">
        <f>VLOOKUP(B132,VISL!$B:$W,22,FALSE)</f>
        <v/>
      </c>
      <c r="N132"/>
      <c r="O132" s="190" t="str">
        <f t="shared" si="30"/>
        <v/>
      </c>
      <c r="P132"/>
      <c r="Q132"/>
      <c r="R132"/>
      <c r="S132"/>
    </row>
    <row r="133" spans="1:19">
      <c r="A133" s="124" t="str">
        <f>IF(INDEX(VISL!A:A,MATCH(B133,VISL!B:B,0))="x","x","")</f>
        <v/>
      </c>
      <c r="B133" s="344" t="s">
        <v>75</v>
      </c>
      <c r="C133" s="269" t="s">
        <v>1227</v>
      </c>
      <c r="D133" s="201"/>
      <c r="E133" s="194" t="str">
        <f t="shared" si="31"/>
        <v>--</v>
      </c>
      <c r="F133" s="122" t="str">
        <f t="shared" si="32"/>
        <v>--</v>
      </c>
      <c r="G133" s="123" t="str">
        <f t="shared" si="33"/>
        <v>--</v>
      </c>
      <c r="H133" s="124"/>
      <c r="I133" s="121" t="str">
        <f t="shared" si="34"/>
        <v/>
      </c>
      <c r="J133" s="121" t="str">
        <f t="shared" si="35"/>
        <v/>
      </c>
      <c r="K133" s="121">
        <f t="shared" si="36"/>
        <v>0.02</v>
      </c>
      <c r="L133" s="121" t="str">
        <f t="shared" si="37"/>
        <v>P</v>
      </c>
      <c r="M133" s="121" t="str">
        <f>VLOOKUP(B133,VISL!$B:$W,22,FALSE)</f>
        <v/>
      </c>
      <c r="N133"/>
      <c r="O133" s="190" t="str">
        <f t="shared" si="30"/>
        <v/>
      </c>
      <c r="P133"/>
      <c r="Q133"/>
      <c r="R133"/>
      <c r="S133"/>
    </row>
    <row r="134" spans="1:19">
      <c r="A134" s="124" t="str">
        <f>IF(INDEX(VISL!A:A,MATCH(B134,VISL!B:B,0))="x","x","")</f>
        <v/>
      </c>
      <c r="B134" s="344" t="s">
        <v>76</v>
      </c>
      <c r="C134" s="269" t="s">
        <v>1228</v>
      </c>
      <c r="D134" s="201"/>
      <c r="E134" s="194" t="str">
        <f t="shared" si="31"/>
        <v>--</v>
      </c>
      <c r="F134" s="122" t="str">
        <f t="shared" si="32"/>
        <v>--</v>
      </c>
      <c r="G134" s="123" t="str">
        <f t="shared" si="33"/>
        <v>--</v>
      </c>
      <c r="H134" s="124"/>
      <c r="I134" s="121" t="str">
        <f t="shared" si="34"/>
        <v/>
      </c>
      <c r="J134" s="121" t="str">
        <f t="shared" si="35"/>
        <v/>
      </c>
      <c r="K134" s="121">
        <f t="shared" si="36"/>
        <v>5</v>
      </c>
      <c r="L134" s="121" t="str">
        <f t="shared" si="37"/>
        <v>I</v>
      </c>
      <c r="M134" s="121" t="str">
        <f>VLOOKUP(B134,VISL!$B:$W,22,FALSE)</f>
        <v/>
      </c>
      <c r="N134"/>
      <c r="O134" s="190" t="str">
        <f t="shared" si="30"/>
        <v/>
      </c>
      <c r="P134"/>
      <c r="Q134"/>
      <c r="R134"/>
      <c r="S134"/>
    </row>
    <row r="135" spans="1:19" s="190" customFormat="1">
      <c r="A135" s="124" t="str">
        <f>IF(INDEX(VISL!A:A,MATCH(B135,VISL!B:B,0))="x","x","")</f>
        <v/>
      </c>
      <c r="B135" s="344" t="s">
        <v>1568</v>
      </c>
      <c r="C135" s="269" t="s">
        <v>1567</v>
      </c>
      <c r="D135" s="201"/>
      <c r="E135" s="194" t="str">
        <f t="shared" ref="E135:E196" si="38">IF(INDEX(HLC_GW,MATCH(C135,ChemNameChem,0))="","No HLC",IF(OR(D135="",ISTEXT(D135)),"--",D135*AFgw_GW*1000*INDEX(HLC_GW, MATCH(C135, ChemNameChem,0))))</f>
        <v>--</v>
      </c>
      <c r="F135" s="122" t="str">
        <f t="shared" ref="F135:F196" si="39">IF(ISTEXT(E135),"--",IF(I135="","No IUR",IF(LEFT(E135,1)="N",E135,IF(M135&lt;&gt;"TCE",E135*(IF(AND(M135="VC",Scenario_GW="Residential"),I135,0)+I135*IF(M135="Mut",MMOAAF_GW,ED_GW)*EF_GW*ET_GW/(ATc_GW*365*24)),E135*mIURTCE_GW*MMOAAF_GW*EF_GW*ET_GW/(ATc_GW*365*24)+E135*IURTCE_GW*ED_GW*EF_GW*ET_GW/(ATc_GW*365*24)))))</f>
        <v>--</v>
      </c>
      <c r="G135" s="123" t="str">
        <f t="shared" ref="G135:G196" si="40">IF(ISTEXT(E135),"--",IF(K135="","No RfC",IF(E135="No HLC","No HLC",E135*EF_GW*ED_GW*ET_GW/(K135*Atnc_GW*365*24*1000))))</f>
        <v>--</v>
      </c>
      <c r="H135" s="124"/>
      <c r="I135" s="121">
        <f t="shared" ref="I135:I196" si="41">IF(INDEX(IUR,MATCH(B135,CASNoTox,0))=" ","",IF(M135="TCE","see note",INDEX(IUR,MATCH(B135,CASNoTox,0))))</f>
        <v>1E-3</v>
      </c>
      <c r="J135" s="121" t="str">
        <f t="shared" ref="J135:J196" si="42">IF(INDEX(IURSource,MATCH(B135,CASNoTox,0))="","",SUBSTITUTE(INDEX(IURSource,MATCH(B135,CASNoTox,0)),"C","CA"))</f>
        <v>X</v>
      </c>
      <c r="K135" s="121">
        <f t="shared" ref="K135:K196" si="43">IF(INDEX(RFC,MATCH(B135,CASNoTox,0))=" ","",INDEX(RFC,MATCH(B135,CASNoTox,0)))</f>
        <v>2.0000000000000002E-5</v>
      </c>
      <c r="L135" s="121" t="str">
        <f t="shared" ref="L135:L196" si="44">IF(INDEX(RFCSource,MATCH(B135,CASNoTox,0))="","",SUBSTITUTE(INDEX(RFCSource,MATCH(B135,CASNoTox,0)),"C","CA"))</f>
        <v>X</v>
      </c>
      <c r="M135" s="121" t="str">
        <f>VLOOKUP(B135,VISL!$B:$W,22,FALSE)</f>
        <v/>
      </c>
      <c r="O135" s="190" t="str">
        <f t="shared" ref="O135:O196" si="45">IF(AND(I135="",K135=""),"X","")</f>
        <v/>
      </c>
    </row>
    <row r="136" spans="1:19" s="190" customFormat="1">
      <c r="A136" s="124" t="str">
        <f>IF(INDEX(VISL!A:A,MATCH(B136,VISL!B:B,0))="x","x","")</f>
        <v/>
      </c>
      <c r="B136" s="344" t="s">
        <v>77</v>
      </c>
      <c r="C136" s="269" t="s">
        <v>1229</v>
      </c>
      <c r="D136" s="201"/>
      <c r="E136" s="194" t="str">
        <f t="shared" si="38"/>
        <v>--</v>
      </c>
      <c r="F136" s="122" t="str">
        <f t="shared" si="39"/>
        <v>--</v>
      </c>
      <c r="G136" s="123" t="str">
        <f t="shared" si="40"/>
        <v>--</v>
      </c>
      <c r="H136" s="124"/>
      <c r="I136" s="121" t="str">
        <f t="shared" si="41"/>
        <v/>
      </c>
      <c r="J136" s="121" t="str">
        <f t="shared" si="42"/>
        <v/>
      </c>
      <c r="K136" s="121">
        <f t="shared" si="43"/>
        <v>3</v>
      </c>
      <c r="L136" s="121" t="str">
        <f t="shared" si="44"/>
        <v>I</v>
      </c>
      <c r="M136" s="121" t="str">
        <f>VLOOKUP(B136,VISL!$B:$W,22,FALSE)</f>
        <v/>
      </c>
      <c r="O136" s="190" t="str">
        <f t="shared" si="45"/>
        <v/>
      </c>
    </row>
    <row r="137" spans="1:19" s="190" customFormat="1">
      <c r="A137" s="124" t="str">
        <f>IF(INDEX(VISL!A:A,MATCH(B137,VISL!B:B,0))="x","x","")</f>
        <v/>
      </c>
      <c r="B137" s="344" t="s">
        <v>78</v>
      </c>
      <c r="C137" s="269" t="s">
        <v>593</v>
      </c>
      <c r="D137" s="201"/>
      <c r="E137" s="194" t="str">
        <f t="shared" si="38"/>
        <v>--</v>
      </c>
      <c r="F137" s="122" t="str">
        <f t="shared" si="39"/>
        <v>--</v>
      </c>
      <c r="G137" s="123" t="str">
        <f t="shared" si="40"/>
        <v>--</v>
      </c>
      <c r="H137" s="124"/>
      <c r="I137" s="121" t="str">
        <f t="shared" si="41"/>
        <v/>
      </c>
      <c r="J137" s="121" t="str">
        <f t="shared" si="42"/>
        <v/>
      </c>
      <c r="K137" s="121">
        <f t="shared" si="43"/>
        <v>1E-3</v>
      </c>
      <c r="L137" s="121" t="str">
        <f t="shared" si="44"/>
        <v>CA</v>
      </c>
      <c r="M137" s="121" t="str">
        <f>VLOOKUP(B137,VISL!$B:$W,22,FALSE)</f>
        <v/>
      </c>
      <c r="O137" s="190" t="str">
        <f t="shared" si="45"/>
        <v/>
      </c>
    </row>
    <row r="138" spans="1:19" s="190" customFormat="1">
      <c r="A138" s="124" t="str">
        <f>IF(INDEX(VISL!A:A,MATCH(B138,VISL!B:B,0))="x","x","")</f>
        <v/>
      </c>
      <c r="B138" s="344" t="s">
        <v>79</v>
      </c>
      <c r="C138" s="269" t="s">
        <v>1230</v>
      </c>
      <c r="D138" s="201"/>
      <c r="E138" s="194" t="str">
        <f t="shared" si="38"/>
        <v>--</v>
      </c>
      <c r="F138" s="122" t="str">
        <f t="shared" si="39"/>
        <v>--</v>
      </c>
      <c r="G138" s="123" t="str">
        <f t="shared" si="40"/>
        <v>--</v>
      </c>
      <c r="H138" s="124"/>
      <c r="I138" s="121" t="str">
        <f t="shared" si="41"/>
        <v/>
      </c>
      <c r="J138" s="121" t="str">
        <f t="shared" si="42"/>
        <v/>
      </c>
      <c r="K138" s="121">
        <f t="shared" si="43"/>
        <v>0.7</v>
      </c>
      <c r="L138" s="121" t="str">
        <f t="shared" si="44"/>
        <v>I</v>
      </c>
      <c r="M138" s="121" t="str">
        <f>VLOOKUP(B138,VISL!$B:$W,22,FALSE)</f>
        <v/>
      </c>
      <c r="O138" s="190" t="str">
        <f t="shared" si="45"/>
        <v/>
      </c>
    </row>
    <row r="139" spans="1:19" s="190" customFormat="1">
      <c r="A139" s="124" t="str">
        <f>IF(INDEX(VISL!A:A,MATCH(B139,VISL!B:B,0))="x","x","")</f>
        <v/>
      </c>
      <c r="B139" s="344" t="s">
        <v>82</v>
      </c>
      <c r="C139" s="269" t="s">
        <v>1232</v>
      </c>
      <c r="D139" s="201"/>
      <c r="E139" s="194" t="str">
        <f t="shared" si="38"/>
        <v>--</v>
      </c>
      <c r="F139" s="122" t="str">
        <f t="shared" si="39"/>
        <v>--</v>
      </c>
      <c r="G139" s="123" t="str">
        <f t="shared" si="40"/>
        <v>--</v>
      </c>
      <c r="H139" s="124"/>
      <c r="I139" s="121" t="str">
        <f t="shared" si="41"/>
        <v/>
      </c>
      <c r="J139" s="121" t="str">
        <f t="shared" si="42"/>
        <v/>
      </c>
      <c r="K139" s="121">
        <f t="shared" si="43"/>
        <v>0.04</v>
      </c>
      <c r="L139" s="121" t="str">
        <f t="shared" si="44"/>
        <v>H</v>
      </c>
      <c r="M139" s="121" t="str">
        <f>VLOOKUP(B139,VISL!$B:$W,22,FALSE)</f>
        <v/>
      </c>
      <c r="O139" s="190" t="str">
        <f t="shared" si="45"/>
        <v/>
      </c>
    </row>
    <row r="140" spans="1:19" s="190" customFormat="1">
      <c r="A140" s="124" t="str">
        <f>IF(INDEX(VISL!A:A,MATCH(B140,VISL!B:B,0))="x","x","")</f>
        <v/>
      </c>
      <c r="B140" s="344" t="s">
        <v>84</v>
      </c>
      <c r="C140" s="269" t="s">
        <v>1233</v>
      </c>
      <c r="D140" s="201"/>
      <c r="E140" s="194" t="str">
        <f t="shared" si="38"/>
        <v>--</v>
      </c>
      <c r="F140" s="122" t="str">
        <f t="shared" si="39"/>
        <v>--</v>
      </c>
      <c r="G140" s="123" t="str">
        <f t="shared" si="40"/>
        <v>--</v>
      </c>
      <c r="H140" s="124"/>
      <c r="I140" s="121">
        <f t="shared" si="41"/>
        <v>2.6E-7</v>
      </c>
      <c r="J140" s="121" t="str">
        <f t="shared" si="42"/>
        <v>CA</v>
      </c>
      <c r="K140" s="121">
        <f t="shared" si="43"/>
        <v>3</v>
      </c>
      <c r="L140" s="121" t="str">
        <f t="shared" si="44"/>
        <v>I</v>
      </c>
      <c r="M140" s="121" t="str">
        <f>VLOOKUP(B140,VISL!$B:$W,22,FALSE)</f>
        <v/>
      </c>
      <c r="O140" s="190" t="str">
        <f t="shared" si="45"/>
        <v/>
      </c>
    </row>
    <row r="141" spans="1:19" s="190" customFormat="1">
      <c r="A141" s="124" t="str">
        <f>IF(INDEX(VISL!A:A,MATCH(B141,VISL!B:B,0))="x","x","")</f>
        <v/>
      </c>
      <c r="B141" s="344" t="s">
        <v>90</v>
      </c>
      <c r="C141" s="269" t="s">
        <v>1237</v>
      </c>
      <c r="D141" s="201"/>
      <c r="E141" s="194" t="str">
        <f t="shared" si="38"/>
        <v>--</v>
      </c>
      <c r="F141" s="122" t="str">
        <f t="shared" si="39"/>
        <v>--</v>
      </c>
      <c r="G141" s="123" t="str">
        <f t="shared" si="40"/>
        <v>--</v>
      </c>
      <c r="H141" s="124"/>
      <c r="I141" s="121">
        <f t="shared" si="41"/>
        <v>1E-8</v>
      </c>
      <c r="J141" s="121" t="str">
        <f t="shared" si="42"/>
        <v>I</v>
      </c>
      <c r="K141" s="121">
        <f t="shared" si="43"/>
        <v>0.6</v>
      </c>
      <c r="L141" s="121" t="str">
        <f t="shared" si="44"/>
        <v>I</v>
      </c>
      <c r="M141" s="121" t="str">
        <f>VLOOKUP(B141,VISL!$B:$W,22,FALSE)</f>
        <v>Mut</v>
      </c>
      <c r="O141" s="190" t="str">
        <f t="shared" si="45"/>
        <v/>
      </c>
    </row>
    <row r="142" spans="1:19" s="190" customFormat="1">
      <c r="A142" s="124" t="str">
        <f>IF(INDEX(VISL!A:A,MATCH(B142,VISL!B:B,0))="x","x","")</f>
        <v/>
      </c>
      <c r="B142" s="269" t="s">
        <v>99</v>
      </c>
      <c r="C142" s="269" t="s">
        <v>1408</v>
      </c>
      <c r="D142" s="201"/>
      <c r="E142" s="194" t="str">
        <f t="shared" si="38"/>
        <v>--</v>
      </c>
      <c r="F142" s="122" t="str">
        <f t="shared" si="39"/>
        <v>--</v>
      </c>
      <c r="G142" s="123" t="str">
        <f t="shared" si="40"/>
        <v>--</v>
      </c>
      <c r="H142" s="124"/>
      <c r="I142" s="121">
        <f t="shared" si="41"/>
        <v>5.1000000000000004E-3</v>
      </c>
      <c r="J142" s="121" t="str">
        <f t="shared" si="42"/>
        <v>CA</v>
      </c>
      <c r="K142" s="121" t="str">
        <f t="shared" si="43"/>
        <v/>
      </c>
      <c r="L142" s="121" t="str">
        <f t="shared" si="44"/>
        <v/>
      </c>
      <c r="M142" s="121" t="str">
        <f>VLOOKUP(B142,VISL!$B:$W,22,FALSE)</f>
        <v/>
      </c>
      <c r="O142" s="190" t="str">
        <f t="shared" si="45"/>
        <v/>
      </c>
    </row>
    <row r="143" spans="1:19" s="190" customFormat="1">
      <c r="A143" s="124" t="str">
        <f>IF(INDEX(VISL!A:A,MATCH(B143,VISL!B:B,0))="x","x","")</f>
        <v/>
      </c>
      <c r="B143" s="344" t="s">
        <v>2117</v>
      </c>
      <c r="C143" s="269" t="s">
        <v>599</v>
      </c>
      <c r="D143" s="201"/>
      <c r="E143" s="194" t="str">
        <f t="shared" si="38"/>
        <v>--</v>
      </c>
      <c r="F143" s="122" t="str">
        <f t="shared" si="39"/>
        <v>--</v>
      </c>
      <c r="G143" s="123" t="str">
        <f t="shared" si="40"/>
        <v>--</v>
      </c>
      <c r="H143" s="124"/>
      <c r="I143" s="121" t="str">
        <f t="shared" si="41"/>
        <v/>
      </c>
      <c r="J143" s="121" t="str">
        <f t="shared" si="42"/>
        <v/>
      </c>
      <c r="K143" s="121">
        <f t="shared" si="43"/>
        <v>0.1</v>
      </c>
      <c r="L143" s="121" t="str">
        <f t="shared" si="44"/>
        <v>P</v>
      </c>
      <c r="M143" s="121" t="str">
        <f>VLOOKUP(B143,VISL!$B:$W,22,FALSE)</f>
        <v/>
      </c>
      <c r="O143" s="190" t="str">
        <f t="shared" si="45"/>
        <v/>
      </c>
    </row>
    <row r="144" spans="1:19" s="190" customFormat="1">
      <c r="A144" s="124" t="str">
        <f>IF(INDEX(VISL!A:A,MATCH(B144,VISL!B:B,0))="x","x","")</f>
        <v/>
      </c>
      <c r="B144" s="344" t="s">
        <v>217</v>
      </c>
      <c r="C144" s="269" t="s">
        <v>2244</v>
      </c>
      <c r="D144" s="201"/>
      <c r="E144" s="194" t="str">
        <f t="shared" si="38"/>
        <v>--</v>
      </c>
      <c r="F144" s="122" t="str">
        <f t="shared" si="39"/>
        <v>--</v>
      </c>
      <c r="G144" s="123" t="str">
        <f t="shared" si="40"/>
        <v>--</v>
      </c>
      <c r="H144" s="124"/>
      <c r="I144" s="121">
        <f t="shared" si="41"/>
        <v>3.4E-5</v>
      </c>
      <c r="J144" s="121" t="str">
        <f t="shared" si="42"/>
        <v>CA</v>
      </c>
      <c r="K144" s="121">
        <f t="shared" si="43"/>
        <v>3.0000000000000001E-3</v>
      </c>
      <c r="L144" s="121" t="str">
        <f t="shared" si="44"/>
        <v>I</v>
      </c>
      <c r="M144" s="121" t="str">
        <f>VLOOKUP(B144,VISL!$B:$W,22,FALSE)</f>
        <v/>
      </c>
      <c r="O144" s="190" t="str">
        <f t="shared" si="45"/>
        <v/>
      </c>
    </row>
    <row r="145" spans="1:15" s="190" customFormat="1">
      <c r="A145" s="124" t="str">
        <f>IF(INDEX(VISL!A:A,MATCH(B145,VISL!B:B,0))="x","x","")</f>
        <v/>
      </c>
      <c r="B145" s="344" t="s">
        <v>108</v>
      </c>
      <c r="C145" s="269" t="s">
        <v>601</v>
      </c>
      <c r="D145" s="201"/>
      <c r="E145" s="194" t="str">
        <f t="shared" si="38"/>
        <v>--</v>
      </c>
      <c r="F145" s="122" t="str">
        <f t="shared" si="39"/>
        <v>--</v>
      </c>
      <c r="G145" s="123" t="str">
        <f t="shared" si="40"/>
        <v>--</v>
      </c>
      <c r="H145" s="124"/>
      <c r="I145" s="121">
        <f t="shared" si="41"/>
        <v>2.5999999999999998E-4</v>
      </c>
      <c r="J145" s="121" t="str">
        <f t="shared" si="42"/>
        <v>CA</v>
      </c>
      <c r="K145" s="121">
        <f t="shared" si="43"/>
        <v>1.4E-5</v>
      </c>
      <c r="L145" s="121" t="str">
        <f t="shared" si="44"/>
        <v>CA</v>
      </c>
      <c r="M145" s="121" t="str">
        <f>VLOOKUP(B145,VISL!$B:$W,22,FALSE)</f>
        <v/>
      </c>
      <c r="O145" s="190" t="str">
        <f t="shared" si="45"/>
        <v/>
      </c>
    </row>
    <row r="146" spans="1:15" s="190" customFormat="1">
      <c r="A146" s="124" t="str">
        <f>IF(INDEX(VISL!A:A,MATCH(B146,VISL!B:B,0))="x","x","")</f>
        <v/>
      </c>
      <c r="B146" s="344" t="s">
        <v>116</v>
      </c>
      <c r="C146" s="269" t="s">
        <v>391</v>
      </c>
      <c r="D146" s="201"/>
      <c r="E146" s="194" t="str">
        <f t="shared" si="38"/>
        <v>--</v>
      </c>
      <c r="F146" s="122" t="str">
        <f t="shared" si="39"/>
        <v>--</v>
      </c>
      <c r="G146" s="123" t="str">
        <f t="shared" si="40"/>
        <v>--</v>
      </c>
      <c r="H146" s="124"/>
      <c r="I146" s="121">
        <f t="shared" si="41"/>
        <v>4.0000000000000003E-5</v>
      </c>
      <c r="J146" s="121" t="str">
        <f t="shared" si="42"/>
        <v>I</v>
      </c>
      <c r="K146" s="121">
        <f t="shared" si="43"/>
        <v>8.9999999999999993E-3</v>
      </c>
      <c r="L146" s="121" t="str">
        <f t="shared" si="44"/>
        <v>I</v>
      </c>
      <c r="M146" s="121" t="str">
        <f>VLOOKUP(B146,VISL!$B:$W,22,FALSE)</f>
        <v/>
      </c>
      <c r="O146" s="190" t="str">
        <f t="shared" si="45"/>
        <v/>
      </c>
    </row>
    <row r="147" spans="1:15" s="190" customFormat="1">
      <c r="A147" s="124" t="str">
        <f>IF(INDEX(VISL!A:A,MATCH(B147,VISL!B:B,0))="x","x","")</f>
        <v/>
      </c>
      <c r="B147" s="269" t="s">
        <v>122</v>
      </c>
      <c r="C147" s="269" t="s">
        <v>1260</v>
      </c>
      <c r="D147" s="201"/>
      <c r="E147" s="194" t="str">
        <f t="shared" si="38"/>
        <v>--</v>
      </c>
      <c r="F147" s="122" t="str">
        <f t="shared" si="39"/>
        <v>--</v>
      </c>
      <c r="G147" s="123" t="str">
        <f t="shared" si="40"/>
        <v>--</v>
      </c>
      <c r="H147" s="124"/>
      <c r="I147" s="121">
        <f t="shared" si="41"/>
        <v>8.8000000000000004E-6</v>
      </c>
      <c r="J147" s="121" t="str">
        <f t="shared" si="42"/>
        <v>P</v>
      </c>
      <c r="K147" s="121">
        <f t="shared" si="43"/>
        <v>5.0000000000000001E-3</v>
      </c>
      <c r="L147" s="121" t="str">
        <f t="shared" si="44"/>
        <v>P</v>
      </c>
      <c r="M147" s="121" t="str">
        <f>VLOOKUP(B147,VISL!$B:$W,22,FALSE)</f>
        <v/>
      </c>
      <c r="O147" s="190" t="str">
        <f t="shared" si="45"/>
        <v/>
      </c>
    </row>
    <row r="148" spans="1:15" s="190" customFormat="1">
      <c r="A148" s="124" t="str">
        <f>IF(INDEX(VISL!A:A,MATCH(B148,VISL!B:B,0))="x","x","")</f>
        <v/>
      </c>
      <c r="B148" s="344" t="s">
        <v>123</v>
      </c>
      <c r="C148" s="269" t="s">
        <v>1261</v>
      </c>
      <c r="D148" s="201"/>
      <c r="E148" s="194" t="str">
        <f t="shared" si="38"/>
        <v>--</v>
      </c>
      <c r="F148" s="122" t="str">
        <f t="shared" si="39"/>
        <v>--</v>
      </c>
      <c r="G148" s="123" t="str">
        <f t="shared" si="40"/>
        <v>--</v>
      </c>
      <c r="H148" s="124"/>
      <c r="I148" s="121">
        <f t="shared" si="41"/>
        <v>2.7000000000000001E-3</v>
      </c>
      <c r="J148" s="121" t="str">
        <f t="shared" si="42"/>
        <v>H</v>
      </c>
      <c r="K148" s="121">
        <f t="shared" si="43"/>
        <v>0.02</v>
      </c>
      <c r="L148" s="121" t="str">
        <f t="shared" si="44"/>
        <v>I</v>
      </c>
      <c r="M148" s="121" t="str">
        <f>VLOOKUP(B148,VISL!$B:$W,22,FALSE)</f>
        <v/>
      </c>
      <c r="O148" s="190" t="str">
        <f t="shared" si="45"/>
        <v/>
      </c>
    </row>
    <row r="149" spans="1:15" s="190" customFormat="1">
      <c r="A149" s="124" t="str">
        <f>IF(INDEX(VISL!A:A,MATCH(B149,VISL!B:B,0))="x","x","")</f>
        <v/>
      </c>
      <c r="B149" s="269" t="s">
        <v>130</v>
      </c>
      <c r="C149" s="269" t="s">
        <v>1267</v>
      </c>
      <c r="D149" s="201"/>
      <c r="E149" s="194" t="str">
        <f t="shared" si="38"/>
        <v>--</v>
      </c>
      <c r="F149" s="122" t="str">
        <f t="shared" si="39"/>
        <v>--</v>
      </c>
      <c r="G149" s="123" t="str">
        <f t="shared" si="40"/>
        <v>--</v>
      </c>
      <c r="H149" s="124"/>
      <c r="I149" s="121">
        <f t="shared" si="41"/>
        <v>1.4E-2</v>
      </c>
      <c r="J149" s="121" t="str">
        <f t="shared" si="42"/>
        <v>I</v>
      </c>
      <c r="K149" s="121">
        <f t="shared" si="43"/>
        <v>4.0000000000000003E-5</v>
      </c>
      <c r="L149" s="121" t="str">
        <f t="shared" si="44"/>
        <v>X</v>
      </c>
      <c r="M149" s="121" t="str">
        <f>VLOOKUP(B149,VISL!$B:$W,22,FALSE)</f>
        <v>Mut</v>
      </c>
      <c r="O149" s="190" t="str">
        <f t="shared" si="45"/>
        <v/>
      </c>
    </row>
    <row r="150" spans="1:15" s="190" customFormat="1">
      <c r="A150" s="124" t="str">
        <f>IF(INDEX(VISL!A:A,MATCH(B150,VISL!B:B,0))="x","x","")</f>
        <v/>
      </c>
      <c r="B150" s="344" t="s">
        <v>126</v>
      </c>
      <c r="C150" s="269" t="s">
        <v>1262</v>
      </c>
      <c r="D150" s="201"/>
      <c r="E150" s="194" t="str">
        <f t="shared" si="38"/>
        <v>--</v>
      </c>
      <c r="F150" s="122" t="str">
        <f t="shared" si="39"/>
        <v>--</v>
      </c>
      <c r="G150" s="123" t="str">
        <f t="shared" si="40"/>
        <v>--</v>
      </c>
      <c r="H150" s="124"/>
      <c r="I150" s="121">
        <f t="shared" si="41"/>
        <v>1.6000000000000001E-3</v>
      </c>
      <c r="J150" s="121" t="str">
        <f t="shared" si="42"/>
        <v>I</v>
      </c>
      <c r="K150" s="121" t="str">
        <f t="shared" si="43"/>
        <v/>
      </c>
      <c r="L150" s="121" t="str">
        <f t="shared" si="44"/>
        <v/>
      </c>
      <c r="M150" s="121" t="str">
        <f>VLOOKUP(B150,VISL!$B:$W,22,FALSE)</f>
        <v/>
      </c>
      <c r="O150" s="190" t="str">
        <f t="shared" si="45"/>
        <v/>
      </c>
    </row>
    <row r="151" spans="1:15" s="190" customFormat="1">
      <c r="A151" s="124" t="str">
        <f>IF(INDEX(VISL!A:A,MATCH(B151,VISL!B:B,0))="x","x","")</f>
        <v/>
      </c>
      <c r="B151" s="344" t="s">
        <v>132</v>
      </c>
      <c r="C151" s="269" t="s">
        <v>1269</v>
      </c>
      <c r="D151" s="201"/>
      <c r="E151" s="194" t="str">
        <f t="shared" si="38"/>
        <v>--</v>
      </c>
      <c r="F151" s="122" t="str">
        <f t="shared" si="39"/>
        <v>--</v>
      </c>
      <c r="G151" s="123" t="str">
        <f t="shared" si="40"/>
        <v>--</v>
      </c>
      <c r="H151" s="124"/>
      <c r="I151" s="121">
        <f t="shared" si="41"/>
        <v>6.3E-3</v>
      </c>
      <c r="J151" s="121" t="str">
        <f t="shared" si="42"/>
        <v>CA</v>
      </c>
      <c r="K151" s="121" t="str">
        <f t="shared" si="43"/>
        <v/>
      </c>
      <c r="L151" s="121" t="str">
        <f t="shared" si="44"/>
        <v/>
      </c>
      <c r="M151" s="121" t="str">
        <f>VLOOKUP(B151,VISL!$B:$W,22,FALSE)</f>
        <v/>
      </c>
      <c r="O151" s="190" t="str">
        <f t="shared" si="45"/>
        <v/>
      </c>
    </row>
    <row r="152" spans="1:15" s="190" customFormat="1">
      <c r="A152" s="124" t="str">
        <f>IF(INDEX(VISL!A:A,MATCH(B152,VISL!B:B,0))="x","x","")</f>
        <v/>
      </c>
      <c r="B152" s="344" t="s">
        <v>139</v>
      </c>
      <c r="C152" s="269" t="s">
        <v>608</v>
      </c>
      <c r="D152" s="201"/>
      <c r="E152" s="194" t="str">
        <f t="shared" si="38"/>
        <v>--</v>
      </c>
      <c r="F152" s="122" t="str">
        <f t="shared" si="39"/>
        <v>--</v>
      </c>
      <c r="G152" s="123" t="str">
        <f t="shared" si="40"/>
        <v>--</v>
      </c>
      <c r="H152" s="124"/>
      <c r="I152" s="121" t="str">
        <f t="shared" si="41"/>
        <v/>
      </c>
      <c r="J152" s="121" t="str">
        <f t="shared" si="42"/>
        <v/>
      </c>
      <c r="K152" s="121">
        <f t="shared" si="43"/>
        <v>0.02</v>
      </c>
      <c r="L152" s="121" t="str">
        <f t="shared" si="44"/>
        <v>P</v>
      </c>
      <c r="M152" s="121" t="str">
        <f>VLOOKUP(B152,VISL!$B:$W,22,FALSE)</f>
        <v/>
      </c>
      <c r="O152" s="190" t="str">
        <f t="shared" si="45"/>
        <v/>
      </c>
    </row>
    <row r="153" spans="1:15" s="190" customFormat="1">
      <c r="A153" s="124" t="str">
        <f>IF(INDEX(VISL!A:A,MATCH(B153,VISL!B:B,0))="x","x","")</f>
        <v/>
      </c>
      <c r="B153" s="344" t="s">
        <v>195</v>
      </c>
      <c r="C153" s="269" t="s">
        <v>2245</v>
      </c>
      <c r="D153" s="201"/>
      <c r="E153" s="194" t="str">
        <f t="shared" si="38"/>
        <v>--</v>
      </c>
      <c r="F153" s="122" t="str">
        <f t="shared" si="39"/>
        <v>--</v>
      </c>
      <c r="G153" s="123" t="str">
        <f t="shared" si="40"/>
        <v>--</v>
      </c>
      <c r="H153" s="124"/>
      <c r="I153" s="121">
        <f t="shared" si="41"/>
        <v>1.1000000000000001E-3</v>
      </c>
      <c r="J153" s="121" t="str">
        <f t="shared" si="42"/>
        <v>E</v>
      </c>
      <c r="K153" s="121">
        <f t="shared" si="43"/>
        <v>1.2999999999999999E-3</v>
      </c>
      <c r="L153" s="121" t="str">
        <f t="shared" si="44"/>
        <v>E</v>
      </c>
      <c r="M153" s="121" t="str">
        <f>VLOOKUP(B153,VISL!$B:$W,22,FALSE)</f>
        <v/>
      </c>
      <c r="O153" s="190" t="str">
        <f t="shared" si="45"/>
        <v/>
      </c>
    </row>
    <row r="154" spans="1:15" s="190" customFormat="1">
      <c r="A154" s="124" t="str">
        <f>IF(INDEX(VISL!A:A,MATCH(B154,VISL!B:B,0))="x","x","")</f>
        <v/>
      </c>
      <c r="B154" s="344" t="s">
        <v>196</v>
      </c>
      <c r="C154" s="269" t="s">
        <v>2246</v>
      </c>
      <c r="D154" s="201"/>
      <c r="E154" s="194" t="str">
        <f t="shared" si="38"/>
        <v>--</v>
      </c>
      <c r="F154" s="122" t="str">
        <f t="shared" si="39"/>
        <v>--</v>
      </c>
      <c r="G154" s="123" t="str">
        <f t="shared" si="40"/>
        <v>--</v>
      </c>
      <c r="H154" s="124"/>
      <c r="I154" s="121">
        <f t="shared" si="41"/>
        <v>1.1000000000000001E-3</v>
      </c>
      <c r="J154" s="121" t="str">
        <f t="shared" si="42"/>
        <v>E</v>
      </c>
      <c r="K154" s="121">
        <f t="shared" si="43"/>
        <v>1.2999999999999999E-3</v>
      </c>
      <c r="L154" s="121" t="str">
        <f t="shared" si="44"/>
        <v>E</v>
      </c>
      <c r="M154" s="121" t="str">
        <f>VLOOKUP(B154,VISL!$B:$W,22,FALSE)</f>
        <v/>
      </c>
      <c r="O154" s="190" t="str">
        <f t="shared" si="45"/>
        <v/>
      </c>
    </row>
    <row r="155" spans="1:15" s="190" customFormat="1">
      <c r="A155" s="124" t="str">
        <f>IF(INDEX(VISL!A:A,MATCH(B155,VISL!B:B,0))="x","x","")</f>
        <v/>
      </c>
      <c r="B155" s="344" t="s">
        <v>194</v>
      </c>
      <c r="C155" s="269" t="s">
        <v>2247</v>
      </c>
      <c r="D155" s="201"/>
      <c r="E155" s="194" t="str">
        <f t="shared" si="38"/>
        <v>--</v>
      </c>
      <c r="F155" s="122" t="str">
        <f t="shared" si="39"/>
        <v>--</v>
      </c>
      <c r="G155" s="123" t="str">
        <f t="shared" si="40"/>
        <v>--</v>
      </c>
      <c r="H155" s="124"/>
      <c r="I155" s="121">
        <f t="shared" si="41"/>
        <v>1.1000000000000001E-3</v>
      </c>
      <c r="J155" s="121" t="str">
        <f t="shared" si="42"/>
        <v>E</v>
      </c>
      <c r="K155" s="121">
        <f t="shared" si="43"/>
        <v>1.2999999999999999E-3</v>
      </c>
      <c r="L155" s="121" t="str">
        <f t="shared" si="44"/>
        <v>E</v>
      </c>
      <c r="M155" s="121" t="str">
        <f>VLOOKUP(B155,VISL!$B:$W,22,FALSE)</f>
        <v/>
      </c>
      <c r="O155" s="190" t="str">
        <f t="shared" si="45"/>
        <v/>
      </c>
    </row>
    <row r="156" spans="1:15" s="190" customFormat="1">
      <c r="A156" s="124" t="str">
        <f>IF(INDEX(VISL!A:A,MATCH(B156,VISL!B:B,0))="x","x","")</f>
        <v/>
      </c>
      <c r="B156" s="344" t="s">
        <v>193</v>
      </c>
      <c r="C156" s="269" t="s">
        <v>2248</v>
      </c>
      <c r="D156" s="201"/>
      <c r="E156" s="194" t="str">
        <f t="shared" si="38"/>
        <v>--</v>
      </c>
      <c r="F156" s="122" t="str">
        <f t="shared" si="39"/>
        <v>--</v>
      </c>
      <c r="G156" s="123" t="str">
        <f t="shared" si="40"/>
        <v>--</v>
      </c>
      <c r="H156" s="124"/>
      <c r="I156" s="121">
        <f t="shared" si="41"/>
        <v>1.1000000000000001E-3</v>
      </c>
      <c r="J156" s="121" t="str">
        <f t="shared" si="42"/>
        <v>E</v>
      </c>
      <c r="K156" s="121">
        <f t="shared" si="43"/>
        <v>1.2999999999999999E-3</v>
      </c>
      <c r="L156" s="121" t="str">
        <f t="shared" si="44"/>
        <v>E</v>
      </c>
      <c r="M156" s="121" t="str">
        <f>VLOOKUP(B156,VISL!$B:$W,22,FALSE)</f>
        <v/>
      </c>
      <c r="O156" s="190" t="str">
        <f t="shared" si="45"/>
        <v/>
      </c>
    </row>
    <row r="157" spans="1:15" s="190" customFormat="1">
      <c r="A157" s="124" t="str">
        <f>IF(INDEX(VISL!A:A,MATCH(B157,VISL!B:B,0))="x","x","")</f>
        <v/>
      </c>
      <c r="B157" s="344" t="s">
        <v>197</v>
      </c>
      <c r="C157" s="269" t="s">
        <v>2249</v>
      </c>
      <c r="D157" s="201"/>
      <c r="E157" s="194" t="str">
        <f t="shared" si="38"/>
        <v>--</v>
      </c>
      <c r="F157" s="122" t="str">
        <f t="shared" si="39"/>
        <v>--</v>
      </c>
      <c r="G157" s="123" t="str">
        <f t="shared" si="40"/>
        <v>--</v>
      </c>
      <c r="H157" s="124"/>
      <c r="I157" s="121">
        <f t="shared" si="41"/>
        <v>3.8</v>
      </c>
      <c r="J157" s="121" t="str">
        <f t="shared" si="42"/>
        <v>E</v>
      </c>
      <c r="K157" s="121">
        <f t="shared" si="43"/>
        <v>3.9999999999999998E-7</v>
      </c>
      <c r="L157" s="121" t="str">
        <f t="shared" si="44"/>
        <v>E</v>
      </c>
      <c r="M157" s="121" t="str">
        <f>VLOOKUP(B157,VISL!$B:$W,22,FALSE)</f>
        <v/>
      </c>
      <c r="O157" s="190" t="str">
        <f t="shared" si="45"/>
        <v/>
      </c>
    </row>
    <row r="158" spans="1:15" s="190" customFormat="1">
      <c r="A158" s="124" t="str">
        <f>IF(INDEX(VISL!A:A,MATCH(B158,VISL!B:B,0))="x","x","")</f>
        <v/>
      </c>
      <c r="B158" s="344" t="s">
        <v>159</v>
      </c>
      <c r="C158" s="269" t="s">
        <v>609</v>
      </c>
      <c r="D158" s="201"/>
      <c r="E158" s="194" t="str">
        <f t="shared" si="38"/>
        <v>--</v>
      </c>
      <c r="F158" s="122" t="str">
        <f t="shared" si="39"/>
        <v>--</v>
      </c>
      <c r="G158" s="123" t="str">
        <f t="shared" si="40"/>
        <v>--</v>
      </c>
      <c r="H158" s="124"/>
      <c r="I158" s="121" t="str">
        <f t="shared" si="41"/>
        <v/>
      </c>
      <c r="J158" s="121" t="str">
        <f t="shared" si="42"/>
        <v/>
      </c>
      <c r="K158" s="121">
        <f t="shared" si="43"/>
        <v>1</v>
      </c>
      <c r="L158" s="121" t="str">
        <f t="shared" si="44"/>
        <v>P</v>
      </c>
      <c r="M158" s="121" t="str">
        <f>VLOOKUP(B158,VISL!$B:$W,22,FALSE)</f>
        <v/>
      </c>
      <c r="O158" s="190" t="str">
        <f t="shared" si="45"/>
        <v/>
      </c>
    </row>
    <row r="159" spans="1:15" s="190" customFormat="1">
      <c r="A159" s="124" t="str">
        <f>IF(INDEX(VISL!A:A,MATCH(B159,VISL!B:B,0))="x","x","")</f>
        <v/>
      </c>
      <c r="B159" s="344" t="s">
        <v>170</v>
      </c>
      <c r="C159" s="269" t="s">
        <v>1296</v>
      </c>
      <c r="D159" s="201"/>
      <c r="E159" s="194" t="str">
        <f t="shared" si="38"/>
        <v>--</v>
      </c>
      <c r="F159" s="122" t="str">
        <f t="shared" si="39"/>
        <v>--</v>
      </c>
      <c r="G159" s="123" t="str">
        <f t="shared" si="40"/>
        <v>--</v>
      </c>
      <c r="H159" s="124"/>
      <c r="I159" s="121" t="str">
        <f t="shared" si="41"/>
        <v/>
      </c>
      <c r="J159" s="121" t="str">
        <f t="shared" si="42"/>
        <v/>
      </c>
      <c r="K159" s="121">
        <f t="shared" si="43"/>
        <v>2.9999999999999997E-4</v>
      </c>
      <c r="L159" s="121" t="str">
        <f t="shared" si="44"/>
        <v>I</v>
      </c>
      <c r="M159" s="121" t="str">
        <f>VLOOKUP(B159,VISL!$B:$W,22,FALSE)</f>
        <v/>
      </c>
      <c r="O159" s="190" t="str">
        <f t="shared" si="45"/>
        <v/>
      </c>
    </row>
    <row r="160" spans="1:15" s="190" customFormat="1">
      <c r="A160" s="124" t="str">
        <f>IF(INDEX(VISL!A:A,MATCH(B160,VISL!B:B,0))="x","x","")</f>
        <v/>
      </c>
      <c r="B160" s="344" t="s">
        <v>172</v>
      </c>
      <c r="C160" s="269" t="s">
        <v>1298</v>
      </c>
      <c r="D160" s="201"/>
      <c r="E160" s="194" t="str">
        <f t="shared" si="38"/>
        <v>--</v>
      </c>
      <c r="F160" s="122" t="str">
        <f t="shared" si="39"/>
        <v>--</v>
      </c>
      <c r="G160" s="123" t="str">
        <f t="shared" si="40"/>
        <v>--</v>
      </c>
      <c r="H160" s="124"/>
      <c r="I160" s="121" t="str">
        <f t="shared" si="41"/>
        <v/>
      </c>
      <c r="J160" s="121" t="str">
        <f t="shared" si="42"/>
        <v/>
      </c>
      <c r="K160" s="121">
        <f t="shared" si="43"/>
        <v>2.9999999999999997E-4</v>
      </c>
      <c r="L160" s="121" t="str">
        <f t="shared" si="44"/>
        <v>I</v>
      </c>
      <c r="M160" s="121" t="str">
        <f>VLOOKUP(B160,VISL!$B:$W,22,FALSE)</f>
        <v/>
      </c>
      <c r="O160" s="190" t="str">
        <f t="shared" si="45"/>
        <v/>
      </c>
    </row>
    <row r="161" spans="1:15" s="190" customFormat="1">
      <c r="A161" s="124" t="str">
        <f>IF(INDEX(VISL!A:A,MATCH(B161,VISL!B:B,0))="x","x","")</f>
        <v/>
      </c>
      <c r="B161" s="344" t="s">
        <v>232</v>
      </c>
      <c r="C161" s="269" t="s">
        <v>611</v>
      </c>
      <c r="D161" s="201"/>
      <c r="E161" s="194" t="str">
        <f t="shared" si="38"/>
        <v>--</v>
      </c>
      <c r="F161" s="122" t="str">
        <f t="shared" si="39"/>
        <v>--</v>
      </c>
      <c r="G161" s="123" t="str">
        <f t="shared" si="40"/>
        <v>--</v>
      </c>
      <c r="H161" s="124"/>
      <c r="I161" s="121" t="str">
        <f t="shared" si="41"/>
        <v/>
      </c>
      <c r="J161" s="121" t="str">
        <f t="shared" si="42"/>
        <v/>
      </c>
      <c r="K161" s="121">
        <f t="shared" si="43"/>
        <v>8.0000000000000002E-3</v>
      </c>
      <c r="L161" s="121" t="str">
        <f t="shared" si="44"/>
        <v>I</v>
      </c>
      <c r="M161" s="121" t="str">
        <f>VLOOKUP(B161,VISL!$B:$W,22,FALSE)</f>
        <v/>
      </c>
      <c r="O161" s="190" t="str">
        <f t="shared" si="45"/>
        <v/>
      </c>
    </row>
    <row r="162" spans="1:15" s="190" customFormat="1">
      <c r="A162" s="124" t="str">
        <f>IF(INDEX(VISL!A:A,MATCH(B162,VISL!B:B,0))="x","x","")</f>
        <v/>
      </c>
      <c r="B162" s="344" t="s">
        <v>233</v>
      </c>
      <c r="C162" s="269" t="s">
        <v>612</v>
      </c>
      <c r="D162" s="201"/>
      <c r="E162" s="194" t="str">
        <f t="shared" si="38"/>
        <v>--</v>
      </c>
      <c r="F162" s="122" t="str">
        <f t="shared" si="39"/>
        <v>--</v>
      </c>
      <c r="G162" s="123" t="str">
        <f t="shared" si="40"/>
        <v>--</v>
      </c>
      <c r="H162" s="124"/>
      <c r="I162" s="121" t="str">
        <f t="shared" si="41"/>
        <v/>
      </c>
      <c r="J162" s="121" t="str">
        <f t="shared" si="42"/>
        <v/>
      </c>
      <c r="K162" s="121">
        <f t="shared" si="43"/>
        <v>1</v>
      </c>
      <c r="L162" s="121" t="str">
        <f t="shared" si="44"/>
        <v>X</v>
      </c>
      <c r="M162" s="121" t="str">
        <f>VLOOKUP(B162,VISL!$B:$W,22,FALSE)</f>
        <v/>
      </c>
      <c r="O162" s="190" t="str">
        <f t="shared" si="45"/>
        <v/>
      </c>
    </row>
    <row r="163" spans="1:15" s="190" customFormat="1">
      <c r="A163" s="124" t="str">
        <f>IF(INDEX(VISL!A:A,MATCH(B163,VISL!B:B,0))="x","x","")</f>
        <v/>
      </c>
      <c r="B163" s="344" t="s">
        <v>234</v>
      </c>
      <c r="C163" s="269" t="s">
        <v>613</v>
      </c>
      <c r="D163" s="201"/>
      <c r="E163" s="194" t="str">
        <f t="shared" si="38"/>
        <v>--</v>
      </c>
      <c r="F163" s="122" t="str">
        <f t="shared" si="39"/>
        <v>--</v>
      </c>
      <c r="G163" s="123" t="str">
        <f t="shared" si="40"/>
        <v>--</v>
      </c>
      <c r="H163" s="124"/>
      <c r="I163" s="121" t="str">
        <f t="shared" si="41"/>
        <v/>
      </c>
      <c r="J163" s="121" t="str">
        <f t="shared" si="42"/>
        <v/>
      </c>
      <c r="K163" s="121">
        <f t="shared" si="43"/>
        <v>3</v>
      </c>
      <c r="L163" s="121" t="str">
        <f t="shared" si="44"/>
        <v>CA</v>
      </c>
      <c r="M163" s="121" t="str">
        <f>VLOOKUP(B163,VISL!$B:$W,22,FALSE)</f>
        <v/>
      </c>
      <c r="O163" s="190" t="str">
        <f t="shared" si="45"/>
        <v/>
      </c>
    </row>
    <row r="164" spans="1:15" s="190" customFormat="1">
      <c r="A164" s="124" t="str">
        <f>IF(INDEX(VISL!A:A,MATCH(B164,VISL!B:B,0))="x","x","")</f>
        <v/>
      </c>
      <c r="B164" s="269" t="s">
        <v>237</v>
      </c>
      <c r="C164" s="269" t="s">
        <v>1318</v>
      </c>
      <c r="D164" s="201"/>
      <c r="E164" s="194" t="str">
        <f t="shared" si="38"/>
        <v>--</v>
      </c>
      <c r="F164" s="122" t="str">
        <f t="shared" si="39"/>
        <v>--</v>
      </c>
      <c r="G164" s="123" t="str">
        <f t="shared" si="40"/>
        <v>--</v>
      </c>
      <c r="H164" s="124"/>
      <c r="I164" s="121" t="str">
        <f t="shared" si="41"/>
        <v/>
      </c>
      <c r="J164" s="121" t="str">
        <f t="shared" si="42"/>
        <v/>
      </c>
      <c r="K164" s="121">
        <f t="shared" si="43"/>
        <v>2</v>
      </c>
      <c r="L164" s="121" t="str">
        <f t="shared" si="44"/>
        <v>I</v>
      </c>
      <c r="M164" s="121" t="str">
        <f>VLOOKUP(B164,VISL!$B:$W,22,FALSE)</f>
        <v/>
      </c>
      <c r="O164" s="190" t="str">
        <f t="shared" si="45"/>
        <v/>
      </c>
    </row>
    <row r="165" spans="1:15" s="190" customFormat="1">
      <c r="A165" s="124" t="str">
        <f>IF(INDEX(VISL!A:A,MATCH(B165,VISL!B:B,0))="x","x","")</f>
        <v/>
      </c>
      <c r="B165" s="344" t="s">
        <v>238</v>
      </c>
      <c r="C165" s="269" t="s">
        <v>1319</v>
      </c>
      <c r="D165" s="201"/>
      <c r="E165" s="194" t="str">
        <f t="shared" si="38"/>
        <v>--</v>
      </c>
      <c r="F165" s="122" t="str">
        <f t="shared" si="39"/>
        <v>--</v>
      </c>
      <c r="G165" s="123" t="str">
        <f t="shared" si="40"/>
        <v>--</v>
      </c>
      <c r="H165" s="124"/>
      <c r="I165" s="121">
        <f t="shared" si="41"/>
        <v>3.7000000000000002E-6</v>
      </c>
      <c r="J165" s="121" t="str">
        <f t="shared" si="42"/>
        <v>I</v>
      </c>
      <c r="K165" s="121">
        <f t="shared" si="43"/>
        <v>0.03</v>
      </c>
      <c r="L165" s="121" t="str">
        <f t="shared" si="44"/>
        <v>I</v>
      </c>
      <c r="M165" s="121" t="str">
        <f>VLOOKUP(B165,VISL!$B:$W,22,FALSE)</f>
        <v/>
      </c>
      <c r="O165" s="190" t="str">
        <f t="shared" si="45"/>
        <v/>
      </c>
    </row>
    <row r="166" spans="1:15" s="190" customFormat="1">
      <c r="A166" s="124" t="str">
        <f>IF(INDEX(VISL!A:A,MATCH(B166,VISL!B:B,0))="x","x","")</f>
        <v/>
      </c>
      <c r="B166" s="269" t="s">
        <v>266</v>
      </c>
      <c r="C166" s="269" t="s">
        <v>396</v>
      </c>
      <c r="D166" s="201"/>
      <c r="E166" s="194" t="str">
        <f t="shared" si="38"/>
        <v>--</v>
      </c>
      <c r="F166" s="122" t="str">
        <f t="shared" si="39"/>
        <v>--</v>
      </c>
      <c r="G166" s="123" t="str">
        <f t="shared" si="40"/>
        <v>--</v>
      </c>
      <c r="H166" s="124"/>
      <c r="I166" s="121" t="str">
        <f t="shared" si="41"/>
        <v/>
      </c>
      <c r="J166" s="121" t="str">
        <f t="shared" si="42"/>
        <v/>
      </c>
      <c r="K166" s="121">
        <f t="shared" si="43"/>
        <v>1</v>
      </c>
      <c r="L166" s="121" t="str">
        <f t="shared" si="44"/>
        <v>I</v>
      </c>
      <c r="M166" s="121" t="str">
        <f>VLOOKUP(B166,VISL!$B:$W,22,FALSE)</f>
        <v/>
      </c>
      <c r="O166" s="190" t="str">
        <f t="shared" si="45"/>
        <v/>
      </c>
    </row>
    <row r="167" spans="1:15" s="190" customFormat="1">
      <c r="A167" s="124" t="str">
        <f>IF(INDEX(VISL!A:A,MATCH(B167,VISL!B:B,0))="x","x","")</f>
        <v/>
      </c>
      <c r="B167" s="344" t="s">
        <v>2271</v>
      </c>
      <c r="C167" s="269" t="s">
        <v>2130</v>
      </c>
      <c r="D167" s="201"/>
      <c r="E167" s="194" t="str">
        <f t="shared" si="38"/>
        <v>--</v>
      </c>
      <c r="F167" s="122" t="str">
        <f t="shared" si="39"/>
        <v>--</v>
      </c>
      <c r="G167" s="123" t="str">
        <f t="shared" si="40"/>
        <v>--</v>
      </c>
      <c r="H167" s="124"/>
      <c r="I167" s="121" t="str">
        <f t="shared" si="41"/>
        <v/>
      </c>
      <c r="J167" s="121" t="str">
        <f t="shared" si="42"/>
        <v/>
      </c>
      <c r="K167" s="121">
        <f t="shared" si="43"/>
        <v>1E-3</v>
      </c>
      <c r="L167" s="121" t="str">
        <f t="shared" si="44"/>
        <v>CA</v>
      </c>
      <c r="M167" s="121" t="str">
        <f>VLOOKUP(B167,VISL!$B:$W,22,FALSE)</f>
        <v/>
      </c>
      <c r="O167" s="190" t="str">
        <f t="shared" si="45"/>
        <v/>
      </c>
    </row>
    <row r="168" spans="1:15" s="190" customFormat="1">
      <c r="A168" s="124" t="str">
        <f>IF(INDEX(VISL!A:A,MATCH(B168,VISL!B:B,0))="x","x","")</f>
        <v/>
      </c>
      <c r="B168" s="344" t="s">
        <v>891</v>
      </c>
      <c r="C168" s="269" t="s">
        <v>2250</v>
      </c>
      <c r="D168" s="201"/>
      <c r="E168" s="194" t="str">
        <f t="shared" si="38"/>
        <v>--</v>
      </c>
      <c r="F168" s="122" t="str">
        <f t="shared" si="39"/>
        <v>--</v>
      </c>
      <c r="G168" s="123" t="str">
        <f t="shared" si="40"/>
        <v>--</v>
      </c>
      <c r="H168" s="124"/>
      <c r="I168" s="121">
        <f t="shared" si="41"/>
        <v>38</v>
      </c>
      <c r="J168" s="121" t="str">
        <f t="shared" si="42"/>
        <v>CA</v>
      </c>
      <c r="K168" s="121">
        <f t="shared" si="43"/>
        <v>4.0000000000000001E-8</v>
      </c>
      <c r="L168" s="121" t="str">
        <f t="shared" si="44"/>
        <v>CA</v>
      </c>
      <c r="M168" s="121" t="str">
        <f>VLOOKUP(B168,VISL!$B:$W,22,FALSE)</f>
        <v/>
      </c>
      <c r="O168" s="190" t="str">
        <f t="shared" si="45"/>
        <v/>
      </c>
    </row>
    <row r="169" spans="1:15" s="190" customFormat="1">
      <c r="A169" s="124" t="str">
        <f>IF(INDEX(VISL!A:A,MATCH(B169,VISL!B:B,0))="x","x","")</f>
        <v/>
      </c>
      <c r="B169" s="344" t="s">
        <v>199</v>
      </c>
      <c r="C169" s="269" t="s">
        <v>2251</v>
      </c>
      <c r="D169" s="201"/>
      <c r="E169" s="194" t="str">
        <f t="shared" si="38"/>
        <v>--</v>
      </c>
      <c r="F169" s="122" t="str">
        <f t="shared" si="39"/>
        <v>--</v>
      </c>
      <c r="G169" s="123" t="str">
        <f t="shared" si="40"/>
        <v>--</v>
      </c>
      <c r="H169" s="124"/>
      <c r="I169" s="121">
        <f t="shared" si="41"/>
        <v>1.0999999999999999E-2</v>
      </c>
      <c r="J169" s="121" t="str">
        <f t="shared" si="42"/>
        <v>E</v>
      </c>
      <c r="K169" s="121">
        <f t="shared" si="43"/>
        <v>1.2999999999999999E-4</v>
      </c>
      <c r="L169" s="121" t="str">
        <f t="shared" si="44"/>
        <v>E</v>
      </c>
      <c r="M169" s="121" t="str">
        <f>VLOOKUP(B169,VISL!$B:$W,22,FALSE)</f>
        <v/>
      </c>
      <c r="O169" s="190" t="str">
        <f t="shared" si="45"/>
        <v/>
      </c>
    </row>
    <row r="170" spans="1:15" s="190" customFormat="1">
      <c r="A170" s="124" t="str">
        <f>IF(INDEX(VISL!A:A,MATCH(B170,VISL!B:B,0))="x","x","")</f>
        <v/>
      </c>
      <c r="B170" s="344" t="s">
        <v>278</v>
      </c>
      <c r="C170" s="269" t="s">
        <v>441</v>
      </c>
      <c r="D170" s="201"/>
      <c r="E170" s="194" t="str">
        <f t="shared" si="38"/>
        <v>--</v>
      </c>
      <c r="F170" s="122" t="str">
        <f t="shared" si="39"/>
        <v>--</v>
      </c>
      <c r="G170" s="123" t="str">
        <f t="shared" si="40"/>
        <v>--</v>
      </c>
      <c r="H170" s="124"/>
      <c r="I170" s="121">
        <f t="shared" si="41"/>
        <v>7.4000000000000003E-6</v>
      </c>
      <c r="J170" s="121" t="str">
        <f t="shared" si="42"/>
        <v>I</v>
      </c>
      <c r="K170" s="121" t="str">
        <f t="shared" si="43"/>
        <v/>
      </c>
      <c r="L170" s="121" t="str">
        <f t="shared" si="44"/>
        <v/>
      </c>
      <c r="M170" s="121" t="str">
        <f>VLOOKUP(B170,VISL!$B:$W,22,FALSE)</f>
        <v/>
      </c>
      <c r="O170" s="190" t="str">
        <f t="shared" si="45"/>
        <v/>
      </c>
    </row>
    <row r="171" spans="1:15" s="190" customFormat="1">
      <c r="A171" s="124" t="str">
        <f>IF(INDEX(VISL!A:A,MATCH(B171,VISL!B:B,0))="x","x","")</f>
        <v/>
      </c>
      <c r="B171" s="269" t="s">
        <v>279</v>
      </c>
      <c r="C171" s="269" t="s">
        <v>443</v>
      </c>
      <c r="D171" s="201"/>
      <c r="E171" s="194" t="str">
        <f t="shared" si="38"/>
        <v>--</v>
      </c>
      <c r="F171" s="122" t="str">
        <f t="shared" si="39"/>
        <v>--</v>
      </c>
      <c r="G171" s="123" t="str">
        <f t="shared" si="40"/>
        <v>--</v>
      </c>
      <c r="H171" s="124"/>
      <c r="I171" s="121">
        <f t="shared" si="41"/>
        <v>5.8E-5</v>
      </c>
      <c r="J171" s="121" t="str">
        <f t="shared" si="42"/>
        <v>CA</v>
      </c>
      <c r="K171" s="121" t="str">
        <f t="shared" si="43"/>
        <v/>
      </c>
      <c r="L171" s="121" t="str">
        <f t="shared" si="44"/>
        <v/>
      </c>
      <c r="M171" s="121" t="str">
        <f>VLOOKUP(B171,VISL!$B:$W,22,FALSE)</f>
        <v/>
      </c>
      <c r="O171" s="190" t="str">
        <f t="shared" si="45"/>
        <v/>
      </c>
    </row>
    <row r="172" spans="1:15" s="190" customFormat="1">
      <c r="A172" s="124" t="str">
        <f>IF(INDEX(VISL!A:A,MATCH(B172,VISL!B:B,0))="x","x","")</f>
        <v/>
      </c>
      <c r="B172" s="269" t="s">
        <v>280</v>
      </c>
      <c r="C172" s="269" t="s">
        <v>397</v>
      </c>
      <c r="D172" s="201"/>
      <c r="E172" s="194" t="str">
        <f t="shared" si="38"/>
        <v>--</v>
      </c>
      <c r="F172" s="122" t="str">
        <f t="shared" si="39"/>
        <v>--</v>
      </c>
      <c r="G172" s="123" t="str">
        <f t="shared" si="40"/>
        <v>--</v>
      </c>
      <c r="H172" s="124"/>
      <c r="I172" s="121">
        <f t="shared" si="41"/>
        <v>2.6E-7</v>
      </c>
      <c r="J172" s="121" t="str">
        <f t="shared" si="42"/>
        <v>I</v>
      </c>
      <c r="K172" s="121">
        <f t="shared" si="43"/>
        <v>0.04</v>
      </c>
      <c r="L172" s="121" t="str">
        <f t="shared" si="44"/>
        <v>I</v>
      </c>
      <c r="M172" s="121" t="str">
        <f>VLOOKUP(B172,VISL!$B:$W,22,FALSE)</f>
        <v/>
      </c>
      <c r="O172" s="190" t="str">
        <f t="shared" si="45"/>
        <v/>
      </c>
    </row>
    <row r="173" spans="1:15" s="190" customFormat="1">
      <c r="A173" s="124" t="str">
        <f>IF(INDEX(VISL!A:A,MATCH(B173,VISL!B:B,0))="x","x","")</f>
        <v/>
      </c>
      <c r="B173" s="344" t="s">
        <v>284</v>
      </c>
      <c r="C173" s="269" t="s">
        <v>1349</v>
      </c>
      <c r="D173" s="201"/>
      <c r="E173" s="194" t="str">
        <f t="shared" si="38"/>
        <v>--</v>
      </c>
      <c r="F173" s="122" t="str">
        <f t="shared" si="39"/>
        <v>--</v>
      </c>
      <c r="G173" s="123" t="str">
        <f t="shared" si="40"/>
        <v>--</v>
      </c>
      <c r="H173" s="124"/>
      <c r="I173" s="121" t="str">
        <f t="shared" si="41"/>
        <v/>
      </c>
      <c r="J173" s="121" t="str">
        <f t="shared" si="42"/>
        <v/>
      </c>
      <c r="K173" s="121">
        <f t="shared" si="43"/>
        <v>80</v>
      </c>
      <c r="L173" s="121" t="str">
        <f t="shared" si="44"/>
        <v>I</v>
      </c>
      <c r="M173" s="121" t="str">
        <f>VLOOKUP(B173,VISL!$B:$W,22,FALSE)</f>
        <v/>
      </c>
      <c r="O173" s="190" t="str">
        <f t="shared" si="45"/>
        <v/>
      </c>
    </row>
    <row r="174" spans="1:15" s="190" customFormat="1">
      <c r="A174" s="124" t="str">
        <f>IF(INDEX(VISL!A:A,MATCH(B174,VISL!B:B,0))="x","x","")</f>
        <v/>
      </c>
      <c r="B174" s="344" t="s">
        <v>1831</v>
      </c>
      <c r="C174" s="269" t="s">
        <v>2252</v>
      </c>
      <c r="D174" s="201"/>
      <c r="E174" s="194" t="str">
        <f t="shared" si="38"/>
        <v>--</v>
      </c>
      <c r="F174" s="122" t="str">
        <f t="shared" si="39"/>
        <v>--</v>
      </c>
      <c r="G174" s="123" t="str">
        <f t="shared" si="40"/>
        <v>--</v>
      </c>
      <c r="H174" s="124"/>
      <c r="I174" s="121" t="str">
        <f t="shared" si="41"/>
        <v/>
      </c>
      <c r="J174" s="121" t="str">
        <f t="shared" si="42"/>
        <v/>
      </c>
      <c r="K174" s="121">
        <f t="shared" si="43"/>
        <v>2</v>
      </c>
      <c r="L174" s="121" t="str">
        <f t="shared" si="44"/>
        <v>I</v>
      </c>
      <c r="M174" s="121" t="str">
        <f>VLOOKUP(B174,VISL!$B:$W,22,FALSE)</f>
        <v/>
      </c>
      <c r="O174" s="190" t="str">
        <f t="shared" si="45"/>
        <v/>
      </c>
    </row>
    <row r="175" spans="1:15" s="190" customFormat="1">
      <c r="A175" s="124" t="str">
        <f>IF(INDEX(VISL!A:A,MATCH(B175,VISL!B:B,0))="x","x","")</f>
        <v/>
      </c>
      <c r="B175" s="344" t="s">
        <v>293</v>
      </c>
      <c r="C175" s="269" t="s">
        <v>620</v>
      </c>
      <c r="D175" s="201"/>
      <c r="E175" s="194" t="str">
        <f t="shared" si="38"/>
        <v>--</v>
      </c>
      <c r="F175" s="122" t="str">
        <f t="shared" si="39"/>
        <v>--</v>
      </c>
      <c r="G175" s="123" t="str">
        <f t="shared" si="40"/>
        <v>--</v>
      </c>
      <c r="H175" s="124"/>
      <c r="I175" s="121" t="str">
        <f t="shared" si="41"/>
        <v/>
      </c>
      <c r="J175" s="121" t="str">
        <f t="shared" si="42"/>
        <v/>
      </c>
      <c r="K175" s="121">
        <f t="shared" si="43"/>
        <v>1E-4</v>
      </c>
      <c r="L175" s="121" t="str">
        <f t="shared" si="44"/>
        <v>A</v>
      </c>
      <c r="M175" s="121" t="str">
        <f>VLOOKUP(B175,VISL!$B:$W,22,FALSE)</f>
        <v/>
      </c>
      <c r="O175" s="190" t="str">
        <f t="shared" si="45"/>
        <v/>
      </c>
    </row>
    <row r="176" spans="1:15" s="190" customFormat="1">
      <c r="A176" s="124" t="str">
        <f>IF(INDEX(VISL!A:A,MATCH(B176,VISL!B:B,0))="x","x","")</f>
        <v/>
      </c>
      <c r="B176" s="344" t="s">
        <v>294</v>
      </c>
      <c r="C176" s="269" t="s">
        <v>398</v>
      </c>
      <c r="D176" s="201"/>
      <c r="E176" s="194" t="str">
        <f t="shared" si="38"/>
        <v>--</v>
      </c>
      <c r="F176" s="122" t="str">
        <f t="shared" si="39"/>
        <v>--</v>
      </c>
      <c r="G176" s="123" t="str">
        <f t="shared" si="40"/>
        <v>--</v>
      </c>
      <c r="H176" s="124"/>
      <c r="I176" s="121" t="str">
        <f t="shared" si="41"/>
        <v/>
      </c>
      <c r="J176" s="121" t="str">
        <f t="shared" si="42"/>
        <v/>
      </c>
      <c r="K176" s="121">
        <f t="shared" si="43"/>
        <v>5</v>
      </c>
      <c r="L176" s="121" t="str">
        <f t="shared" si="44"/>
        <v>I</v>
      </c>
      <c r="M176" s="121" t="str">
        <f>VLOOKUP(B176,VISL!$B:$W,22,FALSE)</f>
        <v/>
      </c>
      <c r="O176" s="190" t="str">
        <f t="shared" si="45"/>
        <v/>
      </c>
    </row>
    <row r="177" spans="1:15" s="190" customFormat="1">
      <c r="A177" s="124" t="str">
        <f>IF(INDEX(VISL!A:A,MATCH(B177,VISL!B:B,0))="x","x","")</f>
        <v/>
      </c>
      <c r="B177" s="269" t="s">
        <v>310</v>
      </c>
      <c r="C177" s="269" t="s">
        <v>1364</v>
      </c>
      <c r="D177" s="201"/>
      <c r="E177" s="194" t="str">
        <f>IF(INDEX(HLC_GW,MATCH(C177,ChemNameChem,0))="","No HLC",IF(OR(D177="",ISTEXT(D177)),"--",D177*AFgw_GW*1000*INDEX(HLC_GW, MATCH(C177, ChemNameChem,0))))</f>
        <v>--</v>
      </c>
      <c r="F177" s="122" t="str">
        <f>IF(ISTEXT(E177),"--",IF(I177="","No IUR",IF(LEFT(E177,1)="N",E177,IF(M177&lt;&gt;"TCE",E177*(IF(AND(M177="VC",Scenario_GW="Residential"),I177,0)+I177*IF(M177="Mut",MMOAAF_GW,ED_GW)*EF_GW*ET_GW/(ATc_GW*365*24)),E177*mIURTCE_GW*MMOAAF_GW*EF_GW*ET_GW/(ATc_GW*365*24)+E177*IURTCE_GW*ED_GW*EF_GW*ET_GW/(ATc_GW*365*24)))))</f>
        <v>--</v>
      </c>
      <c r="G177" s="123" t="str">
        <f>IF(ISTEXT(E177),"--",IF(K177="","No RfC",IF(E177="No HLC","No HLC",E177*EF_GW*ED_GW*ET_GW/(K177*Atnc_GW*365*24*1000))))</f>
        <v>--</v>
      </c>
      <c r="H177" s="124"/>
      <c r="I177" s="121" t="str">
        <f>IF(INDEX(IUR,MATCH(B177,CASNoTox,0))=" ","",IF(M177="TCE","see note",INDEX(IUR,MATCH(B177,CASNoTox,0))))</f>
        <v/>
      </c>
      <c r="J177" s="121" t="str">
        <f>IF(INDEX(IURSource,MATCH(B177,CASNoTox,0))="","",SUBSTITUTE(INDEX(IURSource,MATCH(B177,CASNoTox,0)),"C","CA"))</f>
        <v/>
      </c>
      <c r="K177" s="121">
        <f>IF(INDEX(RFC,MATCH(B177,CASNoTox,0))=" ","",INDEX(RFC,MATCH(B177,CASNoTox,0)))</f>
        <v>5</v>
      </c>
      <c r="L177" s="121" t="str">
        <f>IF(INDEX(RFCSource,MATCH(B177,CASNoTox,0))="","",SUBSTITUTE(INDEX(RFCSource,MATCH(B177,CASNoTox,0)),"C","CA"))</f>
        <v>P</v>
      </c>
      <c r="M177" s="121" t="str">
        <f>VLOOKUP(B177,VISL!$B:$W,22,FALSE)</f>
        <v/>
      </c>
    </row>
    <row r="178" spans="1:15" s="190" customFormat="1">
      <c r="A178" s="124" t="str">
        <f>IF(INDEX(VISL!A:A,MATCH(B178,VISL!B:B,0))="x","x","")</f>
        <v/>
      </c>
      <c r="B178" s="344" t="s">
        <v>316</v>
      </c>
      <c r="C178" s="269" t="s">
        <v>1367</v>
      </c>
      <c r="D178" s="201"/>
      <c r="E178" s="194" t="str">
        <f>IF(INDEX(HLC_GW,MATCH(C178,ChemNameChem,0))="","No HLC",IF(OR(D178="",ISTEXT(D178)),"--",D178*AFgw_GW*1000*INDEX(HLC_GW, MATCH(C178, ChemNameChem,0))))</f>
        <v>--</v>
      </c>
      <c r="F178" s="122" t="str">
        <f>IF(ISTEXT(E178),"--",IF(I178="","No IUR",IF(LEFT(E178,1)="N",E178,IF(M178&lt;&gt;"TCE",E178*(IF(AND(M178="VC",Scenario_GW="Residential"),I178,0)+I178*IF(M178="Mut",MMOAAF_GW,ED_GW)*EF_GW*ET_GW/(ATc_GW*365*24)),E178*mIURTCE_GW*MMOAAF_GW*EF_GW*ET_GW/(ATc_GW*365*24)+E178*IURTCE_GW*ED_GW*EF_GW*ET_GW/(ATc_GW*365*24)))))</f>
        <v>--</v>
      </c>
      <c r="G178" s="123" t="str">
        <f>IF(ISTEXT(E178),"--",IF(K178="","No RfC",IF(E178="No HLC","No HLC",E178*EF_GW*ED_GW*ET_GW/(K178*Atnc_GW*365*24*1000))))</f>
        <v>--</v>
      </c>
      <c r="H178" s="124"/>
      <c r="I178" s="121" t="str">
        <f>IF(INDEX(IUR,MATCH(B178,CASNoTox,0))=" ","",IF(M178="TCE","see note",INDEX(IUR,MATCH(B178,CASNoTox,0))))</f>
        <v/>
      </c>
      <c r="J178" s="121" t="str">
        <f>IF(INDEX(IURSource,MATCH(B178,CASNoTox,0))="","",SUBSTITUTE(INDEX(IURSource,MATCH(B178,CASNoTox,0)),"C","CA"))</f>
        <v/>
      </c>
      <c r="K178" s="121">
        <f>IF(INDEX(RFC,MATCH(B178,CASNoTox,0))=" ","",INDEX(RFC,MATCH(B178,CASNoTox,0)))</f>
        <v>2E-3</v>
      </c>
      <c r="L178" s="121" t="str">
        <f>IF(INDEX(RFCSource,MATCH(B178,CASNoTox,0))="","",SUBSTITUTE(INDEX(RFCSource,MATCH(B178,CASNoTox,0)),"C","CA"))</f>
        <v>P</v>
      </c>
      <c r="M178" s="121" t="str">
        <f>VLOOKUP(B178,VISL!$B:$W,22,FALSE)</f>
        <v/>
      </c>
      <c r="O178" s="190" t="str">
        <f t="shared" si="45"/>
        <v/>
      </c>
    </row>
    <row r="179" spans="1:15" s="190" customFormat="1">
      <c r="A179" s="124" t="str">
        <f>IF(INDEX(VISL!A:A,MATCH(B179,VISL!B:B,0))="x","x","")</f>
        <v/>
      </c>
      <c r="B179" s="345" t="s">
        <v>317</v>
      </c>
      <c r="C179" s="269" t="s">
        <v>442</v>
      </c>
      <c r="D179" s="201"/>
      <c r="E179" s="194" t="str">
        <f t="shared" si="38"/>
        <v>--</v>
      </c>
      <c r="F179" s="122" t="str">
        <f t="shared" si="39"/>
        <v>--</v>
      </c>
      <c r="G179" s="123" t="str">
        <f t="shared" si="40"/>
        <v>--</v>
      </c>
      <c r="H179" s="124"/>
      <c r="I179" s="121" t="str">
        <f t="shared" si="41"/>
        <v/>
      </c>
      <c r="J179" s="121" t="str">
        <f t="shared" si="42"/>
        <v/>
      </c>
      <c r="K179" s="121">
        <f t="shared" si="43"/>
        <v>5</v>
      </c>
      <c r="L179" s="121" t="str">
        <f t="shared" si="44"/>
        <v>I</v>
      </c>
      <c r="M179" s="121" t="str">
        <f>VLOOKUP(B179,VISL!$B:$W,22,FALSE)</f>
        <v/>
      </c>
      <c r="O179" s="190" t="str">
        <f t="shared" si="45"/>
        <v/>
      </c>
    </row>
    <row r="180" spans="1:15" s="190" customFormat="1">
      <c r="A180" s="124" t="str">
        <f>IF(INDEX(VISL!A:A,MATCH(B180,VISL!B:B,0))="x","x","")</f>
        <v/>
      </c>
      <c r="B180" s="345" t="s">
        <v>318</v>
      </c>
      <c r="C180" s="269" t="s">
        <v>1368</v>
      </c>
      <c r="D180" s="201"/>
      <c r="E180" s="194" t="str">
        <f t="shared" si="38"/>
        <v>--</v>
      </c>
      <c r="F180" s="122" t="str">
        <f t="shared" si="39"/>
        <v>--</v>
      </c>
      <c r="G180" s="123" t="str">
        <f t="shared" si="40"/>
        <v>--</v>
      </c>
      <c r="H180" s="124"/>
      <c r="I180" s="121">
        <f t="shared" si="41"/>
        <v>1.5999999999999999E-5</v>
      </c>
      <c r="J180" s="121" t="str">
        <f t="shared" si="42"/>
        <v>I</v>
      </c>
      <c r="K180" s="121">
        <f t="shared" si="43"/>
        <v>2.0000000000000001E-4</v>
      </c>
      <c r="L180" s="121" t="str">
        <f t="shared" si="44"/>
        <v>X</v>
      </c>
      <c r="M180" s="121" t="str">
        <f>VLOOKUP(B180,VISL!$B:$W,22,FALSE)</f>
        <v/>
      </c>
      <c r="O180" s="190" t="str">
        <f t="shared" si="45"/>
        <v/>
      </c>
    </row>
    <row r="181" spans="1:15" s="190" customFormat="1">
      <c r="A181" s="124" t="str">
        <f>IF(INDEX(VISL!A:A,MATCH(B181,VISL!B:B,0))="x","x","")</f>
        <v/>
      </c>
      <c r="B181" s="345" t="s">
        <v>319</v>
      </c>
      <c r="C181" s="269" t="s">
        <v>400</v>
      </c>
      <c r="D181" s="201"/>
      <c r="E181" s="194" t="str">
        <f>IF(INDEX(HLC_GW,MATCH(C181,ChemNameChem,0))="","No HLC",IF(OR(D181="",ISTEXT(D181)),"--",D181*AFgw_GW*1000*INDEX(HLC_GW, MATCH(C181, ChemNameChem,0))))</f>
        <v>--</v>
      </c>
      <c r="F181" s="122" t="str">
        <f>IF(ISTEXT(E181),"--",IF(I181="","No IUR",IF(LEFT(E181,1)="N",E181,IF(M181&lt;&gt;"TCE",E181*(IF(AND(M181="VC",Scenario_GW="Residential"),I181,0)+I181*IF(M181="Mut",MMOAAF_GW,ED_GW)*EF_GW*ET_GW/(ATc_GW*365*24)),E181*mIURTCE_GW*MMOAAF_GW*EF_GW*ET_GW/(ATc_GW*365*24)+E181*IURTCE_GW*ED_GW*EF_GW*ET_GW/(ATc_GW*365*24)))))</f>
        <v>--</v>
      </c>
      <c r="G181" s="123" t="str">
        <f>IF(ISTEXT(E181),"--",IF(K181="","No RfC",IF(E181="No HLC","No HLC",E181*EF_GW*ED_GW*ET_GW/(K181*Atnc_GW*365*24*1000))))</f>
        <v>--</v>
      </c>
      <c r="H181" s="124"/>
      <c r="I181" s="121" t="str">
        <f>IF(INDEX(IUR,MATCH(B181,CASNoTox,0))=" ","",IF(M181="TCE","see note",INDEX(IUR,MATCH(B181,CASNoTox,0))))</f>
        <v>see note</v>
      </c>
      <c r="J181" s="121" t="str">
        <f>IF(INDEX(IURSource,MATCH(B181,CASNoTox,0))="","",SUBSTITUTE(INDEX(IURSource,MATCH(B181,CASNoTox,0)),"C","CA"))</f>
        <v>I</v>
      </c>
      <c r="K181" s="121">
        <f>IF(INDEX(RFC,MATCH(B181,CASNoTox,0))=" ","",INDEX(RFC,MATCH(B181,CASNoTox,0)))</f>
        <v>2E-3</v>
      </c>
      <c r="L181" s="121" t="str">
        <f>IF(INDEX(RFCSource,MATCH(B181,CASNoTox,0))="","",SUBSTITUTE(INDEX(RFCSource,MATCH(B181,CASNoTox,0)),"C","CA"))</f>
        <v>I</v>
      </c>
      <c r="M181" s="121" t="str">
        <f>VLOOKUP(B181,VISL!$B:$W,22,FALSE)</f>
        <v>TCE</v>
      </c>
    </row>
    <row r="182" spans="1:15" s="190" customFormat="1">
      <c r="A182" s="124" t="str">
        <f>IF(INDEX(VISL!A:A,MATCH(B182,VISL!B:B,0))="x","x","")</f>
        <v/>
      </c>
      <c r="B182" s="345" t="s">
        <v>326</v>
      </c>
      <c r="C182" s="269" t="s">
        <v>1373</v>
      </c>
      <c r="D182" s="201"/>
      <c r="E182" s="194" t="str">
        <f t="shared" si="38"/>
        <v>--</v>
      </c>
      <c r="F182" s="122" t="str">
        <f t="shared" si="39"/>
        <v>--</v>
      </c>
      <c r="G182" s="123" t="str">
        <f t="shared" si="40"/>
        <v>--</v>
      </c>
      <c r="H182" s="124"/>
      <c r="I182" s="121" t="str">
        <f t="shared" si="41"/>
        <v/>
      </c>
      <c r="J182" s="121" t="str">
        <f t="shared" si="42"/>
        <v/>
      </c>
      <c r="K182" s="121">
        <f t="shared" si="43"/>
        <v>2.9999999999999997E-4</v>
      </c>
      <c r="L182" s="121" t="str">
        <f t="shared" si="44"/>
        <v>I</v>
      </c>
      <c r="M182" s="121" t="str">
        <f>VLOOKUP(B182,VISL!$B:$W,22,FALSE)</f>
        <v>Mut</v>
      </c>
      <c r="O182" s="190" t="str">
        <f t="shared" si="45"/>
        <v/>
      </c>
    </row>
    <row r="183" spans="1:15" s="190" customFormat="1">
      <c r="A183" s="124" t="str">
        <f>IF(INDEX(VISL!A:A,MATCH(B183,VISL!B:B,0))="x","x","")</f>
        <v/>
      </c>
      <c r="B183" s="345" t="s">
        <v>327</v>
      </c>
      <c r="C183" s="269" t="s">
        <v>544</v>
      </c>
      <c r="D183" s="201"/>
      <c r="E183" s="194" t="str">
        <f t="shared" si="38"/>
        <v>--</v>
      </c>
      <c r="F183" s="122" t="str">
        <f t="shared" si="39"/>
        <v>--</v>
      </c>
      <c r="G183" s="123" t="str">
        <f t="shared" si="40"/>
        <v>--</v>
      </c>
      <c r="H183" s="124"/>
      <c r="I183" s="121" t="str">
        <f t="shared" si="41"/>
        <v/>
      </c>
      <c r="J183" s="121" t="str">
        <f t="shared" si="42"/>
        <v/>
      </c>
      <c r="K183" s="121">
        <f t="shared" si="43"/>
        <v>2.9999999999999997E-4</v>
      </c>
      <c r="L183" s="121" t="str">
        <f t="shared" si="44"/>
        <v>P</v>
      </c>
      <c r="M183" s="121" t="str">
        <f>VLOOKUP(B183,VISL!$B:$W,22,FALSE)</f>
        <v/>
      </c>
      <c r="O183" s="190" t="str">
        <f t="shared" si="45"/>
        <v/>
      </c>
    </row>
    <row r="184" spans="1:15" s="190" customFormat="1">
      <c r="A184" s="124" t="str">
        <f>IF(INDEX(VISL!A:A,MATCH(B184,VISL!B:B,0))="x","x","")</f>
        <v/>
      </c>
      <c r="B184" s="345" t="s">
        <v>329</v>
      </c>
      <c r="C184" s="269" t="s">
        <v>1375</v>
      </c>
      <c r="D184" s="201"/>
      <c r="E184" s="194" t="str">
        <f t="shared" si="38"/>
        <v>--</v>
      </c>
      <c r="F184" s="122" t="str">
        <f t="shared" si="39"/>
        <v>--</v>
      </c>
      <c r="G184" s="123" t="str">
        <f t="shared" si="40"/>
        <v>--</v>
      </c>
      <c r="H184" s="124"/>
      <c r="I184" s="121" t="str">
        <f t="shared" si="41"/>
        <v/>
      </c>
      <c r="J184" s="121" t="str">
        <f t="shared" si="42"/>
        <v/>
      </c>
      <c r="K184" s="121">
        <f t="shared" si="43"/>
        <v>7.0000000000000001E-3</v>
      </c>
      <c r="L184" s="121" t="str">
        <f t="shared" si="44"/>
        <v>I</v>
      </c>
      <c r="M184" s="121" t="str">
        <f>VLOOKUP(B184,VISL!$B:$W,22,FALSE)</f>
        <v/>
      </c>
      <c r="O184" s="190" t="str">
        <f t="shared" si="45"/>
        <v/>
      </c>
    </row>
    <row r="185" spans="1:15" s="190" customFormat="1">
      <c r="A185" s="124" t="str">
        <f>IF(INDEX(VISL!A:A,MATCH(B185,VISL!B:B,0))="x","x","")</f>
        <v/>
      </c>
      <c r="B185" s="345" t="s">
        <v>2291</v>
      </c>
      <c r="C185" s="269" t="s">
        <v>2294</v>
      </c>
      <c r="D185" s="201"/>
      <c r="E185" s="194" t="str">
        <f t="shared" si="38"/>
        <v>--</v>
      </c>
      <c r="F185" s="122" t="str">
        <f t="shared" si="39"/>
        <v>--</v>
      </c>
      <c r="G185" s="123" t="str">
        <f t="shared" si="40"/>
        <v>--</v>
      </c>
      <c r="H185" s="124"/>
      <c r="I185" s="121" t="str">
        <f t="shared" si="41"/>
        <v/>
      </c>
      <c r="J185" s="121" t="str">
        <f t="shared" si="42"/>
        <v/>
      </c>
      <c r="K185" s="121">
        <f t="shared" si="43"/>
        <v>20</v>
      </c>
      <c r="L185" s="121" t="str">
        <f t="shared" si="44"/>
        <v>P</v>
      </c>
      <c r="M185" s="121" t="str">
        <f>VLOOKUP(B185,VISL!$B:$W,22,FALSE)</f>
        <v/>
      </c>
      <c r="O185" s="190" t="str">
        <f t="shared" si="45"/>
        <v/>
      </c>
    </row>
    <row r="186" spans="1:15" s="190" customFormat="1">
      <c r="A186" s="124" t="str">
        <f>IF(INDEX(VISL!A:A,MATCH(B186,VISL!B:B,0))="x","x","")</f>
        <v/>
      </c>
      <c r="B186" s="345" t="s">
        <v>1615</v>
      </c>
      <c r="C186" s="269" t="s">
        <v>1614</v>
      </c>
      <c r="D186" s="201"/>
      <c r="E186" s="194" t="str">
        <f t="shared" si="38"/>
        <v>--</v>
      </c>
      <c r="F186" s="122" t="str">
        <f t="shared" si="39"/>
        <v>--</v>
      </c>
      <c r="G186" s="123" t="str">
        <f t="shared" si="40"/>
        <v>--</v>
      </c>
      <c r="H186" s="124"/>
      <c r="I186" s="121" t="str">
        <f t="shared" si="41"/>
        <v/>
      </c>
      <c r="J186" s="121" t="str">
        <f t="shared" si="42"/>
        <v/>
      </c>
      <c r="K186" s="121">
        <f t="shared" si="43"/>
        <v>0.06</v>
      </c>
      <c r="L186" s="121" t="str">
        <f t="shared" si="44"/>
        <v>I</v>
      </c>
      <c r="M186" s="121" t="str">
        <f>VLOOKUP(B186,VISL!$B:$W,22,FALSE)</f>
        <v/>
      </c>
      <c r="O186" s="190" t="str">
        <f t="shared" si="45"/>
        <v/>
      </c>
    </row>
    <row r="187" spans="1:15" s="190" customFormat="1">
      <c r="A187" s="124" t="str">
        <f>IF(INDEX(VISL!A:A,MATCH(B187,VISL!B:B,0))="x","x","")</f>
        <v/>
      </c>
      <c r="B187" s="345" t="s">
        <v>332</v>
      </c>
      <c r="C187" s="269" t="s">
        <v>1378</v>
      </c>
      <c r="D187" s="201"/>
      <c r="E187" s="194" t="str">
        <f t="shared" si="38"/>
        <v>--</v>
      </c>
      <c r="F187" s="122" t="str">
        <f t="shared" si="39"/>
        <v>--</v>
      </c>
      <c r="G187" s="123" t="str">
        <f t="shared" si="40"/>
        <v>--</v>
      </c>
      <c r="H187" s="124"/>
      <c r="I187" s="121" t="str">
        <f t="shared" si="41"/>
        <v/>
      </c>
      <c r="J187" s="121" t="str">
        <f t="shared" si="42"/>
        <v/>
      </c>
      <c r="K187" s="121">
        <f t="shared" si="43"/>
        <v>0.06</v>
      </c>
      <c r="L187" s="121" t="str">
        <f t="shared" si="44"/>
        <v>I</v>
      </c>
      <c r="M187" s="121" t="str">
        <f>VLOOKUP(B187,VISL!$B:$W,22,FALSE)</f>
        <v/>
      </c>
      <c r="O187" s="190" t="str">
        <f t="shared" si="45"/>
        <v/>
      </c>
    </row>
    <row r="188" spans="1:15" s="190" customFormat="1">
      <c r="A188" s="124" t="str">
        <f>IF(INDEX(VISL!A:A,MATCH(B188,VISL!B:B,0))="x","x","")</f>
        <v/>
      </c>
      <c r="B188" s="345" t="s">
        <v>333</v>
      </c>
      <c r="C188" s="269" t="s">
        <v>545</v>
      </c>
      <c r="D188" s="201"/>
      <c r="E188" s="194" t="str">
        <f t="shared" si="38"/>
        <v>--</v>
      </c>
      <c r="F188" s="122" t="str">
        <f t="shared" si="39"/>
        <v>--</v>
      </c>
      <c r="G188" s="123" t="str">
        <f t="shared" si="40"/>
        <v>--</v>
      </c>
      <c r="H188" s="124"/>
      <c r="I188" s="121" t="str">
        <f t="shared" si="41"/>
        <v/>
      </c>
      <c r="J188" s="121" t="str">
        <f t="shared" si="42"/>
        <v/>
      </c>
      <c r="K188" s="121">
        <f t="shared" si="43"/>
        <v>0.06</v>
      </c>
      <c r="L188" s="121" t="str">
        <f t="shared" si="44"/>
        <v>I</v>
      </c>
      <c r="M188" s="121" t="str">
        <f>VLOOKUP(B188,VISL!$B:$W,22,FALSE)</f>
        <v/>
      </c>
      <c r="O188" s="190" t="str">
        <f t="shared" si="45"/>
        <v/>
      </c>
    </row>
    <row r="189" spans="1:15" s="190" customFormat="1">
      <c r="A189" s="124" t="str">
        <f>IF(INDEX(VISL!A:A,MATCH(B189,VISL!B:B,0))="x","x","")</f>
        <v/>
      </c>
      <c r="B189" s="345" t="s">
        <v>2197</v>
      </c>
      <c r="C189" s="269" t="s">
        <v>2196</v>
      </c>
      <c r="D189" s="201"/>
      <c r="E189" s="194" t="str">
        <f t="shared" si="38"/>
        <v>--</v>
      </c>
      <c r="F189" s="122" t="str">
        <f t="shared" si="39"/>
        <v>--</v>
      </c>
      <c r="G189" s="123" t="str">
        <f t="shared" si="40"/>
        <v>--</v>
      </c>
      <c r="H189" s="124"/>
      <c r="I189" s="121">
        <f t="shared" si="41"/>
        <v>6.6E-4</v>
      </c>
      <c r="J189" s="121" t="str">
        <f t="shared" si="42"/>
        <v>CA</v>
      </c>
      <c r="K189" s="121" t="str">
        <f t="shared" si="43"/>
        <v/>
      </c>
      <c r="L189" s="121" t="str">
        <f t="shared" si="44"/>
        <v/>
      </c>
      <c r="M189" s="121" t="str">
        <f>VLOOKUP(B189,VISL!$B:$W,22,FALSE)</f>
        <v/>
      </c>
      <c r="O189" s="190" t="str">
        <f t="shared" si="45"/>
        <v/>
      </c>
    </row>
    <row r="190" spans="1:15" s="190" customFormat="1">
      <c r="A190" s="124" t="str">
        <f>IF(INDEX(VISL!A:A,MATCH(B190,VISL!B:B,0))="x","x","")</f>
        <v/>
      </c>
      <c r="B190" s="345" t="s">
        <v>343</v>
      </c>
      <c r="C190" s="269" t="s">
        <v>1387</v>
      </c>
      <c r="D190" s="201"/>
      <c r="E190" s="194" t="str">
        <f t="shared" si="38"/>
        <v>--</v>
      </c>
      <c r="F190" s="122" t="str">
        <f t="shared" si="39"/>
        <v>--</v>
      </c>
      <c r="G190" s="123" t="str">
        <f t="shared" si="40"/>
        <v>--</v>
      </c>
      <c r="H190" s="124"/>
      <c r="I190" s="121" t="str">
        <f t="shared" si="41"/>
        <v/>
      </c>
      <c r="J190" s="121" t="str">
        <f t="shared" si="42"/>
        <v/>
      </c>
      <c r="K190" s="121">
        <f t="shared" si="43"/>
        <v>0.2</v>
      </c>
      <c r="L190" s="121" t="str">
        <f t="shared" si="44"/>
        <v>I</v>
      </c>
      <c r="M190" s="121" t="str">
        <f>VLOOKUP(B190,VISL!$B:$W,22,FALSE)</f>
        <v/>
      </c>
      <c r="O190" s="190" t="str">
        <f t="shared" si="45"/>
        <v/>
      </c>
    </row>
    <row r="191" spans="1:15" s="190" customFormat="1">
      <c r="A191" s="124" t="str">
        <f>IF(INDEX(VISL!A:A,MATCH(B191,VISL!B:B,0))="x","x","")</f>
        <v/>
      </c>
      <c r="B191" s="345" t="s">
        <v>344</v>
      </c>
      <c r="C191" s="269" t="s">
        <v>1388</v>
      </c>
      <c r="D191" s="201"/>
      <c r="E191" s="194" t="str">
        <f t="shared" si="38"/>
        <v>--</v>
      </c>
      <c r="F191" s="122" t="str">
        <f t="shared" si="39"/>
        <v>--</v>
      </c>
      <c r="G191" s="123" t="str">
        <f t="shared" si="40"/>
        <v>--</v>
      </c>
      <c r="H191" s="124"/>
      <c r="I191" s="121">
        <f t="shared" si="41"/>
        <v>3.1999999999999999E-5</v>
      </c>
      <c r="J191" s="121" t="str">
        <f t="shared" si="42"/>
        <v>H</v>
      </c>
      <c r="K191" s="121">
        <f t="shared" si="43"/>
        <v>3.0000000000000001E-3</v>
      </c>
      <c r="L191" s="121" t="str">
        <f t="shared" si="44"/>
        <v>I</v>
      </c>
      <c r="M191" s="121" t="str">
        <f>VLOOKUP(B191,VISL!$B:$W,22,FALSE)</f>
        <v/>
      </c>
      <c r="O191" s="190" t="str">
        <f t="shared" si="45"/>
        <v/>
      </c>
    </row>
    <row r="192" spans="1:15" s="190" customFormat="1">
      <c r="A192" s="124" t="str">
        <f>IF(INDEX(VISL!A:A,MATCH(B192,VISL!B:B,0))="x","x","")</f>
        <v/>
      </c>
      <c r="B192" s="345" t="s">
        <v>345</v>
      </c>
      <c r="C192" s="269" t="s">
        <v>1389</v>
      </c>
      <c r="D192" s="201"/>
      <c r="E192" s="194" t="str">
        <f t="shared" si="38"/>
        <v>--</v>
      </c>
      <c r="F192" s="122" t="str">
        <f t="shared" si="39"/>
        <v>--</v>
      </c>
      <c r="G192" s="123" t="str">
        <f t="shared" si="40"/>
        <v>--</v>
      </c>
      <c r="H192" s="124"/>
      <c r="I192" s="121">
        <f t="shared" si="41"/>
        <v>4.4000000000000002E-6</v>
      </c>
      <c r="J192" s="121" t="str">
        <f t="shared" si="42"/>
        <v>I</v>
      </c>
      <c r="K192" s="121">
        <f t="shared" si="43"/>
        <v>0.1</v>
      </c>
      <c r="L192" s="121" t="str">
        <f t="shared" si="44"/>
        <v>I</v>
      </c>
      <c r="M192" s="121" t="str">
        <f>VLOOKUP(B192,VISL!$B:$W,22,FALSE)</f>
        <v>VC</v>
      </c>
      <c r="O192" s="190" t="str">
        <f t="shared" si="45"/>
        <v/>
      </c>
    </row>
    <row r="193" spans="1:21" s="190" customFormat="1">
      <c r="A193" s="124" t="str">
        <f>IF(INDEX(VISL!A:A,MATCH(B193,VISL!B:B,0))="x","x","")</f>
        <v/>
      </c>
      <c r="B193" s="344" t="s">
        <v>349</v>
      </c>
      <c r="C193" s="269" t="s">
        <v>1393</v>
      </c>
      <c r="D193" s="201"/>
      <c r="E193" s="194" t="str">
        <f t="shared" si="38"/>
        <v>--</v>
      </c>
      <c r="F193" s="122" t="str">
        <f t="shared" si="39"/>
        <v>--</v>
      </c>
      <c r="G193" s="123" t="str">
        <f t="shared" si="40"/>
        <v>--</v>
      </c>
      <c r="H193" s="124"/>
      <c r="I193" s="121" t="str">
        <f t="shared" si="41"/>
        <v/>
      </c>
      <c r="J193" s="121" t="str">
        <f t="shared" si="42"/>
        <v/>
      </c>
      <c r="K193" s="121">
        <f t="shared" si="43"/>
        <v>0.1</v>
      </c>
      <c r="L193" s="121" t="str">
        <f t="shared" si="44"/>
        <v>S</v>
      </c>
      <c r="M193" s="121" t="str">
        <f>VLOOKUP(B193,VISL!$B:$W,22,FALSE)</f>
        <v/>
      </c>
      <c r="O193" s="190" t="str">
        <f t="shared" si="45"/>
        <v/>
      </c>
    </row>
    <row r="194" spans="1:21" s="190" customFormat="1">
      <c r="A194" s="124" t="str">
        <f>IF(INDEX(VISL!A:A,MATCH(B194,VISL!B:B,0))="x","x","")</f>
        <v/>
      </c>
      <c r="B194" s="344" t="s">
        <v>350</v>
      </c>
      <c r="C194" s="269" t="s">
        <v>1394</v>
      </c>
      <c r="D194" s="201"/>
      <c r="E194" s="194" t="str">
        <f t="shared" si="38"/>
        <v>--</v>
      </c>
      <c r="F194" s="122" t="str">
        <f t="shared" si="39"/>
        <v>--</v>
      </c>
      <c r="G194" s="123" t="str">
        <f t="shared" si="40"/>
        <v>--</v>
      </c>
      <c r="H194" s="124"/>
      <c r="I194" s="121" t="str">
        <f t="shared" si="41"/>
        <v/>
      </c>
      <c r="J194" s="121" t="str">
        <f t="shared" si="42"/>
        <v/>
      </c>
      <c r="K194" s="121">
        <f t="shared" si="43"/>
        <v>0.1</v>
      </c>
      <c r="L194" s="121" t="str">
        <f t="shared" si="44"/>
        <v>S</v>
      </c>
      <c r="M194" s="121" t="str">
        <f>VLOOKUP(B194,VISL!$B:$W,22,FALSE)</f>
        <v/>
      </c>
      <c r="O194" s="190" t="str">
        <f t="shared" si="45"/>
        <v/>
      </c>
    </row>
    <row r="195" spans="1:21" s="190" customFormat="1">
      <c r="A195" s="124" t="str">
        <f>IF(INDEX(VISL!A:A,MATCH(B195,VISL!B:B,0))="x","x","")</f>
        <v/>
      </c>
      <c r="B195" s="344" t="s">
        <v>348</v>
      </c>
      <c r="C195" s="269" t="s">
        <v>1392</v>
      </c>
      <c r="D195" s="201"/>
      <c r="E195" s="194" t="str">
        <f t="shared" si="38"/>
        <v>--</v>
      </c>
      <c r="F195" s="122" t="str">
        <f t="shared" si="39"/>
        <v>--</v>
      </c>
      <c r="G195" s="123" t="str">
        <f t="shared" si="40"/>
        <v>--</v>
      </c>
      <c r="H195" s="124"/>
      <c r="I195" s="121" t="str">
        <f t="shared" si="41"/>
        <v/>
      </c>
      <c r="J195" s="121" t="str">
        <f t="shared" si="42"/>
        <v/>
      </c>
      <c r="K195" s="121">
        <f t="shared" si="43"/>
        <v>0.1</v>
      </c>
      <c r="L195" s="121" t="str">
        <f t="shared" si="44"/>
        <v>S</v>
      </c>
      <c r="M195" s="121" t="str">
        <f>VLOOKUP(B195,VISL!$B:$W,22,FALSE)</f>
        <v/>
      </c>
      <c r="O195" s="190" t="str">
        <f t="shared" si="45"/>
        <v/>
      </c>
    </row>
    <row r="196" spans="1:21" s="190" customFormat="1">
      <c r="A196" s="124" t="str">
        <f>IF(INDEX(VISL!A:A,MATCH(B196,VISL!B:B,0))="x","x","")</f>
        <v/>
      </c>
      <c r="B196" s="344" t="s">
        <v>347</v>
      </c>
      <c r="C196" s="269" t="s">
        <v>1616</v>
      </c>
      <c r="D196" s="201"/>
      <c r="E196" s="194" t="str">
        <f t="shared" si="38"/>
        <v>--</v>
      </c>
      <c r="F196" s="122" t="str">
        <f t="shared" si="39"/>
        <v>--</v>
      </c>
      <c r="G196" s="123" t="str">
        <f t="shared" si="40"/>
        <v>--</v>
      </c>
      <c r="H196" s="124"/>
      <c r="I196" s="121" t="str">
        <f t="shared" si="41"/>
        <v/>
      </c>
      <c r="J196" s="121" t="str">
        <f t="shared" si="42"/>
        <v/>
      </c>
      <c r="K196" s="121">
        <f t="shared" si="43"/>
        <v>0.1</v>
      </c>
      <c r="L196" s="121" t="str">
        <f t="shared" si="44"/>
        <v>I</v>
      </c>
      <c r="M196" s="121" t="str">
        <f>VLOOKUP(B196,VISL!$B:$W,22,FALSE)</f>
        <v/>
      </c>
      <c r="O196" s="190" t="str">
        <f t="shared" si="45"/>
        <v/>
      </c>
    </row>
    <row r="197" spans="1:21" s="190" customFormat="1">
      <c r="A197" s="124" t="str">
        <f>IF(INDEX(VISL!A:A,MATCH(B197,VISL!B:B,0))="x","x","")</f>
        <v/>
      </c>
      <c r="B197" s="419" t="s">
        <v>2450</v>
      </c>
      <c r="C197" s="419" t="s">
        <v>2449</v>
      </c>
      <c r="D197" s="201"/>
      <c r="E197" s="194" t="str">
        <f>IF(INDEX(HLC_GW,MATCH(C197,ChemNameChem,0))="","No HLC",IF(OR(D197="",ISTEXT(D197)),"--",D197*AFgw_GW*1000*INDEX(HLC_GW, MATCH(C197, ChemNameChem,0))))</f>
        <v>--</v>
      </c>
      <c r="F197" s="122" t="str">
        <f>IF(ISTEXT(E197),"--",IF(I197="","No IUR",IF(LEFT(E197,1)="N",E197,IF(M197&lt;&gt;"TCE",E197*(IF(AND(M197="VC",Scenario_GW="Residential"),I197,0)+I197*IF(M197="Mut",MMOAAF_GW,ED_GW)*EF_GW*ET_GW/(ATc_GW*365*24)),E197*mIURTCE_GW*MMOAAF_GW*EF_GW*ET_GW/(ATc_GW*365*24)+E197*IURTCE_GW*ED_GW*EF_GW*ET_GW/(ATc_GW*365*24)))))</f>
        <v>--</v>
      </c>
      <c r="G197" s="123" t="str">
        <f>IF(ISTEXT(E197),"--",IF(K197="","No RfC",IF(E197="No HLC","No HLC",E197*EF_GW*ED_GW*ET_GW/(K197*Atnc_GW*365*24*1000))))</f>
        <v>--</v>
      </c>
      <c r="H197" s="124"/>
      <c r="I197" s="121" t="str">
        <f>IF(INDEX(IUR,MATCH(B197,CASNoTox,0))=" ","",IF(M197="TCE","see note",INDEX(IUR,MATCH(B197,CASNoTox,0))))</f>
        <v/>
      </c>
      <c r="J197" s="121" t="str">
        <f>IF(INDEX(IURSource,MATCH(B197,CASNoTox,0))="","",SUBSTITUTE(INDEX(IURSource,MATCH(B197,CASNoTox,0)),"C","CA"))</f>
        <v/>
      </c>
      <c r="K197" s="121">
        <f>IF(INDEX(RFC,MATCH(B197,CASNoTox,0))=" ","",INDEX(RFC,MATCH(B197,CASNoTox,0)))</f>
        <v>0.4</v>
      </c>
      <c r="L197" s="121" t="str">
        <f>IF(INDEX(RFCSource,MATCH(B197,CASNoTox,0))="","",SUBSTITUTE(INDEX(RFCSource,MATCH(B197,CASNoTox,0)),"C","CA"))</f>
        <v>P</v>
      </c>
      <c r="M197" s="121" t="str">
        <f>VLOOKUP(B197,VISL!$B:$W,22,FALSE)</f>
        <v/>
      </c>
      <c r="O197" s="190" t="str">
        <f>IF(AND(I197="",K197=""),"X","")</f>
        <v/>
      </c>
    </row>
    <row r="198" spans="1:21" s="190" customFormat="1">
      <c r="A198" s="124" t="str">
        <f>IF(INDEX(VISL!A:A,MATCH(B198,VISL!B:B,0))="x","x","")</f>
        <v/>
      </c>
      <c r="B198" s="419" t="s">
        <v>2462</v>
      </c>
      <c r="C198" s="419" t="s">
        <v>2461</v>
      </c>
      <c r="D198" s="201"/>
      <c r="E198" s="194" t="str">
        <f>IF(INDEX(HLC_GW,MATCH(C198,ChemNameChem,0))="","No HLC",IF(OR(D198="",ISTEXT(D198)),"--",D198*AFgw_GW*1000*INDEX(HLC_GW, MATCH(C198, ChemNameChem,0))))</f>
        <v>--</v>
      </c>
      <c r="F198" s="122" t="str">
        <f>IF(ISTEXT(E198),"--",IF(I198="","No IUR",IF(LEFT(E198,1)="N",E198,IF(M198&lt;&gt;"TCE",E198*(IF(AND(M198="VC",Scenario_GW="Residential"),I198,0)+I198*IF(M198="Mut",MMOAAF_GW,ED_GW)*EF_GW*ET_GW/(ATc_GW*365*24)),E198*mIURTCE_GW*MMOAAF_GW*EF_GW*ET_GW/(ATc_GW*365*24)+E198*IURTCE_GW*ED_GW*EF_GW*ET_GW/(ATc_GW*365*24)))))</f>
        <v>--</v>
      </c>
      <c r="G198" s="123" t="str">
        <f>IF(ISTEXT(E198),"--",IF(K198="","No RfC",IF(E198="No HLC","No HLC",E198*EF_GW*ED_GW*ET_GW/(K198*Atnc_GW*365*24*1000))))</f>
        <v>--</v>
      </c>
      <c r="H198" s="124"/>
      <c r="I198" s="121">
        <f>IF(INDEX(IUR,MATCH(B198,CASNoTox,0))=" ","",IF(M198="TCE","see note",INDEX(IUR,MATCH(B198,CASNoTox,0))))</f>
        <v>1.1E-5</v>
      </c>
      <c r="J198" s="121" t="str">
        <f>IF(INDEX(IURSource,MATCH(B198,CASNoTox,0))="","",SUBSTITUTE(INDEX(IURSource,MATCH(B198,CASNoTox,0)),"C","CA"))</f>
        <v>CA</v>
      </c>
      <c r="K198" s="121">
        <f>IF(INDEX(RFC,MATCH(B198,CASNoTox,0))=" ","",INDEX(RFC,MATCH(B198,CASNoTox,0)))</f>
        <v>7.9999999999999996E-6</v>
      </c>
      <c r="L198" s="121" t="str">
        <f>IF(INDEX(RFCSource,MATCH(B198,CASNoTox,0))="","",SUBSTITUTE(INDEX(RFCSource,MATCH(B198,CASNoTox,0)),"C","CA"))</f>
        <v>CA</v>
      </c>
      <c r="M198" s="121" t="str">
        <f>VLOOKUP(B198,VISL!$B:$W,22,FALSE)</f>
        <v/>
      </c>
      <c r="O198" s="190" t="str">
        <f>IF(AND(I198="",K198=""),"X","")</f>
        <v/>
      </c>
    </row>
    <row r="199" spans="1:21" s="190" customFormat="1">
      <c r="A199" s="124" t="str">
        <f>IF(INDEX(VISL!A:A,MATCH(B199,VISL!B:B,0))="x","x","")</f>
        <v/>
      </c>
      <c r="B199" s="419" t="s">
        <v>2464</v>
      </c>
      <c r="C199" s="419" t="s">
        <v>2463</v>
      </c>
      <c r="D199" s="201"/>
      <c r="E199" s="194" t="str">
        <f>IF(INDEX(HLC_GW,MATCH(C199,ChemNameChem,0))="","No HLC",IF(OR(D199="",ISTEXT(D199)),"--",D199*AFgw_GW*1000*INDEX(HLC_GW, MATCH(C199, ChemNameChem,0))))</f>
        <v>--</v>
      </c>
      <c r="F199" s="122" t="str">
        <f>IF(ISTEXT(E199),"--",IF(I199="","No IUR",IF(LEFT(E199,1)="N",E199,IF(M199&lt;&gt;"TCE",E199*(IF(AND(M199="VC",Scenario_GW="Residential"),I199,0)+I199*IF(M199="Mut",MMOAAF_GW,ED_GW)*EF_GW*ET_GW/(ATc_GW*365*24)),E199*mIURTCE_GW*MMOAAF_GW*EF_GW*ET_GW/(ATc_GW*365*24)+E199*IURTCE_GW*ED_GW*EF_GW*ET_GW/(ATc_GW*365*24)))))</f>
        <v>--</v>
      </c>
      <c r="G199" s="123" t="str">
        <f>IF(ISTEXT(E199),"--",IF(K199="","No RfC",IF(E199="No HLC","No HLC",E199*EF_GW*ED_GW*ET_GW/(K199*Atnc_GW*365*24*1000))))</f>
        <v>--</v>
      </c>
      <c r="H199" s="124"/>
      <c r="I199" s="121">
        <f>IF(INDEX(IUR,MATCH(B199,CASNoTox,0))=" ","",IF(M199="TCE","see note",INDEX(IUR,MATCH(B199,CASNoTox,0))))</f>
        <v>1.1E-5</v>
      </c>
      <c r="J199" s="121" t="str">
        <f>IF(INDEX(IURSource,MATCH(B199,CASNoTox,0))="","",SUBSTITUTE(INDEX(IURSource,MATCH(B199,CASNoTox,0)),"C","CA"))</f>
        <v>CA</v>
      </c>
      <c r="K199" s="121">
        <f>IF(INDEX(RFC,MATCH(B199,CASNoTox,0))=" ","",INDEX(RFC,MATCH(B199,CASNoTox,0)))</f>
        <v>7.9999999999999996E-6</v>
      </c>
      <c r="L199" s="121" t="str">
        <f>IF(INDEX(RFCSource,MATCH(B199,CASNoTox,0))="","",SUBSTITUTE(INDEX(RFCSource,MATCH(B199,CASNoTox,0)),"C","CA"))</f>
        <v>CA</v>
      </c>
      <c r="M199" s="121" t="str">
        <f>VLOOKUP(B199,VISL!$B:$W,22,FALSE)</f>
        <v/>
      </c>
      <c r="O199" s="190" t="str">
        <f>IF(AND(I199="",K199=""),"X","")</f>
        <v/>
      </c>
    </row>
    <row r="200" spans="1:21">
      <c r="A200" s="120"/>
      <c r="B200" s="180"/>
      <c r="C200" s="136"/>
      <c r="D200" s="125"/>
      <c r="E200" s="120"/>
      <c r="F200" s="142"/>
      <c r="G200" s="125"/>
      <c r="H200" s="142"/>
      <c r="I200" s="142"/>
      <c r="J200" s="120"/>
      <c r="K200" s="181"/>
      <c r="L200" s="181"/>
      <c r="M200" s="181"/>
      <c r="N200" s="120"/>
      <c r="O200" s="181"/>
      <c r="P200" s="181"/>
      <c r="Q200" s="125"/>
      <c r="R200" s="125"/>
      <c r="S200" s="125"/>
    </row>
    <row r="201" spans="1:21" s="50" customFormat="1" ht="15.6">
      <c r="A201" s="120"/>
      <c r="B201" s="126" t="s">
        <v>473</v>
      </c>
      <c r="C201" s="124"/>
      <c r="D201" s="114"/>
      <c r="E201" s="114"/>
      <c r="F201" s="127"/>
      <c r="G201" s="127"/>
      <c r="H201" s="114"/>
      <c r="I201" s="114"/>
      <c r="J201" s="128"/>
      <c r="K201" s="129"/>
      <c r="L201" s="129"/>
      <c r="M201" s="129"/>
      <c r="N201" s="187"/>
      <c r="O201" s="129"/>
      <c r="P201" s="129"/>
      <c r="Q201" s="130"/>
      <c r="R201" s="130"/>
      <c r="S201" s="130"/>
      <c r="T201" s="130"/>
      <c r="U201" s="130"/>
    </row>
    <row r="202" spans="1:21" s="50" customFormat="1" ht="15.6">
      <c r="A202" s="120"/>
      <c r="B202" s="126"/>
      <c r="C202" s="124"/>
      <c r="D202" s="114"/>
      <c r="E202" s="114"/>
      <c r="F202" s="127"/>
      <c r="G202" s="127"/>
      <c r="H202" s="114"/>
      <c r="I202" s="131"/>
      <c r="J202" s="131"/>
      <c r="K202" s="129"/>
      <c r="L202" s="114"/>
      <c r="M202" s="129"/>
      <c r="N202" s="129"/>
      <c r="O202" s="129"/>
      <c r="P202" s="129"/>
      <c r="Q202" s="130"/>
      <c r="R202" s="130"/>
      <c r="S202" s="130"/>
      <c r="T202" s="130"/>
      <c r="U202" s="130"/>
    </row>
    <row r="203" spans="1:21" s="50" customFormat="1" ht="31.5" customHeight="1">
      <c r="A203" s="120"/>
      <c r="B203" s="132" t="s">
        <v>474</v>
      </c>
      <c r="C203" s="133" t="s">
        <v>462</v>
      </c>
      <c r="D203" s="133"/>
      <c r="E203" s="187" t="s">
        <v>1411</v>
      </c>
      <c r="F203" s="114"/>
      <c r="G203" s="565" t="s">
        <v>449</v>
      </c>
      <c r="H203" s="565"/>
      <c r="I203" s="565" t="s">
        <v>472</v>
      </c>
      <c r="J203" s="565"/>
      <c r="K203" s="134"/>
      <c r="L203" s="114"/>
      <c r="M203" s="567" t="str">
        <f>"Selected (based on scenario)"</f>
        <v>Selected (based on scenario)</v>
      </c>
      <c r="N203" s="567"/>
      <c r="O203"/>
      <c r="P203"/>
      <c r="Q203" s="130"/>
      <c r="R203" s="130"/>
      <c r="S203" s="130"/>
      <c r="T203" s="130"/>
      <c r="U203" s="130"/>
    </row>
    <row r="204" spans="1:21" s="50" customFormat="1" ht="15.6">
      <c r="A204" s="120"/>
      <c r="B204" s="127"/>
      <c r="C204" s="137" t="s">
        <v>447</v>
      </c>
      <c r="D204" s="137"/>
      <c r="E204" s="127"/>
      <c r="F204" s="114"/>
      <c r="G204" s="187" t="s">
        <v>459</v>
      </c>
      <c r="H204" s="187" t="s">
        <v>469</v>
      </c>
      <c r="I204" s="187" t="s">
        <v>459</v>
      </c>
      <c r="J204" s="187" t="s">
        <v>469</v>
      </c>
      <c r="K204" s="134"/>
      <c r="L204" s="114"/>
      <c r="M204" s="187" t="s">
        <v>459</v>
      </c>
      <c r="N204" s="187" t="s">
        <v>469</v>
      </c>
      <c r="O204"/>
      <c r="P204"/>
      <c r="Q204" s="130"/>
      <c r="R204" s="130"/>
      <c r="S204" s="130"/>
      <c r="T204" s="130"/>
      <c r="U204" s="130"/>
    </row>
    <row r="205" spans="1:21" s="50" customFormat="1">
      <c r="A205" s="120"/>
      <c r="B205" s="127"/>
      <c r="C205" s="138" t="s">
        <v>450</v>
      </c>
      <c r="D205" s="138"/>
      <c r="E205" s="139" t="s">
        <v>451</v>
      </c>
      <c r="F205" s="114"/>
      <c r="G205" s="161" t="s">
        <v>1927</v>
      </c>
      <c r="H205" s="162">
        <v>70</v>
      </c>
      <c r="I205" s="161" t="s">
        <v>1932</v>
      </c>
      <c r="J205" s="163">
        <v>70</v>
      </c>
      <c r="K205" s="164"/>
      <c r="L205" s="165"/>
      <c r="M205" s="161" t="s">
        <v>1939</v>
      </c>
      <c r="N205" s="163">
        <f>IF(Scenario_GW="Residential",ATc_R_GW,IF(Scenario_GW="Commercial",ATc_C_GW,"Error"))</f>
        <v>70</v>
      </c>
      <c r="O205"/>
      <c r="P205"/>
      <c r="Q205" s="130"/>
      <c r="R205" s="130"/>
      <c r="S205" s="130"/>
      <c r="T205" s="142"/>
      <c r="U205" s="130"/>
    </row>
    <row r="206" spans="1:21" s="50" customFormat="1">
      <c r="A206" s="120"/>
      <c r="B206" s="127"/>
      <c r="C206" s="135" t="s">
        <v>452</v>
      </c>
      <c r="D206" s="135"/>
      <c r="E206" s="139" t="s">
        <v>451</v>
      </c>
      <c r="F206" s="114"/>
      <c r="G206" s="161" t="s">
        <v>1928</v>
      </c>
      <c r="H206" s="162">
        <v>26</v>
      </c>
      <c r="I206" s="161" t="s">
        <v>1933</v>
      </c>
      <c r="J206" s="163">
        <v>25</v>
      </c>
      <c r="K206" s="164"/>
      <c r="L206" s="165"/>
      <c r="M206" s="161" t="s">
        <v>1940</v>
      </c>
      <c r="N206" s="163">
        <f>IF(Scenario_GW="Residential",ATnc_R_GW,IF(Scenario_GW="Commercial",ATnc_C_GW,"Error"))</f>
        <v>26</v>
      </c>
      <c r="O206"/>
      <c r="P206"/>
      <c r="Q206" s="130"/>
      <c r="R206" s="130"/>
      <c r="S206" s="130"/>
      <c r="T206" s="142"/>
      <c r="U206" s="130"/>
    </row>
    <row r="207" spans="1:21" s="50" customFormat="1" ht="15.6">
      <c r="A207" s="120"/>
      <c r="B207" s="187"/>
      <c r="C207" s="138" t="s">
        <v>453</v>
      </c>
      <c r="D207" s="138"/>
      <c r="E207" s="127" t="s">
        <v>451</v>
      </c>
      <c r="F207" s="114"/>
      <c r="G207" s="186" t="s">
        <v>1929</v>
      </c>
      <c r="H207" s="163">
        <v>26</v>
      </c>
      <c r="I207" s="186" t="s">
        <v>1934</v>
      </c>
      <c r="J207" s="163">
        <v>25</v>
      </c>
      <c r="K207" s="164"/>
      <c r="L207" s="165"/>
      <c r="M207" s="186" t="s">
        <v>1941</v>
      </c>
      <c r="N207" s="163">
        <f>IF(Scenario_GW="Residential",ED_R_GW,IF(Scenario_GW="Commercial",ED_C_GW,"Error"))</f>
        <v>26</v>
      </c>
      <c r="O207"/>
      <c r="P207"/>
      <c r="Q207" s="130"/>
      <c r="R207" s="130"/>
      <c r="S207" s="130"/>
      <c r="T207" s="130"/>
      <c r="U207" s="130"/>
    </row>
    <row r="208" spans="1:21" s="50" customFormat="1">
      <c r="A208" s="120"/>
      <c r="B208" s="127"/>
      <c r="C208" s="138" t="s">
        <v>454</v>
      </c>
      <c r="D208" s="138"/>
      <c r="E208" s="127" t="s">
        <v>455</v>
      </c>
      <c r="F208" s="114"/>
      <c r="G208" s="186" t="s">
        <v>1930</v>
      </c>
      <c r="H208" s="163">
        <v>350</v>
      </c>
      <c r="I208" s="186" t="s">
        <v>1935</v>
      </c>
      <c r="J208" s="163">
        <v>250</v>
      </c>
      <c r="K208" s="164"/>
      <c r="L208" s="165"/>
      <c r="M208" s="186" t="s">
        <v>1942</v>
      </c>
      <c r="N208" s="163">
        <f>IF(Scenario_GW="Residential",EF_R_GW,IF(Scenario_GW="Commercial",EF_C_GW,"Error"))</f>
        <v>350</v>
      </c>
      <c r="O208"/>
      <c r="P208"/>
      <c r="Q208" s="130"/>
      <c r="R208" s="130"/>
      <c r="S208" s="130"/>
      <c r="T208" s="130"/>
      <c r="U208" s="130"/>
    </row>
    <row r="209" spans="1:21" s="50" customFormat="1">
      <c r="A209" s="120"/>
      <c r="B209" s="127"/>
      <c r="C209" s="138" t="s">
        <v>516</v>
      </c>
      <c r="D209" s="138"/>
      <c r="E209" s="124" t="s">
        <v>1744</v>
      </c>
      <c r="F209" s="114"/>
      <c r="G209" s="163" t="s">
        <v>1931</v>
      </c>
      <c r="H209" s="163">
        <v>24</v>
      </c>
      <c r="I209" s="163" t="s">
        <v>1936</v>
      </c>
      <c r="J209" s="163">
        <v>8</v>
      </c>
      <c r="K209" s="164"/>
      <c r="L209" s="165"/>
      <c r="M209" s="163" t="s">
        <v>1943</v>
      </c>
      <c r="N209" s="163">
        <f>IF(Scenario_GW="Residential",ET_R_GW,IF(Scenario_GW="Commercial",ET_C_GW,"Error"))</f>
        <v>24</v>
      </c>
      <c r="O209"/>
      <c r="P209"/>
      <c r="Q209" s="130"/>
      <c r="R209" s="130"/>
      <c r="S209" s="130"/>
      <c r="T209" s="130"/>
      <c r="U209" s="130"/>
    </row>
    <row r="210" spans="1:21" s="50" customFormat="1">
      <c r="A210" s="120"/>
      <c r="B210" s="127"/>
      <c r="C210" s="138"/>
      <c r="D210" s="138"/>
      <c r="E210" s="124"/>
      <c r="F210" s="114"/>
      <c r="G210" s="124"/>
      <c r="H210" s="124"/>
      <c r="I210" s="124"/>
      <c r="J210" s="124"/>
      <c r="K210" s="134"/>
      <c r="L210" s="114"/>
      <c r="M210" s="124"/>
      <c r="N210" s="145"/>
      <c r="O210"/>
      <c r="P210"/>
      <c r="Q210" s="130"/>
      <c r="R210" s="130"/>
      <c r="S210" s="130"/>
      <c r="T210" s="130"/>
      <c r="U210" s="130"/>
    </row>
    <row r="211" spans="1:21" s="50" customFormat="1" ht="30.75" customHeight="1">
      <c r="A211" s="120"/>
      <c r="B211" s="132" t="s">
        <v>476</v>
      </c>
      <c r="C211" s="133" t="s">
        <v>458</v>
      </c>
      <c r="D211" s="133"/>
      <c r="E211" s="127"/>
      <c r="F211" s="114"/>
      <c r="G211" s="565" t="s">
        <v>449</v>
      </c>
      <c r="H211" s="565"/>
      <c r="I211" s="565" t="s">
        <v>472</v>
      </c>
      <c r="J211" s="565"/>
      <c r="K211" s="134"/>
      <c r="L211" s="114"/>
      <c r="M211" s="567" t="s">
        <v>1819</v>
      </c>
      <c r="N211" s="567"/>
      <c r="O211"/>
      <c r="P211"/>
      <c r="Q211" s="130"/>
      <c r="R211" s="130"/>
      <c r="S211" s="130"/>
      <c r="T211" s="130"/>
      <c r="U211" s="130"/>
    </row>
    <row r="212" spans="1:21" s="50" customFormat="1" ht="15.6">
      <c r="A212" s="120"/>
      <c r="B212" s="124"/>
      <c r="C212" s="137" t="s">
        <v>456</v>
      </c>
      <c r="D212" s="137"/>
      <c r="E212" s="124"/>
      <c r="F212" s="114"/>
      <c r="G212" s="187" t="s">
        <v>459</v>
      </c>
      <c r="H212" s="187" t="s">
        <v>469</v>
      </c>
      <c r="I212" s="187" t="s">
        <v>459</v>
      </c>
      <c r="J212" s="187" t="s">
        <v>469</v>
      </c>
      <c r="K212" s="134"/>
      <c r="L212" s="114"/>
      <c r="M212" s="187" t="s">
        <v>459</v>
      </c>
      <c r="N212" s="187" t="s">
        <v>469</v>
      </c>
      <c r="O212"/>
      <c r="P212"/>
      <c r="Q212" s="130"/>
      <c r="R212" s="130"/>
      <c r="S212" s="130"/>
      <c r="T212" s="130"/>
      <c r="U212" s="130"/>
    </row>
    <row r="213" spans="1:21" s="50" customFormat="1">
      <c r="A213" s="120"/>
      <c r="B213" s="127"/>
      <c r="C213" s="138" t="s">
        <v>457</v>
      </c>
      <c r="D213" s="138"/>
      <c r="E213" s="127" t="s">
        <v>464</v>
      </c>
      <c r="F213" s="114"/>
      <c r="G213" s="186" t="s">
        <v>1946</v>
      </c>
      <c r="H213" s="163">
        <v>1E-3</v>
      </c>
      <c r="I213" s="186" t="s">
        <v>1948</v>
      </c>
      <c r="J213" s="163">
        <v>1E-3</v>
      </c>
      <c r="K213" s="164"/>
      <c r="L213" s="165"/>
      <c r="M213" s="186" t="s">
        <v>1944</v>
      </c>
      <c r="N213" s="163">
        <f>IF(Scenario_GW="Residential",AFgw_R_GW,IF(Scenario_GW="Commercial",AFgw_C_GW,"Error"))</f>
        <v>1E-3</v>
      </c>
      <c r="O213"/>
      <c r="P213"/>
      <c r="Q213" s="130"/>
      <c r="R213" s="130"/>
      <c r="S213" s="130"/>
      <c r="T213" s="130"/>
      <c r="U213" s="130"/>
    </row>
    <row r="214" spans="1:21" s="50" customFormat="1">
      <c r="A214" s="120"/>
      <c r="B214" s="127"/>
      <c r="C214" s="138" t="s">
        <v>1694</v>
      </c>
      <c r="D214" s="138"/>
      <c r="E214" s="127" t="s">
        <v>464</v>
      </c>
      <c r="F214" s="114"/>
      <c r="G214" s="186" t="s">
        <v>1947</v>
      </c>
      <c r="H214" s="163">
        <v>0.03</v>
      </c>
      <c r="I214" s="186" t="s">
        <v>1949</v>
      </c>
      <c r="J214" s="163">
        <v>0.03</v>
      </c>
      <c r="K214" s="164"/>
      <c r="L214" s="165"/>
      <c r="M214" s="186" t="s">
        <v>1945</v>
      </c>
      <c r="N214" s="163">
        <f>IF(Scenario_GW="Residential",AFss_R_GW,IF(Scenario_GW="Commercial",AFss_C_GW,"Error"))</f>
        <v>0.03</v>
      </c>
      <c r="O214"/>
      <c r="P214"/>
      <c r="Q214" s="130"/>
      <c r="R214" s="130"/>
      <c r="S214" s="130"/>
      <c r="T214" s="130"/>
      <c r="U214" s="130"/>
    </row>
    <row r="215" spans="1:21" s="50" customFormat="1">
      <c r="A215" s="120"/>
      <c r="B215" s="127"/>
      <c r="C215" s="138"/>
      <c r="D215" s="124"/>
      <c r="E215" s="124"/>
      <c r="F215" s="127"/>
      <c r="G215" s="127"/>
      <c r="H215" s="124"/>
      <c r="I215" s="127"/>
      <c r="J215" s="114"/>
      <c r="K215" s="134"/>
      <c r="L215" s="134"/>
      <c r="M215" s="134"/>
      <c r="N215" s="114"/>
      <c r="O215"/>
      <c r="P215"/>
      <c r="Q215" s="130"/>
      <c r="R215" s="130"/>
      <c r="S215" s="130"/>
      <c r="T215" s="130"/>
      <c r="U215" s="130"/>
    </row>
    <row r="216" spans="1:21" s="50" customFormat="1" ht="15.6">
      <c r="A216" s="120"/>
      <c r="B216" s="132" t="s">
        <v>477</v>
      </c>
      <c r="C216" s="133" t="s">
        <v>468</v>
      </c>
      <c r="D216" s="138"/>
      <c r="E216" s="138"/>
      <c r="F216" s="127"/>
      <c r="G216" s="127"/>
      <c r="H216" s="127"/>
      <c r="I216" s="127"/>
      <c r="J216" s="114"/>
      <c r="K216" s="134"/>
      <c r="L216" s="134"/>
      <c r="M216" s="134"/>
      <c r="N216" s="114"/>
      <c r="O216"/>
      <c r="P216"/>
      <c r="Q216" s="130"/>
      <c r="R216" s="130"/>
      <c r="S216" s="130"/>
      <c r="T216" s="130"/>
      <c r="U216" s="130"/>
    </row>
    <row r="217" spans="1:21" s="50" customFormat="1">
      <c r="A217" s="120"/>
      <c r="B217" s="127"/>
      <c r="C217" s="138" t="s">
        <v>475</v>
      </c>
      <c r="D217" s="124"/>
      <c r="E217" s="124"/>
      <c r="F217" s="127"/>
      <c r="G217" s="114"/>
      <c r="H217" s="124"/>
      <c r="I217" s="127"/>
      <c r="J217" s="114"/>
      <c r="K217" s="134"/>
      <c r="L217" s="134"/>
      <c r="M217" s="134"/>
      <c r="N217" s="114"/>
      <c r="O217"/>
      <c r="P217"/>
      <c r="Q217" s="130"/>
      <c r="R217" s="130"/>
      <c r="S217" s="130"/>
      <c r="T217" s="130"/>
      <c r="U217" s="130"/>
    </row>
    <row r="218" spans="1:21" s="50" customFormat="1">
      <c r="A218" s="120"/>
      <c r="B218" s="127"/>
      <c r="C218" s="138" t="s">
        <v>1742</v>
      </c>
      <c r="D218" s="124"/>
      <c r="E218" s="124"/>
      <c r="F218" s="127"/>
      <c r="G218" s="138"/>
      <c r="H218" s="124"/>
      <c r="I218" s="127"/>
      <c r="J218" s="114"/>
      <c r="K218" s="134"/>
      <c r="L218" s="134"/>
      <c r="M218" s="134"/>
      <c r="N218" s="114"/>
      <c r="O218"/>
      <c r="P218"/>
      <c r="Q218" s="130"/>
      <c r="R218" s="130"/>
      <c r="S218" s="130"/>
      <c r="T218" s="130"/>
      <c r="U218" s="130"/>
    </row>
    <row r="219" spans="1:21" s="50" customFormat="1">
      <c r="A219" s="120"/>
      <c r="B219" s="127"/>
      <c r="C219" s="138" t="s">
        <v>1743</v>
      </c>
      <c r="D219" s="124"/>
      <c r="E219" s="124"/>
      <c r="F219" s="127"/>
      <c r="G219" s="138"/>
      <c r="H219" s="124"/>
      <c r="I219" s="127"/>
      <c r="J219" s="114"/>
      <c r="K219" s="134"/>
      <c r="L219" s="134"/>
      <c r="M219" s="134"/>
      <c r="N219" s="114"/>
      <c r="O219"/>
      <c r="P219"/>
      <c r="Q219" s="130"/>
      <c r="R219" s="130"/>
      <c r="S219" s="130"/>
      <c r="T219" s="130"/>
      <c r="U219" s="130"/>
    </row>
    <row r="220" spans="1:21" s="50" customFormat="1">
      <c r="A220" s="120"/>
      <c r="B220" s="127"/>
      <c r="C220" s="138"/>
      <c r="D220" s="124"/>
      <c r="E220" s="124"/>
      <c r="F220" s="136"/>
      <c r="G220" s="136"/>
      <c r="H220" s="136"/>
      <c r="I220" s="136"/>
      <c r="J220" s="136"/>
      <c r="K220" s="136"/>
      <c r="L220" s="136"/>
      <c r="M220" s="136"/>
      <c r="N220" s="136"/>
      <c r="O220"/>
      <c r="P220"/>
      <c r="Q220" s="130"/>
      <c r="R220" s="130"/>
      <c r="S220" s="130"/>
      <c r="T220" s="130"/>
      <c r="U220" s="130"/>
    </row>
    <row r="221" spans="1:21" s="50" customFormat="1" ht="31.5" customHeight="1">
      <c r="A221" s="120"/>
      <c r="B221" s="132" t="s">
        <v>1630</v>
      </c>
      <c r="C221" s="133" t="s">
        <v>1631</v>
      </c>
      <c r="D221" s="124"/>
      <c r="E221" s="124"/>
      <c r="F221" s="127"/>
      <c r="G221" s="565" t="s">
        <v>449</v>
      </c>
      <c r="H221" s="565"/>
      <c r="I221" s="565" t="s">
        <v>472</v>
      </c>
      <c r="J221" s="565"/>
      <c r="K221" s="146"/>
      <c r="L221" s="147"/>
      <c r="M221" s="567" t="s">
        <v>1819</v>
      </c>
      <c r="N221" s="567"/>
      <c r="O221"/>
      <c r="P221"/>
      <c r="Q221" s="130"/>
      <c r="R221" s="130"/>
      <c r="S221" s="130"/>
      <c r="T221" s="130"/>
      <c r="U221" s="130"/>
    </row>
    <row r="222" spans="1:21" s="50" customFormat="1" ht="15.6">
      <c r="A222" s="120"/>
      <c r="B222" s="127"/>
      <c r="C222" s="138" t="s">
        <v>400</v>
      </c>
      <c r="D222" s="124"/>
      <c r="E222" s="124"/>
      <c r="F222" s="136"/>
      <c r="G222" s="187" t="s">
        <v>459</v>
      </c>
      <c r="H222" s="187" t="s">
        <v>469</v>
      </c>
      <c r="I222" s="187" t="s">
        <v>459</v>
      </c>
      <c r="J222" s="187" t="s">
        <v>469</v>
      </c>
      <c r="K222" s="134"/>
      <c r="L222" s="114"/>
      <c r="M222" s="187" t="s">
        <v>459</v>
      </c>
      <c r="N222" s="187" t="s">
        <v>469</v>
      </c>
      <c r="O222"/>
      <c r="P222"/>
      <c r="Q222" s="130"/>
      <c r="R222" s="130"/>
      <c r="S222" s="130"/>
      <c r="T222" s="130"/>
      <c r="U222" s="130"/>
    </row>
    <row r="223" spans="1:21" s="50" customFormat="1">
      <c r="A223" s="120"/>
      <c r="B223" s="114"/>
      <c r="C223" s="114"/>
      <c r="D223" s="124"/>
      <c r="E223" s="124"/>
      <c r="F223" s="127"/>
      <c r="G223" s="166" t="s">
        <v>1950</v>
      </c>
      <c r="H223" s="167">
        <v>9.9999999999999995E-7</v>
      </c>
      <c r="I223" s="166" t="s">
        <v>1952</v>
      </c>
      <c r="J223" s="167">
        <v>0</v>
      </c>
      <c r="K223" s="164"/>
      <c r="L223" s="165"/>
      <c r="M223" s="245" t="s">
        <v>1937</v>
      </c>
      <c r="N223" s="167">
        <f>IF(Scenario_GW="Residential",mIURTCE_R_GW,IF(Scenario_GW="Commercial",mIURTCE_C_GW,"Error"))</f>
        <v>9.9999999999999995E-7</v>
      </c>
      <c r="O223"/>
      <c r="P223"/>
      <c r="Q223" s="130"/>
      <c r="R223" s="130"/>
      <c r="S223" s="130"/>
      <c r="T223" s="130"/>
      <c r="U223" s="130"/>
    </row>
    <row r="224" spans="1:21" s="50" customFormat="1">
      <c r="A224" s="120"/>
      <c r="B224" s="127"/>
      <c r="C224" s="138"/>
      <c r="D224" s="124"/>
      <c r="E224" s="124"/>
      <c r="F224" s="127"/>
      <c r="G224" s="166" t="s">
        <v>1951</v>
      </c>
      <c r="H224" s="167">
        <v>3.1E-6</v>
      </c>
      <c r="I224" s="166" t="s">
        <v>1953</v>
      </c>
      <c r="J224" s="167">
        <v>4.0999999999999997E-6</v>
      </c>
      <c r="K224" s="164"/>
      <c r="L224" s="165"/>
      <c r="M224" s="245" t="s">
        <v>1938</v>
      </c>
      <c r="N224" s="167">
        <f>IF(Scenario_GW="Residential",IURTCE_R_GW,IF(Scenario_GW="Commercial",IURTCE_C_GW,"Error"))</f>
        <v>3.1E-6</v>
      </c>
      <c r="O224"/>
      <c r="P224"/>
      <c r="Q224" s="130"/>
      <c r="R224" s="130"/>
      <c r="S224" s="130"/>
      <c r="T224" s="130"/>
      <c r="U224" s="130"/>
    </row>
    <row r="225" spans="1:21" s="50" customFormat="1">
      <c r="A225" s="120"/>
      <c r="B225" s="127"/>
      <c r="C225" s="138"/>
      <c r="D225" s="148"/>
      <c r="E225" s="124"/>
      <c r="F225" s="127"/>
      <c r="G225" s="138"/>
      <c r="H225" s="124"/>
      <c r="I225" s="127"/>
      <c r="J225" s="114"/>
      <c r="K225" s="145"/>
      <c r="L225" s="145"/>
      <c r="M225" s="145"/>
      <c r="N225" s="127"/>
      <c r="O225" s="145"/>
      <c r="P225" s="145"/>
      <c r="Q225" s="130"/>
      <c r="R225" s="130"/>
      <c r="S225" s="130"/>
      <c r="T225" s="130"/>
      <c r="U225" s="130"/>
    </row>
    <row r="226" spans="1:21" s="50" customFormat="1">
      <c r="A226" s="120"/>
      <c r="B226" s="127"/>
      <c r="C226" s="138" t="s">
        <v>1729</v>
      </c>
      <c r="D226" s="149" t="s">
        <v>1730</v>
      </c>
      <c r="E226" s="124"/>
      <c r="F226" s="127"/>
      <c r="G226" s="138"/>
      <c r="H226" s="124"/>
      <c r="I226" s="127"/>
      <c r="J226" s="114"/>
      <c r="K226" s="114"/>
      <c r="L226" s="114"/>
      <c r="M226" s="114"/>
      <c r="N226" s="114"/>
      <c r="O226" s="114"/>
      <c r="P226" s="114"/>
      <c r="Q226" s="130"/>
      <c r="R226" s="130"/>
      <c r="S226" s="130"/>
      <c r="T226" s="130"/>
      <c r="U226" s="130"/>
    </row>
    <row r="227" spans="1:21" s="50" customFormat="1">
      <c r="A227" s="120"/>
      <c r="B227" s="127"/>
      <c r="C227" s="138"/>
      <c r="D227" s="149"/>
      <c r="E227" s="124"/>
      <c r="F227" s="127"/>
      <c r="G227" s="138"/>
      <c r="H227" s="124"/>
      <c r="I227" s="127"/>
      <c r="J227" s="114"/>
      <c r="K227" s="114"/>
      <c r="L227" s="114"/>
      <c r="M227" s="114"/>
      <c r="N227" s="114"/>
      <c r="O227" s="114"/>
      <c r="P227" s="114"/>
      <c r="Q227" s="130"/>
      <c r="R227" s="130"/>
      <c r="S227" s="130"/>
      <c r="T227" s="130"/>
      <c r="U227" s="130"/>
    </row>
    <row r="228" spans="1:21" s="50" customFormat="1" ht="15.6">
      <c r="A228" s="120"/>
      <c r="B228" s="127"/>
      <c r="C228" s="566" t="s">
        <v>1737</v>
      </c>
      <c r="D228" s="566"/>
      <c r="E228" s="565" t="s">
        <v>1731</v>
      </c>
      <c r="F228" s="567" t="s">
        <v>1732</v>
      </c>
      <c r="G228" s="568" t="s">
        <v>1733</v>
      </c>
      <c r="H228" s="568"/>
      <c r="I228" s="114"/>
      <c r="J228" s="114"/>
      <c r="K228" s="150"/>
      <c r="L228" s="150"/>
      <c r="M228" s="114"/>
      <c r="N228" s="114"/>
      <c r="O228" s="114"/>
      <c r="P228" s="114"/>
      <c r="Q228" s="130"/>
      <c r="R228" s="130"/>
      <c r="S228" s="130"/>
      <c r="T228" s="130"/>
      <c r="U228" s="130"/>
    </row>
    <row r="229" spans="1:21" s="50" customFormat="1">
      <c r="A229" s="120"/>
      <c r="B229" s="127"/>
      <c r="C229" s="566"/>
      <c r="D229" s="566"/>
      <c r="E229" s="565"/>
      <c r="F229" s="567"/>
      <c r="G229" s="568"/>
      <c r="H229" s="568"/>
      <c r="I229" s="114"/>
      <c r="J229" s="114"/>
      <c r="K229" s="114"/>
      <c r="L229" s="114"/>
      <c r="M229" s="114"/>
      <c r="N229" s="114"/>
      <c r="O229" s="114"/>
      <c r="P229" s="114"/>
      <c r="Q229" s="130"/>
      <c r="R229" s="130"/>
      <c r="S229" s="130"/>
      <c r="T229" s="130"/>
      <c r="U229" s="130"/>
    </row>
    <row r="230" spans="1:21" s="50" customFormat="1">
      <c r="A230" s="120"/>
      <c r="B230" s="127"/>
      <c r="C230" s="566"/>
      <c r="D230" s="566"/>
      <c r="E230" s="186" t="s">
        <v>1734</v>
      </c>
      <c r="F230" s="186">
        <v>2</v>
      </c>
      <c r="G230" s="564">
        <v>10</v>
      </c>
      <c r="H230" s="564"/>
      <c r="I230" s="114"/>
      <c r="J230" s="114"/>
      <c r="K230" s="114"/>
      <c r="L230" s="114"/>
      <c r="M230" s="114"/>
      <c r="N230" s="114"/>
      <c r="O230" s="114"/>
      <c r="P230" s="114"/>
      <c r="Q230" s="130"/>
      <c r="R230" s="130"/>
      <c r="S230" s="130"/>
      <c r="T230" s="130"/>
      <c r="U230" s="130"/>
    </row>
    <row r="231" spans="1:21" s="50" customFormat="1">
      <c r="A231" s="120"/>
      <c r="B231" s="127"/>
      <c r="C231" s="566"/>
      <c r="D231" s="566"/>
      <c r="E231" s="186" t="s">
        <v>1735</v>
      </c>
      <c r="F231" s="186">
        <v>4</v>
      </c>
      <c r="G231" s="564">
        <v>3</v>
      </c>
      <c r="H231" s="564"/>
      <c r="I231" s="114"/>
      <c r="J231" s="114"/>
      <c r="K231" s="114"/>
      <c r="L231" s="114"/>
      <c r="M231" s="114"/>
      <c r="N231" s="114"/>
      <c r="O231" s="114"/>
      <c r="P231" s="114"/>
      <c r="Q231" s="130"/>
      <c r="R231" s="130"/>
      <c r="S231" s="130"/>
      <c r="T231" s="130"/>
      <c r="U231" s="130"/>
    </row>
    <row r="232" spans="1:21" s="50" customFormat="1">
      <c r="A232" s="120"/>
      <c r="B232" s="127"/>
      <c r="C232" s="138"/>
      <c r="D232" s="114"/>
      <c r="E232" s="186" t="s">
        <v>1736</v>
      </c>
      <c r="F232" s="186">
        <v>10</v>
      </c>
      <c r="G232" s="564">
        <v>3</v>
      </c>
      <c r="H232" s="564"/>
      <c r="I232" s="114"/>
      <c r="J232" s="114"/>
      <c r="K232" s="114"/>
      <c r="L232" s="114"/>
      <c r="M232" s="127"/>
      <c r="N232" s="127"/>
      <c r="O232" s="127"/>
      <c r="P232" s="127"/>
      <c r="Q232" s="130"/>
      <c r="R232" s="130"/>
      <c r="S232" s="130"/>
      <c r="T232" s="130"/>
      <c r="U232" s="130"/>
    </row>
    <row r="233" spans="1:21" s="50" customFormat="1">
      <c r="A233" s="120"/>
      <c r="B233" s="127"/>
      <c r="C233" s="138"/>
      <c r="D233" s="148"/>
      <c r="E233" s="260" t="s">
        <v>2087</v>
      </c>
      <c r="F233" s="260">
        <v>10</v>
      </c>
      <c r="G233" s="564">
        <v>1</v>
      </c>
      <c r="H233" s="564"/>
      <c r="I233" s="127"/>
      <c r="J233" s="114"/>
      <c r="K233" s="114"/>
      <c r="L233" s="114"/>
      <c r="M233" s="114"/>
      <c r="N233" s="114"/>
      <c r="O233" s="114"/>
      <c r="P233" s="114"/>
      <c r="Q233" s="130"/>
      <c r="R233" s="130"/>
      <c r="S233" s="130"/>
      <c r="T233" s="130"/>
      <c r="U233" s="130"/>
    </row>
    <row r="234" spans="1:21" s="50" customFormat="1">
      <c r="A234" s="120"/>
      <c r="B234" s="127"/>
      <c r="C234" s="138"/>
      <c r="D234" s="148"/>
      <c r="E234" s="127"/>
      <c r="F234" s="127"/>
      <c r="G234" s="127"/>
      <c r="H234" s="127"/>
      <c r="I234" s="127"/>
      <c r="J234" s="114"/>
      <c r="K234" s="114"/>
      <c r="L234" s="114"/>
      <c r="M234" s="114"/>
      <c r="N234" s="114"/>
      <c r="O234" s="114"/>
      <c r="P234" s="114"/>
      <c r="Q234" s="130"/>
      <c r="R234" s="130"/>
      <c r="S234" s="130"/>
      <c r="T234" s="130"/>
      <c r="U234" s="130"/>
    </row>
    <row r="235" spans="1:21" s="50" customFormat="1" ht="15.6">
      <c r="A235" s="120"/>
      <c r="B235" s="127"/>
      <c r="C235" s="138"/>
      <c r="D235" s="148"/>
      <c r="E235" s="114"/>
      <c r="F235" s="151" t="s">
        <v>1739</v>
      </c>
      <c r="G235" s="564">
        <f>IF(Scenario_GW="Residential",SUMPRODUCT(F230:F233,G230:G233),IF(Scenario_GW="Commercial",ED_C_GW,"Error"))</f>
        <v>72</v>
      </c>
      <c r="H235" s="564"/>
      <c r="I235" s="135" t="s">
        <v>1738</v>
      </c>
      <c r="J235" s="114"/>
      <c r="K235" s="152"/>
      <c r="L235" s="127"/>
      <c r="M235" s="127"/>
      <c r="N235" s="127"/>
      <c r="O235" s="127"/>
      <c r="P235" s="127"/>
      <c r="Q235" s="130"/>
      <c r="R235" s="130"/>
      <c r="S235" s="130"/>
      <c r="T235" s="130"/>
      <c r="U235" s="130"/>
    </row>
    <row r="236" spans="1:21" s="50" customFormat="1">
      <c r="A236" s="120"/>
      <c r="B236" s="127"/>
      <c r="C236" s="138"/>
      <c r="D236" s="148"/>
      <c r="E236" s="124"/>
      <c r="F236" s="127"/>
      <c r="G236" s="138"/>
      <c r="H236" s="124"/>
      <c r="I236" s="127"/>
      <c r="J236" s="114"/>
      <c r="K236" s="152"/>
      <c r="L236" s="145"/>
      <c r="M236" s="145"/>
      <c r="N236" s="127"/>
      <c r="O236" s="145"/>
      <c r="P236" s="145"/>
      <c r="Q236" s="130"/>
      <c r="R236" s="130"/>
      <c r="S236" s="130"/>
      <c r="T236" s="130"/>
      <c r="U236" s="130"/>
    </row>
    <row r="237" spans="1:21" s="50" customFormat="1">
      <c r="A237" s="120"/>
      <c r="B237" s="127"/>
      <c r="C237" s="138" t="s">
        <v>1389</v>
      </c>
      <c r="D237" s="148" t="s">
        <v>1702</v>
      </c>
      <c r="E237" s="124"/>
      <c r="F237" s="127"/>
      <c r="G237" s="138"/>
      <c r="H237" s="124"/>
      <c r="I237" s="127"/>
      <c r="J237" s="114"/>
      <c r="K237" s="145"/>
      <c r="L237" s="145"/>
      <c r="M237" s="145"/>
      <c r="N237" s="127"/>
      <c r="O237" s="145"/>
      <c r="P237" s="145"/>
      <c r="Q237" s="130"/>
      <c r="R237" s="130"/>
      <c r="S237" s="130"/>
      <c r="T237" s="130"/>
      <c r="U237" s="130"/>
    </row>
    <row r="238" spans="1:21" s="50" customFormat="1">
      <c r="A238" s="120"/>
      <c r="B238" s="127"/>
      <c r="C238" s="138"/>
      <c r="D238" s="148"/>
      <c r="E238" s="124"/>
      <c r="F238" s="127"/>
      <c r="G238" s="138"/>
      <c r="H238" s="124"/>
      <c r="I238" s="127"/>
      <c r="J238" s="114"/>
      <c r="K238" s="152"/>
      <c r="L238" s="145"/>
      <c r="M238" s="145"/>
      <c r="N238" s="127"/>
      <c r="O238" s="145"/>
      <c r="P238" s="145"/>
      <c r="Q238" s="130"/>
      <c r="R238" s="130"/>
      <c r="S238" s="130"/>
      <c r="T238" s="130"/>
      <c r="U238" s="130"/>
    </row>
    <row r="239" spans="1:21" s="50" customFormat="1" ht="15.6">
      <c r="A239" s="120"/>
      <c r="B239" s="187" t="s">
        <v>962</v>
      </c>
      <c r="C239" s="138"/>
      <c r="D239" s="124"/>
      <c r="E239" s="124"/>
      <c r="F239" s="127"/>
      <c r="G239" s="138"/>
      <c r="H239" s="124"/>
      <c r="I239" s="127"/>
      <c r="J239" s="114"/>
      <c r="K239" s="145"/>
      <c r="L239" s="145"/>
      <c r="M239" s="145"/>
      <c r="N239" s="127"/>
      <c r="O239" s="145"/>
      <c r="P239" s="145"/>
      <c r="Q239" s="130"/>
      <c r="R239" s="130"/>
      <c r="S239" s="130"/>
      <c r="T239" s="130"/>
      <c r="U239" s="130"/>
    </row>
    <row r="240" spans="1:21" s="50" customFormat="1">
      <c r="A240" s="120"/>
      <c r="B240" s="128" t="s">
        <v>1763</v>
      </c>
      <c r="C240" s="128"/>
      <c r="D240" s="128"/>
      <c r="E240" s="114"/>
      <c r="G240" s="153" t="s">
        <v>1764</v>
      </c>
      <c r="H240" s="124"/>
      <c r="I240" s="127"/>
      <c r="J240" s="114"/>
      <c r="K240" s="134"/>
      <c r="L240" s="134"/>
      <c r="M240" s="134"/>
      <c r="N240" s="128"/>
      <c r="O240" s="145"/>
      <c r="P240" s="145"/>
      <c r="Q240" s="130"/>
      <c r="R240" s="130"/>
      <c r="S240" s="130"/>
      <c r="T240" s="130"/>
      <c r="U240" s="130"/>
    </row>
    <row r="241" spans="1:23" s="50" customFormat="1">
      <c r="A241" s="120"/>
      <c r="B241" s="128" t="s">
        <v>1765</v>
      </c>
      <c r="C241" s="128"/>
      <c r="D241" s="124"/>
      <c r="E241" s="140"/>
      <c r="F241" s="128"/>
      <c r="H241" s="154" t="s">
        <v>1766</v>
      </c>
      <c r="I241" s="128"/>
      <c r="J241" s="128"/>
      <c r="K241" s="129"/>
      <c r="L241" s="129"/>
      <c r="M241" s="129"/>
      <c r="N241" s="128"/>
      <c r="O241" s="134"/>
      <c r="P241" s="134"/>
      <c r="Q241" s="130"/>
      <c r="R241" s="130"/>
      <c r="S241" s="130"/>
      <c r="T241" s="130"/>
      <c r="U241" s="130"/>
    </row>
    <row r="242" spans="1:23" s="50" customFormat="1">
      <c r="A242" s="120"/>
      <c r="B242" s="143" t="s">
        <v>1767</v>
      </c>
      <c r="C242" s="128"/>
      <c r="D242" s="124"/>
      <c r="E242" s="140"/>
      <c r="F242" s="128"/>
      <c r="G242" s="128"/>
      <c r="H242" s="114"/>
      <c r="J242" s="155" t="s">
        <v>1768</v>
      </c>
      <c r="K242" s="129"/>
      <c r="L242" s="129"/>
      <c r="M242" s="129"/>
      <c r="N242" s="128"/>
      <c r="O242" s="134"/>
      <c r="P242" s="134"/>
      <c r="Q242" s="130"/>
      <c r="R242" s="130"/>
      <c r="S242" s="130"/>
      <c r="T242" s="130"/>
      <c r="U242" s="130"/>
    </row>
    <row r="243" spans="1:23" s="50" customFormat="1">
      <c r="A243" s="120"/>
      <c r="B243" s="128" t="s">
        <v>1769</v>
      </c>
      <c r="C243" s="128"/>
      <c r="D243" s="124"/>
      <c r="E243" s="140"/>
      <c r="F243" s="128"/>
      <c r="G243" s="128"/>
      <c r="H243" s="128"/>
      <c r="I243" s="128"/>
      <c r="J243" s="114"/>
      <c r="M243" s="154" t="s">
        <v>1770</v>
      </c>
      <c r="N243" s="128"/>
      <c r="O243" s="134"/>
      <c r="P243" s="134"/>
      <c r="Q243" s="130"/>
      <c r="R243" s="130"/>
      <c r="S243" s="130"/>
      <c r="T243" s="130"/>
      <c r="U243" s="130"/>
    </row>
    <row r="244" spans="1:23" s="50" customFormat="1">
      <c r="A244" s="120"/>
      <c r="B244" s="143" t="s">
        <v>1771</v>
      </c>
      <c r="C244" s="114"/>
      <c r="D244" s="114"/>
      <c r="E244" s="114"/>
      <c r="F244" s="114"/>
      <c r="G244" s="128"/>
      <c r="H244" s="128"/>
      <c r="J244" s="154" t="s">
        <v>1772</v>
      </c>
      <c r="K244" s="129"/>
      <c r="L244" s="129"/>
      <c r="M244" s="129"/>
      <c r="N244" s="114"/>
      <c r="O244" s="129"/>
      <c r="P244" s="129"/>
      <c r="Q244" s="130"/>
      <c r="R244" s="130"/>
      <c r="S244" s="130"/>
      <c r="T244" s="130"/>
      <c r="U244" s="130"/>
    </row>
    <row r="245" spans="1:23" s="50" customFormat="1">
      <c r="A245" s="120"/>
      <c r="B245" s="143" t="s">
        <v>1654</v>
      </c>
      <c r="C245" s="114"/>
      <c r="D245" s="114"/>
      <c r="E245" s="114"/>
      <c r="F245" s="114"/>
      <c r="G245" s="114"/>
      <c r="H245" s="114"/>
      <c r="I245" s="114"/>
      <c r="J245" s="114"/>
      <c r="K245" s="134"/>
      <c r="L245" s="134"/>
      <c r="M245" s="134"/>
      <c r="N245" s="114"/>
      <c r="O245" s="129"/>
      <c r="P245" s="129"/>
      <c r="Q245" s="130"/>
      <c r="R245" s="130"/>
      <c r="S245" s="130"/>
      <c r="T245" s="130"/>
      <c r="U245" s="130"/>
    </row>
    <row r="246" spans="1:23" s="50" customFormat="1">
      <c r="A246" s="120"/>
      <c r="B246" s="143" t="s">
        <v>1655</v>
      </c>
      <c r="C246" s="114"/>
      <c r="D246" s="114"/>
      <c r="E246" s="114"/>
      <c r="F246" s="114"/>
      <c r="G246" s="114"/>
      <c r="H246" s="114"/>
      <c r="I246" s="114"/>
      <c r="J246" s="114"/>
      <c r="K246" s="134"/>
      <c r="L246" s="134"/>
      <c r="M246" s="134"/>
      <c r="N246" s="114"/>
      <c r="O246" s="129"/>
      <c r="P246" s="129"/>
      <c r="Q246" s="130"/>
      <c r="R246" s="130"/>
      <c r="S246" s="130"/>
      <c r="T246" s="130"/>
      <c r="U246" s="130"/>
    </row>
    <row r="247" spans="1:23" s="50" customFormat="1">
      <c r="A247" s="120"/>
      <c r="B247" s="148" t="s">
        <v>1745</v>
      </c>
      <c r="C247" s="114"/>
      <c r="D247" s="114"/>
      <c r="E247" s="114"/>
      <c r="F247" s="114"/>
      <c r="G247" s="114"/>
      <c r="H247" s="114"/>
      <c r="I247" s="114"/>
      <c r="J247" s="114"/>
      <c r="K247" s="134"/>
      <c r="L247" s="134"/>
      <c r="M247" s="134"/>
      <c r="N247" s="114"/>
      <c r="O247" s="129"/>
      <c r="P247" s="129"/>
      <c r="Q247" s="130"/>
      <c r="R247" s="130"/>
      <c r="S247" s="130"/>
      <c r="T247" s="130"/>
      <c r="U247" s="130"/>
    </row>
    <row r="248" spans="1:23" s="50" customFormat="1">
      <c r="A248" s="120"/>
      <c r="B248" s="148" t="s">
        <v>1746</v>
      </c>
      <c r="C248" s="114"/>
      <c r="D248" s="114"/>
      <c r="E248" s="114"/>
      <c r="F248" s="114"/>
      <c r="G248" s="114"/>
      <c r="H248" s="114"/>
      <c r="I248" s="114"/>
      <c r="J248" s="114"/>
      <c r="K248" s="134"/>
      <c r="L248" s="134"/>
      <c r="M248" s="134"/>
      <c r="N248" s="114"/>
      <c r="O248" s="134"/>
      <c r="P248" s="134"/>
      <c r="Q248" s="130"/>
      <c r="R248" s="130"/>
      <c r="S248" s="130"/>
      <c r="T248" s="130"/>
      <c r="U248" s="130"/>
    </row>
    <row r="249" spans="1:23" s="50" customFormat="1">
      <c r="A249" s="120"/>
      <c r="B249" s="148" t="s">
        <v>1747</v>
      </c>
      <c r="C249" s="114"/>
      <c r="D249" s="114"/>
      <c r="E249" s="114"/>
      <c r="F249" s="114"/>
      <c r="G249" s="114"/>
      <c r="H249" s="114"/>
      <c r="I249" s="114"/>
      <c r="J249" s="114"/>
      <c r="K249" s="134"/>
      <c r="L249" s="134"/>
      <c r="M249" s="134"/>
      <c r="N249" s="114"/>
      <c r="O249" s="134"/>
      <c r="P249" s="134"/>
      <c r="Q249" s="130"/>
      <c r="R249" s="130"/>
      <c r="S249" s="130"/>
      <c r="T249" s="130"/>
      <c r="U249" s="130"/>
    </row>
    <row r="250" spans="1:23" s="50" customFormat="1">
      <c r="A250" s="120"/>
      <c r="B250" s="157" t="s">
        <v>1815</v>
      </c>
      <c r="C250" s="158"/>
      <c r="D250" s="158"/>
      <c r="E250" s="158"/>
      <c r="F250" s="114"/>
      <c r="G250" s="114"/>
      <c r="H250" s="114"/>
      <c r="I250" s="114"/>
      <c r="J250" s="114"/>
      <c r="K250" s="134"/>
      <c r="L250" s="134"/>
      <c r="M250" s="134"/>
      <c r="N250" s="114"/>
      <c r="O250" s="134"/>
      <c r="P250" s="134"/>
      <c r="Q250" s="130"/>
      <c r="R250" s="130"/>
      <c r="S250" s="130"/>
      <c r="T250" s="130"/>
      <c r="U250" s="130"/>
    </row>
    <row r="251" spans="1:23" s="50" customFormat="1" ht="14.4" customHeight="1">
      <c r="A251" s="120"/>
      <c r="B251" s="168" t="s">
        <v>1897</v>
      </c>
      <c r="C251" s="165"/>
      <c r="D251" s="165"/>
      <c r="E251" s="165"/>
      <c r="F251" s="165"/>
      <c r="G251" s="165"/>
      <c r="H251" s="165"/>
      <c r="I251" s="165"/>
      <c r="J251" s="165"/>
      <c r="K251" s="164"/>
      <c r="L251" s="164"/>
      <c r="M251" s="164"/>
      <c r="N251" s="114"/>
      <c r="O251" s="114"/>
      <c r="P251" s="114"/>
      <c r="Q251" s="130"/>
      <c r="R251" s="130"/>
      <c r="S251" s="130"/>
      <c r="T251" s="130"/>
      <c r="U251" s="130"/>
      <c r="V251" s="130"/>
      <c r="W251" s="130"/>
    </row>
    <row r="252" spans="1:23" s="50" customFormat="1">
      <c r="A252" s="120"/>
      <c r="B252" s="232" t="s">
        <v>1895</v>
      </c>
      <c r="C252" s="233"/>
      <c r="D252" s="233"/>
      <c r="E252" s="233"/>
      <c r="F252" s="233"/>
      <c r="G252" s="233"/>
      <c r="H252" s="233"/>
      <c r="I252" s="233"/>
      <c r="J252" s="233"/>
      <c r="K252" s="234"/>
      <c r="L252" s="234"/>
      <c r="M252" s="114"/>
      <c r="N252" s="114"/>
      <c r="O252" s="114"/>
      <c r="P252" s="130"/>
      <c r="Q252" s="130"/>
      <c r="R252" s="130"/>
      <c r="S252" s="130"/>
      <c r="T252" s="130"/>
      <c r="U252" s="130"/>
    </row>
    <row r="253" spans="1:23">
      <c r="A253" s="120"/>
      <c r="B253" s="183"/>
      <c r="C253" s="177"/>
      <c r="D253" s="177"/>
      <c r="E253" s="177"/>
      <c r="F253" s="177"/>
      <c r="G253" s="136"/>
      <c r="H253" s="159"/>
      <c r="I253" s="136"/>
      <c r="J253" s="136"/>
      <c r="K253" s="184"/>
      <c r="L253" s="184"/>
      <c r="M253" s="184"/>
      <c r="N253" s="177"/>
      <c r="O253" s="134"/>
      <c r="P253" s="134"/>
      <c r="Q253" s="185"/>
      <c r="R253" s="185"/>
      <c r="S253" s="185"/>
    </row>
    <row r="254" spans="1:23">
      <c r="A254" s="120"/>
      <c r="O254" s="134"/>
      <c r="P254" s="134"/>
      <c r="Q254" s="53"/>
      <c r="R254" s="53"/>
      <c r="S254" s="53"/>
    </row>
    <row r="255" spans="1:23">
      <c r="A255" s="120"/>
      <c r="B255" s="51"/>
      <c r="O255" s="134"/>
      <c r="P255" s="134"/>
      <c r="Q255" s="53"/>
      <c r="R255" s="53"/>
      <c r="S255" s="53"/>
    </row>
    <row r="256" spans="1:23">
      <c r="A256" s="120"/>
      <c r="B256" s="51"/>
      <c r="O256" s="134"/>
      <c r="P256" s="134"/>
      <c r="Q256" s="53"/>
      <c r="R256" s="53"/>
      <c r="S256" s="53"/>
    </row>
    <row r="257" spans="1:19">
      <c r="A257" s="120"/>
      <c r="O257" s="203"/>
      <c r="P257" s="203"/>
      <c r="Q257" s="53"/>
      <c r="R257" s="53"/>
      <c r="S257" s="53"/>
    </row>
    <row r="258" spans="1:19">
      <c r="A258" s="120"/>
      <c r="O258" s="203"/>
      <c r="P258" s="203"/>
      <c r="Q258" s="53"/>
      <c r="R258" s="53"/>
      <c r="S258" s="53"/>
    </row>
    <row r="259" spans="1:19">
      <c r="A259" s="176"/>
      <c r="O259" s="129"/>
      <c r="P259" s="129"/>
      <c r="Q259" s="53"/>
      <c r="R259" s="53"/>
      <c r="S259" s="53"/>
    </row>
    <row r="260" spans="1:19">
      <c r="O260" s="184"/>
      <c r="P260" s="184"/>
    </row>
  </sheetData>
  <sheetProtection algorithmName="SHA-512" hashValue="NIR5WR2CNaFiqtDfmdAsKE5/UcBPHTDE/QA1YudPzN9sSEu6By6Hw9mJXnlvuLYCh/oFVpg6Hsu0aaseAEFHkQ==" saltValue="zBCeU9ols1mDQ+mOrIPhhQ==" spinCount="100000" sheet="1" selectLockedCells="1" autoFilter="0"/>
  <autoFilter ref="A12:U199"/>
  <sortState ref="B13:C199">
    <sortCondition ref="C13:C199"/>
  </sortState>
  <mergeCells count="25">
    <mergeCell ref="M10:M11"/>
    <mergeCell ref="F11:F12"/>
    <mergeCell ref="G11:G12"/>
    <mergeCell ref="C228:D231"/>
    <mergeCell ref="E228:E229"/>
    <mergeCell ref="F228:F229"/>
    <mergeCell ref="G228:H229"/>
    <mergeCell ref="G230:H230"/>
    <mergeCell ref="G231:H231"/>
    <mergeCell ref="F6:O6"/>
    <mergeCell ref="F7:O7"/>
    <mergeCell ref="G232:H232"/>
    <mergeCell ref="G233:H233"/>
    <mergeCell ref="G235:H235"/>
    <mergeCell ref="M203:N203"/>
    <mergeCell ref="M211:N211"/>
    <mergeCell ref="M221:N221"/>
    <mergeCell ref="G211:H211"/>
    <mergeCell ref="I211:J211"/>
    <mergeCell ref="G221:H221"/>
    <mergeCell ref="I221:J221"/>
    <mergeCell ref="G203:H203"/>
    <mergeCell ref="I203:J203"/>
    <mergeCell ref="L10:L12"/>
    <mergeCell ref="J10:J12"/>
  </mergeCells>
  <conditionalFormatting sqref="F13:F199">
    <cfRule type="expression" dxfId="13" priority="22">
      <formula>AND(ISNUMBER(F13),F13&gt;=TCR_GW)</formula>
    </cfRule>
  </conditionalFormatting>
  <conditionalFormatting sqref="G13:G199">
    <cfRule type="expression" dxfId="12" priority="21">
      <formula>AND(ISNUMBER(G13),G13&gt;=THQ_GW)</formula>
    </cfRule>
  </conditionalFormatting>
  <conditionalFormatting sqref="T205:T206">
    <cfRule type="expression" dxfId="11" priority="58">
      <formula>AND($G205="NC",OR($R205="A",$P205="CA",$P205="H"),OR($P205="I",$R205="X",$R205="P"))</formula>
    </cfRule>
    <cfRule type="expression" dxfId="10" priority="59">
      <formula>AND($G205="C",OR($P205="A",$P205="CA",$P205="H"),OR($R205="I",$R205="X",$R205="P"))</formula>
    </cfRule>
  </conditionalFormatting>
  <conditionalFormatting sqref="C13:C199">
    <cfRule type="expression" dxfId="9" priority="1">
      <formula>AND(#REF!&lt;&gt;"",OR(#REF!&lt;0.95,#REF!&gt;1.05))</formula>
    </cfRule>
    <cfRule type="expression" dxfId="8" priority="2">
      <formula>OR(#REF!&lt;0.2,#REF!&gt;5)</formula>
    </cfRule>
  </conditionalFormatting>
  <dataValidations count="1">
    <dataValidation type="list" allowBlank="1" showInputMessage="1" showErrorMessage="1" sqref="E5">
      <formula1>"Residential, Commercial"</formula1>
    </dataValidation>
  </dataValidations>
  <hyperlinks>
    <hyperlink ref="G240" r:id="rId1"/>
    <hyperlink ref="H241" r:id="rId2"/>
    <hyperlink ref="J242" r:id="rId3"/>
    <hyperlink ref="M243" r:id="rId4"/>
    <hyperlink ref="J244" r:id="rId5"/>
  </hyperlinks>
  <pageMargins left="0.7" right="0.7" top="0.75" bottom="0.75" header="0.3" footer="0.3"/>
  <pageSetup scale="48" fitToHeight="0" orientation="landscape" r:id="rId6"/>
  <headerFooter>
    <oddHeader>&amp;CVISL Version 3.5
Updated October 2017
Current Toxicity Values from June 2017 RSL Update</oddHeader>
    <oddFooter>&amp;LVISL Calculator Version 3.5, June 2017 RSLs&amp;CUpdated October 2017&amp;RPage &amp;P of &amp;N</oddFooter>
  </headerFooter>
  <ignoredErrors>
    <ignoredError sqref="B203 B211 B216 B22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260"/>
  <sheetViews>
    <sheetView zoomScale="80" zoomScaleNormal="80" workbookViewId="0">
      <selection activeCell="D14" sqref="D14"/>
    </sheetView>
  </sheetViews>
  <sheetFormatPr defaultColWidth="9.109375" defaultRowHeight="15"/>
  <cols>
    <col min="1" max="1" width="4.33203125" style="52" customWidth="1"/>
    <col min="2" max="2" width="17.6640625" style="49" customWidth="1"/>
    <col min="3" max="3" width="52.6640625" style="49" customWidth="1"/>
    <col min="4" max="4" width="18.5546875" style="49" customWidth="1"/>
    <col min="5" max="6" width="16.109375" style="49" customWidth="1"/>
    <col min="7" max="7" width="16" style="49" customWidth="1"/>
    <col min="8" max="8" width="16.6640625" style="49" customWidth="1"/>
    <col min="9" max="9" width="11" style="49" customWidth="1"/>
    <col min="10" max="10" width="16.6640625" style="160" customWidth="1"/>
    <col min="11" max="11" width="10" style="160" bestFit="1" customWidth="1"/>
    <col min="12" max="12" width="13.88671875" style="160" customWidth="1"/>
    <col min="13" max="13" width="10.88671875" style="49" bestFit="1" customWidth="1"/>
    <col min="14" max="14" width="24.33203125" style="49" customWidth="1"/>
    <col min="15" max="15" width="11" style="49" customWidth="1"/>
    <col min="16" max="16" width="10.5546875" style="49" customWidth="1"/>
    <col min="17" max="17" width="13" style="49" customWidth="1"/>
    <col min="18" max="18" width="17.44140625" style="49" customWidth="1"/>
    <col min="19" max="19" width="18.33203125" style="49" customWidth="1"/>
    <col min="20" max="16384" width="9.109375" style="190"/>
  </cols>
  <sheetData>
    <row r="1" spans="1:19" ht="15.6">
      <c r="A1" s="115" t="s">
        <v>478</v>
      </c>
      <c r="B1" s="54" t="s">
        <v>361</v>
      </c>
      <c r="C1" s="193"/>
      <c r="D1" s="56"/>
      <c r="E1" s="193"/>
      <c r="F1" s="56"/>
      <c r="G1" s="56"/>
      <c r="H1" s="56"/>
      <c r="I1" s="56"/>
      <c r="J1" s="57"/>
      <c r="K1" s="57"/>
      <c r="L1" s="57"/>
      <c r="M1" s="58"/>
      <c r="N1" s="56"/>
      <c r="O1" s="56"/>
      <c r="P1" s="190"/>
      <c r="Q1" s="190"/>
      <c r="R1" s="190"/>
      <c r="S1" s="190"/>
    </row>
    <row r="2" spans="1:19" ht="15.6">
      <c r="A2" s="115" t="s">
        <v>478</v>
      </c>
      <c r="B2" s="54" t="s">
        <v>2478</v>
      </c>
      <c r="C2" s="193"/>
      <c r="D2" s="56"/>
      <c r="E2" s="108"/>
      <c r="F2" s="56"/>
      <c r="G2" s="56"/>
      <c r="H2" s="56"/>
      <c r="I2" s="56"/>
      <c r="J2" s="57"/>
      <c r="K2" s="57"/>
      <c r="L2" s="57"/>
      <c r="M2" s="58"/>
      <c r="N2" s="56"/>
      <c r="O2" s="56"/>
      <c r="P2" s="190"/>
      <c r="Q2" s="190"/>
      <c r="R2" s="190"/>
      <c r="S2" s="190"/>
    </row>
    <row r="3" spans="1:19" ht="15.6">
      <c r="A3" s="115" t="s">
        <v>478</v>
      </c>
      <c r="B3" s="173"/>
      <c r="C3" s="170"/>
      <c r="D3" s="169"/>
      <c r="E3" s="170"/>
      <c r="F3" s="170"/>
      <c r="G3" s="170"/>
      <c r="H3" s="170"/>
      <c r="I3" s="169"/>
      <c r="J3" s="174"/>
      <c r="K3" s="174"/>
      <c r="L3" s="174"/>
      <c r="M3" s="175"/>
      <c r="N3" s="169"/>
      <c r="O3" s="169"/>
      <c r="P3" s="190"/>
      <c r="Q3" s="190"/>
      <c r="R3" s="190"/>
      <c r="S3" s="190"/>
    </row>
    <row r="4" spans="1:19" ht="15.6">
      <c r="A4" s="115" t="s">
        <v>478</v>
      </c>
      <c r="B4" s="59" t="s">
        <v>1814</v>
      </c>
      <c r="C4" s="60"/>
      <c r="D4" s="61" t="s">
        <v>459</v>
      </c>
      <c r="E4" s="62" t="s">
        <v>469</v>
      </c>
      <c r="F4" s="572" t="s">
        <v>368</v>
      </c>
      <c r="G4" s="572"/>
      <c r="H4" s="572"/>
      <c r="I4" s="572"/>
      <c r="J4" s="572"/>
      <c r="K4" s="572"/>
      <c r="L4" s="572"/>
      <c r="M4" s="572"/>
      <c r="N4" s="572"/>
      <c r="O4" s="572"/>
      <c r="P4" s="190"/>
      <c r="Q4" s="190"/>
      <c r="R4" s="190"/>
      <c r="S4" s="190"/>
    </row>
    <row r="5" spans="1:19">
      <c r="A5" s="115" t="s">
        <v>478</v>
      </c>
      <c r="B5" s="109" t="s">
        <v>447</v>
      </c>
      <c r="C5" s="110"/>
      <c r="D5" s="111" t="s">
        <v>448</v>
      </c>
      <c r="E5" s="117" t="s">
        <v>449</v>
      </c>
      <c r="F5" s="569" t="s">
        <v>366</v>
      </c>
      <c r="G5" s="570"/>
      <c r="H5" s="570"/>
      <c r="I5" s="570"/>
      <c r="J5" s="570"/>
      <c r="K5" s="570"/>
      <c r="L5" s="570"/>
      <c r="M5" s="570"/>
      <c r="N5" s="570"/>
      <c r="O5" s="571"/>
      <c r="P5" s="190"/>
      <c r="Q5" s="190"/>
      <c r="R5" s="190"/>
      <c r="S5" s="190"/>
    </row>
    <row r="6" spans="1:19">
      <c r="A6" s="115" t="s">
        <v>478</v>
      </c>
      <c r="B6" s="109" t="s">
        <v>1811</v>
      </c>
      <c r="C6" s="110"/>
      <c r="D6" s="111" t="s">
        <v>1686</v>
      </c>
      <c r="E6" s="118">
        <v>9.9999999999999995E-7</v>
      </c>
      <c r="F6" s="569" t="s">
        <v>1983</v>
      </c>
      <c r="G6" s="570"/>
      <c r="H6" s="570"/>
      <c r="I6" s="570"/>
      <c r="J6" s="570"/>
      <c r="K6" s="570"/>
      <c r="L6" s="570"/>
      <c r="M6" s="570"/>
      <c r="N6" s="570"/>
      <c r="O6" s="571"/>
      <c r="P6" s="190"/>
      <c r="Q6" s="190"/>
      <c r="R6" s="190"/>
      <c r="S6" s="190"/>
    </row>
    <row r="7" spans="1:19">
      <c r="A7" s="115" t="s">
        <v>478</v>
      </c>
      <c r="B7" s="109" t="s">
        <v>1812</v>
      </c>
      <c r="C7" s="110"/>
      <c r="D7" s="111" t="s">
        <v>1687</v>
      </c>
      <c r="E7" s="119">
        <v>1</v>
      </c>
      <c r="F7" s="569" t="s">
        <v>1984</v>
      </c>
      <c r="G7" s="570"/>
      <c r="H7" s="570"/>
      <c r="I7" s="570"/>
      <c r="J7" s="570"/>
      <c r="K7" s="570"/>
      <c r="L7" s="570"/>
      <c r="M7" s="570"/>
      <c r="N7" s="570"/>
      <c r="O7" s="571"/>
      <c r="P7" s="190"/>
      <c r="Q7" s="190"/>
      <c r="R7" s="190"/>
      <c r="S7" s="190"/>
    </row>
    <row r="8" spans="1:19">
      <c r="A8" s="115"/>
      <c r="B8" s="169"/>
      <c r="C8" s="192"/>
      <c r="D8" s="217"/>
      <c r="E8" s="217"/>
      <c r="F8" s="136"/>
      <c r="G8" s="176"/>
      <c r="H8" s="177"/>
      <c r="I8" s="177"/>
      <c r="J8" s="177"/>
      <c r="K8" s="178"/>
      <c r="L8" s="178"/>
      <c r="M8" s="178"/>
      <c r="N8" s="136"/>
      <c r="O8" s="177"/>
      <c r="P8" s="190"/>
      <c r="Q8" s="190"/>
      <c r="R8" s="190"/>
      <c r="S8" s="190"/>
    </row>
    <row r="9" spans="1:19">
      <c r="A9" s="115" t="s">
        <v>478</v>
      </c>
      <c r="B9" s="169"/>
      <c r="C9" s="192"/>
      <c r="D9" s="172"/>
      <c r="E9" s="136"/>
      <c r="F9" s="176"/>
      <c r="G9" s="177"/>
      <c r="H9" s="177"/>
      <c r="I9" s="177"/>
      <c r="J9" s="178"/>
      <c r="K9" s="178"/>
      <c r="L9" s="178"/>
      <c r="M9" s="136"/>
      <c r="N9" s="179"/>
      <c r="O9" s="177"/>
      <c r="P9" s="190"/>
      <c r="Q9" s="190"/>
      <c r="R9" s="190"/>
      <c r="S9" s="190"/>
    </row>
    <row r="10" spans="1:19" ht="46.8">
      <c r="A10" s="116" t="s">
        <v>478</v>
      </c>
      <c r="B10" s="64"/>
      <c r="C10" s="64"/>
      <c r="D10" s="195" t="s">
        <v>1830</v>
      </c>
      <c r="E10" s="228" t="s">
        <v>1816</v>
      </c>
      <c r="F10" s="228" t="s">
        <v>1817</v>
      </c>
      <c r="G10" s="191"/>
      <c r="H10" s="196" t="s">
        <v>1472</v>
      </c>
      <c r="I10" s="576" t="s">
        <v>298</v>
      </c>
      <c r="J10" s="196" t="s">
        <v>1629</v>
      </c>
      <c r="K10" s="576" t="s">
        <v>299</v>
      </c>
      <c r="L10" s="576" t="s">
        <v>1554</v>
      </c>
      <c r="M10" s="190"/>
      <c r="N10" s="190"/>
      <c r="O10" s="190"/>
      <c r="P10" s="190"/>
      <c r="Q10" s="190"/>
      <c r="R10" s="190"/>
      <c r="S10" s="190"/>
    </row>
    <row r="11" spans="1:19" ht="15" customHeight="1">
      <c r="A11" s="116" t="s">
        <v>478</v>
      </c>
      <c r="B11" s="66"/>
      <c r="C11" s="66"/>
      <c r="D11" s="68" t="s">
        <v>1818</v>
      </c>
      <c r="E11" s="573" t="s">
        <v>1856</v>
      </c>
      <c r="F11" s="575" t="s">
        <v>1857</v>
      </c>
      <c r="G11" s="70"/>
      <c r="H11" s="197" t="s">
        <v>1410</v>
      </c>
      <c r="I11" s="577"/>
      <c r="J11" s="198" t="s">
        <v>401</v>
      </c>
      <c r="K11" s="577"/>
      <c r="L11" s="578"/>
      <c r="M11" s="190"/>
      <c r="N11" s="190"/>
      <c r="O11" s="190"/>
      <c r="P11" s="190"/>
      <c r="Q11" s="190"/>
      <c r="R11" s="190"/>
      <c r="S11" s="190"/>
    </row>
    <row r="12" spans="1:19" ht="18">
      <c r="A12" s="116" t="s">
        <v>478</v>
      </c>
      <c r="B12" s="188" t="s">
        <v>365</v>
      </c>
      <c r="C12" s="71" t="s">
        <v>500</v>
      </c>
      <c r="D12" s="74" t="s">
        <v>372</v>
      </c>
      <c r="E12" s="574"/>
      <c r="F12" s="574"/>
      <c r="G12" s="63"/>
      <c r="H12" s="198" t="s">
        <v>1536</v>
      </c>
      <c r="I12" s="578"/>
      <c r="J12" s="199" t="s">
        <v>373</v>
      </c>
      <c r="K12" s="578"/>
      <c r="L12" s="231" t="s">
        <v>1650</v>
      </c>
      <c r="M12" s="190"/>
      <c r="N12" s="190"/>
      <c r="O12" s="190"/>
      <c r="P12" s="190"/>
      <c r="Q12" s="190"/>
      <c r="R12" s="190"/>
      <c r="S12" s="190"/>
    </row>
    <row r="13" spans="1:19">
      <c r="A13" s="124" t="str">
        <f>IF(INDEX(VISL!A:A,MATCH(B13,VISL!B:B,0))="x","x","")</f>
        <v/>
      </c>
      <c r="B13" s="344" t="s">
        <v>633</v>
      </c>
      <c r="C13" s="269" t="s">
        <v>1428</v>
      </c>
      <c r="D13" s="200"/>
      <c r="E13" s="122" t="str">
        <f t="shared" ref="E13:E46" si="0">IF(OR(D13="",ISTEXT(D13)),"--",IF(H13="","No IUR",IF(L13&lt;&gt;"TCE",D13*(IF(AND(L13="VC",Scenario_IA="Residential"),H13,0)+H13*IF(L13="Mut",MMOAAF_IA,ED_IA)*EF_IA*ET_IA/(ATc_IA*365*24)),D13*mIURTCE_IA*MMOAAF_IA*EF_IA*ET_IA/(ATc_IA*365*24)+D13*IURTCE_IA*ED_IA*EF_IA*ET_IA/(ATc_IA*365*24))))</f>
        <v>--</v>
      </c>
      <c r="F13" s="123" t="str">
        <f t="shared" ref="F13:F46" si="1">IF(OR(D13="",ISTEXT(D13)),"--",IF(J13="","No RfC",D13*EF_IA*ED_IA*ET_IA/(J13*ATnc_IA*365*24*1000)))</f>
        <v>--</v>
      </c>
      <c r="G13" s="124"/>
      <c r="H13" s="121">
        <f t="shared" ref="H13:H46" si="2">IF(INDEX(IUR,MATCH(B13,CASNoTox,0))=" ","",IF(L13="TCE","see note",INDEX(IUR,MATCH(B13,CASNoTox,0))))</f>
        <v>2.2000000000000001E-6</v>
      </c>
      <c r="I13" s="121" t="str">
        <f t="shared" ref="I13:I46" si="3">IF(INDEX(IURSource,MATCH(B13,CASNoTox,0))="","",SUBSTITUTE(INDEX(IURSource,MATCH(B13,CASNoTox,0)),"C","CA"))</f>
        <v>I</v>
      </c>
      <c r="J13" s="121">
        <f t="shared" ref="J13:J46" si="4">IF(INDEX(RFC,MATCH(B13,CASNoTox,0))=" ","",INDEX(RFC,MATCH(B13,CASNoTox,0)))</f>
        <v>8.9999999999999993E-3</v>
      </c>
      <c r="K13" s="121" t="str">
        <f t="shared" ref="K13:K46" si="5">IF(INDEX(RFCSource,MATCH(B13,CASNoTox,0))="","",SUBSTITUTE(INDEX(RFCSource,MATCH(B13,CASNoTox,0)),"C","CA"))</f>
        <v>I</v>
      </c>
      <c r="L13" s="121" t="str">
        <f>VLOOKUP(B13,VISL!$B:$W,22,FALSE)</f>
        <v/>
      </c>
      <c r="M13" s="190"/>
      <c r="N13" s="190" t="str">
        <f t="shared" ref="N13:N63" si="6">IF(AND(H13="",J13=""),"X","")</f>
        <v/>
      </c>
      <c r="O13" s="190"/>
      <c r="P13" s="190"/>
      <c r="Q13" s="190"/>
      <c r="R13" s="190"/>
      <c r="S13" s="190"/>
    </row>
    <row r="14" spans="1:19">
      <c r="A14" s="124" t="str">
        <f>IF(INDEX(VISL!A:A,MATCH(B14,VISL!B:B,0))="x","x","")</f>
        <v/>
      </c>
      <c r="B14" s="269" t="s">
        <v>635</v>
      </c>
      <c r="C14" s="269" t="s">
        <v>424</v>
      </c>
      <c r="D14" s="200"/>
      <c r="E14" s="122" t="str">
        <f t="shared" si="0"/>
        <v>--</v>
      </c>
      <c r="F14" s="123" t="str">
        <f t="shared" si="1"/>
        <v>--</v>
      </c>
      <c r="G14" s="124"/>
      <c r="H14" s="121" t="str">
        <f t="shared" si="2"/>
        <v/>
      </c>
      <c r="I14" s="121" t="str">
        <f t="shared" si="3"/>
        <v/>
      </c>
      <c r="J14" s="121">
        <f t="shared" si="4"/>
        <v>31</v>
      </c>
      <c r="K14" s="121" t="str">
        <f t="shared" si="5"/>
        <v>A</v>
      </c>
      <c r="L14" s="121" t="str">
        <f>VLOOKUP(B14,VISL!$B:$W,22,FALSE)</f>
        <v/>
      </c>
      <c r="M14" s="190"/>
      <c r="N14" s="190" t="str">
        <f t="shared" si="6"/>
        <v/>
      </c>
      <c r="O14" s="190"/>
      <c r="P14" s="190"/>
      <c r="Q14" s="190"/>
      <c r="R14" s="190"/>
      <c r="S14" s="190"/>
    </row>
    <row r="15" spans="1:19">
      <c r="A15" s="124"/>
      <c r="B15" s="344" t="s">
        <v>637</v>
      </c>
      <c r="C15" s="269" t="s">
        <v>1429</v>
      </c>
      <c r="D15" s="200"/>
      <c r="E15" s="122"/>
      <c r="F15" s="123"/>
      <c r="G15" s="124"/>
      <c r="H15" s="121"/>
      <c r="I15" s="121"/>
      <c r="J15" s="121"/>
      <c r="K15" s="121"/>
      <c r="L15" s="121"/>
      <c r="M15" s="190"/>
      <c r="N15" s="190"/>
      <c r="O15" s="190"/>
      <c r="P15" s="190"/>
      <c r="Q15" s="190"/>
      <c r="R15" s="190"/>
      <c r="S15" s="190"/>
    </row>
    <row r="16" spans="1:19">
      <c r="A16" s="124"/>
      <c r="B16" s="269" t="s">
        <v>640</v>
      </c>
      <c r="C16" s="269" t="s">
        <v>1431</v>
      </c>
      <c r="D16" s="200"/>
      <c r="E16" s="122"/>
      <c r="F16" s="123"/>
      <c r="G16" s="124"/>
      <c r="H16" s="121"/>
      <c r="I16" s="121"/>
      <c r="J16" s="121"/>
      <c r="K16" s="121"/>
      <c r="L16" s="121"/>
      <c r="M16" s="190"/>
      <c r="N16" s="190"/>
      <c r="O16" s="190"/>
      <c r="P16" s="190"/>
      <c r="Q16" s="190"/>
      <c r="R16" s="190"/>
      <c r="S16" s="190"/>
    </row>
    <row r="17" spans="1:19">
      <c r="A17" s="124"/>
      <c r="B17" s="344" t="s">
        <v>642</v>
      </c>
      <c r="C17" s="269" t="s">
        <v>972</v>
      </c>
      <c r="D17" s="200"/>
      <c r="E17" s="122"/>
      <c r="F17" s="123"/>
      <c r="G17" s="124"/>
      <c r="H17" s="121"/>
      <c r="I17" s="121"/>
      <c r="J17" s="121"/>
      <c r="K17" s="121"/>
      <c r="L17" s="121"/>
      <c r="M17" s="190"/>
      <c r="N17" s="190"/>
      <c r="O17" s="190"/>
      <c r="P17" s="190"/>
      <c r="Q17" s="190"/>
      <c r="R17" s="190"/>
      <c r="S17" s="190"/>
    </row>
    <row r="18" spans="1:19">
      <c r="A18" s="124"/>
      <c r="B18" s="344" t="s">
        <v>643</v>
      </c>
      <c r="C18" s="269" t="s">
        <v>1432</v>
      </c>
      <c r="D18" s="200"/>
      <c r="E18" s="122"/>
      <c r="F18" s="123"/>
      <c r="G18" s="124"/>
      <c r="H18" s="121"/>
      <c r="I18" s="121"/>
      <c r="J18" s="121"/>
      <c r="K18" s="121"/>
      <c r="L18" s="121"/>
      <c r="M18" s="190"/>
      <c r="N18" s="190"/>
      <c r="O18" s="190"/>
      <c r="P18" s="190"/>
      <c r="Q18" s="190"/>
      <c r="R18" s="190"/>
      <c r="S18" s="190"/>
    </row>
    <row r="19" spans="1:19">
      <c r="A19" s="124"/>
      <c r="B19" s="344" t="s">
        <v>648</v>
      </c>
      <c r="C19" s="269" t="s">
        <v>425</v>
      </c>
      <c r="D19" s="200"/>
      <c r="E19" s="122"/>
      <c r="F19" s="123"/>
      <c r="G19" s="124"/>
      <c r="H19" s="121"/>
      <c r="I19" s="121"/>
      <c r="J19" s="121"/>
      <c r="K19" s="121"/>
      <c r="L19" s="121"/>
      <c r="M19" s="190"/>
      <c r="N19" s="190"/>
      <c r="O19" s="190"/>
      <c r="P19" s="190"/>
      <c r="Q19" s="190"/>
      <c r="R19" s="190"/>
      <c r="S19" s="190"/>
    </row>
    <row r="20" spans="1:19">
      <c r="A20" s="124"/>
      <c r="B20" s="269" t="s">
        <v>650</v>
      </c>
      <c r="C20" s="269" t="s">
        <v>977</v>
      </c>
      <c r="D20" s="200"/>
      <c r="E20" s="122"/>
      <c r="F20" s="123"/>
      <c r="G20" s="124"/>
      <c r="H20" s="121"/>
      <c r="I20" s="121"/>
      <c r="J20" s="121"/>
      <c r="K20" s="121"/>
      <c r="L20" s="121"/>
      <c r="M20" s="190"/>
      <c r="N20" s="190"/>
      <c r="O20" s="190"/>
      <c r="P20" s="190"/>
      <c r="Q20" s="190"/>
      <c r="R20" s="190"/>
      <c r="S20" s="190"/>
    </row>
    <row r="21" spans="1:19">
      <c r="A21" s="124"/>
      <c r="B21" s="269" t="s">
        <v>651</v>
      </c>
      <c r="C21" s="269" t="s">
        <v>978</v>
      </c>
      <c r="D21" s="200"/>
      <c r="E21" s="122"/>
      <c r="F21" s="123"/>
      <c r="G21" s="124"/>
      <c r="H21" s="121"/>
      <c r="I21" s="121"/>
      <c r="J21" s="121"/>
      <c r="K21" s="121"/>
      <c r="L21" s="121"/>
      <c r="M21" s="190"/>
      <c r="N21" s="190"/>
      <c r="O21" s="190"/>
      <c r="P21" s="190"/>
      <c r="Q21" s="190"/>
      <c r="R21" s="190"/>
      <c r="S21" s="190"/>
    </row>
    <row r="22" spans="1:19">
      <c r="A22" s="124"/>
      <c r="B22" s="344" t="s">
        <v>660</v>
      </c>
      <c r="C22" s="269" t="s">
        <v>985</v>
      </c>
      <c r="D22" s="200"/>
      <c r="E22" s="122"/>
      <c r="F22" s="123"/>
      <c r="G22" s="124"/>
      <c r="H22" s="121"/>
      <c r="I22" s="121"/>
      <c r="J22" s="121"/>
      <c r="K22" s="121"/>
      <c r="L22" s="121"/>
      <c r="M22" s="190"/>
      <c r="N22" s="190"/>
      <c r="O22" s="190"/>
      <c r="P22" s="190"/>
      <c r="Q22" s="190"/>
      <c r="R22" s="190"/>
      <c r="S22" s="190"/>
    </row>
    <row r="23" spans="1:19">
      <c r="A23" s="124" t="str">
        <f>IF(INDEX(VISL!A:A,MATCH(B23,VISL!B:B,0))="x","x","")</f>
        <v/>
      </c>
      <c r="B23" s="344" t="s">
        <v>2041</v>
      </c>
      <c r="C23" s="269" t="s">
        <v>2040</v>
      </c>
      <c r="D23" s="200"/>
      <c r="E23" s="122" t="str">
        <f t="shared" si="0"/>
        <v>--</v>
      </c>
      <c r="F23" s="123" t="str">
        <f t="shared" si="1"/>
        <v>--</v>
      </c>
      <c r="G23" s="124"/>
      <c r="H23" s="121" t="str">
        <f t="shared" si="2"/>
        <v/>
      </c>
      <c r="I23" s="121" t="str">
        <f t="shared" si="3"/>
        <v/>
      </c>
      <c r="J23" s="121">
        <f t="shared" si="4"/>
        <v>3.0000000000000001E-3</v>
      </c>
      <c r="K23" s="121" t="str">
        <f t="shared" si="5"/>
        <v>X</v>
      </c>
      <c r="L23" s="121" t="str">
        <f>VLOOKUP(B23,VISL!$B:$W,22,FALSE)</f>
        <v/>
      </c>
      <c r="M23" s="190"/>
      <c r="N23" s="190" t="str">
        <f t="shared" si="6"/>
        <v/>
      </c>
      <c r="O23" s="190"/>
      <c r="P23" s="190"/>
      <c r="Q23" s="190"/>
      <c r="R23" s="190"/>
      <c r="S23" s="190"/>
    </row>
    <row r="24" spans="1:19">
      <c r="A24" s="124" t="str">
        <f>IF(INDEX(VISL!A:A,MATCH(B24,VISL!B:B,0))="x","x","")</f>
        <v/>
      </c>
      <c r="B24" s="344" t="s">
        <v>181</v>
      </c>
      <c r="C24" s="269" t="s">
        <v>2228</v>
      </c>
      <c r="D24" s="200"/>
      <c r="E24" s="122" t="str">
        <f t="shared" si="0"/>
        <v>--</v>
      </c>
      <c r="F24" s="123" t="str">
        <f t="shared" si="1"/>
        <v>--</v>
      </c>
      <c r="G24" s="124"/>
      <c r="H24" s="121">
        <f t="shared" si="2"/>
        <v>2.0000000000000002E-5</v>
      </c>
      <c r="I24" s="121" t="str">
        <f t="shared" si="3"/>
        <v>S</v>
      </c>
      <c r="J24" s="121" t="str">
        <f t="shared" si="4"/>
        <v/>
      </c>
      <c r="K24" s="121" t="str">
        <f t="shared" si="5"/>
        <v/>
      </c>
      <c r="L24" s="121" t="str">
        <f>VLOOKUP(B24,VISL!$B:$W,22,FALSE)</f>
        <v/>
      </c>
      <c r="M24" s="190"/>
      <c r="N24" s="190" t="str">
        <f t="shared" si="6"/>
        <v/>
      </c>
      <c r="O24" s="190"/>
      <c r="P24" s="190"/>
      <c r="Q24" s="190"/>
      <c r="R24" s="190"/>
      <c r="S24" s="190"/>
    </row>
    <row r="25" spans="1:19">
      <c r="A25" s="124" t="str">
        <f>IF(INDEX(VISL!A:A,MATCH(B25,VISL!B:B,0))="x","x","")</f>
        <v/>
      </c>
      <c r="B25" s="344" t="s">
        <v>182</v>
      </c>
      <c r="C25" s="269" t="s">
        <v>2229</v>
      </c>
      <c r="D25" s="200"/>
      <c r="E25" s="122" t="str">
        <f t="shared" si="0"/>
        <v>--</v>
      </c>
      <c r="F25" s="123" t="str">
        <f t="shared" si="1"/>
        <v>--</v>
      </c>
      <c r="G25" s="124"/>
      <c r="H25" s="121">
        <f t="shared" si="2"/>
        <v>5.6999999999999998E-4</v>
      </c>
      <c r="I25" s="121" t="str">
        <f t="shared" si="3"/>
        <v>S</v>
      </c>
      <c r="J25" s="121" t="str">
        <f t="shared" si="4"/>
        <v/>
      </c>
      <c r="K25" s="121" t="str">
        <f t="shared" si="5"/>
        <v/>
      </c>
      <c r="L25" s="121" t="str">
        <f>VLOOKUP(B25,VISL!$B:$W,22,FALSE)</f>
        <v/>
      </c>
      <c r="M25" s="190"/>
      <c r="N25" s="190" t="str">
        <f t="shared" si="6"/>
        <v/>
      </c>
      <c r="O25" s="190"/>
      <c r="P25" s="190"/>
      <c r="Q25" s="190"/>
      <c r="R25" s="190"/>
      <c r="S25" s="190"/>
    </row>
    <row r="26" spans="1:19">
      <c r="A26" s="124" t="str">
        <f>IF(INDEX(VISL!A:A,MATCH(B26,VISL!B:B,0))="x","x","")</f>
        <v/>
      </c>
      <c r="B26" s="344" t="s">
        <v>183</v>
      </c>
      <c r="C26" s="269" t="s">
        <v>2230</v>
      </c>
      <c r="D26" s="200"/>
      <c r="E26" s="122" t="str">
        <f t="shared" si="0"/>
        <v>--</v>
      </c>
      <c r="F26" s="123" t="str">
        <f t="shared" si="1"/>
        <v>--</v>
      </c>
      <c r="G26" s="124"/>
      <c r="H26" s="121">
        <f t="shared" si="2"/>
        <v>5.6999999999999998E-4</v>
      </c>
      <c r="I26" s="121" t="str">
        <f t="shared" si="3"/>
        <v>S</v>
      </c>
      <c r="J26" s="121" t="str">
        <f t="shared" si="4"/>
        <v/>
      </c>
      <c r="K26" s="121" t="str">
        <f t="shared" si="5"/>
        <v/>
      </c>
      <c r="L26" s="121" t="str">
        <f>VLOOKUP(B26,VISL!$B:$W,22,FALSE)</f>
        <v/>
      </c>
      <c r="M26" s="190"/>
      <c r="N26" s="190" t="str">
        <f t="shared" si="6"/>
        <v/>
      </c>
      <c r="O26" s="190"/>
      <c r="P26" s="190"/>
      <c r="Q26" s="190"/>
      <c r="R26" s="190"/>
      <c r="S26" s="190"/>
    </row>
    <row r="27" spans="1:19">
      <c r="A27" s="124" t="str">
        <f>IF(INDEX(VISL!A:A,MATCH(B27,VISL!B:B,0))="x","x","")</f>
        <v/>
      </c>
      <c r="B27" s="269" t="s">
        <v>184</v>
      </c>
      <c r="C27" s="269" t="s">
        <v>2231</v>
      </c>
      <c r="D27" s="200"/>
      <c r="E27" s="122" t="str">
        <f t="shared" si="0"/>
        <v>--</v>
      </c>
      <c r="F27" s="123" t="str">
        <f t="shared" si="1"/>
        <v>--</v>
      </c>
      <c r="G27" s="124"/>
      <c r="H27" s="121">
        <f t="shared" si="2"/>
        <v>5.6999999999999998E-4</v>
      </c>
      <c r="I27" s="121" t="str">
        <f t="shared" si="3"/>
        <v>S</v>
      </c>
      <c r="J27" s="121" t="str">
        <f t="shared" si="4"/>
        <v/>
      </c>
      <c r="K27" s="121" t="str">
        <f t="shared" si="5"/>
        <v/>
      </c>
      <c r="L27" s="121" t="str">
        <f>VLOOKUP(B27,VISL!$B:$W,22,FALSE)</f>
        <v/>
      </c>
      <c r="M27" s="190"/>
      <c r="N27" s="190" t="str">
        <f t="shared" si="6"/>
        <v/>
      </c>
      <c r="O27" s="190"/>
      <c r="P27" s="190"/>
      <c r="Q27" s="190"/>
      <c r="R27" s="190"/>
      <c r="S27" s="190"/>
    </row>
    <row r="28" spans="1:19">
      <c r="A28" s="124" t="str">
        <f>IF(INDEX(VISL!A:A,MATCH(B28,VISL!B:B,0))="x","x","")</f>
        <v/>
      </c>
      <c r="B28" s="269" t="s">
        <v>185</v>
      </c>
      <c r="C28" s="269" t="s">
        <v>2232</v>
      </c>
      <c r="D28" s="200"/>
      <c r="E28" s="122" t="str">
        <f>IF(OR(D28="",ISTEXT(D28)),"--",IF(H28="","No IUR",IF(L28&lt;&gt;"TCE",D28*(IF(AND(L28="VC",Scenario_IA="Residential"),H28,0)+H28*IF(L28="Mut",MMOAAF_IA,ED_IA)*EF_IA*ET_IA/(ATc_IA*365*24)),D28*mIURTCE_IA*MMOAAF_IA*EF_IA*ET_IA/(ATc_IA*365*24)+D28*IURTCE_IA*ED_IA*EF_IA*ET_IA/(ATc_IA*365*24))))</f>
        <v>--</v>
      </c>
      <c r="F28" s="123" t="str">
        <f>IF(OR(D28="",ISTEXT(D28)),"--",IF(J28="","No RfC",D28*EF_IA*ED_IA*ET_IA/(J28*ATnc_IA*365*24*1000)))</f>
        <v>--</v>
      </c>
      <c r="G28" s="124"/>
      <c r="H28" s="121">
        <f>IF(INDEX(IUR,MATCH(B28,CASNoTox,0))=" ","",IF(L28="TCE","see note",INDEX(IUR,MATCH(B28,CASNoTox,0))))</f>
        <v>5.6999999999999998E-4</v>
      </c>
      <c r="I28" s="121" t="str">
        <f>IF(INDEX(IURSource,MATCH(B28,CASNoTox,0))="","",SUBSTITUTE(INDEX(IURSource,MATCH(B28,CASNoTox,0)),"C","CA"))</f>
        <v>S</v>
      </c>
      <c r="J28" s="121" t="str">
        <f>IF(INDEX(RFC,MATCH(B28,CASNoTox,0))=" ","",INDEX(RFC,MATCH(B28,CASNoTox,0)))</f>
        <v/>
      </c>
      <c r="K28" s="121" t="str">
        <f>IF(INDEX(RFCSource,MATCH(B28,CASNoTox,0))="","",SUBSTITUTE(INDEX(RFCSource,MATCH(B28,CASNoTox,0)),"C","CA"))</f>
        <v/>
      </c>
      <c r="L28" s="121" t="str">
        <f>VLOOKUP(B28,VISL!$B:$W,22,FALSE)</f>
        <v/>
      </c>
      <c r="M28" s="190"/>
      <c r="N28" s="190" t="str">
        <f t="shared" si="6"/>
        <v/>
      </c>
      <c r="O28" s="190"/>
      <c r="P28" s="190"/>
      <c r="Q28" s="190"/>
      <c r="R28" s="190"/>
      <c r="S28" s="190"/>
    </row>
    <row r="29" spans="1:19">
      <c r="A29" s="124" t="str">
        <f>IF(INDEX(VISL!A:A,MATCH(B29,VISL!B:B,0))="x","x","")</f>
        <v/>
      </c>
      <c r="B29" s="269" t="s">
        <v>186</v>
      </c>
      <c r="C29" s="269" t="s">
        <v>2233</v>
      </c>
      <c r="D29" s="200"/>
      <c r="E29" s="122" t="str">
        <f t="shared" si="0"/>
        <v>--</v>
      </c>
      <c r="F29" s="123" t="str">
        <f t="shared" si="1"/>
        <v>--</v>
      </c>
      <c r="G29" s="124"/>
      <c r="H29" s="121">
        <f t="shared" si="2"/>
        <v>5.6999999999999998E-4</v>
      </c>
      <c r="I29" s="121" t="str">
        <f t="shared" si="3"/>
        <v>S</v>
      </c>
      <c r="J29" s="121" t="str">
        <f t="shared" si="4"/>
        <v/>
      </c>
      <c r="K29" s="121" t="str">
        <f t="shared" si="5"/>
        <v/>
      </c>
      <c r="L29" s="121" t="str">
        <f>VLOOKUP(B29,VISL!$B:$W,22,FALSE)</f>
        <v/>
      </c>
      <c r="M29" s="190"/>
      <c r="N29" s="190" t="str">
        <f t="shared" si="6"/>
        <v/>
      </c>
      <c r="O29" s="190"/>
      <c r="P29" s="190"/>
      <c r="Q29" s="190"/>
      <c r="R29" s="190"/>
      <c r="S29" s="190"/>
    </row>
    <row r="30" spans="1:19">
      <c r="A30" s="124" t="str">
        <f>IF(INDEX(VISL!A:A,MATCH(B30,VISL!B:B,0))="x","x","")</f>
        <v/>
      </c>
      <c r="B30" s="269" t="s">
        <v>187</v>
      </c>
      <c r="C30" s="269" t="s">
        <v>2234</v>
      </c>
      <c r="D30" s="200"/>
      <c r="E30" s="122" t="str">
        <f t="shared" si="0"/>
        <v>--</v>
      </c>
      <c r="F30" s="123" t="str">
        <f t="shared" si="1"/>
        <v>--</v>
      </c>
      <c r="G30" s="124"/>
      <c r="H30" s="121">
        <f t="shared" si="2"/>
        <v>5.6999999999999998E-4</v>
      </c>
      <c r="I30" s="121" t="str">
        <f t="shared" si="3"/>
        <v>S</v>
      </c>
      <c r="J30" s="121" t="str">
        <f t="shared" si="4"/>
        <v/>
      </c>
      <c r="K30" s="121" t="str">
        <f t="shared" si="5"/>
        <v/>
      </c>
      <c r="L30" s="121" t="str">
        <f>VLOOKUP(B30,VISL!$B:$W,22,FALSE)</f>
        <v/>
      </c>
      <c r="M30" s="190"/>
      <c r="N30" s="190" t="str">
        <f t="shared" si="6"/>
        <v/>
      </c>
      <c r="O30" s="190"/>
      <c r="P30" s="190"/>
      <c r="Q30" s="190"/>
      <c r="R30" s="190"/>
      <c r="S30" s="190"/>
    </row>
    <row r="31" spans="1:19">
      <c r="A31" s="124" t="str">
        <f>IF(INDEX(VISL!A:A,MATCH(B31,VISL!B:B,0))="x","x","")</f>
        <v/>
      </c>
      <c r="B31" s="344" t="s">
        <v>677</v>
      </c>
      <c r="C31" s="269" t="s">
        <v>1398</v>
      </c>
      <c r="D31" s="200"/>
      <c r="E31" s="122" t="str">
        <f t="shared" si="0"/>
        <v>--</v>
      </c>
      <c r="F31" s="123" t="str">
        <f t="shared" si="1"/>
        <v>--</v>
      </c>
      <c r="G31" s="124"/>
      <c r="H31" s="121">
        <f t="shared" si="2"/>
        <v>3.1000000000000001E-5</v>
      </c>
      <c r="I31" s="121" t="str">
        <f t="shared" si="3"/>
        <v>I</v>
      </c>
      <c r="J31" s="121" t="str">
        <f t="shared" si="4"/>
        <v/>
      </c>
      <c r="K31" s="121" t="str">
        <f t="shared" si="5"/>
        <v/>
      </c>
      <c r="L31" s="121" t="str">
        <f>VLOOKUP(B31,VISL!$B:$W,22,FALSE)</f>
        <v/>
      </c>
      <c r="M31" s="190"/>
      <c r="N31" s="190" t="str">
        <f t="shared" si="6"/>
        <v/>
      </c>
      <c r="O31" s="190"/>
      <c r="P31" s="190"/>
      <c r="Q31" s="190"/>
      <c r="R31" s="190"/>
      <c r="S31" s="190"/>
    </row>
    <row r="32" spans="1:19">
      <c r="A32" s="124" t="str">
        <f>IF(INDEX(VISL!A:A,MATCH(B32,VISL!B:B,0))="x","x","")</f>
        <v/>
      </c>
      <c r="B32" s="344" t="s">
        <v>203</v>
      </c>
      <c r="C32" s="269" t="s">
        <v>2235</v>
      </c>
      <c r="D32" s="200"/>
      <c r="E32" s="122" t="str">
        <f t="shared" si="0"/>
        <v>--</v>
      </c>
      <c r="F32" s="123" t="str">
        <f t="shared" si="1"/>
        <v>--</v>
      </c>
      <c r="G32" s="124"/>
      <c r="H32" s="121">
        <f t="shared" si="2"/>
        <v>6.0000000000000002E-5</v>
      </c>
      <c r="I32" s="121" t="str">
        <f t="shared" si="3"/>
        <v>E</v>
      </c>
      <c r="J32" s="121" t="str">
        <f t="shared" si="4"/>
        <v/>
      </c>
      <c r="K32" s="121" t="str">
        <f t="shared" si="5"/>
        <v/>
      </c>
      <c r="L32" s="121" t="str">
        <f>VLOOKUP(B32,VISL!$B:$W,22,FALSE)</f>
        <v>Mut</v>
      </c>
      <c r="M32" s="190"/>
      <c r="N32" s="190" t="str">
        <f t="shared" si="6"/>
        <v/>
      </c>
      <c r="O32" s="190"/>
      <c r="P32" s="190"/>
      <c r="Q32" s="190"/>
      <c r="R32" s="190"/>
      <c r="S32" s="190"/>
    </row>
    <row r="33" spans="1:19">
      <c r="A33" s="124" t="str">
        <f>IF(INDEX(VISL!A:A,MATCH(B33,VISL!B:B,0))="x","x","")</f>
        <v/>
      </c>
      <c r="B33" s="344" t="s">
        <v>686</v>
      </c>
      <c r="C33" s="269" t="s">
        <v>426</v>
      </c>
      <c r="D33" s="200"/>
      <c r="E33" s="122" t="str">
        <f t="shared" si="0"/>
        <v>--</v>
      </c>
      <c r="F33" s="123" t="str">
        <f t="shared" si="1"/>
        <v>--</v>
      </c>
      <c r="G33" s="124"/>
      <c r="H33" s="121">
        <f t="shared" si="2"/>
        <v>7.7999999999999999E-6</v>
      </c>
      <c r="I33" s="121" t="str">
        <f t="shared" si="3"/>
        <v>I</v>
      </c>
      <c r="J33" s="121">
        <f t="shared" si="4"/>
        <v>0.03</v>
      </c>
      <c r="K33" s="121" t="str">
        <f t="shared" si="5"/>
        <v>I</v>
      </c>
      <c r="L33" s="121" t="str">
        <f>VLOOKUP(B33,VISL!$B:$W,22,FALSE)</f>
        <v/>
      </c>
      <c r="M33" s="190"/>
      <c r="N33" s="190" t="str">
        <f t="shared" si="6"/>
        <v/>
      </c>
      <c r="O33" s="190"/>
      <c r="P33" s="190"/>
      <c r="Q33" s="190"/>
      <c r="R33" s="190"/>
      <c r="S33" s="190"/>
    </row>
    <row r="34" spans="1:19">
      <c r="A34" s="124" t="str">
        <f>IF(INDEX(VISL!A:A,MATCH(B34,VISL!B:B,0))="x","x","")</f>
        <v/>
      </c>
      <c r="B34" s="344" t="s">
        <v>692</v>
      </c>
      <c r="C34" s="269" t="s">
        <v>1002</v>
      </c>
      <c r="D34" s="200"/>
      <c r="E34" s="122" t="str">
        <f t="shared" si="0"/>
        <v>--</v>
      </c>
      <c r="F34" s="123" t="str">
        <f t="shared" si="1"/>
        <v>--</v>
      </c>
      <c r="G34" s="124"/>
      <c r="H34" s="121">
        <f t="shared" si="2"/>
        <v>4.8999999999999998E-5</v>
      </c>
      <c r="I34" s="121" t="str">
        <f t="shared" si="3"/>
        <v>CA</v>
      </c>
      <c r="J34" s="121">
        <f t="shared" si="4"/>
        <v>1E-3</v>
      </c>
      <c r="K34" s="121" t="str">
        <f t="shared" si="5"/>
        <v>P</v>
      </c>
      <c r="L34" s="121" t="str">
        <f>VLOOKUP(B34,VISL!$B:$W,22,FALSE)</f>
        <v/>
      </c>
      <c r="M34" s="190"/>
      <c r="N34" s="190" t="str">
        <f t="shared" si="6"/>
        <v/>
      </c>
      <c r="O34" s="190"/>
      <c r="P34" s="190"/>
      <c r="Q34" s="190"/>
      <c r="R34" s="190"/>
      <c r="S34" s="190"/>
    </row>
    <row r="35" spans="1:19">
      <c r="A35" s="124" t="str">
        <f>IF(INDEX(VISL!A:A,MATCH(B35,VISL!B:B,0))="x","x","")</f>
        <v/>
      </c>
      <c r="B35" s="344" t="s">
        <v>374</v>
      </c>
      <c r="C35" s="269" t="s">
        <v>1006</v>
      </c>
      <c r="D35" s="200"/>
      <c r="E35" s="122" t="str">
        <f t="shared" si="0"/>
        <v>--</v>
      </c>
      <c r="F35" s="123" t="str">
        <f t="shared" si="1"/>
        <v>--</v>
      </c>
      <c r="G35" s="124"/>
      <c r="H35" s="121" t="str">
        <f t="shared" si="2"/>
        <v/>
      </c>
      <c r="I35" s="121" t="str">
        <f t="shared" si="3"/>
        <v/>
      </c>
      <c r="J35" s="121">
        <f t="shared" si="4"/>
        <v>4.0000000000000002E-4</v>
      </c>
      <c r="K35" s="121" t="str">
        <f t="shared" si="5"/>
        <v>X</v>
      </c>
      <c r="L35" s="121" t="str">
        <f>VLOOKUP(B35,VISL!$B:$W,22,FALSE)</f>
        <v/>
      </c>
      <c r="M35" s="190"/>
      <c r="N35" s="190" t="str">
        <f t="shared" si="6"/>
        <v/>
      </c>
      <c r="O35" s="190"/>
      <c r="P35" s="190"/>
      <c r="Q35" s="190"/>
      <c r="R35" s="190"/>
      <c r="S35" s="190"/>
    </row>
    <row r="36" spans="1:19">
      <c r="A36" s="124" t="str">
        <f>IF(INDEX(VISL!A:A,MATCH(B36,VISL!B:B,0))="x","x","")</f>
        <v/>
      </c>
      <c r="B36" s="269" t="s">
        <v>698</v>
      </c>
      <c r="C36" s="269" t="s">
        <v>428</v>
      </c>
      <c r="D36" s="200"/>
      <c r="E36" s="122" t="str">
        <f t="shared" si="0"/>
        <v>--</v>
      </c>
      <c r="F36" s="123" t="str">
        <f t="shared" si="1"/>
        <v>--</v>
      </c>
      <c r="G36" s="124"/>
      <c r="H36" s="121">
        <f t="shared" si="2"/>
        <v>3.3E-4</v>
      </c>
      <c r="I36" s="121" t="str">
        <f t="shared" si="3"/>
        <v>I</v>
      </c>
      <c r="J36" s="121" t="str">
        <f t="shared" si="4"/>
        <v/>
      </c>
      <c r="K36" s="121" t="str">
        <f t="shared" si="5"/>
        <v/>
      </c>
      <c r="L36" s="121" t="str">
        <f>VLOOKUP(B36,VISL!$B:$W,22,FALSE)</f>
        <v/>
      </c>
      <c r="M36" s="190"/>
      <c r="N36" s="190" t="str">
        <f t="shared" si="6"/>
        <v/>
      </c>
      <c r="O36" s="190"/>
      <c r="P36" s="190"/>
      <c r="Q36" s="190"/>
      <c r="R36" s="190"/>
      <c r="S36" s="190"/>
    </row>
    <row r="37" spans="1:19">
      <c r="A37" s="124" t="str">
        <f>IF(INDEX(VISL!A:A,MATCH(B37,VISL!B:B,0))="x","x","")</f>
        <v/>
      </c>
      <c r="B37" s="344" t="s">
        <v>700</v>
      </c>
      <c r="C37" s="269" t="s">
        <v>1435</v>
      </c>
      <c r="D37" s="200"/>
      <c r="E37" s="122" t="str">
        <f t="shared" si="0"/>
        <v>--</v>
      </c>
      <c r="F37" s="123" t="str">
        <f t="shared" si="1"/>
        <v>--</v>
      </c>
      <c r="G37" s="124"/>
      <c r="H37" s="121">
        <f t="shared" si="2"/>
        <v>6.2E-2</v>
      </c>
      <c r="I37" s="121" t="str">
        <f t="shared" si="3"/>
        <v>I</v>
      </c>
      <c r="J37" s="121" t="str">
        <f t="shared" si="4"/>
        <v/>
      </c>
      <c r="K37" s="121" t="str">
        <f t="shared" si="5"/>
        <v/>
      </c>
      <c r="L37" s="121" t="str">
        <f>VLOOKUP(B37,VISL!$B:$W,22,FALSE)</f>
        <v/>
      </c>
      <c r="M37" s="190"/>
      <c r="N37" s="190" t="str">
        <f t="shared" si="6"/>
        <v/>
      </c>
      <c r="O37" s="190"/>
      <c r="P37" s="190"/>
      <c r="Q37" s="190"/>
      <c r="R37" s="190"/>
      <c r="S37" s="190"/>
    </row>
    <row r="38" spans="1:19">
      <c r="A38" s="124" t="str">
        <f>IF(INDEX(VISL!A:A,MATCH(B38,VISL!B:B,0))="x","x","")</f>
        <v/>
      </c>
      <c r="B38" s="269" t="s">
        <v>1997</v>
      </c>
      <c r="C38" s="269" t="s">
        <v>1996</v>
      </c>
      <c r="D38" s="200"/>
      <c r="E38" s="122" t="str">
        <f t="shared" si="0"/>
        <v>--</v>
      </c>
      <c r="F38" s="123" t="str">
        <f t="shared" si="1"/>
        <v>--</v>
      </c>
      <c r="G38" s="124"/>
      <c r="H38" s="121" t="str">
        <f t="shared" si="2"/>
        <v/>
      </c>
      <c r="I38" s="121" t="str">
        <f t="shared" si="3"/>
        <v/>
      </c>
      <c r="J38" s="121">
        <f t="shared" si="4"/>
        <v>0.02</v>
      </c>
      <c r="K38" s="121" t="str">
        <f t="shared" si="5"/>
        <v>P</v>
      </c>
      <c r="L38" s="121" t="str">
        <f>VLOOKUP(B38,VISL!$B:$W,22,FALSE)</f>
        <v/>
      </c>
      <c r="M38" s="190"/>
      <c r="N38" s="190" t="str">
        <f t="shared" si="6"/>
        <v/>
      </c>
      <c r="O38" s="190"/>
      <c r="P38" s="190"/>
      <c r="Q38" s="190"/>
      <c r="R38" s="190"/>
      <c r="S38" s="190"/>
    </row>
    <row r="39" spans="1:19">
      <c r="A39" s="124" t="str">
        <f>IF(INDEX(VISL!A:A,MATCH(B39,VISL!B:B,0))="x","x","")</f>
        <v/>
      </c>
      <c r="B39" s="344" t="s">
        <v>703</v>
      </c>
      <c r="C39" s="269" t="s">
        <v>1011</v>
      </c>
      <c r="D39" s="200"/>
      <c r="E39" s="122" t="str">
        <f t="shared" si="0"/>
        <v>--</v>
      </c>
      <c r="F39" s="123" t="str">
        <f t="shared" si="1"/>
        <v>--</v>
      </c>
      <c r="G39" s="124"/>
      <c r="H39" s="121" t="str">
        <f t="shared" si="2"/>
        <v/>
      </c>
      <c r="I39" s="121" t="str">
        <f t="shared" si="3"/>
        <v/>
      </c>
      <c r="J39" s="121">
        <f t="shared" si="4"/>
        <v>1.2999999999999999E-2</v>
      </c>
      <c r="K39" s="121" t="str">
        <f t="shared" si="5"/>
        <v>CA</v>
      </c>
      <c r="L39" s="121" t="str">
        <f>VLOOKUP(B39,VISL!$B:$W,22,FALSE)</f>
        <v/>
      </c>
      <c r="M39" s="190"/>
      <c r="N39" s="190" t="str">
        <f t="shared" si="6"/>
        <v/>
      </c>
      <c r="O39" s="190"/>
      <c r="P39" s="190"/>
      <c r="Q39" s="190"/>
      <c r="R39" s="190"/>
      <c r="S39" s="190"/>
    </row>
    <row r="40" spans="1:19">
      <c r="A40" s="124" t="str">
        <f>IF(INDEX(VISL!A:A,MATCH(B40,VISL!B:B,0))="x","x","")</f>
        <v/>
      </c>
      <c r="B40" s="269" t="s">
        <v>705</v>
      </c>
      <c r="C40" s="269" t="s">
        <v>561</v>
      </c>
      <c r="D40" s="200"/>
      <c r="E40" s="122" t="str">
        <f t="shared" si="0"/>
        <v>--</v>
      </c>
      <c r="F40" s="123" t="str">
        <f t="shared" si="1"/>
        <v>--</v>
      </c>
      <c r="G40" s="124"/>
      <c r="H40" s="121">
        <f t="shared" si="2"/>
        <v>5.9999999999999995E-4</v>
      </c>
      <c r="I40" s="121" t="str">
        <f t="shared" si="3"/>
        <v>X</v>
      </c>
      <c r="J40" s="121" t="str">
        <f t="shared" si="4"/>
        <v/>
      </c>
      <c r="K40" s="121" t="str">
        <f t="shared" si="5"/>
        <v/>
      </c>
      <c r="L40" s="121" t="str">
        <f>VLOOKUP(B40,VISL!$B:$W,22,FALSE)</f>
        <v/>
      </c>
      <c r="M40" s="190"/>
      <c r="N40" s="190" t="str">
        <f t="shared" si="6"/>
        <v/>
      </c>
      <c r="O40" s="190"/>
      <c r="P40" s="190"/>
      <c r="Q40" s="190"/>
      <c r="R40" s="190"/>
      <c r="S40" s="190"/>
    </row>
    <row r="41" spans="1:19">
      <c r="A41" s="124" t="str">
        <f>IF(INDEX(VISL!A:A,MATCH(B41,VISL!B:B,0))="x","x","")</f>
        <v/>
      </c>
      <c r="B41" s="274" t="s">
        <v>706</v>
      </c>
      <c r="C41" s="269" t="s">
        <v>523</v>
      </c>
      <c r="D41" s="200"/>
      <c r="E41" s="122" t="str">
        <f t="shared" si="0"/>
        <v>--</v>
      </c>
      <c r="F41" s="123" t="str">
        <f t="shared" si="1"/>
        <v>--</v>
      </c>
      <c r="G41" s="124"/>
      <c r="H41" s="121" t="str">
        <f t="shared" si="2"/>
        <v/>
      </c>
      <c r="I41" s="121" t="str">
        <f t="shared" si="3"/>
        <v/>
      </c>
      <c r="J41" s="121">
        <f t="shared" si="4"/>
        <v>0.06</v>
      </c>
      <c r="K41" s="121" t="str">
        <f t="shared" si="5"/>
        <v>I</v>
      </c>
      <c r="L41" s="121" t="str">
        <f>VLOOKUP(B41,VISL!$B:$W,22,FALSE)</f>
        <v/>
      </c>
      <c r="M41" s="190"/>
      <c r="N41" s="190" t="str">
        <f t="shared" si="6"/>
        <v/>
      </c>
      <c r="O41" s="190"/>
      <c r="P41" s="190"/>
      <c r="Q41" s="190"/>
      <c r="R41" s="190"/>
      <c r="S41" s="190"/>
    </row>
    <row r="42" spans="1:19">
      <c r="A42" s="124" t="str">
        <f>IF(INDEX(VISL!A:A,MATCH(B42,VISL!B:B,0))="x","x","")</f>
        <v/>
      </c>
      <c r="B42" s="344" t="s">
        <v>1562</v>
      </c>
      <c r="C42" s="269" t="s">
        <v>1561</v>
      </c>
      <c r="D42" s="200"/>
      <c r="E42" s="122" t="str">
        <f t="shared" si="0"/>
        <v>--</v>
      </c>
      <c r="F42" s="123" t="str">
        <f t="shared" si="1"/>
        <v>--</v>
      </c>
      <c r="G42" s="124"/>
      <c r="H42" s="121" t="str">
        <f t="shared" si="2"/>
        <v/>
      </c>
      <c r="I42" s="121" t="str">
        <f t="shared" si="3"/>
        <v/>
      </c>
      <c r="J42" s="121">
        <f t="shared" si="4"/>
        <v>0.04</v>
      </c>
      <c r="K42" s="121" t="str">
        <f t="shared" si="5"/>
        <v>X</v>
      </c>
      <c r="L42" s="121" t="str">
        <f>VLOOKUP(B42,VISL!$B:$W,22,FALSE)</f>
        <v/>
      </c>
      <c r="M42" s="190"/>
      <c r="N42" s="190" t="str">
        <f t="shared" si="6"/>
        <v/>
      </c>
      <c r="O42" s="190"/>
      <c r="P42" s="190"/>
      <c r="Q42" s="190"/>
      <c r="R42" s="190"/>
      <c r="S42" s="190"/>
    </row>
    <row r="43" spans="1:19">
      <c r="A43" s="124" t="str">
        <f>IF(INDEX(VISL!A:A,MATCH(B43,VISL!B:B,0))="x","x","")</f>
        <v/>
      </c>
      <c r="B43" s="269" t="s">
        <v>707</v>
      </c>
      <c r="C43" s="269" t="s">
        <v>429</v>
      </c>
      <c r="D43" s="200"/>
      <c r="E43" s="122" t="str">
        <f t="shared" si="0"/>
        <v>--</v>
      </c>
      <c r="F43" s="123" t="str">
        <f t="shared" si="1"/>
        <v>--</v>
      </c>
      <c r="G43" s="124"/>
      <c r="H43" s="121">
        <f t="shared" si="2"/>
        <v>3.6999999999999998E-5</v>
      </c>
      <c r="I43" s="121" t="str">
        <f t="shared" si="3"/>
        <v>CA</v>
      </c>
      <c r="J43" s="121" t="str">
        <f t="shared" si="4"/>
        <v/>
      </c>
      <c r="K43" s="121" t="str">
        <f t="shared" si="5"/>
        <v/>
      </c>
      <c r="L43" s="121" t="str">
        <f>VLOOKUP(B43,VISL!$B:$W,22,FALSE)</f>
        <v/>
      </c>
      <c r="M43" s="190"/>
      <c r="N43" s="190" t="str">
        <f t="shared" si="6"/>
        <v/>
      </c>
      <c r="O43" s="190"/>
      <c r="P43" s="190"/>
      <c r="Q43" s="190"/>
      <c r="R43" s="190"/>
      <c r="S43" s="190"/>
    </row>
    <row r="44" spans="1:19">
      <c r="A44" s="124" t="str">
        <f>IF(INDEX(VISL!A:A,MATCH(B44,VISL!B:B,0))="x","x","")</f>
        <v/>
      </c>
      <c r="B44" s="269" t="s">
        <v>708</v>
      </c>
      <c r="C44" s="269" t="s">
        <v>430</v>
      </c>
      <c r="D44" s="200"/>
      <c r="E44" s="122" t="str">
        <f t="shared" si="0"/>
        <v>--</v>
      </c>
      <c r="F44" s="123" t="str">
        <f t="shared" si="1"/>
        <v>--</v>
      </c>
      <c r="G44" s="124"/>
      <c r="H44" s="121">
        <f t="shared" si="2"/>
        <v>1.1000000000000001E-6</v>
      </c>
      <c r="I44" s="121" t="str">
        <f t="shared" si="3"/>
        <v>I</v>
      </c>
      <c r="J44" s="121" t="str">
        <f t="shared" si="4"/>
        <v/>
      </c>
      <c r="K44" s="121" t="str">
        <f t="shared" si="5"/>
        <v/>
      </c>
      <c r="L44" s="121" t="str">
        <f>VLOOKUP(B44,VISL!$B:$W,22,FALSE)</f>
        <v/>
      </c>
      <c r="M44" s="190"/>
      <c r="N44" s="190" t="str">
        <f t="shared" si="6"/>
        <v/>
      </c>
      <c r="O44" s="190"/>
      <c r="P44" s="190"/>
      <c r="Q44" s="190"/>
      <c r="R44" s="190"/>
      <c r="S44" s="190"/>
    </row>
    <row r="45" spans="1:19">
      <c r="A45" s="124" t="str">
        <f>IF(INDEX(VISL!A:A,MATCH(B45,VISL!B:B,0))="x","x","")</f>
        <v/>
      </c>
      <c r="B45" s="269" t="s">
        <v>709</v>
      </c>
      <c r="C45" s="269" t="s">
        <v>1013</v>
      </c>
      <c r="D45" s="200"/>
      <c r="E45" s="122" t="str">
        <f t="shared" si="0"/>
        <v>--</v>
      </c>
      <c r="F45" s="123" t="str">
        <f t="shared" si="1"/>
        <v>--</v>
      </c>
      <c r="G45" s="124"/>
      <c r="H45" s="121" t="str">
        <f t="shared" si="2"/>
        <v/>
      </c>
      <c r="I45" s="121" t="str">
        <f t="shared" si="3"/>
        <v/>
      </c>
      <c r="J45" s="121">
        <f t="shared" si="4"/>
        <v>5.0000000000000001E-3</v>
      </c>
      <c r="K45" s="121" t="str">
        <f t="shared" si="5"/>
        <v>I</v>
      </c>
      <c r="L45" s="121" t="str">
        <f>VLOOKUP(B45,VISL!$B:$W,22,FALSE)</f>
        <v/>
      </c>
      <c r="M45" s="190"/>
      <c r="N45" s="190" t="str">
        <f t="shared" si="6"/>
        <v/>
      </c>
      <c r="O45" s="190"/>
      <c r="P45" s="190"/>
      <c r="Q45" s="190"/>
      <c r="R45" s="190"/>
      <c r="S45" s="190"/>
    </row>
    <row r="46" spans="1:19">
      <c r="A46" s="124" t="str">
        <f>IF(INDEX(VISL!A:A,MATCH(B46,VISL!B:B,0))="x","x","")</f>
        <v/>
      </c>
      <c r="B46" s="344" t="s">
        <v>713</v>
      </c>
      <c r="C46" s="269" t="s">
        <v>1017</v>
      </c>
      <c r="D46" s="200"/>
      <c r="E46" s="122" t="str">
        <f t="shared" si="0"/>
        <v>--</v>
      </c>
      <c r="F46" s="123" t="str">
        <f t="shared" si="1"/>
        <v>--</v>
      </c>
      <c r="G46" s="124"/>
      <c r="H46" s="121">
        <f t="shared" si="2"/>
        <v>3.0000000000000001E-5</v>
      </c>
      <c r="I46" s="121" t="str">
        <f t="shared" si="3"/>
        <v>I</v>
      </c>
      <c r="J46" s="121">
        <f t="shared" si="4"/>
        <v>2E-3</v>
      </c>
      <c r="K46" s="121" t="str">
        <f t="shared" si="5"/>
        <v>I</v>
      </c>
      <c r="L46" s="121" t="str">
        <f>VLOOKUP(B46,VISL!$B:$W,22,FALSE)</f>
        <v/>
      </c>
      <c r="M46" s="190"/>
      <c r="N46" s="190" t="str">
        <f t="shared" si="6"/>
        <v/>
      </c>
      <c r="O46" s="190"/>
      <c r="P46" s="190"/>
      <c r="Q46" s="190"/>
      <c r="R46" s="190"/>
      <c r="S46" s="190"/>
    </row>
    <row r="47" spans="1:19">
      <c r="A47" s="124" t="str">
        <f>IF(INDEX(VISL!A:A,MATCH(B47,VISL!B:B,0))="x","x","")</f>
        <v/>
      </c>
      <c r="B47" s="344" t="s">
        <v>716</v>
      </c>
      <c r="C47" s="269" t="s">
        <v>562</v>
      </c>
      <c r="D47" s="200"/>
      <c r="E47" s="122" t="str">
        <f t="shared" ref="E47:E68" si="7">IF(OR(D47="",ISTEXT(D47)),"--",IF(H47="","No IUR",IF(L47&lt;&gt;"TCE",D47*(IF(AND(L47="VC",Scenario_IA="Residential"),H47,0)+H47*IF(L47="Mut",MMOAAF_IA,ED_IA)*EF_IA*ET_IA/(ATc_IA*365*24)),D47*mIURTCE_IA*MMOAAF_IA*EF_IA*ET_IA/(ATc_IA*365*24)+D47*IURTCE_IA*ED_IA*EF_IA*ET_IA/(ATc_IA*365*24))))</f>
        <v>--</v>
      </c>
      <c r="F47" s="123" t="str">
        <f t="shared" ref="F47:F68" si="8">IF(OR(D47="",ISTEXT(D47)),"--",IF(J47="","No RfC",D47*EF_IA*ED_IA*ET_IA/(J47*ATnc_IA*365*24*1000)))</f>
        <v>--</v>
      </c>
      <c r="G47" s="124"/>
      <c r="H47" s="121" t="str">
        <f t="shared" ref="H47:H68" si="9">IF(INDEX(IUR,MATCH(B47,CASNoTox,0))=" ","",IF(L47="TCE","see note",INDEX(IUR,MATCH(B47,CASNoTox,0))))</f>
        <v/>
      </c>
      <c r="I47" s="121" t="str">
        <f t="shared" ref="I47:I68" si="10">IF(INDEX(IURSource,MATCH(B47,CASNoTox,0))="","",SUBSTITUTE(INDEX(IURSource,MATCH(B47,CASNoTox,0)),"C","CA"))</f>
        <v/>
      </c>
      <c r="J47" s="121">
        <f t="shared" ref="J47:J68" si="11">IF(INDEX(RFC,MATCH(B47,CASNoTox,0))=" ","",INDEX(RFC,MATCH(B47,CASNoTox,0)))</f>
        <v>30</v>
      </c>
      <c r="K47" s="121" t="str">
        <f t="shared" ref="K47:K68" si="12">IF(INDEX(RFCSource,MATCH(B47,CASNoTox,0))="","",SUBSTITUTE(INDEX(RFCSource,MATCH(B47,CASNoTox,0)),"C","CA"))</f>
        <v>P</v>
      </c>
      <c r="L47" s="121" t="str">
        <f>VLOOKUP(B47,VISL!$B:$W,22,FALSE)</f>
        <v/>
      </c>
      <c r="M47" s="190"/>
      <c r="N47" s="190" t="str">
        <f t="shared" si="6"/>
        <v/>
      </c>
      <c r="O47" s="190"/>
      <c r="P47" s="190"/>
      <c r="Q47" s="190"/>
      <c r="R47" s="190"/>
      <c r="S47" s="190"/>
    </row>
    <row r="48" spans="1:19">
      <c r="A48" s="124" t="str">
        <f>IF(INDEX(VISL!A:A,MATCH(B48,VISL!B:B,0))="x","x","")</f>
        <v/>
      </c>
      <c r="B48" s="269" t="s">
        <v>727</v>
      </c>
      <c r="C48" s="269" t="s">
        <v>1025</v>
      </c>
      <c r="D48" s="200"/>
      <c r="E48" s="122" t="str">
        <f t="shared" si="7"/>
        <v>--</v>
      </c>
      <c r="F48" s="123" t="str">
        <f t="shared" si="8"/>
        <v>--</v>
      </c>
      <c r="G48" s="124"/>
      <c r="H48" s="121" t="str">
        <f t="shared" si="9"/>
        <v/>
      </c>
      <c r="I48" s="121" t="str">
        <f t="shared" si="10"/>
        <v/>
      </c>
      <c r="J48" s="121">
        <f t="shared" si="11"/>
        <v>0.7</v>
      </c>
      <c r="K48" s="121" t="str">
        <f t="shared" si="12"/>
        <v>I</v>
      </c>
      <c r="L48" s="121" t="str">
        <f>VLOOKUP(B48,VISL!$B:$W,22,FALSE)</f>
        <v/>
      </c>
      <c r="M48" s="190"/>
      <c r="N48" s="190" t="str">
        <f t="shared" si="6"/>
        <v/>
      </c>
      <c r="O48" s="190"/>
      <c r="P48" s="190"/>
      <c r="Q48" s="190"/>
      <c r="R48" s="190"/>
      <c r="S48" s="190"/>
    </row>
    <row r="49" spans="1:19">
      <c r="A49" s="124" t="str">
        <f>IF(INDEX(VISL!A:A,MATCH(B49,VISL!B:B,0))="x","x","")</f>
        <v/>
      </c>
      <c r="B49" s="344" t="s">
        <v>728</v>
      </c>
      <c r="C49" s="269" t="s">
        <v>1026</v>
      </c>
      <c r="D49" s="200"/>
      <c r="E49" s="122" t="str">
        <f t="shared" si="7"/>
        <v>--</v>
      </c>
      <c r="F49" s="123" t="str">
        <f t="shared" si="8"/>
        <v>--</v>
      </c>
      <c r="G49" s="124"/>
      <c r="H49" s="121">
        <f t="shared" si="9"/>
        <v>6.0000000000000002E-6</v>
      </c>
      <c r="I49" s="121" t="str">
        <f t="shared" si="10"/>
        <v>I</v>
      </c>
      <c r="J49" s="121">
        <f t="shared" si="11"/>
        <v>0.1</v>
      </c>
      <c r="K49" s="121" t="str">
        <f t="shared" si="12"/>
        <v>I</v>
      </c>
      <c r="L49" s="121" t="str">
        <f>VLOOKUP(B49,VISL!$B:$W,22,FALSE)</f>
        <v/>
      </c>
      <c r="M49" s="190"/>
      <c r="N49" s="190" t="str">
        <f t="shared" si="6"/>
        <v/>
      </c>
      <c r="O49" s="190"/>
      <c r="P49" s="190"/>
      <c r="Q49" s="190"/>
      <c r="R49" s="190"/>
      <c r="S49" s="190"/>
    </row>
    <row r="50" spans="1:19">
      <c r="A50" s="124" t="str">
        <f>IF(INDEX(VISL!A:A,MATCH(B50,VISL!B:B,0))="x","x","")</f>
        <v/>
      </c>
      <c r="B50" s="344" t="s">
        <v>2280</v>
      </c>
      <c r="C50" s="269" t="s">
        <v>2281</v>
      </c>
      <c r="D50" s="200"/>
      <c r="E50" s="122" t="str">
        <f t="shared" si="7"/>
        <v>--</v>
      </c>
      <c r="F50" s="123" t="str">
        <f t="shared" si="8"/>
        <v>--</v>
      </c>
      <c r="G50" s="124"/>
      <c r="H50" s="121" t="str">
        <f t="shared" si="9"/>
        <v/>
      </c>
      <c r="I50" s="121" t="str">
        <f t="shared" si="10"/>
        <v/>
      </c>
      <c r="J50" s="121">
        <f t="shared" si="11"/>
        <v>0.1</v>
      </c>
      <c r="K50" s="121" t="str">
        <f t="shared" si="12"/>
        <v>P</v>
      </c>
      <c r="L50" s="121" t="str">
        <f>VLOOKUP(B50,VISL!$B:$W,22,FALSE)</f>
        <v/>
      </c>
      <c r="M50" s="190"/>
      <c r="N50" s="190" t="str">
        <f t="shared" si="6"/>
        <v/>
      </c>
      <c r="O50" s="190"/>
      <c r="P50" s="190"/>
      <c r="Q50" s="190"/>
      <c r="R50" s="190"/>
      <c r="S50" s="190"/>
    </row>
    <row r="51" spans="1:19">
      <c r="A51" s="124" t="str">
        <f>IF(INDEX(VISL!A:A,MATCH(B51,VISL!B:B,0))="x","x","")</f>
        <v/>
      </c>
      <c r="B51" s="344" t="s">
        <v>735</v>
      </c>
      <c r="C51" s="269" t="s">
        <v>431</v>
      </c>
      <c r="D51" s="200"/>
      <c r="E51" s="122" t="str">
        <f t="shared" si="7"/>
        <v>--</v>
      </c>
      <c r="F51" s="123" t="str">
        <f t="shared" si="8"/>
        <v>--</v>
      </c>
      <c r="G51" s="124"/>
      <c r="H51" s="121">
        <f t="shared" si="9"/>
        <v>1E-4</v>
      </c>
      <c r="I51" s="121" t="str">
        <f t="shared" si="10"/>
        <v>I</v>
      </c>
      <c r="J51" s="121">
        <f t="shared" si="11"/>
        <v>6.9999999999999999E-4</v>
      </c>
      <c r="K51" s="121" t="str">
        <f t="shared" si="12"/>
        <v>I</v>
      </c>
      <c r="L51" s="121" t="str">
        <f>VLOOKUP(B51,VISL!$B:$W,22,FALSE)</f>
        <v/>
      </c>
      <c r="M51" s="190"/>
      <c r="N51" s="190" t="str">
        <f t="shared" si="6"/>
        <v/>
      </c>
      <c r="O51" s="190"/>
      <c r="P51" s="190"/>
      <c r="Q51" s="190"/>
      <c r="R51" s="190"/>
      <c r="S51" s="190"/>
    </row>
    <row r="52" spans="1:19">
      <c r="A52" s="124" t="str">
        <f>IF(INDEX(VISL!A:A,MATCH(B52,VISL!B:B,0))="x","x","")</f>
        <v/>
      </c>
      <c r="B52" s="344" t="s">
        <v>739</v>
      </c>
      <c r="C52" s="269" t="s">
        <v>1034</v>
      </c>
      <c r="D52" s="200"/>
      <c r="E52" s="122" t="str">
        <f t="shared" si="7"/>
        <v>--</v>
      </c>
      <c r="F52" s="123" t="str">
        <f t="shared" si="8"/>
        <v>--</v>
      </c>
      <c r="G52" s="124"/>
      <c r="H52" s="121" t="str">
        <f t="shared" si="9"/>
        <v/>
      </c>
      <c r="I52" s="121" t="str">
        <f t="shared" si="10"/>
        <v/>
      </c>
      <c r="J52" s="121">
        <f t="shared" si="11"/>
        <v>1.4999999999999999E-4</v>
      </c>
      <c r="K52" s="121" t="str">
        <f t="shared" si="12"/>
        <v>A</v>
      </c>
      <c r="L52" s="121" t="str">
        <f>VLOOKUP(B52,VISL!$B:$W,22,FALSE)</f>
        <v/>
      </c>
      <c r="M52" s="190"/>
      <c r="N52" s="190" t="str">
        <f t="shared" si="6"/>
        <v/>
      </c>
      <c r="O52" s="190"/>
      <c r="P52" s="190"/>
      <c r="Q52" s="190"/>
      <c r="R52" s="190"/>
      <c r="S52" s="190"/>
    </row>
    <row r="53" spans="1:19">
      <c r="A53" s="124" t="str">
        <f>IF(INDEX(VISL!A:A,MATCH(B53,VISL!B:B,0))="x","x","")</f>
        <v/>
      </c>
      <c r="B53" s="269" t="s">
        <v>740</v>
      </c>
      <c r="C53" s="269" t="s">
        <v>1035</v>
      </c>
      <c r="D53" s="200"/>
      <c r="E53" s="122" t="str">
        <f t="shared" si="7"/>
        <v>--</v>
      </c>
      <c r="F53" s="123" t="str">
        <f t="shared" si="8"/>
        <v>--</v>
      </c>
      <c r="G53" s="124"/>
      <c r="H53" s="121" t="str">
        <f t="shared" si="9"/>
        <v/>
      </c>
      <c r="I53" s="121" t="str">
        <f t="shared" si="10"/>
        <v/>
      </c>
      <c r="J53" s="121">
        <f t="shared" si="11"/>
        <v>2.0000000000000001E-4</v>
      </c>
      <c r="K53" s="121" t="str">
        <f t="shared" si="12"/>
        <v>I</v>
      </c>
      <c r="L53" s="121" t="str">
        <f>VLOOKUP(B53,VISL!$B:$W,22,FALSE)</f>
        <v/>
      </c>
      <c r="M53" s="190"/>
      <c r="N53" s="190" t="str">
        <f t="shared" si="6"/>
        <v/>
      </c>
      <c r="O53" s="190"/>
      <c r="P53" s="190"/>
      <c r="Q53" s="190"/>
      <c r="R53" s="190"/>
      <c r="S53" s="190"/>
    </row>
    <row r="54" spans="1:19">
      <c r="A54" s="124" t="str">
        <f>IF(INDEX(VISL!A:A,MATCH(B54,VISL!B:B,0))="x","x","")</f>
        <v/>
      </c>
      <c r="B54" s="344" t="s">
        <v>742</v>
      </c>
      <c r="C54" s="269" t="s">
        <v>1037</v>
      </c>
      <c r="D54" s="200"/>
      <c r="E54" s="122" t="str">
        <f t="shared" si="7"/>
        <v>--</v>
      </c>
      <c r="F54" s="123" t="str">
        <f t="shared" si="8"/>
        <v>--</v>
      </c>
      <c r="G54" s="124"/>
      <c r="H54" s="121" t="str">
        <f t="shared" si="9"/>
        <v/>
      </c>
      <c r="I54" s="121" t="str">
        <f t="shared" si="10"/>
        <v/>
      </c>
      <c r="J54" s="121">
        <f t="shared" si="11"/>
        <v>50</v>
      </c>
      <c r="K54" s="121" t="str">
        <f t="shared" si="12"/>
        <v>I</v>
      </c>
      <c r="L54" s="121" t="str">
        <f>VLOOKUP(B54,VISL!$B:$W,22,FALSE)</f>
        <v/>
      </c>
      <c r="M54" s="190"/>
      <c r="N54" s="190" t="str">
        <f t="shared" si="6"/>
        <v/>
      </c>
      <c r="O54" s="190"/>
      <c r="P54" s="190"/>
      <c r="Q54" s="190"/>
      <c r="R54" s="190"/>
      <c r="S54" s="190"/>
    </row>
    <row r="55" spans="1:19">
      <c r="A55" s="124" t="str">
        <f>IF(INDEX(VISL!A:A,MATCH(B55,VISL!B:B,0))="x","x","")</f>
        <v/>
      </c>
      <c r="B55" s="344" t="s">
        <v>743</v>
      </c>
      <c r="C55" s="269" t="s">
        <v>1038</v>
      </c>
      <c r="D55" s="200"/>
      <c r="E55" s="122" t="str">
        <f t="shared" si="7"/>
        <v>--</v>
      </c>
      <c r="F55" s="123" t="str">
        <f t="shared" si="8"/>
        <v>--</v>
      </c>
      <c r="G55" s="124"/>
      <c r="H55" s="121">
        <f t="shared" si="9"/>
        <v>2.9999999999999997E-4</v>
      </c>
      <c r="I55" s="121" t="str">
        <f t="shared" si="10"/>
        <v>I</v>
      </c>
      <c r="J55" s="121">
        <f t="shared" si="11"/>
        <v>0.02</v>
      </c>
      <c r="K55" s="121" t="str">
        <f t="shared" si="12"/>
        <v>I</v>
      </c>
      <c r="L55" s="121" t="str">
        <f>VLOOKUP(B55,VISL!$B:$W,22,FALSE)</f>
        <v/>
      </c>
      <c r="M55" s="190"/>
      <c r="N55" s="190" t="str">
        <f t="shared" si="6"/>
        <v/>
      </c>
      <c r="O55" s="190"/>
      <c r="P55" s="190"/>
      <c r="Q55" s="190"/>
      <c r="R55" s="190"/>
      <c r="S55" s="190"/>
    </row>
    <row r="56" spans="1:19">
      <c r="A56" s="124" t="str">
        <f>IF(INDEX(VISL!A:A,MATCH(B56,VISL!B:B,0))="x","x","")</f>
        <v/>
      </c>
      <c r="B56" s="269" t="s">
        <v>750</v>
      </c>
      <c r="C56" s="269" t="s">
        <v>432</v>
      </c>
      <c r="D56" s="230"/>
      <c r="E56" s="122" t="str">
        <f t="shared" si="7"/>
        <v>--</v>
      </c>
      <c r="F56" s="123" t="str">
        <f t="shared" si="8"/>
        <v>--</v>
      </c>
      <c r="G56" s="124"/>
      <c r="H56" s="121" t="str">
        <f t="shared" si="9"/>
        <v/>
      </c>
      <c r="I56" s="121" t="str">
        <f t="shared" si="10"/>
        <v/>
      </c>
      <c r="J56" s="121">
        <f t="shared" si="11"/>
        <v>0.05</v>
      </c>
      <c r="K56" s="121" t="str">
        <f t="shared" si="12"/>
        <v>P</v>
      </c>
      <c r="L56" s="121" t="str">
        <f>VLOOKUP(B56,VISL!$B:$W,22,FALSE)</f>
        <v/>
      </c>
      <c r="M56" s="190"/>
      <c r="N56" s="190" t="str">
        <f t="shared" si="6"/>
        <v/>
      </c>
      <c r="O56" s="190"/>
      <c r="P56" s="190"/>
      <c r="Q56" s="190"/>
      <c r="R56" s="190"/>
      <c r="S56" s="190"/>
    </row>
    <row r="57" spans="1:19">
      <c r="A57" s="124" t="str">
        <f>IF(INDEX(VISL!A:A,MATCH(B57,VISL!B:B,0))="x","x","")</f>
        <v/>
      </c>
      <c r="B57" s="269" t="s">
        <v>753</v>
      </c>
      <c r="C57" s="269" t="s">
        <v>1044</v>
      </c>
      <c r="D57" s="200"/>
      <c r="E57" s="122" t="str">
        <f t="shared" si="7"/>
        <v>--</v>
      </c>
      <c r="F57" s="123" t="str">
        <f t="shared" si="8"/>
        <v>--</v>
      </c>
      <c r="G57" s="124"/>
      <c r="H57" s="121" t="str">
        <f t="shared" si="9"/>
        <v/>
      </c>
      <c r="I57" s="121" t="str">
        <f t="shared" si="10"/>
        <v/>
      </c>
      <c r="J57" s="121">
        <f t="shared" si="11"/>
        <v>0.3</v>
      </c>
      <c r="K57" s="121" t="str">
        <f t="shared" si="12"/>
        <v>P</v>
      </c>
      <c r="L57" s="121" t="str">
        <f>VLOOKUP(B57,VISL!$B:$W,22,FALSE)</f>
        <v/>
      </c>
      <c r="M57" s="190"/>
      <c r="N57" s="190" t="str">
        <f t="shared" si="6"/>
        <v/>
      </c>
      <c r="O57" s="190"/>
      <c r="P57" s="190"/>
      <c r="Q57" s="190"/>
      <c r="R57" s="190"/>
      <c r="S57" s="190"/>
    </row>
    <row r="58" spans="1:19">
      <c r="A58" s="124" t="str">
        <f>IF(INDEX(VISL!A:A,MATCH(B58,VISL!B:B,0))="x","x","")</f>
        <v/>
      </c>
      <c r="B58" s="269" t="s">
        <v>755</v>
      </c>
      <c r="C58" s="269" t="s">
        <v>1436</v>
      </c>
      <c r="D58" s="200"/>
      <c r="E58" s="122" t="str">
        <f>IF(OR(D58="",ISTEXT(D58)),"--",IF(H58="","No IUR",IF(L58&lt;&gt;"TCE",D58*(IF(AND(L58="VC",Scenario_IA="Residential"),H58,0)+H58*IF(L58="Mut",MMOAAF_IA,ED_IA)*EF_IA*ET_IA/(ATc_IA*365*24)),D58*mIURTCE_IA*MMOAAF_IA*EF_IA*ET_IA/(ATc_IA*365*24)+D58*IURTCE_IA*ED_IA*EF_IA*ET_IA/(ATc_IA*365*24))))</f>
        <v>--</v>
      </c>
      <c r="F58" s="123" t="str">
        <f>IF(OR(D58="",ISTEXT(D58)),"--",IF(J58="","No RfC",D58*EF_IA*ED_IA*ET_IA/(J58*ATnc_IA*365*24*1000)))</f>
        <v>--</v>
      </c>
      <c r="G58" s="124"/>
      <c r="H58" s="121" t="str">
        <f>IF(INDEX(IUR,MATCH(B58,CASNoTox,0))=" ","",IF(L58="TCE","see note",INDEX(IUR,MATCH(B58,CASNoTox,0))))</f>
        <v/>
      </c>
      <c r="I58" s="121" t="str">
        <f>IF(INDEX(IURSource,MATCH(B58,CASNoTox,0))="","",SUBSTITUTE(INDEX(IURSource,MATCH(B58,CASNoTox,0)),"C","CA"))</f>
        <v/>
      </c>
      <c r="J58" s="121">
        <f>IF(INDEX(RFC,MATCH(B58,CASNoTox,0))=" ","",INDEX(RFC,MATCH(B58,CASNoTox,0)))</f>
        <v>50</v>
      </c>
      <c r="K58" s="121" t="str">
        <f>IF(INDEX(RFCSource,MATCH(B58,CASNoTox,0))="","",SUBSTITUTE(INDEX(RFCSource,MATCH(B58,CASNoTox,0)),"C","CA"))</f>
        <v>I</v>
      </c>
      <c r="L58" s="121" t="str">
        <f>VLOOKUP(B58,VISL!$B:$W,22,FALSE)</f>
        <v/>
      </c>
      <c r="M58" s="190"/>
      <c r="N58" s="190" t="str">
        <f t="shared" si="6"/>
        <v/>
      </c>
      <c r="O58" s="190"/>
      <c r="P58" s="190"/>
      <c r="Q58" s="190"/>
      <c r="R58" s="190"/>
      <c r="S58" s="190"/>
    </row>
    <row r="59" spans="1:19">
      <c r="A59" s="124" t="str">
        <f>IF(INDEX(VISL!A:A,MATCH(B59,VISL!B:B,0))="x","x","")</f>
        <v/>
      </c>
      <c r="B59" s="344" t="s">
        <v>756</v>
      </c>
      <c r="C59" s="269" t="s">
        <v>434</v>
      </c>
      <c r="D59" s="200"/>
      <c r="E59" s="122" t="str">
        <f t="shared" si="7"/>
        <v>--</v>
      </c>
      <c r="F59" s="123" t="str">
        <f t="shared" si="8"/>
        <v>--</v>
      </c>
      <c r="G59" s="124"/>
      <c r="H59" s="121">
        <f t="shared" si="9"/>
        <v>2.3E-5</v>
      </c>
      <c r="I59" s="121" t="str">
        <f t="shared" si="10"/>
        <v>I</v>
      </c>
      <c r="J59" s="121">
        <f t="shared" si="11"/>
        <v>9.8000000000000004E-2</v>
      </c>
      <c r="K59" s="121" t="str">
        <f t="shared" si="12"/>
        <v>A</v>
      </c>
      <c r="L59" s="121" t="str">
        <f>VLOOKUP(B59,VISL!$B:$W,22,FALSE)</f>
        <v/>
      </c>
      <c r="M59" s="190"/>
      <c r="N59" s="190" t="str">
        <f t="shared" si="6"/>
        <v/>
      </c>
      <c r="O59" s="190"/>
      <c r="P59" s="190"/>
      <c r="Q59" s="190"/>
      <c r="R59" s="190"/>
      <c r="S59" s="190"/>
    </row>
    <row r="60" spans="1:19">
      <c r="A60" s="124" t="str">
        <f>IF(INDEX(VISL!A:A,MATCH(B60,VISL!B:B,0))="x","x","")</f>
        <v/>
      </c>
      <c r="B60" s="269" t="s">
        <v>757</v>
      </c>
      <c r="C60" s="269" t="s">
        <v>1046</v>
      </c>
      <c r="D60" s="200"/>
      <c r="E60" s="122" t="str">
        <f t="shared" si="7"/>
        <v>--</v>
      </c>
      <c r="F60" s="123" t="str">
        <f t="shared" si="8"/>
        <v>--</v>
      </c>
      <c r="G60" s="124"/>
      <c r="H60" s="121" t="str">
        <f t="shared" si="9"/>
        <v/>
      </c>
      <c r="I60" s="121" t="str">
        <f t="shared" si="10"/>
        <v/>
      </c>
      <c r="J60" s="121">
        <f t="shared" si="11"/>
        <v>0.09</v>
      </c>
      <c r="K60" s="121" t="str">
        <f t="shared" si="12"/>
        <v>I</v>
      </c>
      <c r="L60" s="121" t="str">
        <f>VLOOKUP(B60,VISL!$B:$W,22,FALSE)</f>
        <v/>
      </c>
      <c r="M60" s="190"/>
      <c r="N60" s="190" t="str">
        <f t="shared" si="6"/>
        <v/>
      </c>
      <c r="O60" s="190"/>
      <c r="P60" s="190"/>
      <c r="Q60" s="190"/>
      <c r="R60" s="190"/>
      <c r="S60" s="190"/>
    </row>
    <row r="61" spans="1:19">
      <c r="A61" s="124" t="str">
        <f>IF(INDEX(VISL!A:A,MATCH(B61,VISL!B:B,0))="x","x","")</f>
        <v/>
      </c>
      <c r="B61" s="344" t="s">
        <v>758</v>
      </c>
      <c r="C61" s="269" t="s">
        <v>567</v>
      </c>
      <c r="D61" s="200"/>
      <c r="E61" s="122" t="str">
        <f t="shared" si="7"/>
        <v>--</v>
      </c>
      <c r="F61" s="123" t="str">
        <f t="shared" si="8"/>
        <v>--</v>
      </c>
      <c r="G61" s="124"/>
      <c r="H61" s="121">
        <f t="shared" si="9"/>
        <v>6.8999999999999997E-4</v>
      </c>
      <c r="I61" s="121" t="str">
        <f t="shared" si="10"/>
        <v>CA</v>
      </c>
      <c r="J61" s="121" t="str">
        <f t="shared" si="11"/>
        <v/>
      </c>
      <c r="K61" s="121" t="str">
        <f t="shared" si="12"/>
        <v/>
      </c>
      <c r="L61" s="121" t="str">
        <f>VLOOKUP(B61,VISL!$B:$W,22,FALSE)</f>
        <v/>
      </c>
      <c r="M61" s="190"/>
      <c r="N61" s="190" t="str">
        <f t="shared" si="6"/>
        <v/>
      </c>
      <c r="O61" s="190"/>
      <c r="P61" s="190"/>
      <c r="Q61" s="190"/>
      <c r="R61" s="190"/>
      <c r="S61" s="190"/>
    </row>
    <row r="62" spans="1:19">
      <c r="A62" s="124" t="str">
        <f>IF(INDEX(VISL!A:A,MATCH(B62,VISL!B:B,0))="x","x","")</f>
        <v/>
      </c>
      <c r="B62" s="344" t="s">
        <v>763</v>
      </c>
      <c r="C62" s="269" t="s">
        <v>568</v>
      </c>
      <c r="D62" s="200"/>
      <c r="E62" s="122" t="str">
        <f t="shared" si="7"/>
        <v>--</v>
      </c>
      <c r="F62" s="123" t="str">
        <f t="shared" si="8"/>
        <v>--</v>
      </c>
      <c r="G62" s="124"/>
      <c r="H62" s="121" t="str">
        <f t="shared" si="9"/>
        <v/>
      </c>
      <c r="I62" s="121" t="str">
        <f t="shared" si="10"/>
        <v/>
      </c>
      <c r="J62" s="121">
        <f t="shared" si="11"/>
        <v>4.0000000000000002E-4</v>
      </c>
      <c r="K62" s="121" t="str">
        <f t="shared" si="12"/>
        <v>CA</v>
      </c>
      <c r="L62" s="121" t="str">
        <f>VLOOKUP(B62,VISL!$B:$W,22,FALSE)</f>
        <v/>
      </c>
      <c r="M62" s="190"/>
      <c r="N62" s="190" t="str">
        <f t="shared" si="6"/>
        <v/>
      </c>
      <c r="O62" s="190"/>
      <c r="P62" s="190"/>
      <c r="Q62" s="190"/>
      <c r="R62" s="190"/>
      <c r="S62" s="190"/>
    </row>
    <row r="63" spans="1:19">
      <c r="A63" s="124" t="str">
        <f>IF(INDEX(VISL!A:A,MATCH(B63,VISL!B:B,0))="x","x","")</f>
        <v/>
      </c>
      <c r="B63" s="344" t="s">
        <v>777</v>
      </c>
      <c r="C63" s="269" t="s">
        <v>1054</v>
      </c>
      <c r="D63" s="200"/>
      <c r="E63" s="122" t="str">
        <f t="shared" si="7"/>
        <v>--</v>
      </c>
      <c r="F63" s="123" t="str">
        <f t="shared" si="8"/>
        <v>--</v>
      </c>
      <c r="G63" s="124"/>
      <c r="H63" s="121">
        <f t="shared" si="9"/>
        <v>6.2E-4</v>
      </c>
      <c r="I63" s="121" t="str">
        <f t="shared" si="10"/>
        <v>I</v>
      </c>
      <c r="J63" s="121" t="str">
        <f t="shared" si="11"/>
        <v/>
      </c>
      <c r="K63" s="121" t="str">
        <f t="shared" si="12"/>
        <v/>
      </c>
      <c r="L63" s="121" t="str">
        <f>VLOOKUP(B63,VISL!$B:$W,22,FALSE)</f>
        <v>Mut</v>
      </c>
      <c r="M63" s="190"/>
      <c r="N63" s="190" t="str">
        <f t="shared" si="6"/>
        <v/>
      </c>
      <c r="O63" s="190"/>
      <c r="P63" s="190"/>
      <c r="Q63" s="190"/>
      <c r="R63" s="190"/>
      <c r="S63" s="190"/>
    </row>
    <row r="64" spans="1:19">
      <c r="A64" s="124" t="str">
        <f>IF(INDEX(VISL!A:A,MATCH(B64,VISL!B:B,0))="x","x","")</f>
        <v/>
      </c>
      <c r="B64" s="344" t="s">
        <v>785</v>
      </c>
      <c r="C64" s="269" t="s">
        <v>1437</v>
      </c>
      <c r="D64" s="200"/>
      <c r="E64" s="122" t="str">
        <f t="shared" si="7"/>
        <v>--</v>
      </c>
      <c r="F64" s="123" t="str">
        <f t="shared" si="8"/>
        <v>--</v>
      </c>
      <c r="G64" s="124"/>
      <c r="H64" s="121" t="str">
        <f t="shared" si="9"/>
        <v/>
      </c>
      <c r="I64" s="121" t="str">
        <f t="shared" si="10"/>
        <v/>
      </c>
      <c r="J64" s="121">
        <f t="shared" si="11"/>
        <v>0.4</v>
      </c>
      <c r="K64" s="121" t="str">
        <f t="shared" si="12"/>
        <v>I</v>
      </c>
      <c r="L64" s="121" t="str">
        <f>VLOOKUP(B64,VISL!$B:$W,22,FALSE)</f>
        <v/>
      </c>
      <c r="M64" s="190"/>
      <c r="N64" s="190" t="str">
        <f t="shared" ref="N64:N106" si="13">IF(AND(H64="",J64=""),"X","")</f>
        <v/>
      </c>
      <c r="O64" s="190"/>
      <c r="P64" s="190"/>
      <c r="Q64" s="190"/>
      <c r="R64" s="190"/>
      <c r="S64" s="190"/>
    </row>
    <row r="65" spans="1:19">
      <c r="A65" s="124" t="str">
        <f>IF(INDEX(VISL!A:A,MATCH(B65,VISL!B:B,0))="x","x","")</f>
        <v/>
      </c>
      <c r="B65" s="344" t="s">
        <v>790</v>
      </c>
      <c r="C65" s="269" t="s">
        <v>2236</v>
      </c>
      <c r="D65" s="200"/>
      <c r="E65" s="122" t="str">
        <f t="shared" si="7"/>
        <v>--</v>
      </c>
      <c r="F65" s="123" t="str">
        <f t="shared" si="8"/>
        <v>--</v>
      </c>
      <c r="G65" s="124"/>
      <c r="H65" s="121" t="str">
        <f t="shared" si="9"/>
        <v/>
      </c>
      <c r="I65" s="121" t="str">
        <f t="shared" si="10"/>
        <v/>
      </c>
      <c r="J65" s="121">
        <f t="shared" si="11"/>
        <v>8.0000000000000004E-4</v>
      </c>
      <c r="K65" s="121" t="str">
        <f t="shared" si="12"/>
        <v>S</v>
      </c>
      <c r="L65" s="121" t="str">
        <f>VLOOKUP(B65,VISL!$B:$W,22,FALSE)</f>
        <v/>
      </c>
      <c r="M65" s="190"/>
      <c r="N65" s="190" t="str">
        <f t="shared" si="13"/>
        <v/>
      </c>
      <c r="O65" s="190"/>
      <c r="P65" s="190"/>
      <c r="Q65" s="190"/>
      <c r="R65" s="190"/>
      <c r="S65" s="190"/>
    </row>
    <row r="66" spans="1:19">
      <c r="A66" s="124" t="str">
        <f>IF(INDEX(VISL!A:A,MATCH(B66,VISL!B:B,0))="x","x","")</f>
        <v/>
      </c>
      <c r="B66" s="344" t="s">
        <v>801</v>
      </c>
      <c r="C66" s="269" t="s">
        <v>1062</v>
      </c>
      <c r="D66" s="200"/>
      <c r="E66" s="122" t="str">
        <f t="shared" si="7"/>
        <v>--</v>
      </c>
      <c r="F66" s="123" t="str">
        <f t="shared" si="8"/>
        <v>--</v>
      </c>
      <c r="G66" s="124"/>
      <c r="H66" s="121" t="str">
        <f t="shared" si="9"/>
        <v/>
      </c>
      <c r="I66" s="121" t="str">
        <f t="shared" si="10"/>
        <v/>
      </c>
      <c r="J66" s="121">
        <f t="shared" si="11"/>
        <v>6</v>
      </c>
      <c r="K66" s="121" t="str">
        <f t="shared" si="12"/>
        <v>I</v>
      </c>
      <c r="L66" s="121" t="str">
        <f>VLOOKUP(B66,VISL!$B:$W,22,FALSE)</f>
        <v/>
      </c>
      <c r="M66" s="190"/>
      <c r="N66" s="190" t="str">
        <f t="shared" si="13"/>
        <v/>
      </c>
      <c r="O66" s="190"/>
      <c r="P66" s="190"/>
      <c r="Q66" s="190"/>
      <c r="R66" s="190"/>
      <c r="S66" s="190"/>
    </row>
    <row r="67" spans="1:19">
      <c r="A67" s="124" t="str">
        <f>IF(INDEX(VISL!A:A,MATCH(B67,VISL!B:B,0))="x","x","")</f>
        <v/>
      </c>
      <c r="B67" s="344" t="s">
        <v>803</v>
      </c>
      <c r="C67" s="269" t="s">
        <v>1064</v>
      </c>
      <c r="D67" s="200"/>
      <c r="E67" s="122" t="str">
        <f t="shared" si="7"/>
        <v>--</v>
      </c>
      <c r="F67" s="123" t="str">
        <f t="shared" si="8"/>
        <v>--</v>
      </c>
      <c r="G67" s="124"/>
      <c r="H67" s="121" t="str">
        <f t="shared" si="9"/>
        <v/>
      </c>
      <c r="I67" s="121" t="str">
        <f t="shared" si="10"/>
        <v/>
      </c>
      <c r="J67" s="121">
        <f t="shared" si="11"/>
        <v>0.7</v>
      </c>
      <c r="K67" s="121" t="str">
        <f t="shared" si="12"/>
        <v>P</v>
      </c>
      <c r="L67" s="121" t="str">
        <f>VLOOKUP(B67,VISL!$B:$W,22,FALSE)</f>
        <v/>
      </c>
      <c r="M67" s="190"/>
      <c r="N67" s="190" t="str">
        <f t="shared" si="13"/>
        <v/>
      </c>
      <c r="O67" s="190"/>
      <c r="P67" s="190"/>
      <c r="Q67" s="190"/>
      <c r="R67" s="190"/>
      <c r="S67" s="190"/>
    </row>
    <row r="68" spans="1:19">
      <c r="A68" s="124" t="str">
        <f>IF(INDEX(VISL!A:A,MATCH(B68,VISL!B:B,0))="x","x","")</f>
        <v/>
      </c>
      <c r="B68" s="344" t="s">
        <v>1991</v>
      </c>
      <c r="C68" s="269" t="s">
        <v>1990</v>
      </c>
      <c r="D68" s="200"/>
      <c r="E68" s="122" t="str">
        <f t="shared" si="7"/>
        <v>--</v>
      </c>
      <c r="F68" s="123" t="str">
        <f t="shared" si="8"/>
        <v>--</v>
      </c>
      <c r="G68" s="124"/>
      <c r="H68" s="121" t="str">
        <f t="shared" si="9"/>
        <v/>
      </c>
      <c r="I68" s="121" t="str">
        <f t="shared" si="10"/>
        <v/>
      </c>
      <c r="J68" s="121">
        <f t="shared" si="11"/>
        <v>1</v>
      </c>
      <c r="K68" s="121" t="str">
        <f t="shared" si="12"/>
        <v>X</v>
      </c>
      <c r="L68" s="121" t="str">
        <f>VLOOKUP(B68,VISL!$B:$W,22,FALSE)</f>
        <v/>
      </c>
      <c r="M68" s="190"/>
      <c r="N68" s="190" t="str">
        <f t="shared" si="13"/>
        <v/>
      </c>
      <c r="O68" s="190"/>
      <c r="P68" s="190"/>
      <c r="Q68" s="190"/>
      <c r="R68" s="190"/>
      <c r="S68" s="190"/>
    </row>
    <row r="69" spans="1:19">
      <c r="A69" s="124" t="str">
        <f>IF(INDEX(VISL!A:A,MATCH(B69,VISL!B:B,0))="x","x","")</f>
        <v/>
      </c>
      <c r="B69" s="269" t="s">
        <v>809</v>
      </c>
      <c r="C69" s="269" t="s">
        <v>1069</v>
      </c>
      <c r="D69" s="200"/>
      <c r="E69" s="122" t="str">
        <f t="shared" ref="E69:E88" si="14">IF(OR(D69="",ISTEXT(D69)),"--",IF(H69="","No IUR",IF(L69&lt;&gt;"TCE",D69*(IF(AND(L69="VC",Scenario_IA="Residential"),H69,0)+H69*IF(L69="Mut",MMOAAF_IA,ED_IA)*EF_IA*ET_IA/(ATc_IA*365*24)),D69*mIURTCE_IA*MMOAAF_IA*EF_IA*ET_IA/(ATc_IA*365*24)+D69*IURTCE_IA*ED_IA*EF_IA*ET_IA/(ATc_IA*365*24))))</f>
        <v>--</v>
      </c>
      <c r="F69" s="123" t="str">
        <f t="shared" ref="F69:F88" si="15">IF(OR(D69="",ISTEXT(D69)),"--",IF(J69="","No RfC",D69*EF_IA*ED_IA*ET_IA/(J69*ATnc_IA*365*24*1000)))</f>
        <v>--</v>
      </c>
      <c r="G69" s="124"/>
      <c r="H69" s="121">
        <f t="shared" ref="H69:H88" si="16">IF(INDEX(IUR,MATCH(B69,CASNoTox,0))=" ","",IF(L69="TCE","see note",INDEX(IUR,MATCH(B69,CASNoTox,0))))</f>
        <v>9.7E-5</v>
      </c>
      <c r="I69" s="121" t="str">
        <f t="shared" ref="I69:I88" si="17">IF(INDEX(IURSource,MATCH(B69,CASNoTox,0))="","",SUBSTITUTE(INDEX(IURSource,MATCH(B69,CASNoTox,0)),"C","CA"))</f>
        <v>CA</v>
      </c>
      <c r="J69" s="121" t="str">
        <f t="shared" ref="J69:J88" si="18">IF(INDEX(RFC,MATCH(B69,CASNoTox,0))=" ","",INDEX(RFC,MATCH(B69,CASNoTox,0)))</f>
        <v/>
      </c>
      <c r="K69" s="121" t="str">
        <f t="shared" ref="K69:K88" si="19">IF(INDEX(RFCSource,MATCH(B69,CASNoTox,0))="","",SUBSTITUTE(INDEX(RFCSource,MATCH(B69,CASNoTox,0)),"C","CA"))</f>
        <v/>
      </c>
      <c r="L69" s="121" t="str">
        <f>VLOOKUP(B69,VISL!$B:$W,22,FALSE)</f>
        <v/>
      </c>
      <c r="M69" s="190"/>
      <c r="N69" s="190" t="str">
        <f t="shared" si="13"/>
        <v/>
      </c>
      <c r="O69" s="190"/>
      <c r="P69" s="190"/>
      <c r="Q69" s="190"/>
      <c r="R69" s="190"/>
      <c r="S69" s="190"/>
    </row>
    <row r="70" spans="1:19">
      <c r="A70" s="124" t="str">
        <f>IF(INDEX(VISL!A:A,MATCH(B70,VISL!B:B,0))="x","x","")</f>
        <v/>
      </c>
      <c r="B70" s="344" t="s">
        <v>818</v>
      </c>
      <c r="C70" s="269" t="s">
        <v>1074</v>
      </c>
      <c r="D70" s="200"/>
      <c r="E70" s="122" t="str">
        <f>IF(OR(D70="",ISTEXT(D70)),"--",IF(H70="","No IUR",IF(L70&lt;&gt;"TCE",D70*(IF(AND(L70="VC",Scenario_IA="Residential"),H70,0)+H70*IF(L70="Mut",MMOAAF_IA,ED_IA)*EF_IA*ET_IA/(ATc_IA*365*24)),D70*mIURTCE_IA*MMOAAF_IA*EF_IA*ET_IA/(ATc_IA*365*24)+D70*IURTCE_IA*ED_IA*EF_IA*ET_IA/(ATc_IA*365*24))))</f>
        <v>--</v>
      </c>
      <c r="F70" s="123" t="str">
        <f>IF(OR(D70="",ISTEXT(D70)),"--",IF(J70="","No RfC",D70*EF_IA*ED_IA*ET_IA/(J70*ATnc_IA*365*24*1000)))</f>
        <v>--</v>
      </c>
      <c r="G70" s="124"/>
      <c r="H70" s="121">
        <f>IF(INDEX(IUR,MATCH(B70,CASNoTox,0))=" ","",IF(L70="TCE","see note",INDEX(IUR,MATCH(B70,CASNoTox,0))))</f>
        <v>6.0000000000000001E-3</v>
      </c>
      <c r="I70" s="121" t="str">
        <f>IF(INDEX(IURSource,MATCH(B70,CASNoTox,0))="","",SUBSTITUTE(INDEX(IURSource,MATCH(B70,CASNoTox,0)),"C","CA"))</f>
        <v>P</v>
      </c>
      <c r="J70" s="121">
        <f>IF(INDEX(RFC,MATCH(B70,CASNoTox,0))=" ","",INDEX(RFC,MATCH(B70,CASNoTox,0)))</f>
        <v>2.0000000000000001E-4</v>
      </c>
      <c r="K70" s="121" t="str">
        <f>IF(INDEX(RFCSource,MATCH(B70,CASNoTox,0))="","",SUBSTITUTE(INDEX(RFCSource,MATCH(B70,CASNoTox,0)),"C","CA"))</f>
        <v>I</v>
      </c>
      <c r="L70" s="121" t="str">
        <f>VLOOKUP(B70,VISL!$B:$W,22,FALSE)</f>
        <v>Mut</v>
      </c>
      <c r="M70" s="190"/>
      <c r="N70" s="190" t="str">
        <f>IF(AND(H70="",J70=""),"X","")</f>
        <v/>
      </c>
      <c r="O70" s="190"/>
      <c r="P70" s="190"/>
      <c r="Q70" s="190"/>
      <c r="R70" s="190"/>
      <c r="S70" s="190"/>
    </row>
    <row r="71" spans="1:19">
      <c r="A71" s="124" t="str">
        <f>IF(INDEX(VISL!A:A,MATCH(B71,VISL!B:B,0))="x","x","")</f>
        <v/>
      </c>
      <c r="B71" s="269" t="s">
        <v>821</v>
      </c>
      <c r="C71" s="269" t="s">
        <v>1077</v>
      </c>
      <c r="D71" s="200"/>
      <c r="E71" s="122" t="str">
        <f t="shared" si="14"/>
        <v>--</v>
      </c>
      <c r="F71" s="123" t="str">
        <f t="shared" si="15"/>
        <v>--</v>
      </c>
      <c r="G71" s="124"/>
      <c r="H71" s="121">
        <f t="shared" si="16"/>
        <v>5.9999999999999995E-4</v>
      </c>
      <c r="I71" s="121" t="str">
        <f t="shared" si="17"/>
        <v>I</v>
      </c>
      <c r="J71" s="121">
        <f t="shared" si="18"/>
        <v>8.9999999999999993E-3</v>
      </c>
      <c r="K71" s="121" t="str">
        <f t="shared" si="19"/>
        <v>I</v>
      </c>
      <c r="L71" s="121" t="str">
        <f>VLOOKUP(B71,VISL!$B:$W,22,FALSE)</f>
        <v/>
      </c>
      <c r="M71" s="190"/>
      <c r="N71" s="190" t="str">
        <f t="shared" si="13"/>
        <v/>
      </c>
      <c r="O71" s="190"/>
      <c r="P71" s="190"/>
      <c r="Q71" s="190"/>
      <c r="R71" s="190"/>
      <c r="S71" s="190"/>
    </row>
    <row r="72" spans="1:19">
      <c r="A72" s="124" t="str">
        <f>IF(INDEX(VISL!A:A,MATCH(B72,VISL!B:B,0))="x","x","")</f>
        <v/>
      </c>
      <c r="B72" s="344" t="s">
        <v>822</v>
      </c>
      <c r="C72" s="269" t="s">
        <v>1078</v>
      </c>
      <c r="D72" s="200"/>
      <c r="E72" s="122" t="str">
        <f t="shared" si="14"/>
        <v>--</v>
      </c>
      <c r="F72" s="123" t="str">
        <f t="shared" si="15"/>
        <v>--</v>
      </c>
      <c r="G72" s="124"/>
      <c r="H72" s="121" t="str">
        <f t="shared" si="16"/>
        <v/>
      </c>
      <c r="I72" s="121" t="str">
        <f t="shared" si="17"/>
        <v/>
      </c>
      <c r="J72" s="121">
        <f t="shared" si="18"/>
        <v>4.0000000000000001E-3</v>
      </c>
      <c r="K72" s="121" t="str">
        <f t="shared" si="19"/>
        <v>X</v>
      </c>
      <c r="L72" s="121" t="str">
        <f>VLOOKUP(B72,VISL!$B:$W,22,FALSE)</f>
        <v/>
      </c>
      <c r="M72" s="190"/>
      <c r="N72" s="190" t="str">
        <f t="shared" si="13"/>
        <v/>
      </c>
      <c r="O72" s="190"/>
      <c r="P72" s="190"/>
      <c r="Q72" s="190"/>
      <c r="R72" s="190"/>
      <c r="S72" s="190"/>
    </row>
    <row r="73" spans="1:19">
      <c r="A73" s="124" t="str">
        <f>IF(INDEX(VISL!A:A,MATCH(B73,VISL!B:B,0))="x","x","")</f>
        <v/>
      </c>
      <c r="B73" s="269" t="s">
        <v>825</v>
      </c>
      <c r="C73" s="269" t="s">
        <v>1081</v>
      </c>
      <c r="D73" s="200"/>
      <c r="E73" s="122" t="str">
        <f t="shared" si="14"/>
        <v>--</v>
      </c>
      <c r="F73" s="123" t="str">
        <f t="shared" si="15"/>
        <v>--</v>
      </c>
      <c r="G73" s="124"/>
      <c r="H73" s="121">
        <f t="shared" si="16"/>
        <v>4.1999999999999997E-3</v>
      </c>
      <c r="I73" s="121" t="str">
        <f t="shared" si="17"/>
        <v>P</v>
      </c>
      <c r="J73" s="121" t="str">
        <f t="shared" si="18"/>
        <v/>
      </c>
      <c r="K73" s="121" t="str">
        <f t="shared" si="19"/>
        <v/>
      </c>
      <c r="L73" s="121" t="str">
        <f>VLOOKUP(B73,VISL!$B:$W,22,FALSE)</f>
        <v/>
      </c>
      <c r="M73" s="190"/>
      <c r="N73" s="190" t="str">
        <f t="shared" si="13"/>
        <v/>
      </c>
      <c r="O73" s="190"/>
      <c r="P73" s="190"/>
      <c r="Q73" s="190"/>
      <c r="R73" s="190"/>
      <c r="S73" s="190"/>
    </row>
    <row r="74" spans="1:19">
      <c r="A74" s="124" t="str">
        <f>IF(INDEX(VISL!A:A,MATCH(B74,VISL!B:B,0))="x","x","")</f>
        <v/>
      </c>
      <c r="B74" s="344" t="s">
        <v>826</v>
      </c>
      <c r="C74" s="269" t="s">
        <v>576</v>
      </c>
      <c r="D74" s="200"/>
      <c r="E74" s="122" t="str">
        <f t="shared" si="14"/>
        <v>--</v>
      </c>
      <c r="F74" s="123" t="str">
        <f t="shared" si="15"/>
        <v>--</v>
      </c>
      <c r="G74" s="124"/>
      <c r="H74" s="121">
        <f t="shared" si="16"/>
        <v>4.1999999999999997E-3</v>
      </c>
      <c r="I74" s="121" t="str">
        <f t="shared" si="17"/>
        <v>P</v>
      </c>
      <c r="J74" s="121" t="str">
        <f t="shared" si="18"/>
        <v/>
      </c>
      <c r="K74" s="121" t="str">
        <f t="shared" si="19"/>
        <v/>
      </c>
      <c r="L74" s="121" t="str">
        <f>VLOOKUP(B74,VISL!$B:$W,22,FALSE)</f>
        <v/>
      </c>
      <c r="M74" s="190"/>
      <c r="N74" s="190" t="str">
        <f t="shared" si="13"/>
        <v/>
      </c>
      <c r="O74" s="190"/>
      <c r="P74" s="190"/>
      <c r="Q74" s="190"/>
      <c r="R74" s="190"/>
      <c r="S74" s="190"/>
    </row>
    <row r="75" spans="1:19">
      <c r="A75" s="124" t="str">
        <f>IF(INDEX(VISL!A:A,MATCH(B75,VISL!B:B,0))="x","x","")</f>
        <v/>
      </c>
      <c r="B75" s="269" t="s">
        <v>827</v>
      </c>
      <c r="C75" s="269" t="s">
        <v>577</v>
      </c>
      <c r="D75" s="200"/>
      <c r="E75" s="122" t="str">
        <f t="shared" si="14"/>
        <v>--</v>
      </c>
      <c r="F75" s="123" t="str">
        <f t="shared" si="15"/>
        <v>--</v>
      </c>
      <c r="G75" s="124"/>
      <c r="H75" s="121">
        <f t="shared" si="16"/>
        <v>4.1999999999999997E-3</v>
      </c>
      <c r="I75" s="121" t="str">
        <f t="shared" si="17"/>
        <v>P</v>
      </c>
      <c r="J75" s="121" t="str">
        <f t="shared" si="18"/>
        <v/>
      </c>
      <c r="K75" s="121" t="str">
        <f t="shared" si="19"/>
        <v/>
      </c>
      <c r="L75" s="121" t="str">
        <f>VLOOKUP(B75,VISL!$B:$W,22,FALSE)</f>
        <v/>
      </c>
      <c r="M75" s="190"/>
      <c r="N75" s="190" t="str">
        <f t="shared" si="13"/>
        <v/>
      </c>
      <c r="O75" s="190"/>
      <c r="P75" s="190"/>
      <c r="Q75" s="190"/>
      <c r="R75" s="190"/>
      <c r="S75" s="190"/>
    </row>
    <row r="76" spans="1:19">
      <c r="A76" s="124" t="str">
        <f>IF(INDEX(VISL!A:A,MATCH(B76,VISL!B:B,0))="x","x","")</f>
        <v/>
      </c>
      <c r="B76" s="344" t="s">
        <v>829</v>
      </c>
      <c r="C76" s="269" t="s">
        <v>1083</v>
      </c>
      <c r="D76" s="200"/>
      <c r="E76" s="122" t="str">
        <f t="shared" si="14"/>
        <v>--</v>
      </c>
      <c r="F76" s="123" t="str">
        <f t="shared" si="15"/>
        <v>--</v>
      </c>
      <c r="G76" s="124"/>
      <c r="H76" s="121" t="str">
        <f t="shared" si="16"/>
        <v/>
      </c>
      <c r="I76" s="121" t="str">
        <f t="shared" si="17"/>
        <v/>
      </c>
      <c r="J76" s="121">
        <f t="shared" si="18"/>
        <v>0.2</v>
      </c>
      <c r="K76" s="121" t="str">
        <f t="shared" si="19"/>
        <v>H</v>
      </c>
      <c r="L76" s="121" t="str">
        <f>VLOOKUP(B76,VISL!$B:$W,22,FALSE)</f>
        <v/>
      </c>
      <c r="M76" s="190"/>
      <c r="N76" s="190" t="str">
        <f t="shared" si="13"/>
        <v/>
      </c>
      <c r="O76" s="190"/>
      <c r="P76" s="190"/>
      <c r="Q76" s="190"/>
      <c r="R76" s="190"/>
      <c r="S76" s="190"/>
    </row>
    <row r="77" spans="1:19">
      <c r="A77" s="124" t="str">
        <f>IF(INDEX(VISL!A:A,MATCH(B77,VISL!B:B,0))="x","x","")</f>
        <v/>
      </c>
      <c r="B77" s="344" t="s">
        <v>830</v>
      </c>
      <c r="C77" s="269" t="s">
        <v>1084</v>
      </c>
      <c r="D77" s="230"/>
      <c r="E77" s="122" t="str">
        <f t="shared" si="14"/>
        <v>--</v>
      </c>
      <c r="F77" s="123" t="str">
        <f t="shared" si="15"/>
        <v>--</v>
      </c>
      <c r="G77" s="124"/>
      <c r="H77" s="121">
        <f t="shared" si="16"/>
        <v>1.1E-5</v>
      </c>
      <c r="I77" s="121" t="str">
        <f t="shared" si="17"/>
        <v>CA</v>
      </c>
      <c r="J77" s="121">
        <f t="shared" si="18"/>
        <v>0.8</v>
      </c>
      <c r="K77" s="121" t="str">
        <f t="shared" si="19"/>
        <v>I</v>
      </c>
      <c r="L77" s="121" t="str">
        <f>VLOOKUP(B77,VISL!$B:$W,22,FALSE)</f>
        <v/>
      </c>
      <c r="M77" s="190"/>
      <c r="N77" s="190" t="str">
        <f t="shared" si="13"/>
        <v/>
      </c>
      <c r="O77" s="190"/>
      <c r="P77" s="190"/>
      <c r="Q77" s="190"/>
      <c r="R77" s="190"/>
      <c r="S77" s="190"/>
    </row>
    <row r="78" spans="1:19">
      <c r="A78" s="124" t="str">
        <f>IF(INDEX(VISL!A:A,MATCH(B78,VISL!B:B,0))="x","x","")</f>
        <v/>
      </c>
      <c r="B78" s="344" t="s">
        <v>833</v>
      </c>
      <c r="C78" s="269" t="s">
        <v>1438</v>
      </c>
      <c r="D78" s="200"/>
      <c r="E78" s="122" t="str">
        <f t="shared" si="14"/>
        <v>--</v>
      </c>
      <c r="F78" s="123" t="str">
        <f t="shared" si="15"/>
        <v>--</v>
      </c>
      <c r="G78" s="124"/>
      <c r="H78" s="121" t="str">
        <f t="shared" si="16"/>
        <v/>
      </c>
      <c r="I78" s="121" t="str">
        <f t="shared" si="17"/>
        <v/>
      </c>
      <c r="J78" s="121">
        <f t="shared" si="18"/>
        <v>0.1</v>
      </c>
      <c r="K78" s="121" t="str">
        <f t="shared" si="19"/>
        <v>X</v>
      </c>
      <c r="L78" s="121" t="str">
        <f>VLOOKUP(B78,VISL!$B:$W,22,FALSE)</f>
        <v/>
      </c>
      <c r="M78" s="190"/>
      <c r="N78" s="190" t="str">
        <f t="shared" si="13"/>
        <v/>
      </c>
      <c r="O78" s="190"/>
      <c r="P78" s="190"/>
      <c r="Q78" s="190"/>
      <c r="R78" s="190"/>
      <c r="S78" s="190"/>
    </row>
    <row r="79" spans="1:19">
      <c r="A79" s="124" t="str">
        <f>IF(INDEX(VISL!A:A,MATCH(B79,VISL!B:B,0))="x","x","")</f>
        <v/>
      </c>
      <c r="B79" s="344" t="s">
        <v>834</v>
      </c>
      <c r="C79" s="269" t="s">
        <v>1086</v>
      </c>
      <c r="D79" s="230"/>
      <c r="E79" s="122" t="str">
        <f t="shared" si="14"/>
        <v>--</v>
      </c>
      <c r="F79" s="123" t="str">
        <f t="shared" si="15"/>
        <v>--</v>
      </c>
      <c r="G79" s="124"/>
      <c r="H79" s="121">
        <f t="shared" si="16"/>
        <v>1.5999999999999999E-6</v>
      </c>
      <c r="I79" s="121" t="str">
        <f t="shared" si="17"/>
        <v>CA</v>
      </c>
      <c r="J79" s="121" t="str">
        <f t="shared" si="18"/>
        <v/>
      </c>
      <c r="K79" s="121" t="str">
        <f t="shared" si="19"/>
        <v/>
      </c>
      <c r="L79" s="121" t="str">
        <f>VLOOKUP(B79,VISL!$B:$W,22,FALSE)</f>
        <v/>
      </c>
      <c r="M79" s="190"/>
      <c r="N79" s="190" t="str">
        <f t="shared" si="13"/>
        <v/>
      </c>
      <c r="O79" s="190"/>
      <c r="P79" s="190"/>
      <c r="Q79" s="190"/>
      <c r="R79" s="190"/>
      <c r="S79" s="190"/>
    </row>
    <row r="80" spans="1:19">
      <c r="A80" s="124" t="str">
        <f>IF(INDEX(VISL!A:A,MATCH(B80,VISL!B:B,0))="x","x","")</f>
        <v/>
      </c>
      <c r="B80" s="344" t="s">
        <v>835</v>
      </c>
      <c r="C80" s="269" t="s">
        <v>1087</v>
      </c>
      <c r="D80" s="200"/>
      <c r="E80" s="122" t="str">
        <f t="shared" si="14"/>
        <v>--</v>
      </c>
      <c r="F80" s="123" t="str">
        <f t="shared" si="15"/>
        <v>--</v>
      </c>
      <c r="G80" s="124"/>
      <c r="H80" s="121">
        <f t="shared" si="16"/>
        <v>2.5999999999999998E-5</v>
      </c>
      <c r="I80" s="121" t="str">
        <f t="shared" si="17"/>
        <v>I</v>
      </c>
      <c r="J80" s="121">
        <f t="shared" si="18"/>
        <v>7.0000000000000001E-3</v>
      </c>
      <c r="K80" s="121" t="str">
        <f t="shared" si="19"/>
        <v>P</v>
      </c>
      <c r="L80" s="121" t="str">
        <f>VLOOKUP(B80,VISL!$B:$W,22,FALSE)</f>
        <v/>
      </c>
      <c r="M80" s="190"/>
      <c r="N80" s="190" t="str">
        <f t="shared" si="13"/>
        <v/>
      </c>
      <c r="O80" s="190"/>
      <c r="P80" s="190"/>
      <c r="Q80" s="190"/>
      <c r="R80" s="190"/>
      <c r="S80" s="190"/>
    </row>
    <row r="81" spans="1:19">
      <c r="A81" s="124" t="str">
        <f>IF(INDEX(VISL!A:A,MATCH(B81,VISL!B:B,0))="x","x","")</f>
        <v/>
      </c>
      <c r="B81" s="344" t="s">
        <v>836</v>
      </c>
      <c r="C81" s="269" t="s">
        <v>444</v>
      </c>
      <c r="D81" s="200"/>
      <c r="E81" s="122" t="str">
        <f t="shared" si="14"/>
        <v>--</v>
      </c>
      <c r="F81" s="123" t="str">
        <f t="shared" si="15"/>
        <v>--</v>
      </c>
      <c r="G81" s="124"/>
      <c r="H81" s="121" t="str">
        <f t="shared" si="16"/>
        <v/>
      </c>
      <c r="I81" s="121" t="str">
        <f t="shared" si="17"/>
        <v/>
      </c>
      <c r="J81" s="121">
        <f t="shared" si="18"/>
        <v>0.2</v>
      </c>
      <c r="K81" s="121" t="str">
        <f t="shared" si="19"/>
        <v>I</v>
      </c>
      <c r="L81" s="121" t="str">
        <f>VLOOKUP(B81,VISL!$B:$W,22,FALSE)</f>
        <v/>
      </c>
      <c r="M81" s="190"/>
      <c r="N81" s="190" t="str">
        <f t="shared" si="13"/>
        <v/>
      </c>
      <c r="O81" s="190"/>
      <c r="P81" s="190"/>
      <c r="Q81" s="190"/>
      <c r="R81" s="190"/>
      <c r="S81" s="190"/>
    </row>
    <row r="82" spans="1:19">
      <c r="A82" s="124" t="str">
        <f>IF(INDEX(VISL!A:A,MATCH(B82,VISL!B:B,0))="x","x","")</f>
        <v/>
      </c>
      <c r="B82" s="344" t="s">
        <v>842</v>
      </c>
      <c r="C82" s="269" t="s">
        <v>445</v>
      </c>
      <c r="D82" s="230"/>
      <c r="E82" s="122" t="str">
        <f t="shared" si="14"/>
        <v>--</v>
      </c>
      <c r="F82" s="123" t="str">
        <f t="shared" si="15"/>
        <v>--</v>
      </c>
      <c r="G82" s="124"/>
      <c r="H82" s="121">
        <f t="shared" si="16"/>
        <v>3.7000000000000002E-6</v>
      </c>
      <c r="I82" s="121" t="str">
        <f t="shared" si="17"/>
        <v>P</v>
      </c>
      <c r="J82" s="121">
        <f t="shared" si="18"/>
        <v>4.0000000000000001E-3</v>
      </c>
      <c r="K82" s="121" t="str">
        <f t="shared" si="19"/>
        <v>I</v>
      </c>
      <c r="L82" s="121" t="str">
        <f>VLOOKUP(B82,VISL!$B:$W,22,FALSE)</f>
        <v/>
      </c>
      <c r="M82" s="190"/>
      <c r="N82" s="190" t="str">
        <f t="shared" si="13"/>
        <v/>
      </c>
      <c r="O82" s="190"/>
      <c r="P82" s="190"/>
      <c r="Q82" s="190"/>
      <c r="R82" s="190"/>
      <c r="S82" s="190"/>
    </row>
    <row r="83" spans="1:19">
      <c r="A83" s="124" t="str">
        <f>IF(INDEX(VISL!A:A,MATCH(B83,VISL!B:B,0))="x","x","")</f>
        <v/>
      </c>
      <c r="B83" s="344" t="s">
        <v>845</v>
      </c>
      <c r="C83" s="269" t="s">
        <v>1094</v>
      </c>
      <c r="D83" s="200"/>
      <c r="E83" s="122" t="str">
        <f t="shared" si="14"/>
        <v>--</v>
      </c>
      <c r="F83" s="123" t="str">
        <f t="shared" si="15"/>
        <v>--</v>
      </c>
      <c r="G83" s="124"/>
      <c r="H83" s="121">
        <f t="shared" si="16"/>
        <v>3.9999999999999998E-6</v>
      </c>
      <c r="I83" s="121" t="str">
        <f t="shared" si="17"/>
        <v>I</v>
      </c>
      <c r="J83" s="121">
        <f t="shared" si="18"/>
        <v>0.02</v>
      </c>
      <c r="K83" s="121" t="str">
        <f t="shared" si="19"/>
        <v>I</v>
      </c>
      <c r="L83" s="121" t="str">
        <f>VLOOKUP(B83,VISL!$B:$W,22,FALSE)</f>
        <v/>
      </c>
      <c r="M83" s="190"/>
      <c r="N83" s="190" t="str">
        <f t="shared" si="13"/>
        <v/>
      </c>
      <c r="O83" s="190"/>
      <c r="P83" s="190"/>
      <c r="Q83" s="190"/>
      <c r="R83" s="190"/>
      <c r="S83" s="190"/>
    </row>
    <row r="84" spans="1:19">
      <c r="A84" s="124" t="str">
        <f>IF(INDEX(VISL!A:A,MATCH(B84,VISL!B:B,0))="x","x","")</f>
        <v/>
      </c>
      <c r="B84" s="344" t="s">
        <v>847</v>
      </c>
      <c r="C84" s="269" t="s">
        <v>1095</v>
      </c>
      <c r="D84" s="200"/>
      <c r="E84" s="122" t="str">
        <f t="shared" si="14"/>
        <v>--</v>
      </c>
      <c r="F84" s="123" t="str">
        <f t="shared" si="15"/>
        <v>--</v>
      </c>
      <c r="G84" s="124"/>
      <c r="H84" s="121" t="str">
        <f t="shared" si="16"/>
        <v/>
      </c>
      <c r="I84" s="121" t="str">
        <f t="shared" si="17"/>
        <v/>
      </c>
      <c r="J84" s="121">
        <f t="shared" si="18"/>
        <v>2.9999999999999997E-4</v>
      </c>
      <c r="K84" s="121" t="str">
        <f t="shared" si="19"/>
        <v>X</v>
      </c>
      <c r="L84" s="121" t="str">
        <f>VLOOKUP(B84,VISL!$B:$W,22,FALSE)</f>
        <v/>
      </c>
      <c r="M84" s="190"/>
      <c r="N84" s="190" t="str">
        <f t="shared" si="13"/>
        <v/>
      </c>
      <c r="O84" s="190"/>
      <c r="P84" s="190"/>
      <c r="Q84" s="190"/>
      <c r="R84" s="190"/>
      <c r="S84" s="190"/>
    </row>
    <row r="85" spans="1:19">
      <c r="A85" s="124" t="str">
        <f>IF(INDEX(VISL!A:A,MATCH(B85,VISL!B:B,0))="x","x","")</f>
        <v/>
      </c>
      <c r="B85" s="344" t="s">
        <v>857</v>
      </c>
      <c r="C85" s="269" t="s">
        <v>1100</v>
      </c>
      <c r="D85" s="200"/>
      <c r="E85" s="122" t="str">
        <f t="shared" si="14"/>
        <v>--</v>
      </c>
      <c r="F85" s="123" t="str">
        <f t="shared" si="15"/>
        <v>--</v>
      </c>
      <c r="G85" s="124"/>
      <c r="H85" s="121" t="str">
        <f t="shared" si="16"/>
        <v/>
      </c>
      <c r="I85" s="121" t="str">
        <f t="shared" si="17"/>
        <v/>
      </c>
      <c r="J85" s="121">
        <f t="shared" si="18"/>
        <v>40</v>
      </c>
      <c r="K85" s="121" t="str">
        <f t="shared" si="19"/>
        <v>I</v>
      </c>
      <c r="L85" s="121" t="str">
        <f>VLOOKUP(B85,VISL!$B:$W,22,FALSE)</f>
        <v/>
      </c>
      <c r="M85" s="190"/>
      <c r="N85" s="190" t="str">
        <f t="shared" si="13"/>
        <v/>
      </c>
      <c r="O85" s="190"/>
      <c r="P85" s="190"/>
      <c r="Q85" s="190"/>
      <c r="R85" s="190"/>
      <c r="S85" s="190"/>
    </row>
    <row r="86" spans="1:19">
      <c r="A86" s="124" t="str">
        <f>IF(INDEX(VISL!A:A,MATCH(B86,VISL!B:B,0))="x","x","")</f>
        <v/>
      </c>
      <c r="B86" s="344" t="s">
        <v>858</v>
      </c>
      <c r="C86" s="269" t="s">
        <v>580</v>
      </c>
      <c r="D86" s="200"/>
      <c r="E86" s="122" t="str">
        <f t="shared" si="14"/>
        <v>--</v>
      </c>
      <c r="F86" s="123" t="str">
        <f t="shared" si="15"/>
        <v>--</v>
      </c>
      <c r="G86" s="124"/>
      <c r="H86" s="121">
        <f t="shared" si="16"/>
        <v>1.2999999999999999E-5</v>
      </c>
      <c r="I86" s="121" t="str">
        <f t="shared" si="17"/>
        <v>CA</v>
      </c>
      <c r="J86" s="121" t="str">
        <f t="shared" si="18"/>
        <v/>
      </c>
      <c r="K86" s="121" t="str">
        <f t="shared" si="19"/>
        <v/>
      </c>
      <c r="L86" s="121" t="str">
        <f>VLOOKUP(B86,VISL!$B:$W,22,FALSE)</f>
        <v/>
      </c>
      <c r="M86" s="190"/>
      <c r="N86" s="190" t="str">
        <f t="shared" si="13"/>
        <v/>
      </c>
      <c r="O86" s="190"/>
      <c r="P86" s="190"/>
      <c r="Q86" s="190"/>
      <c r="R86" s="190"/>
      <c r="S86" s="190"/>
    </row>
    <row r="87" spans="1:19">
      <c r="A87" s="124" t="str">
        <f>IF(INDEX(VISL!A:A,MATCH(B87,VISL!B:B,0))="x","x","")</f>
        <v/>
      </c>
      <c r="B87" s="344" t="s">
        <v>859</v>
      </c>
      <c r="C87" s="269" t="s">
        <v>530</v>
      </c>
      <c r="D87" s="230"/>
      <c r="E87" s="122" t="str">
        <f t="shared" si="14"/>
        <v>--</v>
      </c>
      <c r="F87" s="123" t="str">
        <f t="shared" si="15"/>
        <v>--</v>
      </c>
      <c r="G87" s="124"/>
      <c r="H87" s="121" t="str">
        <f t="shared" si="16"/>
        <v/>
      </c>
      <c r="I87" s="121" t="str">
        <f t="shared" si="17"/>
        <v/>
      </c>
      <c r="J87" s="121">
        <f t="shared" si="18"/>
        <v>0.7</v>
      </c>
      <c r="K87" s="121" t="str">
        <f t="shared" si="19"/>
        <v>P</v>
      </c>
      <c r="L87" s="121" t="str">
        <f>VLOOKUP(B87,VISL!$B:$W,22,FALSE)</f>
        <v/>
      </c>
      <c r="M87" s="190"/>
      <c r="N87" s="190" t="str">
        <f t="shared" si="13"/>
        <v/>
      </c>
      <c r="O87" s="190"/>
      <c r="P87" s="190"/>
      <c r="Q87" s="190"/>
      <c r="R87" s="190"/>
      <c r="S87" s="190"/>
    </row>
    <row r="88" spans="1:19">
      <c r="A88" s="124" t="str">
        <f>IF(INDEX(VISL!A:A,MATCH(B88,VISL!B:B,0))="x","x","")</f>
        <v/>
      </c>
      <c r="B88" s="344" t="s">
        <v>870</v>
      </c>
      <c r="C88" s="269" t="s">
        <v>1109</v>
      </c>
      <c r="D88" s="200"/>
      <c r="E88" s="122" t="str">
        <f t="shared" si="14"/>
        <v>--</v>
      </c>
      <c r="F88" s="123" t="str">
        <f t="shared" si="15"/>
        <v>--</v>
      </c>
      <c r="G88" s="124"/>
      <c r="H88" s="121" t="str">
        <f t="shared" si="16"/>
        <v/>
      </c>
      <c r="I88" s="121" t="str">
        <f t="shared" si="17"/>
        <v/>
      </c>
      <c r="J88" s="121">
        <f t="shared" si="18"/>
        <v>0.03</v>
      </c>
      <c r="K88" s="121" t="str">
        <f t="shared" si="19"/>
        <v>I</v>
      </c>
      <c r="L88" s="121" t="str">
        <f>VLOOKUP(B88,VISL!$B:$W,22,FALSE)</f>
        <v/>
      </c>
      <c r="M88" s="190"/>
      <c r="N88" s="190" t="str">
        <f t="shared" si="13"/>
        <v/>
      </c>
      <c r="O88" s="190"/>
      <c r="P88" s="190"/>
      <c r="Q88" s="190"/>
      <c r="R88" s="190"/>
      <c r="S88" s="190"/>
    </row>
    <row r="89" spans="1:19">
      <c r="A89" s="124" t="str">
        <f>IF(INDEX(VISL!A:A,MATCH(B89,VISL!B:B,0))="x","x","")</f>
        <v/>
      </c>
      <c r="B89" s="344" t="s">
        <v>871</v>
      </c>
      <c r="C89" s="269" t="s">
        <v>582</v>
      </c>
      <c r="D89" s="200"/>
      <c r="E89" s="122" t="str">
        <f t="shared" ref="E89:E111" si="20">IF(OR(D89="",ISTEXT(D89)),"--",IF(H89="","No IUR",IF(L89&lt;&gt;"TCE",D89*(IF(AND(L89="VC",Scenario_IA="Residential"),H89,0)+H89*IF(L89="Mut",MMOAAF_IA,ED_IA)*EF_IA*ET_IA/(ATc_IA*365*24)),D89*mIURTCE_IA*MMOAAF_IA*EF_IA*ET_IA/(ATc_IA*365*24)+D89*IURTCE_IA*ED_IA*EF_IA*ET_IA/(ATc_IA*365*24))))</f>
        <v>--</v>
      </c>
      <c r="F89" s="123" t="str">
        <f t="shared" ref="F89:F111" si="21">IF(OR(D89="",ISTEXT(D89)),"--",IF(J89="","No RfC",D89*EF_IA*ED_IA*ET_IA/(J89*ATnc_IA*365*24*1000)))</f>
        <v>--</v>
      </c>
      <c r="G89" s="124"/>
      <c r="H89" s="121" t="str">
        <f t="shared" ref="H89:H111" si="22">IF(INDEX(IUR,MATCH(B89,CASNoTox,0))=" ","",IF(L89="TCE","see note",INDEX(IUR,MATCH(B89,CASNoTox,0))))</f>
        <v/>
      </c>
      <c r="I89" s="121" t="str">
        <f t="shared" ref="I89:I111" si="23">IF(INDEX(IURSource,MATCH(B89,CASNoTox,0))="","",SUBSTITUTE(INDEX(IURSource,MATCH(B89,CASNoTox,0)),"C","CA"))</f>
        <v/>
      </c>
      <c r="J89" s="121">
        <f t="shared" ref="J89:J111" si="24">IF(INDEX(RFC,MATCH(B89,CASNoTox,0))=" ","",INDEX(RFC,MATCH(B89,CASNoTox,0)))</f>
        <v>1.9999999999999999E-6</v>
      </c>
      <c r="K89" s="121" t="str">
        <f t="shared" ref="K89:K111" si="25">IF(INDEX(RFCSource,MATCH(B89,CASNoTox,0))="","",SUBSTITUTE(INDEX(RFCSource,MATCH(B89,CASNoTox,0)),"C","CA"))</f>
        <v>X</v>
      </c>
      <c r="L89" s="121" t="str">
        <f>VLOOKUP(B89,VISL!$B:$W,22,FALSE)</f>
        <v/>
      </c>
      <c r="M89" s="190"/>
      <c r="N89" s="190" t="str">
        <f t="shared" si="13"/>
        <v/>
      </c>
      <c r="O89" s="190"/>
      <c r="P89" s="190"/>
      <c r="Q89" s="190"/>
      <c r="R89" s="190"/>
      <c r="S89" s="190"/>
    </row>
    <row r="90" spans="1:19">
      <c r="A90" s="124" t="str">
        <f>IF(INDEX(VISL!A:A,MATCH(B90,VISL!B:B,0))="x","x","")</f>
        <v/>
      </c>
      <c r="B90" s="344" t="s">
        <v>872</v>
      </c>
      <c r="C90" s="269" t="s">
        <v>583</v>
      </c>
      <c r="D90" s="200"/>
      <c r="E90" s="122" t="str">
        <f t="shared" si="20"/>
        <v>--</v>
      </c>
      <c r="F90" s="123" t="str">
        <f t="shared" si="21"/>
        <v>--</v>
      </c>
      <c r="G90" s="124"/>
      <c r="H90" s="121">
        <f t="shared" si="22"/>
        <v>0.16</v>
      </c>
      <c r="I90" s="121" t="str">
        <f t="shared" si="23"/>
        <v>CA</v>
      </c>
      <c r="J90" s="121" t="str">
        <f t="shared" si="24"/>
        <v/>
      </c>
      <c r="K90" s="121" t="str">
        <f t="shared" si="25"/>
        <v/>
      </c>
      <c r="L90" s="121" t="str">
        <f>VLOOKUP(B90,VISL!$B:$W,22,FALSE)</f>
        <v/>
      </c>
      <c r="M90" s="190"/>
      <c r="N90" s="190" t="str">
        <f t="shared" si="13"/>
        <v/>
      </c>
      <c r="O90" s="190"/>
      <c r="P90" s="190"/>
      <c r="Q90" s="190"/>
      <c r="R90" s="190"/>
      <c r="S90" s="190"/>
    </row>
    <row r="91" spans="1:19">
      <c r="A91" s="124" t="str">
        <f>IF(INDEX(VISL!A:A,MATCH(B91,VISL!B:B,0))="x","x","")</f>
        <v/>
      </c>
      <c r="B91" s="344" t="s">
        <v>877</v>
      </c>
      <c r="C91" s="269" t="s">
        <v>584</v>
      </c>
      <c r="D91" s="200"/>
      <c r="E91" s="122" t="str">
        <f t="shared" si="20"/>
        <v>--</v>
      </c>
      <c r="F91" s="123" t="str">
        <f t="shared" si="21"/>
        <v>--</v>
      </c>
      <c r="G91" s="124"/>
      <c r="H91" s="121">
        <f t="shared" si="22"/>
        <v>1.2999999999999999E-5</v>
      </c>
      <c r="I91" s="121" t="str">
        <f t="shared" si="23"/>
        <v>CA</v>
      </c>
      <c r="J91" s="121" t="str">
        <f t="shared" si="24"/>
        <v/>
      </c>
      <c r="K91" s="121" t="str">
        <f t="shared" si="25"/>
        <v/>
      </c>
      <c r="L91" s="121" t="str">
        <f>VLOOKUP(B91,VISL!$B:$W,22,FALSE)</f>
        <v/>
      </c>
      <c r="M91" s="190"/>
      <c r="N91" s="190" t="str">
        <f t="shared" si="13"/>
        <v/>
      </c>
      <c r="O91" s="190"/>
      <c r="P91" s="190"/>
      <c r="Q91" s="190"/>
      <c r="R91" s="190"/>
      <c r="S91" s="190"/>
    </row>
    <row r="92" spans="1:19">
      <c r="A92" s="124" t="str">
        <f>IF(INDEX(VISL!A:A,MATCH(B92,VISL!B:B,0))="x","x","")</f>
        <v/>
      </c>
      <c r="B92" s="269" t="s">
        <v>890</v>
      </c>
      <c r="C92" s="269" t="s">
        <v>1124</v>
      </c>
      <c r="D92" s="200"/>
      <c r="E92" s="122" t="str">
        <f t="shared" si="20"/>
        <v>--</v>
      </c>
      <c r="F92" s="123" t="str">
        <f t="shared" si="21"/>
        <v>--</v>
      </c>
      <c r="G92" s="124"/>
      <c r="H92" s="121">
        <f t="shared" si="22"/>
        <v>5.0000000000000004E-6</v>
      </c>
      <c r="I92" s="121" t="str">
        <f t="shared" si="23"/>
        <v>I</v>
      </c>
      <c r="J92" s="121">
        <f t="shared" si="24"/>
        <v>0.03</v>
      </c>
      <c r="K92" s="121" t="str">
        <f t="shared" si="25"/>
        <v>I</v>
      </c>
      <c r="L92" s="121" t="str">
        <f>VLOOKUP(B92,VISL!$B:$W,22,FALSE)</f>
        <v/>
      </c>
      <c r="M92" s="190"/>
      <c r="N92" s="190" t="str">
        <f t="shared" si="13"/>
        <v/>
      </c>
      <c r="O92" s="190"/>
      <c r="P92" s="190"/>
      <c r="Q92" s="190"/>
      <c r="R92" s="190"/>
      <c r="S92" s="190"/>
    </row>
    <row r="93" spans="1:19">
      <c r="A93" s="124" t="str">
        <f>IF(INDEX(VISL!A:A,MATCH(B93,VISL!B:B,0))="x","x","")</f>
        <v/>
      </c>
      <c r="B93" s="344" t="s">
        <v>908</v>
      </c>
      <c r="C93" s="269" t="s">
        <v>1439</v>
      </c>
      <c r="D93" s="230"/>
      <c r="E93" s="122" t="str">
        <f t="shared" si="20"/>
        <v>--</v>
      </c>
      <c r="F93" s="123" t="str">
        <f t="shared" si="21"/>
        <v>--</v>
      </c>
      <c r="G93" s="124"/>
      <c r="H93" s="121">
        <f t="shared" si="22"/>
        <v>1.1999999999999999E-6</v>
      </c>
      <c r="I93" s="121" t="str">
        <f t="shared" si="23"/>
        <v>I</v>
      </c>
      <c r="J93" s="121">
        <f t="shared" si="24"/>
        <v>1E-3</v>
      </c>
      <c r="K93" s="121" t="str">
        <f t="shared" si="25"/>
        <v>I</v>
      </c>
      <c r="L93" s="121" t="str">
        <f>VLOOKUP(B93,VISL!$B:$W,22,FALSE)</f>
        <v/>
      </c>
      <c r="M93" s="190"/>
      <c r="N93" s="190" t="str">
        <f t="shared" si="13"/>
        <v/>
      </c>
      <c r="O93" s="190"/>
      <c r="P93" s="190"/>
      <c r="Q93" s="190"/>
      <c r="R93" s="190"/>
      <c r="S93" s="190"/>
    </row>
    <row r="94" spans="1:19">
      <c r="A94" s="124" t="str">
        <f>IF(INDEX(VISL!A:A,MATCH(B94,VISL!B:B,0))="x","x","")</f>
        <v/>
      </c>
      <c r="B94" s="344" t="s">
        <v>909</v>
      </c>
      <c r="C94" s="269" t="s">
        <v>1138</v>
      </c>
      <c r="D94" s="200"/>
      <c r="E94" s="122" t="str">
        <f t="shared" si="20"/>
        <v>--</v>
      </c>
      <c r="F94" s="123" t="str">
        <f t="shared" si="21"/>
        <v>--</v>
      </c>
      <c r="G94" s="124"/>
      <c r="H94" s="121" t="str">
        <f t="shared" si="22"/>
        <v/>
      </c>
      <c r="I94" s="121" t="str">
        <f t="shared" si="23"/>
        <v/>
      </c>
      <c r="J94" s="121">
        <f t="shared" si="24"/>
        <v>0.02</v>
      </c>
      <c r="K94" s="121" t="str">
        <f t="shared" si="25"/>
        <v>I</v>
      </c>
      <c r="L94" s="121" t="str">
        <f>VLOOKUP(B94,VISL!$B:$W,22,FALSE)</f>
        <v/>
      </c>
      <c r="M94" s="190"/>
      <c r="N94" s="190" t="str">
        <f t="shared" si="13"/>
        <v/>
      </c>
      <c r="O94" s="190"/>
      <c r="P94" s="190"/>
      <c r="Q94" s="190"/>
      <c r="R94" s="190"/>
      <c r="S94" s="190"/>
    </row>
    <row r="95" spans="1:19">
      <c r="A95" s="124" t="str">
        <f>IF(INDEX(VISL!A:A,MATCH(B95,VISL!B:B,0))="x","x","")</f>
        <v/>
      </c>
      <c r="B95" s="344" t="s">
        <v>912</v>
      </c>
      <c r="C95" s="269" t="s">
        <v>1142</v>
      </c>
      <c r="D95" s="200"/>
      <c r="E95" s="122" t="str">
        <f t="shared" si="20"/>
        <v>--</v>
      </c>
      <c r="F95" s="123" t="str">
        <f t="shared" si="21"/>
        <v>--</v>
      </c>
      <c r="G95" s="124"/>
      <c r="H95" s="121" t="str">
        <f t="shared" si="22"/>
        <v/>
      </c>
      <c r="I95" s="121" t="str">
        <f t="shared" si="23"/>
        <v/>
      </c>
      <c r="J95" s="121">
        <f t="shared" si="24"/>
        <v>0.06</v>
      </c>
      <c r="K95" s="121" t="str">
        <f t="shared" si="25"/>
        <v>P</v>
      </c>
      <c r="L95" s="121" t="str">
        <f>VLOOKUP(B95,VISL!$B:$W,22,FALSE)</f>
        <v/>
      </c>
      <c r="M95" s="190"/>
      <c r="N95" s="190" t="str">
        <f t="shared" si="13"/>
        <v/>
      </c>
      <c r="O95" s="190"/>
      <c r="P95" s="190"/>
      <c r="Q95" s="190"/>
      <c r="R95" s="190"/>
      <c r="S95" s="190"/>
    </row>
    <row r="96" spans="1:19">
      <c r="A96" s="124" t="str">
        <f>IF(INDEX(VISL!A:A,MATCH(B96,VISL!B:B,0))="x","x","")</f>
        <v/>
      </c>
      <c r="B96" s="344" t="s">
        <v>913</v>
      </c>
      <c r="C96" s="269" t="s">
        <v>1143</v>
      </c>
      <c r="D96" s="230"/>
      <c r="E96" s="122" t="str">
        <f t="shared" si="20"/>
        <v>--</v>
      </c>
      <c r="F96" s="123" t="str">
        <f t="shared" si="21"/>
        <v>--</v>
      </c>
      <c r="G96" s="124"/>
      <c r="H96" s="121" t="str">
        <f t="shared" si="22"/>
        <v/>
      </c>
      <c r="I96" s="121" t="str">
        <f t="shared" si="23"/>
        <v/>
      </c>
      <c r="J96" s="121">
        <f t="shared" si="24"/>
        <v>0.2</v>
      </c>
      <c r="K96" s="121" t="str">
        <f t="shared" si="25"/>
        <v>I</v>
      </c>
      <c r="L96" s="121" t="str">
        <f>VLOOKUP(B96,VISL!$B:$W,22,FALSE)</f>
        <v/>
      </c>
      <c r="M96" s="190"/>
      <c r="N96" s="190" t="str">
        <f t="shared" si="13"/>
        <v/>
      </c>
      <c r="O96" s="190"/>
      <c r="P96" s="190"/>
      <c r="Q96" s="190"/>
      <c r="R96" s="190"/>
      <c r="S96" s="190"/>
    </row>
    <row r="97" spans="1:19">
      <c r="A97" s="124" t="str">
        <f>IF(INDEX(VISL!A:A,MATCH(B97,VISL!B:B,0))="x","x","")</f>
        <v/>
      </c>
      <c r="B97" s="269" t="s">
        <v>914</v>
      </c>
      <c r="C97" s="269" t="s">
        <v>1144</v>
      </c>
      <c r="D97" s="200"/>
      <c r="E97" s="122" t="str">
        <f t="shared" si="20"/>
        <v>--</v>
      </c>
      <c r="F97" s="123" t="str">
        <f t="shared" si="21"/>
        <v>--</v>
      </c>
      <c r="G97" s="124"/>
      <c r="H97" s="121" t="str">
        <f t="shared" si="22"/>
        <v/>
      </c>
      <c r="I97" s="121" t="str">
        <f t="shared" si="23"/>
        <v/>
      </c>
      <c r="J97" s="121">
        <f t="shared" si="24"/>
        <v>7.0000000000000007E-2</v>
      </c>
      <c r="K97" s="121" t="str">
        <f t="shared" si="25"/>
        <v>P</v>
      </c>
      <c r="L97" s="121" t="str">
        <f>VLOOKUP(B97,VISL!$B:$W,22,FALSE)</f>
        <v/>
      </c>
      <c r="M97" s="190"/>
      <c r="N97" s="190" t="str">
        <f t="shared" si="13"/>
        <v/>
      </c>
      <c r="O97" s="190"/>
      <c r="P97" s="190"/>
      <c r="Q97" s="190"/>
      <c r="R97" s="190"/>
      <c r="S97" s="190"/>
    </row>
    <row r="98" spans="1:19">
      <c r="A98" s="124" t="str">
        <f>IF(INDEX(VISL!A:A,MATCH(B98,VISL!B:B,0))="x","x","")</f>
        <v/>
      </c>
      <c r="B98" s="269" t="s">
        <v>915</v>
      </c>
      <c r="C98" s="269" t="s">
        <v>1145</v>
      </c>
      <c r="D98" s="200"/>
      <c r="E98" s="122" t="str">
        <f t="shared" si="20"/>
        <v>--</v>
      </c>
      <c r="F98" s="123" t="str">
        <f t="shared" si="21"/>
        <v>--</v>
      </c>
      <c r="G98" s="124"/>
      <c r="H98" s="121" t="str">
        <f t="shared" si="22"/>
        <v/>
      </c>
      <c r="I98" s="121" t="str">
        <f t="shared" si="23"/>
        <v/>
      </c>
      <c r="J98" s="121">
        <f t="shared" si="24"/>
        <v>8.0000000000000002E-3</v>
      </c>
      <c r="K98" s="121" t="str">
        <f t="shared" si="25"/>
        <v>P</v>
      </c>
      <c r="L98" s="121" t="str">
        <f>VLOOKUP(B98,VISL!$B:$W,22,FALSE)</f>
        <v/>
      </c>
      <c r="M98" s="190"/>
      <c r="N98" s="190" t="str">
        <f t="shared" si="13"/>
        <v/>
      </c>
      <c r="O98" s="190"/>
      <c r="P98" s="190"/>
      <c r="Q98" s="190"/>
      <c r="R98" s="190"/>
      <c r="S98" s="190"/>
    </row>
    <row r="99" spans="1:19">
      <c r="A99" s="124" t="str">
        <f>IF(INDEX(VISL!A:A,MATCH(B99,VISL!B:B,0))="x","x","")</f>
        <v/>
      </c>
      <c r="B99" s="344" t="s">
        <v>916</v>
      </c>
      <c r="C99" s="269" t="s">
        <v>2046</v>
      </c>
      <c r="D99" s="200"/>
      <c r="E99" s="122" t="str">
        <f t="shared" si="20"/>
        <v>--</v>
      </c>
      <c r="F99" s="123" t="str">
        <f t="shared" si="21"/>
        <v>--</v>
      </c>
      <c r="G99" s="124"/>
      <c r="H99" s="121" t="str">
        <f t="shared" si="22"/>
        <v/>
      </c>
      <c r="I99" s="121" t="str">
        <f t="shared" si="23"/>
        <v/>
      </c>
      <c r="J99" s="121">
        <f t="shared" si="24"/>
        <v>10</v>
      </c>
      <c r="K99" s="121" t="str">
        <f t="shared" si="25"/>
        <v>I</v>
      </c>
      <c r="L99" s="121" t="str">
        <f>VLOOKUP(B99,VISL!$B:$W,22,FALSE)</f>
        <v/>
      </c>
      <c r="M99" s="190"/>
      <c r="N99" s="190" t="str">
        <f t="shared" si="13"/>
        <v/>
      </c>
      <c r="O99" s="190"/>
      <c r="P99" s="190"/>
      <c r="Q99" s="190"/>
      <c r="R99" s="190"/>
      <c r="S99" s="190"/>
    </row>
    <row r="100" spans="1:19">
      <c r="A100" s="124" t="str">
        <f>IF(INDEX(VISL!A:A,MATCH(B100,VISL!B:B,0))="x","x","")</f>
        <v/>
      </c>
      <c r="B100" s="269" t="s">
        <v>918</v>
      </c>
      <c r="C100" s="269" t="s">
        <v>1147</v>
      </c>
      <c r="D100" s="200"/>
      <c r="E100" s="122" t="str">
        <f t="shared" si="20"/>
        <v>--</v>
      </c>
      <c r="F100" s="123" t="str">
        <f t="shared" si="21"/>
        <v>--</v>
      </c>
      <c r="G100" s="124"/>
      <c r="H100" s="121" t="str">
        <f t="shared" si="22"/>
        <v/>
      </c>
      <c r="I100" s="121" t="str">
        <f t="shared" si="23"/>
        <v/>
      </c>
      <c r="J100" s="121">
        <f t="shared" si="24"/>
        <v>0.3</v>
      </c>
      <c r="K100" s="121" t="str">
        <f t="shared" si="25"/>
        <v>P</v>
      </c>
      <c r="L100" s="121" t="str">
        <f>VLOOKUP(B100,VISL!$B:$W,22,FALSE)</f>
        <v/>
      </c>
      <c r="M100" s="190"/>
      <c r="N100" s="190" t="str">
        <f t="shared" si="13"/>
        <v/>
      </c>
      <c r="O100" s="190"/>
      <c r="P100" s="190"/>
      <c r="Q100" s="190"/>
      <c r="R100" s="190"/>
      <c r="S100" s="190"/>
    </row>
    <row r="101" spans="1:19">
      <c r="A101" s="124" t="str">
        <f>IF(INDEX(VISL!A:A,MATCH(B101,VISL!B:B,0))="x","x","")</f>
        <v/>
      </c>
      <c r="B101" s="344" t="s">
        <v>920</v>
      </c>
      <c r="C101" s="269" t="s">
        <v>381</v>
      </c>
      <c r="D101" s="200"/>
      <c r="E101" s="122" t="str">
        <f t="shared" si="20"/>
        <v>--</v>
      </c>
      <c r="F101" s="123" t="str">
        <f t="shared" si="21"/>
        <v>--</v>
      </c>
      <c r="G101" s="124"/>
      <c r="H101" s="121">
        <f t="shared" si="22"/>
        <v>2.5000000000000002E-6</v>
      </c>
      <c r="I101" s="121" t="str">
        <f t="shared" si="23"/>
        <v>CA</v>
      </c>
      <c r="J101" s="121">
        <f t="shared" si="24"/>
        <v>1</v>
      </c>
      <c r="K101" s="121" t="str">
        <f t="shared" si="25"/>
        <v>I</v>
      </c>
      <c r="L101" s="121" t="str">
        <f>VLOOKUP(B101,VISL!$B:$W,22,FALSE)</f>
        <v/>
      </c>
      <c r="M101" s="190"/>
      <c r="N101" s="190" t="str">
        <f t="shared" si="13"/>
        <v/>
      </c>
      <c r="O101" s="190"/>
      <c r="P101" s="190"/>
      <c r="Q101" s="190"/>
      <c r="R101" s="190"/>
      <c r="S101" s="190"/>
    </row>
    <row r="102" spans="1:19">
      <c r="A102" s="124" t="str">
        <f>IF(INDEX(VISL!A:A,MATCH(B102,VISL!B:B,0))="x","x","")</f>
        <v/>
      </c>
      <c r="B102" s="344" t="s">
        <v>925</v>
      </c>
      <c r="C102" s="269" t="s">
        <v>1153</v>
      </c>
      <c r="D102" s="200"/>
      <c r="E102" s="122" t="str">
        <f t="shared" si="20"/>
        <v>--</v>
      </c>
      <c r="F102" s="123" t="str">
        <f t="shared" si="21"/>
        <v>--</v>
      </c>
      <c r="G102" s="124"/>
      <c r="H102" s="121">
        <f t="shared" si="22"/>
        <v>3.0000000000000001E-3</v>
      </c>
      <c r="I102" s="121" t="str">
        <f t="shared" si="23"/>
        <v>I</v>
      </c>
      <c r="J102" s="121">
        <f t="shared" si="24"/>
        <v>0.03</v>
      </c>
      <c r="K102" s="121" t="str">
        <f t="shared" si="25"/>
        <v>CA</v>
      </c>
      <c r="L102" s="121" t="str">
        <f>VLOOKUP(B102,VISL!$B:$W,22,FALSE)</f>
        <v>Mut</v>
      </c>
      <c r="M102" s="190"/>
      <c r="N102" s="190" t="str">
        <f t="shared" si="13"/>
        <v/>
      </c>
      <c r="O102" s="190"/>
      <c r="P102" s="190"/>
      <c r="Q102" s="190"/>
      <c r="R102" s="190"/>
      <c r="S102" s="190"/>
    </row>
    <row r="103" spans="1:19">
      <c r="A103" s="124" t="str">
        <f>IF(INDEX(VISL!A:A,MATCH(B103,VISL!B:B,0))="x","x","")</f>
        <v/>
      </c>
      <c r="B103" s="344" t="s">
        <v>927</v>
      </c>
      <c r="C103" s="269" t="s">
        <v>585</v>
      </c>
      <c r="D103" s="200"/>
      <c r="E103" s="122" t="str">
        <f t="shared" si="20"/>
        <v>--</v>
      </c>
      <c r="F103" s="123" t="str">
        <f t="shared" si="21"/>
        <v>--</v>
      </c>
      <c r="G103" s="124"/>
      <c r="H103" s="121">
        <f t="shared" si="22"/>
        <v>1.9E-2</v>
      </c>
      <c r="I103" s="121" t="str">
        <f t="shared" si="23"/>
        <v>CA</v>
      </c>
      <c r="J103" s="121" t="str">
        <f t="shared" si="24"/>
        <v/>
      </c>
      <c r="K103" s="121" t="str">
        <f t="shared" si="25"/>
        <v/>
      </c>
      <c r="L103" s="121" t="str">
        <f>VLOOKUP(B103,VISL!$B:$W,22,FALSE)</f>
        <v/>
      </c>
      <c r="M103" s="190"/>
      <c r="N103" s="190" t="str">
        <f t="shared" si="13"/>
        <v/>
      </c>
      <c r="O103" s="190"/>
      <c r="P103" s="190"/>
      <c r="Q103" s="190"/>
      <c r="R103" s="190"/>
      <c r="S103" s="190"/>
    </row>
    <row r="104" spans="1:19">
      <c r="A104" s="124" t="str">
        <f>IF(INDEX(VISL!A:A,MATCH(B104,VISL!B:B,0))="x","x","")</f>
        <v/>
      </c>
      <c r="B104" s="344" t="s">
        <v>942</v>
      </c>
      <c r="C104" s="269" t="s">
        <v>1405</v>
      </c>
      <c r="D104" s="200"/>
      <c r="E104" s="122" t="str">
        <f t="shared" si="20"/>
        <v>--</v>
      </c>
      <c r="F104" s="123" t="str">
        <f t="shared" si="21"/>
        <v>--</v>
      </c>
      <c r="G104" s="124"/>
      <c r="H104" s="121">
        <f t="shared" si="22"/>
        <v>1.2999999999999999E-5</v>
      </c>
      <c r="I104" s="121" t="str">
        <f t="shared" si="23"/>
        <v>I</v>
      </c>
      <c r="J104" s="121">
        <f t="shared" si="24"/>
        <v>9.7999999999999997E-3</v>
      </c>
      <c r="K104" s="121" t="str">
        <f t="shared" si="25"/>
        <v>A</v>
      </c>
      <c r="L104" s="121" t="str">
        <f>VLOOKUP(B104,VISL!$B:$W,22,FALSE)</f>
        <v/>
      </c>
      <c r="M104" s="190"/>
      <c r="N104" s="190" t="str">
        <f t="shared" si="13"/>
        <v/>
      </c>
      <c r="O104" s="190"/>
      <c r="P104" s="190"/>
      <c r="Q104" s="190"/>
      <c r="R104" s="190"/>
      <c r="S104" s="190"/>
    </row>
    <row r="105" spans="1:19">
      <c r="A105" s="124" t="str">
        <f>IF(INDEX(VISL!A:A,MATCH(B105,VISL!B:B,0))="x","x","")</f>
        <v/>
      </c>
      <c r="B105" s="269" t="s">
        <v>943</v>
      </c>
      <c r="C105" s="269" t="s">
        <v>1167</v>
      </c>
      <c r="D105" s="200"/>
      <c r="E105" s="122" t="str">
        <f t="shared" si="20"/>
        <v>--</v>
      </c>
      <c r="F105" s="123" t="str">
        <f t="shared" si="21"/>
        <v>--</v>
      </c>
      <c r="G105" s="124"/>
      <c r="H105" s="121" t="str">
        <f t="shared" si="22"/>
        <v/>
      </c>
      <c r="I105" s="121" t="str">
        <f t="shared" si="23"/>
        <v/>
      </c>
      <c r="J105" s="121">
        <f t="shared" si="24"/>
        <v>2.9999999999999997E-4</v>
      </c>
      <c r="K105" s="121" t="str">
        <f t="shared" si="25"/>
        <v>X</v>
      </c>
      <c r="L105" s="121" t="str">
        <f>VLOOKUP(B105,VISL!$B:$W,22,FALSE)</f>
        <v/>
      </c>
      <c r="M105" s="190"/>
      <c r="N105" s="190" t="str">
        <f t="shared" si="13"/>
        <v/>
      </c>
      <c r="O105" s="190"/>
      <c r="P105" s="190"/>
      <c r="Q105" s="190"/>
      <c r="R105" s="190"/>
      <c r="S105" s="190"/>
    </row>
    <row r="106" spans="1:19">
      <c r="A106" s="124" t="str">
        <f>IF(INDEX(VISL!A:A,MATCH(B106,VISL!B:B,0))="x","x","")</f>
        <v/>
      </c>
      <c r="B106" s="344" t="s">
        <v>948</v>
      </c>
      <c r="C106" s="269" t="s">
        <v>1171</v>
      </c>
      <c r="D106" s="200"/>
      <c r="E106" s="122" t="str">
        <f t="shared" si="20"/>
        <v>--</v>
      </c>
      <c r="F106" s="123" t="str">
        <f t="shared" si="21"/>
        <v>--</v>
      </c>
      <c r="G106" s="124"/>
      <c r="H106" s="121" t="str">
        <f t="shared" si="22"/>
        <v/>
      </c>
      <c r="I106" s="121" t="str">
        <f t="shared" si="23"/>
        <v/>
      </c>
      <c r="J106" s="121">
        <f t="shared" si="24"/>
        <v>0.05</v>
      </c>
      <c r="K106" s="121" t="str">
        <f t="shared" si="25"/>
        <v>H</v>
      </c>
      <c r="L106" s="121" t="str">
        <f>VLOOKUP(B106,VISL!$B:$W,22,FALSE)</f>
        <v/>
      </c>
      <c r="M106" s="190"/>
      <c r="N106" s="190" t="str">
        <f t="shared" si="13"/>
        <v/>
      </c>
      <c r="O106" s="190"/>
      <c r="P106" s="190"/>
      <c r="Q106" s="190"/>
      <c r="R106" s="190"/>
      <c r="S106" s="190"/>
    </row>
    <row r="107" spans="1:19">
      <c r="A107" s="124" t="str">
        <f>IF(INDEX(VISL!A:A,MATCH(B107,VISL!B:B,0))="x","x","")</f>
        <v/>
      </c>
      <c r="B107" s="269" t="s">
        <v>953</v>
      </c>
      <c r="C107" s="269" t="s">
        <v>1174</v>
      </c>
      <c r="D107" s="200"/>
      <c r="E107" s="122" t="str">
        <f t="shared" si="20"/>
        <v>--</v>
      </c>
      <c r="F107" s="123" t="str">
        <f t="shared" si="21"/>
        <v>--</v>
      </c>
      <c r="G107" s="124"/>
      <c r="H107" s="121" t="str">
        <f t="shared" si="22"/>
        <v/>
      </c>
      <c r="I107" s="121" t="str">
        <f t="shared" si="23"/>
        <v/>
      </c>
      <c r="J107" s="121">
        <f t="shared" si="24"/>
        <v>1E-3</v>
      </c>
      <c r="K107" s="121" t="str">
        <f t="shared" si="25"/>
        <v>H</v>
      </c>
      <c r="L107" s="121" t="str">
        <f>VLOOKUP(B107,VISL!$B:$W,22,FALSE)</f>
        <v/>
      </c>
      <c r="M107" s="190"/>
      <c r="N107" s="190" t="str">
        <f t="shared" ref="N107:N136" si="26">IF(AND(H107="",J107=""),"X","")</f>
        <v/>
      </c>
      <c r="O107" s="190"/>
      <c r="P107" s="190"/>
      <c r="Q107" s="190"/>
      <c r="R107" s="190"/>
      <c r="S107" s="190"/>
    </row>
    <row r="108" spans="1:19">
      <c r="A108" s="124" t="str">
        <f>IF(INDEX(VISL!A:A,MATCH(B108,VISL!B:B,0))="x","x","")</f>
        <v/>
      </c>
      <c r="B108" s="269" t="s">
        <v>959</v>
      </c>
      <c r="C108" s="269" t="s">
        <v>382</v>
      </c>
      <c r="D108" s="200"/>
      <c r="E108" s="122" t="str">
        <f t="shared" si="20"/>
        <v>--</v>
      </c>
      <c r="F108" s="123" t="str">
        <f t="shared" si="21"/>
        <v>--</v>
      </c>
      <c r="G108" s="124"/>
      <c r="H108" s="121">
        <f t="shared" si="22"/>
        <v>1.2999999999999999E-3</v>
      </c>
      <c r="I108" s="121" t="str">
        <f t="shared" si="23"/>
        <v>I</v>
      </c>
      <c r="J108" s="121" t="str">
        <f t="shared" si="24"/>
        <v/>
      </c>
      <c r="K108" s="121" t="str">
        <f t="shared" si="25"/>
        <v/>
      </c>
      <c r="L108" s="121" t="str">
        <f>VLOOKUP(B108,VISL!$B:$W,22,FALSE)</f>
        <v/>
      </c>
      <c r="M108" s="190"/>
      <c r="N108" s="190" t="str">
        <f t="shared" si="26"/>
        <v/>
      </c>
      <c r="O108" s="190"/>
      <c r="P108" s="190"/>
      <c r="Q108" s="190"/>
      <c r="R108" s="190"/>
      <c r="S108" s="190"/>
    </row>
    <row r="109" spans="1:19">
      <c r="A109" s="124" t="str">
        <f>IF(INDEX(VISL!A:A,MATCH(B109,VISL!B:B,0))="x","x","")</f>
        <v/>
      </c>
      <c r="B109" s="269" t="s">
        <v>1</v>
      </c>
      <c r="C109" s="269" t="s">
        <v>1177</v>
      </c>
      <c r="D109" s="200"/>
      <c r="E109" s="122" t="str">
        <f t="shared" si="20"/>
        <v>--</v>
      </c>
      <c r="F109" s="123" t="str">
        <f t="shared" si="21"/>
        <v>--</v>
      </c>
      <c r="G109" s="124"/>
      <c r="H109" s="121">
        <f t="shared" si="22"/>
        <v>2.5999999999999999E-3</v>
      </c>
      <c r="I109" s="121" t="str">
        <f t="shared" si="23"/>
        <v>I</v>
      </c>
      <c r="J109" s="121" t="str">
        <f t="shared" si="24"/>
        <v/>
      </c>
      <c r="K109" s="121" t="str">
        <f t="shared" si="25"/>
        <v/>
      </c>
      <c r="L109" s="121" t="str">
        <f>VLOOKUP(B109,VISL!$B:$W,22,FALSE)</f>
        <v/>
      </c>
      <c r="M109" s="190"/>
      <c r="N109" s="190" t="str">
        <f t="shared" si="26"/>
        <v/>
      </c>
      <c r="O109" s="190"/>
      <c r="P109" s="190"/>
      <c r="Q109" s="190"/>
      <c r="R109" s="190"/>
      <c r="S109" s="190"/>
    </row>
    <row r="110" spans="1:19">
      <c r="A110" s="124" t="str">
        <f>IF(INDEX(VISL!A:A,MATCH(B110,VISL!B:B,0))="x","x","")</f>
        <v/>
      </c>
      <c r="B110" s="274" t="s">
        <v>188</v>
      </c>
      <c r="C110" s="269" t="s">
        <v>2237</v>
      </c>
      <c r="D110" s="200"/>
      <c r="E110" s="122" t="str">
        <f t="shared" si="20"/>
        <v>--</v>
      </c>
      <c r="F110" s="123" t="str">
        <f t="shared" si="21"/>
        <v>--</v>
      </c>
      <c r="G110" s="124"/>
      <c r="H110" s="121">
        <f t="shared" si="22"/>
        <v>1.1000000000000001E-3</v>
      </c>
      <c r="I110" s="121" t="str">
        <f t="shared" si="23"/>
        <v>E</v>
      </c>
      <c r="J110" s="121">
        <f t="shared" si="24"/>
        <v>1.2999999999999999E-3</v>
      </c>
      <c r="K110" s="121" t="str">
        <f t="shared" si="25"/>
        <v>E</v>
      </c>
      <c r="L110" s="121" t="str">
        <f>VLOOKUP(B110,VISL!$B:$W,22,FALSE)</f>
        <v/>
      </c>
      <c r="M110" s="190"/>
      <c r="N110" s="190" t="str">
        <f t="shared" si="26"/>
        <v/>
      </c>
      <c r="O110" s="190"/>
      <c r="P110" s="190"/>
      <c r="Q110" s="190"/>
      <c r="R110" s="190"/>
      <c r="S110" s="190"/>
    </row>
    <row r="111" spans="1:19">
      <c r="A111" s="124" t="str">
        <f>IF(INDEX(VISL!A:A,MATCH(B111,VISL!B:B,0))="x","x","")</f>
        <v/>
      </c>
      <c r="B111" s="344" t="s">
        <v>4</v>
      </c>
      <c r="C111" s="269" t="s">
        <v>383</v>
      </c>
      <c r="D111" s="230"/>
      <c r="E111" s="122" t="str">
        <f t="shared" si="20"/>
        <v>--</v>
      </c>
      <c r="F111" s="123" t="str">
        <f t="shared" si="21"/>
        <v>--</v>
      </c>
      <c r="G111" s="124"/>
      <c r="H111" s="121">
        <f t="shared" si="22"/>
        <v>4.6000000000000001E-4</v>
      </c>
      <c r="I111" s="121" t="str">
        <f t="shared" si="23"/>
        <v>I</v>
      </c>
      <c r="J111" s="121" t="str">
        <f t="shared" si="24"/>
        <v/>
      </c>
      <c r="K111" s="121" t="str">
        <f t="shared" si="25"/>
        <v/>
      </c>
      <c r="L111" s="121" t="str">
        <f>VLOOKUP(B111,VISL!$B:$W,22,FALSE)</f>
        <v/>
      </c>
      <c r="M111" s="190"/>
      <c r="N111" s="190" t="str">
        <f t="shared" si="26"/>
        <v/>
      </c>
      <c r="O111" s="190"/>
      <c r="P111" s="190"/>
      <c r="Q111" s="190"/>
      <c r="R111" s="190"/>
      <c r="S111" s="190"/>
    </row>
    <row r="112" spans="1:19">
      <c r="A112" s="124" t="str">
        <f>IF(INDEX(VISL!A:A,MATCH(B112,VISL!B:B,0))="x","x","")</f>
        <v/>
      </c>
      <c r="B112" s="344" t="s">
        <v>191</v>
      </c>
      <c r="C112" s="269" t="s">
        <v>2238</v>
      </c>
      <c r="D112" s="200"/>
      <c r="E112" s="122" t="str">
        <f t="shared" ref="E112:E136" si="27">IF(OR(D112="",ISTEXT(D112)),"--",IF(H112="","No IUR",IF(L112&lt;&gt;"TCE",D112*(IF(AND(L112="VC",Scenario_IA="Residential"),H112,0)+H112*IF(L112="Mut",MMOAAF_IA,ED_IA)*EF_IA*ET_IA/(ATc_IA*365*24)),D112*mIURTCE_IA*MMOAAF_IA*EF_IA*ET_IA/(ATc_IA*365*24)+D112*IURTCE_IA*ED_IA*EF_IA*ET_IA/(ATc_IA*365*24))))</f>
        <v>--</v>
      </c>
      <c r="F112" s="123" t="str">
        <f t="shared" ref="F112:F136" si="28">IF(OR(D112="",ISTEXT(D112)),"--",IF(J112="","No RfC",D112*EF_IA*ED_IA*ET_IA/(J112*ATnc_IA*365*24*1000)))</f>
        <v>--</v>
      </c>
      <c r="G112" s="124"/>
      <c r="H112" s="121">
        <f t="shared" ref="H112:H136" si="29">IF(INDEX(IUR,MATCH(B112,CASNoTox,0))=" ","",IF(L112="TCE","see note",INDEX(IUR,MATCH(B112,CASNoTox,0))))</f>
        <v>1.1000000000000001E-3</v>
      </c>
      <c r="I112" s="121" t="str">
        <f t="shared" ref="I112:I136" si="30">IF(INDEX(IURSource,MATCH(B112,CASNoTox,0))="","",SUBSTITUTE(INDEX(IURSource,MATCH(B112,CASNoTox,0)),"C","CA"))</f>
        <v>E</v>
      </c>
      <c r="J112" s="121">
        <f t="shared" ref="J112:J136" si="31">IF(INDEX(RFC,MATCH(B112,CASNoTox,0))=" ","",INDEX(RFC,MATCH(B112,CASNoTox,0)))</f>
        <v>1.2999999999999999E-3</v>
      </c>
      <c r="K112" s="121" t="str">
        <f t="shared" ref="K112:K136" si="32">IF(INDEX(RFCSource,MATCH(B112,CASNoTox,0))="","",SUBSTITUTE(INDEX(RFCSource,MATCH(B112,CASNoTox,0)),"C","CA"))</f>
        <v>E</v>
      </c>
      <c r="L112" s="121" t="str">
        <f>VLOOKUP(B112,VISL!$B:$W,22,FALSE)</f>
        <v/>
      </c>
      <c r="M112" s="190"/>
      <c r="N112" s="190" t="str">
        <f t="shared" si="26"/>
        <v/>
      </c>
      <c r="O112" s="190"/>
      <c r="P112" s="190"/>
      <c r="Q112" s="190"/>
      <c r="R112" s="190"/>
      <c r="S112" s="190"/>
    </row>
    <row r="113" spans="1:19">
      <c r="A113" s="124" t="str">
        <f>IF(INDEX(VISL!A:A,MATCH(B113,VISL!B:B,0))="x","x","")</f>
        <v/>
      </c>
      <c r="B113" s="344" t="s">
        <v>190</v>
      </c>
      <c r="C113" s="269" t="s">
        <v>2239</v>
      </c>
      <c r="D113" s="200"/>
      <c r="E113" s="122" t="str">
        <f t="shared" si="27"/>
        <v>--</v>
      </c>
      <c r="F113" s="123" t="str">
        <f t="shared" si="28"/>
        <v>--</v>
      </c>
      <c r="G113" s="124"/>
      <c r="H113" s="121">
        <f t="shared" si="29"/>
        <v>1.1000000000000001E-3</v>
      </c>
      <c r="I113" s="121" t="str">
        <f t="shared" si="30"/>
        <v>E</v>
      </c>
      <c r="J113" s="121">
        <f t="shared" si="31"/>
        <v>1.2999999999999999E-3</v>
      </c>
      <c r="K113" s="121" t="str">
        <f t="shared" si="32"/>
        <v>E</v>
      </c>
      <c r="L113" s="121" t="str">
        <f>VLOOKUP(B113,VISL!$B:$W,22,FALSE)</f>
        <v/>
      </c>
      <c r="M113" s="190"/>
      <c r="N113" s="190" t="str">
        <f t="shared" si="26"/>
        <v/>
      </c>
      <c r="O113" s="190"/>
      <c r="P113" s="190"/>
      <c r="Q113" s="190"/>
      <c r="R113" s="190"/>
      <c r="S113" s="190"/>
    </row>
    <row r="114" spans="1:19">
      <c r="A114" s="124" t="str">
        <f>IF(INDEX(VISL!A:A,MATCH(B114,VISL!B:B,0))="x","x","")</f>
        <v/>
      </c>
      <c r="B114" s="344" t="s">
        <v>189</v>
      </c>
      <c r="C114" s="269" t="s">
        <v>2240</v>
      </c>
      <c r="D114" s="200"/>
      <c r="E114" s="122" t="str">
        <f t="shared" si="27"/>
        <v>--</v>
      </c>
      <c r="F114" s="123" t="str">
        <f t="shared" si="28"/>
        <v>--</v>
      </c>
      <c r="G114" s="124"/>
      <c r="H114" s="121">
        <f t="shared" si="29"/>
        <v>1.1000000000000001E-3</v>
      </c>
      <c r="I114" s="121" t="str">
        <f t="shared" si="30"/>
        <v>E</v>
      </c>
      <c r="J114" s="121">
        <f t="shared" si="31"/>
        <v>1.2999999999999999E-3</v>
      </c>
      <c r="K114" s="121" t="str">
        <f t="shared" si="32"/>
        <v>E</v>
      </c>
      <c r="L114" s="121" t="str">
        <f>VLOOKUP(B114,VISL!$B:$W,22,FALSE)</f>
        <v/>
      </c>
      <c r="M114" s="190"/>
      <c r="N114" s="190" t="str">
        <f t="shared" si="26"/>
        <v/>
      </c>
      <c r="O114" s="190"/>
      <c r="P114" s="190"/>
      <c r="Q114" s="190"/>
      <c r="R114" s="190"/>
      <c r="S114" s="190"/>
    </row>
    <row r="115" spans="1:19">
      <c r="A115" s="124" t="str">
        <f>IF(INDEX(VISL!A:A,MATCH(B115,VISL!B:B,0))="x","x","")</f>
        <v/>
      </c>
      <c r="B115" s="344" t="s">
        <v>192</v>
      </c>
      <c r="C115" s="269" t="s">
        <v>2241</v>
      </c>
      <c r="D115" s="200"/>
      <c r="E115" s="122" t="str">
        <f t="shared" si="27"/>
        <v>--</v>
      </c>
      <c r="F115" s="123" t="str">
        <f t="shared" si="28"/>
        <v>--</v>
      </c>
      <c r="G115" s="124"/>
      <c r="H115" s="121">
        <f t="shared" si="29"/>
        <v>1.1000000000000001</v>
      </c>
      <c r="I115" s="121" t="str">
        <f t="shared" si="30"/>
        <v>E</v>
      </c>
      <c r="J115" s="121">
        <f t="shared" si="31"/>
        <v>1.3E-6</v>
      </c>
      <c r="K115" s="121" t="str">
        <f t="shared" si="32"/>
        <v>E</v>
      </c>
      <c r="L115" s="121" t="str">
        <f>VLOOKUP(B115,VISL!$B:$W,22,FALSE)</f>
        <v/>
      </c>
      <c r="M115" s="190"/>
      <c r="N115" s="190" t="str">
        <f t="shared" si="26"/>
        <v/>
      </c>
      <c r="O115" s="190"/>
      <c r="P115" s="190"/>
      <c r="Q115" s="190"/>
      <c r="R115" s="190"/>
      <c r="S115" s="190"/>
    </row>
    <row r="116" spans="1:19">
      <c r="A116" s="124" t="str">
        <f>IF(INDEX(VISL!A:A,MATCH(B116,VISL!B:B,0))="x","x","")</f>
        <v/>
      </c>
      <c r="B116" s="344" t="s">
        <v>5</v>
      </c>
      <c r="C116" s="269" t="s">
        <v>1179</v>
      </c>
      <c r="D116" s="200"/>
      <c r="E116" s="122" t="str">
        <f t="shared" si="27"/>
        <v>--</v>
      </c>
      <c r="F116" s="123" t="str">
        <f t="shared" si="28"/>
        <v>--</v>
      </c>
      <c r="G116" s="124"/>
      <c r="H116" s="121">
        <f t="shared" si="29"/>
        <v>2.1999999999999999E-5</v>
      </c>
      <c r="I116" s="121" t="str">
        <f t="shared" si="30"/>
        <v>I</v>
      </c>
      <c r="J116" s="121" t="str">
        <f t="shared" si="31"/>
        <v/>
      </c>
      <c r="K116" s="121" t="str">
        <f t="shared" si="32"/>
        <v/>
      </c>
      <c r="L116" s="121" t="str">
        <f>VLOOKUP(B116,VISL!$B:$W,22,FALSE)</f>
        <v/>
      </c>
      <c r="M116" s="190"/>
      <c r="N116" s="190" t="str">
        <f t="shared" si="26"/>
        <v/>
      </c>
      <c r="O116" s="190"/>
      <c r="P116" s="190"/>
      <c r="Q116" s="190"/>
      <c r="R116" s="190"/>
      <c r="S116" s="190"/>
    </row>
    <row r="117" spans="1:19">
      <c r="A117" s="124" t="str">
        <f>IF(INDEX(VISL!A:A,MATCH(B117,VISL!B:B,0))="x","x","")</f>
        <v/>
      </c>
      <c r="B117" s="344" t="s">
        <v>10</v>
      </c>
      <c r="C117" s="269" t="s">
        <v>384</v>
      </c>
      <c r="D117" s="200"/>
      <c r="E117" s="122" t="str">
        <f t="shared" si="27"/>
        <v>--</v>
      </c>
      <c r="F117" s="123" t="str">
        <f t="shared" si="28"/>
        <v>--</v>
      </c>
      <c r="G117" s="124"/>
      <c r="H117" s="121" t="str">
        <f t="shared" si="29"/>
        <v/>
      </c>
      <c r="I117" s="121" t="str">
        <f t="shared" si="30"/>
        <v/>
      </c>
      <c r="J117" s="121">
        <f t="shared" si="31"/>
        <v>2.0000000000000001E-4</v>
      </c>
      <c r="K117" s="121" t="str">
        <f t="shared" si="32"/>
        <v>I</v>
      </c>
      <c r="L117" s="121" t="str">
        <f>VLOOKUP(B117,VISL!$B:$W,22,FALSE)</f>
        <v/>
      </c>
      <c r="M117" s="190"/>
      <c r="N117" s="190" t="str">
        <f t="shared" si="26"/>
        <v/>
      </c>
      <c r="O117" s="190"/>
      <c r="P117" s="190"/>
      <c r="Q117" s="190"/>
      <c r="R117" s="190"/>
      <c r="S117" s="190"/>
    </row>
    <row r="118" spans="1:19">
      <c r="A118" s="124" t="str">
        <f>IF(INDEX(VISL!A:A,MATCH(B118,VISL!B:B,0))="x","x","")</f>
        <v/>
      </c>
      <c r="B118" s="344" t="s">
        <v>11</v>
      </c>
      <c r="C118" s="269" t="s">
        <v>385</v>
      </c>
      <c r="D118" s="230"/>
      <c r="E118" s="122" t="str">
        <f t="shared" si="27"/>
        <v>--</v>
      </c>
      <c r="F118" s="123" t="str">
        <f t="shared" si="28"/>
        <v>--</v>
      </c>
      <c r="G118" s="124"/>
      <c r="H118" s="121">
        <f t="shared" si="29"/>
        <v>1.1E-5</v>
      </c>
      <c r="I118" s="121" t="str">
        <f t="shared" si="30"/>
        <v>CA</v>
      </c>
      <c r="J118" s="121">
        <f t="shared" si="31"/>
        <v>0.03</v>
      </c>
      <c r="K118" s="121" t="str">
        <f t="shared" si="32"/>
        <v>I</v>
      </c>
      <c r="L118" s="121" t="str">
        <f>VLOOKUP(B118,VISL!$B:$W,22,FALSE)</f>
        <v/>
      </c>
      <c r="M118" s="190"/>
      <c r="N118" s="190" t="str">
        <f t="shared" si="26"/>
        <v/>
      </c>
      <c r="O118" s="190"/>
      <c r="P118" s="190"/>
      <c r="Q118" s="190"/>
      <c r="R118" s="190"/>
      <c r="S118" s="190"/>
    </row>
    <row r="119" spans="1:19">
      <c r="A119" s="124" t="str">
        <f>IF(INDEX(VISL!A:A,MATCH(B119,VISL!B:B,0))="x","x","")</f>
        <v/>
      </c>
      <c r="B119" s="344" t="s">
        <v>14</v>
      </c>
      <c r="C119" s="269" t="s">
        <v>1186</v>
      </c>
      <c r="D119" s="200"/>
      <c r="E119" s="122" t="str">
        <f t="shared" si="27"/>
        <v>--</v>
      </c>
      <c r="F119" s="123" t="str">
        <f t="shared" si="28"/>
        <v>--</v>
      </c>
      <c r="G119" s="124"/>
      <c r="H119" s="121" t="str">
        <f t="shared" si="29"/>
        <v/>
      </c>
      <c r="I119" s="121" t="str">
        <f t="shared" si="30"/>
        <v/>
      </c>
      <c r="J119" s="121">
        <f t="shared" si="31"/>
        <v>1.0000000000000001E-5</v>
      </c>
      <c r="K119" s="121" t="str">
        <f t="shared" si="32"/>
        <v>I</v>
      </c>
      <c r="L119" s="121" t="str">
        <f>VLOOKUP(B119,VISL!$B:$W,22,FALSE)</f>
        <v/>
      </c>
      <c r="M119" s="190"/>
      <c r="N119" s="190" t="str">
        <f t="shared" si="26"/>
        <v/>
      </c>
      <c r="O119" s="190"/>
      <c r="P119" s="190"/>
      <c r="Q119" s="190"/>
      <c r="R119" s="190"/>
      <c r="S119" s="190"/>
    </row>
    <row r="120" spans="1:19">
      <c r="A120" s="124" t="str">
        <f>IF(INDEX(VISL!A:A,MATCH(B120,VISL!B:B,0))="x","x","")</f>
        <v/>
      </c>
      <c r="B120" s="344" t="s">
        <v>15</v>
      </c>
      <c r="C120" s="269" t="s">
        <v>1187</v>
      </c>
      <c r="D120" s="200"/>
      <c r="E120" s="122" t="str">
        <f t="shared" si="27"/>
        <v>--</v>
      </c>
      <c r="F120" s="123" t="str">
        <f t="shared" si="28"/>
        <v>--</v>
      </c>
      <c r="G120" s="124"/>
      <c r="H120" s="121" t="str">
        <f t="shared" si="29"/>
        <v/>
      </c>
      <c r="I120" s="121" t="str">
        <f t="shared" si="30"/>
        <v/>
      </c>
      <c r="J120" s="121">
        <f t="shared" si="31"/>
        <v>0.7</v>
      </c>
      <c r="K120" s="121" t="str">
        <f t="shared" si="32"/>
        <v>I</v>
      </c>
      <c r="L120" s="121" t="str">
        <f>VLOOKUP(B120,VISL!$B:$W,22,FALSE)</f>
        <v/>
      </c>
      <c r="M120" s="190"/>
      <c r="N120" s="190" t="str">
        <f t="shared" si="26"/>
        <v/>
      </c>
      <c r="O120" s="190"/>
      <c r="P120" s="190"/>
      <c r="Q120" s="190"/>
      <c r="R120" s="190"/>
      <c r="S120" s="190"/>
    </row>
    <row r="121" spans="1:19">
      <c r="A121" s="124" t="str">
        <f>IF(INDEX(VISL!A:A,MATCH(B121,VISL!B:B,0))="x","x","")</f>
        <v/>
      </c>
      <c r="B121" s="344" t="s">
        <v>17</v>
      </c>
      <c r="C121" s="269" t="s">
        <v>588</v>
      </c>
      <c r="D121" s="200"/>
      <c r="E121" s="122" t="str">
        <f t="shared" si="27"/>
        <v>--</v>
      </c>
      <c r="F121" s="123" t="str">
        <f t="shared" si="28"/>
        <v>--</v>
      </c>
      <c r="G121" s="124"/>
      <c r="H121" s="121" t="str">
        <f t="shared" si="29"/>
        <v/>
      </c>
      <c r="I121" s="121" t="str">
        <f t="shared" si="30"/>
        <v/>
      </c>
      <c r="J121" s="121">
        <f t="shared" si="31"/>
        <v>0.03</v>
      </c>
      <c r="K121" s="121" t="str">
        <f t="shared" si="32"/>
        <v>I</v>
      </c>
      <c r="L121" s="121" t="str">
        <f>VLOOKUP(B121,VISL!$B:$W,22,FALSE)</f>
        <v/>
      </c>
      <c r="M121" s="190"/>
      <c r="N121" s="190" t="str">
        <f t="shared" si="26"/>
        <v/>
      </c>
      <c r="O121" s="190"/>
      <c r="P121" s="190"/>
      <c r="Q121" s="190"/>
      <c r="R121" s="190"/>
      <c r="S121" s="190"/>
    </row>
    <row r="122" spans="1:19">
      <c r="A122" s="124" t="str">
        <f>IF(INDEX(VISL!A:A,MATCH(B122,VISL!B:B,0))="x","x","")</f>
        <v/>
      </c>
      <c r="B122" s="344" t="s">
        <v>19</v>
      </c>
      <c r="C122" s="269" t="s">
        <v>1407</v>
      </c>
      <c r="D122" s="200"/>
      <c r="E122" s="122" t="str">
        <f t="shared" si="27"/>
        <v>--</v>
      </c>
      <c r="F122" s="123" t="str">
        <f t="shared" si="28"/>
        <v>--</v>
      </c>
      <c r="G122" s="124"/>
      <c r="H122" s="121">
        <f t="shared" si="29"/>
        <v>4.8999999999999998E-3</v>
      </c>
      <c r="I122" s="121" t="str">
        <f t="shared" si="30"/>
        <v>I</v>
      </c>
      <c r="J122" s="121">
        <f t="shared" si="31"/>
        <v>3.0000000000000001E-5</v>
      </c>
      <c r="K122" s="121" t="str">
        <f t="shared" si="32"/>
        <v>P</v>
      </c>
      <c r="L122" s="121" t="str">
        <f>VLOOKUP(B122,VISL!$B:$W,22,FALSE)</f>
        <v/>
      </c>
      <c r="M122" s="190"/>
      <c r="N122" s="190" t="str">
        <f t="shared" si="26"/>
        <v/>
      </c>
      <c r="O122" s="190"/>
      <c r="P122" s="190"/>
      <c r="Q122" s="190"/>
      <c r="R122" s="190"/>
      <c r="S122" s="190"/>
    </row>
    <row r="123" spans="1:19">
      <c r="A123" s="124" t="str">
        <f>IF(INDEX(VISL!A:A,MATCH(B123,VISL!B:B,0))="x","x","")</f>
        <v/>
      </c>
      <c r="B123" s="344" t="s">
        <v>21</v>
      </c>
      <c r="C123" s="269" t="s">
        <v>1191</v>
      </c>
      <c r="D123" s="200"/>
      <c r="E123" s="122" t="str">
        <f t="shared" si="27"/>
        <v>--</v>
      </c>
      <c r="F123" s="123" t="str">
        <f t="shared" si="28"/>
        <v>--</v>
      </c>
      <c r="G123" s="124"/>
      <c r="H123" s="121" t="str">
        <f t="shared" si="29"/>
        <v/>
      </c>
      <c r="I123" s="121" t="str">
        <f t="shared" si="30"/>
        <v/>
      </c>
      <c r="J123" s="121">
        <f t="shared" si="31"/>
        <v>0.02</v>
      </c>
      <c r="K123" s="121" t="str">
        <f t="shared" si="32"/>
        <v>I</v>
      </c>
      <c r="L123" s="121" t="str">
        <f>VLOOKUP(B123,VISL!$B:$W,22,FALSE)</f>
        <v/>
      </c>
      <c r="M123" s="190"/>
      <c r="N123" s="190" t="str">
        <f t="shared" si="26"/>
        <v/>
      </c>
      <c r="O123" s="190"/>
      <c r="P123" s="190"/>
      <c r="Q123" s="190"/>
      <c r="R123" s="190"/>
      <c r="S123" s="190"/>
    </row>
    <row r="124" spans="1:19">
      <c r="A124" s="124" t="str">
        <f>IF(INDEX(VISL!A:A,MATCH(B124,VISL!B:B,0))="x","x","")</f>
        <v/>
      </c>
      <c r="B124" s="344" t="s">
        <v>794</v>
      </c>
      <c r="C124" s="269" t="s">
        <v>2242</v>
      </c>
      <c r="D124" s="200"/>
      <c r="E124" s="122" t="str">
        <f t="shared" si="27"/>
        <v>--</v>
      </c>
      <c r="F124" s="123" t="str">
        <f t="shared" si="28"/>
        <v>--</v>
      </c>
      <c r="G124" s="124"/>
      <c r="H124" s="121" t="str">
        <f t="shared" si="29"/>
        <v/>
      </c>
      <c r="I124" s="121" t="str">
        <f t="shared" si="30"/>
        <v/>
      </c>
      <c r="J124" s="121">
        <f t="shared" si="31"/>
        <v>8.0000000000000004E-4</v>
      </c>
      <c r="K124" s="121" t="str">
        <f t="shared" si="32"/>
        <v>I</v>
      </c>
      <c r="L124" s="121" t="str">
        <f>VLOOKUP(B124,VISL!$B:$W,22,FALSE)</f>
        <v/>
      </c>
      <c r="M124" s="190"/>
      <c r="N124" s="190" t="str">
        <f t="shared" si="26"/>
        <v/>
      </c>
      <c r="O124" s="190"/>
      <c r="P124" s="190"/>
      <c r="Q124" s="190"/>
      <c r="R124" s="190"/>
      <c r="S124" s="190"/>
    </row>
    <row r="125" spans="1:19">
      <c r="A125" s="124" t="str">
        <f>IF(INDEX(VISL!A:A,MATCH(B125,VISL!B:B,0))="x","x","")</f>
        <v/>
      </c>
      <c r="B125" s="344" t="s">
        <v>22</v>
      </c>
      <c r="C125" s="269" t="s">
        <v>589</v>
      </c>
      <c r="D125" s="200"/>
      <c r="E125" s="122" t="str">
        <f t="shared" si="27"/>
        <v>--</v>
      </c>
      <c r="F125" s="123" t="str">
        <f t="shared" si="28"/>
        <v>--</v>
      </c>
      <c r="G125" s="124"/>
      <c r="H125" s="121" t="str">
        <f t="shared" si="29"/>
        <v/>
      </c>
      <c r="I125" s="121" t="str">
        <f t="shared" si="30"/>
        <v/>
      </c>
      <c r="J125" s="121">
        <f t="shared" si="31"/>
        <v>1.4E-2</v>
      </c>
      <c r="K125" s="121" t="str">
        <f t="shared" si="32"/>
        <v>CA</v>
      </c>
      <c r="L125" s="121" t="str">
        <f>VLOOKUP(B125,VISL!$B:$W,22,FALSE)</f>
        <v/>
      </c>
      <c r="M125" s="190"/>
      <c r="N125" s="190" t="str">
        <f t="shared" si="26"/>
        <v/>
      </c>
      <c r="O125" s="190"/>
      <c r="P125" s="190"/>
      <c r="Q125" s="190"/>
      <c r="R125" s="190"/>
      <c r="S125" s="190"/>
    </row>
    <row r="126" spans="1:19">
      <c r="A126" s="124" t="str">
        <f>IF(INDEX(VISL!A:A,MATCH(B126,VISL!B:B,0))="x","x","")</f>
        <v/>
      </c>
      <c r="B126" s="344" t="s">
        <v>23</v>
      </c>
      <c r="C126" s="269" t="s">
        <v>1192</v>
      </c>
      <c r="D126" s="200"/>
      <c r="E126" s="122" t="str">
        <f t="shared" si="27"/>
        <v>--</v>
      </c>
      <c r="F126" s="123" t="str">
        <f t="shared" si="28"/>
        <v>--</v>
      </c>
      <c r="G126" s="124"/>
      <c r="H126" s="121" t="str">
        <f t="shared" si="29"/>
        <v/>
      </c>
      <c r="I126" s="121" t="str">
        <f t="shared" si="30"/>
        <v/>
      </c>
      <c r="J126" s="121">
        <f t="shared" si="31"/>
        <v>2E-3</v>
      </c>
      <c r="K126" s="121" t="str">
        <f t="shared" si="32"/>
        <v>I</v>
      </c>
      <c r="L126" s="121" t="str">
        <f>VLOOKUP(B126,VISL!$B:$W,22,FALSE)</f>
        <v/>
      </c>
      <c r="M126" s="190"/>
      <c r="N126" s="190" t="str">
        <f t="shared" si="26"/>
        <v/>
      </c>
      <c r="O126" s="190"/>
      <c r="P126" s="190"/>
      <c r="Q126" s="190"/>
      <c r="R126" s="190"/>
      <c r="S126" s="190"/>
    </row>
    <row r="127" spans="1:19">
      <c r="A127" s="124" t="str">
        <f>IF(INDEX(VISL!A:A,MATCH(B127,VISL!B:B,0))="x","x","")</f>
        <v/>
      </c>
      <c r="B127" s="344" t="s">
        <v>33</v>
      </c>
      <c r="C127" s="269" t="s">
        <v>591</v>
      </c>
      <c r="D127" s="200"/>
      <c r="E127" s="122" t="str">
        <f t="shared" si="27"/>
        <v>--</v>
      </c>
      <c r="F127" s="123" t="str">
        <f t="shared" si="28"/>
        <v>--</v>
      </c>
      <c r="G127" s="124"/>
      <c r="H127" s="121" t="str">
        <f t="shared" si="29"/>
        <v/>
      </c>
      <c r="I127" s="121" t="str">
        <f t="shared" si="30"/>
        <v/>
      </c>
      <c r="J127" s="121">
        <f t="shared" si="31"/>
        <v>0.2</v>
      </c>
      <c r="K127" s="121" t="str">
        <f t="shared" si="32"/>
        <v>P</v>
      </c>
      <c r="L127" s="121" t="str">
        <f>VLOOKUP(B127,VISL!$B:$W,22,FALSE)</f>
        <v/>
      </c>
      <c r="M127" s="190"/>
      <c r="N127" s="190" t="str">
        <f t="shared" si="26"/>
        <v/>
      </c>
      <c r="O127" s="190"/>
      <c r="P127" s="190"/>
      <c r="Q127" s="190"/>
      <c r="R127" s="190"/>
      <c r="S127" s="190"/>
    </row>
    <row r="128" spans="1:19">
      <c r="A128" s="124" t="str">
        <f>IF(INDEX(VISL!A:A,MATCH(B128,VISL!B:B,0))="x","x","")</f>
        <v/>
      </c>
      <c r="B128" s="269" t="s">
        <v>59</v>
      </c>
      <c r="C128" s="269" t="s">
        <v>2243</v>
      </c>
      <c r="D128" s="200"/>
      <c r="E128" s="122" t="str">
        <f t="shared" si="27"/>
        <v>--</v>
      </c>
      <c r="F128" s="123" t="str">
        <f t="shared" si="28"/>
        <v>--</v>
      </c>
      <c r="G128" s="124"/>
      <c r="H128" s="121" t="str">
        <f t="shared" si="29"/>
        <v/>
      </c>
      <c r="I128" s="121" t="str">
        <f t="shared" si="30"/>
        <v/>
      </c>
      <c r="J128" s="121">
        <f t="shared" si="31"/>
        <v>2.9999999999999997E-4</v>
      </c>
      <c r="K128" s="121" t="str">
        <f t="shared" si="32"/>
        <v>I</v>
      </c>
      <c r="L128" s="121" t="str">
        <f>VLOOKUP(B128,VISL!$B:$W,22,FALSE)</f>
        <v/>
      </c>
      <c r="M128" s="190"/>
      <c r="N128" s="190" t="str">
        <f t="shared" si="26"/>
        <v/>
      </c>
      <c r="O128" s="190"/>
      <c r="P128" s="190"/>
      <c r="Q128" s="190"/>
      <c r="R128" s="190"/>
      <c r="S128" s="190"/>
    </row>
    <row r="129" spans="1:19">
      <c r="A129" s="124" t="str">
        <f>IF(INDEX(VISL!A:A,MATCH(B129,VISL!B:B,0))="x","x","")</f>
        <v/>
      </c>
      <c r="B129" s="344" t="s">
        <v>65</v>
      </c>
      <c r="C129" s="269" t="s">
        <v>1441</v>
      </c>
      <c r="D129" s="200"/>
      <c r="E129" s="122" t="str">
        <f t="shared" si="27"/>
        <v>--</v>
      </c>
      <c r="F129" s="123" t="str">
        <f t="shared" si="28"/>
        <v>--</v>
      </c>
      <c r="G129" s="124"/>
      <c r="H129" s="121" t="str">
        <f t="shared" si="29"/>
        <v/>
      </c>
      <c r="I129" s="121" t="str">
        <f t="shared" si="30"/>
        <v/>
      </c>
      <c r="J129" s="121">
        <f t="shared" si="31"/>
        <v>0.03</v>
      </c>
      <c r="K129" s="121" t="str">
        <f t="shared" si="32"/>
        <v>P</v>
      </c>
      <c r="L129" s="121" t="str">
        <f>VLOOKUP(B129,VISL!$B:$W,22,FALSE)</f>
        <v/>
      </c>
      <c r="M129" s="190"/>
      <c r="N129" s="190" t="str">
        <f t="shared" si="26"/>
        <v/>
      </c>
      <c r="O129" s="190"/>
      <c r="P129" s="190"/>
      <c r="Q129" s="190"/>
      <c r="R129" s="190"/>
      <c r="S129" s="190"/>
    </row>
    <row r="130" spans="1:19">
      <c r="A130" s="124" t="str">
        <f>IF(INDEX(VISL!A:A,MATCH(B130,VISL!B:B,0))="x","x","")</f>
        <v/>
      </c>
      <c r="B130" s="344" t="s">
        <v>67</v>
      </c>
      <c r="C130" s="269" t="s">
        <v>1220</v>
      </c>
      <c r="D130" s="200"/>
      <c r="E130" s="122" t="str">
        <f t="shared" si="27"/>
        <v>--</v>
      </c>
      <c r="F130" s="123" t="str">
        <f t="shared" si="28"/>
        <v>--</v>
      </c>
      <c r="G130" s="124"/>
      <c r="H130" s="121" t="str">
        <f t="shared" si="29"/>
        <v/>
      </c>
      <c r="I130" s="121" t="str">
        <f t="shared" si="30"/>
        <v/>
      </c>
      <c r="J130" s="121">
        <f t="shared" si="31"/>
        <v>20</v>
      </c>
      <c r="K130" s="121" t="str">
        <f t="shared" si="32"/>
        <v>I</v>
      </c>
      <c r="L130" s="121" t="str">
        <f>VLOOKUP(B130,VISL!$B:$W,22,FALSE)</f>
        <v/>
      </c>
      <c r="M130" s="190"/>
      <c r="N130" s="190" t="str">
        <f t="shared" si="26"/>
        <v/>
      </c>
      <c r="O130" s="190"/>
      <c r="P130" s="190"/>
      <c r="Q130" s="190"/>
      <c r="R130" s="190"/>
      <c r="S130" s="190"/>
    </row>
    <row r="131" spans="1:19">
      <c r="A131" s="124" t="str">
        <f>IF(INDEX(VISL!A:A,MATCH(B131,VISL!B:B,0))="x","x","")</f>
        <v/>
      </c>
      <c r="B131" s="344" t="s">
        <v>72</v>
      </c>
      <c r="C131" s="269" t="s">
        <v>1224</v>
      </c>
      <c r="D131" s="200"/>
      <c r="E131" s="122" t="str">
        <f t="shared" si="27"/>
        <v>--</v>
      </c>
      <c r="F131" s="123" t="str">
        <f t="shared" si="28"/>
        <v>--</v>
      </c>
      <c r="G131" s="124"/>
      <c r="H131" s="121" t="str">
        <f t="shared" si="29"/>
        <v/>
      </c>
      <c r="I131" s="121" t="str">
        <f t="shared" si="30"/>
        <v/>
      </c>
      <c r="J131" s="121">
        <f t="shared" si="31"/>
        <v>1E-3</v>
      </c>
      <c r="K131" s="121" t="str">
        <f t="shared" si="32"/>
        <v>P</v>
      </c>
      <c r="L131" s="121" t="str">
        <f>VLOOKUP(B131,VISL!$B:$W,22,FALSE)</f>
        <v/>
      </c>
      <c r="M131" s="190"/>
      <c r="N131" s="190" t="str">
        <f t="shared" si="26"/>
        <v/>
      </c>
      <c r="O131" s="190"/>
      <c r="P131" s="190"/>
      <c r="Q131" s="190"/>
      <c r="R131" s="190"/>
      <c r="S131" s="190"/>
    </row>
    <row r="132" spans="1:19">
      <c r="A132" s="124" t="str">
        <f>IF(INDEX(VISL!A:A,MATCH(B132,VISL!B:B,0))="x","x","")</f>
        <v/>
      </c>
      <c r="B132" s="344" t="s">
        <v>73</v>
      </c>
      <c r="C132" s="269" t="s">
        <v>1225</v>
      </c>
      <c r="D132" s="200"/>
      <c r="E132" s="122" t="str">
        <f t="shared" si="27"/>
        <v>--</v>
      </c>
      <c r="F132" s="123" t="str">
        <f t="shared" si="28"/>
        <v>--</v>
      </c>
      <c r="G132" s="124"/>
      <c r="H132" s="121" t="str">
        <f t="shared" si="29"/>
        <v/>
      </c>
      <c r="I132" s="121" t="str">
        <f t="shared" si="30"/>
        <v/>
      </c>
      <c r="J132" s="121">
        <f t="shared" si="31"/>
        <v>0.02</v>
      </c>
      <c r="K132" s="121" t="str">
        <f t="shared" si="32"/>
        <v>I</v>
      </c>
      <c r="L132" s="121" t="str">
        <f>VLOOKUP(B132,VISL!$B:$W,22,FALSE)</f>
        <v/>
      </c>
      <c r="M132" s="190"/>
      <c r="N132" s="190" t="str">
        <f t="shared" si="26"/>
        <v/>
      </c>
      <c r="O132" s="190"/>
      <c r="P132" s="190"/>
      <c r="Q132" s="190"/>
      <c r="R132" s="190"/>
      <c r="S132" s="190"/>
    </row>
    <row r="133" spans="1:19">
      <c r="A133" s="124" t="str">
        <f>IF(INDEX(VISL!A:A,MATCH(B133,VISL!B:B,0))="x","x","")</f>
        <v/>
      </c>
      <c r="B133" s="344" t="s">
        <v>75</v>
      </c>
      <c r="C133" s="269" t="s">
        <v>1227</v>
      </c>
      <c r="D133" s="200"/>
      <c r="E133" s="122" t="str">
        <f t="shared" si="27"/>
        <v>--</v>
      </c>
      <c r="F133" s="123" t="str">
        <f t="shared" si="28"/>
        <v>--</v>
      </c>
      <c r="G133" s="124"/>
      <c r="H133" s="121" t="str">
        <f t="shared" si="29"/>
        <v/>
      </c>
      <c r="I133" s="121" t="str">
        <f t="shared" si="30"/>
        <v/>
      </c>
      <c r="J133" s="121">
        <f t="shared" si="31"/>
        <v>0.02</v>
      </c>
      <c r="K133" s="121" t="str">
        <f t="shared" si="32"/>
        <v>P</v>
      </c>
      <c r="L133" s="121" t="str">
        <f>VLOOKUP(B133,VISL!$B:$W,22,FALSE)</f>
        <v/>
      </c>
      <c r="M133" s="190"/>
      <c r="N133" s="190" t="str">
        <f t="shared" si="26"/>
        <v/>
      </c>
      <c r="O133" s="190"/>
      <c r="P133" s="190"/>
      <c r="Q133" s="190"/>
      <c r="R133" s="190"/>
      <c r="S133" s="190"/>
    </row>
    <row r="134" spans="1:19">
      <c r="A134" s="124" t="str">
        <f>IF(INDEX(VISL!A:A,MATCH(B134,VISL!B:B,0))="x","x","")</f>
        <v/>
      </c>
      <c r="B134" s="344" t="s">
        <v>76</v>
      </c>
      <c r="C134" s="269" t="s">
        <v>1228</v>
      </c>
      <c r="D134" s="200"/>
      <c r="E134" s="122" t="str">
        <f t="shared" si="27"/>
        <v>--</v>
      </c>
      <c r="F134" s="123" t="str">
        <f t="shared" si="28"/>
        <v>--</v>
      </c>
      <c r="G134" s="124"/>
      <c r="H134" s="121" t="str">
        <f t="shared" si="29"/>
        <v/>
      </c>
      <c r="I134" s="121" t="str">
        <f t="shared" si="30"/>
        <v/>
      </c>
      <c r="J134" s="121">
        <f t="shared" si="31"/>
        <v>5</v>
      </c>
      <c r="K134" s="121" t="str">
        <f t="shared" si="32"/>
        <v>I</v>
      </c>
      <c r="L134" s="121" t="str">
        <f>VLOOKUP(B134,VISL!$B:$W,22,FALSE)</f>
        <v/>
      </c>
      <c r="M134" s="190"/>
      <c r="N134" s="190" t="str">
        <f t="shared" si="26"/>
        <v/>
      </c>
      <c r="O134" s="190"/>
      <c r="P134" s="190"/>
      <c r="Q134" s="190"/>
      <c r="R134" s="190"/>
      <c r="S134" s="190"/>
    </row>
    <row r="135" spans="1:19">
      <c r="A135" s="124" t="str">
        <f>IF(INDEX(VISL!A:A,MATCH(B135,VISL!B:B,0))="x","x","")</f>
        <v/>
      </c>
      <c r="B135" s="344" t="s">
        <v>1568</v>
      </c>
      <c r="C135" s="269" t="s">
        <v>1567</v>
      </c>
      <c r="D135" s="200"/>
      <c r="E135" s="122" t="str">
        <f t="shared" si="27"/>
        <v>--</v>
      </c>
      <c r="F135" s="123" t="str">
        <f t="shared" si="28"/>
        <v>--</v>
      </c>
      <c r="G135" s="124"/>
      <c r="H135" s="121">
        <f t="shared" si="29"/>
        <v>1E-3</v>
      </c>
      <c r="I135" s="121" t="str">
        <f t="shared" si="30"/>
        <v>X</v>
      </c>
      <c r="J135" s="121">
        <f t="shared" si="31"/>
        <v>2.0000000000000002E-5</v>
      </c>
      <c r="K135" s="121" t="str">
        <f t="shared" si="32"/>
        <v>X</v>
      </c>
      <c r="L135" s="121" t="str">
        <f>VLOOKUP(B135,VISL!$B:$W,22,FALSE)</f>
        <v/>
      </c>
      <c r="M135" s="190"/>
      <c r="N135" s="190" t="str">
        <f t="shared" si="26"/>
        <v/>
      </c>
      <c r="O135" s="190"/>
      <c r="P135" s="190"/>
      <c r="Q135" s="190"/>
      <c r="R135" s="190"/>
      <c r="S135" s="190"/>
    </row>
    <row r="136" spans="1:19">
      <c r="A136" s="124" t="str">
        <f>IF(INDEX(VISL!A:A,MATCH(B136,VISL!B:B,0))="x","x","")</f>
        <v/>
      </c>
      <c r="B136" s="344" t="s">
        <v>77</v>
      </c>
      <c r="C136" s="269" t="s">
        <v>1229</v>
      </c>
      <c r="D136" s="200"/>
      <c r="E136" s="122" t="str">
        <f t="shared" si="27"/>
        <v>--</v>
      </c>
      <c r="F136" s="123" t="str">
        <f t="shared" si="28"/>
        <v>--</v>
      </c>
      <c r="G136" s="124"/>
      <c r="H136" s="121" t="str">
        <f t="shared" si="29"/>
        <v/>
      </c>
      <c r="I136" s="121" t="str">
        <f t="shared" si="30"/>
        <v/>
      </c>
      <c r="J136" s="121">
        <f t="shared" si="31"/>
        <v>3</v>
      </c>
      <c r="K136" s="121" t="str">
        <f t="shared" si="32"/>
        <v>I</v>
      </c>
      <c r="L136" s="121" t="str">
        <f>VLOOKUP(B136,VISL!$B:$W,22,FALSE)</f>
        <v/>
      </c>
      <c r="M136" s="190"/>
      <c r="N136" s="190" t="str">
        <f t="shared" si="26"/>
        <v/>
      </c>
      <c r="O136" s="190"/>
      <c r="P136" s="190"/>
      <c r="Q136" s="190"/>
      <c r="R136" s="190"/>
      <c r="S136" s="190"/>
    </row>
    <row r="137" spans="1:19">
      <c r="A137" s="124" t="str">
        <f>IF(INDEX(VISL!A:A,MATCH(B137,VISL!B:B,0))="x","x","")</f>
        <v/>
      </c>
      <c r="B137" s="344" t="s">
        <v>78</v>
      </c>
      <c r="C137" s="269" t="s">
        <v>593</v>
      </c>
      <c r="D137" s="200"/>
      <c r="E137" s="122" t="str">
        <f t="shared" ref="E137:E198" si="33">IF(OR(D137="",ISTEXT(D137)),"--",IF(H137="","No IUR",IF(L137&lt;&gt;"TCE",D137*(IF(AND(L137="VC",Scenario_IA="Residential"),H137,0)+H137*IF(L137="Mut",MMOAAF_IA,ED_IA)*EF_IA*ET_IA/(ATc_IA*365*24)),D137*mIURTCE_IA*MMOAAF_IA*EF_IA*ET_IA/(ATc_IA*365*24)+D137*IURTCE_IA*ED_IA*EF_IA*ET_IA/(ATc_IA*365*24))))</f>
        <v>--</v>
      </c>
      <c r="F137" s="123" t="str">
        <f t="shared" ref="F137:F198" si="34">IF(OR(D137="",ISTEXT(D137)),"--",IF(J137="","No RfC",D137*EF_IA*ED_IA*ET_IA/(J137*ATnc_IA*365*24*1000)))</f>
        <v>--</v>
      </c>
      <c r="G137" s="124"/>
      <c r="H137" s="121" t="str">
        <f t="shared" ref="H137:H198" si="35">IF(INDEX(IUR,MATCH(B137,CASNoTox,0))=" ","",IF(L137="TCE","see note",INDEX(IUR,MATCH(B137,CASNoTox,0))))</f>
        <v/>
      </c>
      <c r="I137" s="121" t="str">
        <f t="shared" ref="I137:I198" si="36">IF(INDEX(IURSource,MATCH(B137,CASNoTox,0))="","",SUBSTITUTE(INDEX(IURSource,MATCH(B137,CASNoTox,0)),"C","CA"))</f>
        <v/>
      </c>
      <c r="J137" s="121">
        <f t="shared" ref="J137:J198" si="37">IF(INDEX(RFC,MATCH(B137,CASNoTox,0))=" ","",INDEX(RFC,MATCH(B137,CASNoTox,0)))</f>
        <v>1E-3</v>
      </c>
      <c r="K137" s="121" t="str">
        <f t="shared" ref="K137:K198" si="38">IF(INDEX(RFCSource,MATCH(B137,CASNoTox,0))="","",SUBSTITUTE(INDEX(RFCSource,MATCH(B137,CASNoTox,0)),"C","CA"))</f>
        <v>CA</v>
      </c>
      <c r="L137" s="121" t="str">
        <f>VLOOKUP(B137,VISL!$B:$W,22,FALSE)</f>
        <v/>
      </c>
      <c r="M137" s="190"/>
      <c r="N137" s="190" t="str">
        <f t="shared" ref="N137:N198" si="39">IF(AND(H137="",J137=""),"X","")</f>
        <v/>
      </c>
      <c r="O137" s="190"/>
      <c r="P137" s="190"/>
      <c r="Q137" s="190"/>
      <c r="R137" s="190"/>
      <c r="S137" s="190"/>
    </row>
    <row r="138" spans="1:19">
      <c r="A138" s="124" t="str">
        <f>IF(INDEX(VISL!A:A,MATCH(B138,VISL!B:B,0))="x","x","")</f>
        <v/>
      </c>
      <c r="B138" s="344" t="s">
        <v>79</v>
      </c>
      <c r="C138" s="269" t="s">
        <v>1230</v>
      </c>
      <c r="D138" s="200"/>
      <c r="E138" s="122" t="str">
        <f t="shared" si="33"/>
        <v>--</v>
      </c>
      <c r="F138" s="123" t="str">
        <f t="shared" si="34"/>
        <v>--</v>
      </c>
      <c r="G138" s="124"/>
      <c r="H138" s="121" t="str">
        <f t="shared" si="35"/>
        <v/>
      </c>
      <c r="I138" s="121" t="str">
        <f t="shared" si="36"/>
        <v/>
      </c>
      <c r="J138" s="121">
        <f t="shared" si="37"/>
        <v>0.7</v>
      </c>
      <c r="K138" s="121" t="str">
        <f t="shared" si="38"/>
        <v>I</v>
      </c>
      <c r="L138" s="121" t="str">
        <f>VLOOKUP(B138,VISL!$B:$W,22,FALSE)</f>
        <v/>
      </c>
      <c r="M138" s="190"/>
      <c r="N138" s="190" t="str">
        <f t="shared" si="39"/>
        <v/>
      </c>
      <c r="O138" s="190"/>
      <c r="P138" s="190"/>
      <c r="Q138" s="190"/>
      <c r="R138" s="190"/>
      <c r="S138" s="190"/>
    </row>
    <row r="139" spans="1:19">
      <c r="A139" s="124" t="str">
        <f>IF(INDEX(VISL!A:A,MATCH(B139,VISL!B:B,0))="x","x","")</f>
        <v/>
      </c>
      <c r="B139" s="344" t="s">
        <v>82</v>
      </c>
      <c r="C139" s="269" t="s">
        <v>1232</v>
      </c>
      <c r="D139" s="200"/>
      <c r="E139" s="122" t="str">
        <f t="shared" si="33"/>
        <v>--</v>
      </c>
      <c r="F139" s="123" t="str">
        <f t="shared" si="34"/>
        <v>--</v>
      </c>
      <c r="G139" s="124"/>
      <c r="H139" s="121" t="str">
        <f t="shared" si="35"/>
        <v/>
      </c>
      <c r="I139" s="121" t="str">
        <f t="shared" si="36"/>
        <v/>
      </c>
      <c r="J139" s="121">
        <f t="shared" si="37"/>
        <v>0.04</v>
      </c>
      <c r="K139" s="121" t="str">
        <f t="shared" si="38"/>
        <v>H</v>
      </c>
      <c r="L139" s="121" t="str">
        <f>VLOOKUP(B139,VISL!$B:$W,22,FALSE)</f>
        <v/>
      </c>
      <c r="M139" s="190"/>
      <c r="N139" s="190" t="str">
        <f t="shared" si="39"/>
        <v/>
      </c>
      <c r="O139" s="190"/>
      <c r="P139" s="190"/>
      <c r="Q139" s="190"/>
      <c r="R139" s="190"/>
      <c r="S139" s="190"/>
    </row>
    <row r="140" spans="1:19">
      <c r="A140" s="124" t="str">
        <f>IF(INDEX(VISL!A:A,MATCH(B140,VISL!B:B,0))="x","x","")</f>
        <v/>
      </c>
      <c r="B140" s="344" t="s">
        <v>84</v>
      </c>
      <c r="C140" s="269" t="s">
        <v>1233</v>
      </c>
      <c r="D140" s="200"/>
      <c r="E140" s="122" t="str">
        <f t="shared" si="33"/>
        <v>--</v>
      </c>
      <c r="F140" s="123" t="str">
        <f t="shared" si="34"/>
        <v>--</v>
      </c>
      <c r="G140" s="124"/>
      <c r="H140" s="121">
        <f t="shared" si="35"/>
        <v>2.6E-7</v>
      </c>
      <c r="I140" s="121" t="str">
        <f t="shared" si="36"/>
        <v>CA</v>
      </c>
      <c r="J140" s="121">
        <f t="shared" si="37"/>
        <v>3</v>
      </c>
      <c r="K140" s="121" t="str">
        <f t="shared" si="38"/>
        <v>I</v>
      </c>
      <c r="L140" s="121" t="str">
        <f>VLOOKUP(B140,VISL!$B:$W,22,FALSE)</f>
        <v/>
      </c>
      <c r="M140" s="190"/>
      <c r="N140" s="190" t="str">
        <f t="shared" si="39"/>
        <v/>
      </c>
      <c r="O140" s="190"/>
      <c r="P140" s="190"/>
      <c r="Q140" s="190"/>
      <c r="R140" s="190"/>
      <c r="S140" s="190"/>
    </row>
    <row r="141" spans="1:19">
      <c r="A141" s="124" t="str">
        <f>IF(INDEX(VISL!A:A,MATCH(B141,VISL!B:B,0))="x","x","")</f>
        <v/>
      </c>
      <c r="B141" s="344" t="s">
        <v>90</v>
      </c>
      <c r="C141" s="269" t="s">
        <v>1237</v>
      </c>
      <c r="D141" s="200"/>
      <c r="E141" s="122" t="str">
        <f t="shared" si="33"/>
        <v>--</v>
      </c>
      <c r="F141" s="123" t="str">
        <f t="shared" si="34"/>
        <v>--</v>
      </c>
      <c r="G141" s="124"/>
      <c r="H141" s="121">
        <f t="shared" si="35"/>
        <v>1E-8</v>
      </c>
      <c r="I141" s="121" t="str">
        <f t="shared" si="36"/>
        <v>I</v>
      </c>
      <c r="J141" s="121">
        <f t="shared" si="37"/>
        <v>0.6</v>
      </c>
      <c r="K141" s="121" t="str">
        <f t="shared" si="38"/>
        <v>I</v>
      </c>
      <c r="L141" s="121" t="str">
        <f>VLOOKUP(B141,VISL!$B:$W,22,FALSE)</f>
        <v>Mut</v>
      </c>
      <c r="M141" s="190"/>
      <c r="N141" s="190" t="str">
        <f t="shared" si="39"/>
        <v/>
      </c>
      <c r="O141" s="190"/>
      <c r="P141" s="190"/>
      <c r="Q141" s="190"/>
      <c r="R141" s="190"/>
      <c r="S141" s="190"/>
    </row>
    <row r="142" spans="1:19">
      <c r="A142" s="124" t="str">
        <f>IF(INDEX(VISL!A:A,MATCH(B142,VISL!B:B,0))="x","x","")</f>
        <v/>
      </c>
      <c r="B142" s="269" t="s">
        <v>99</v>
      </c>
      <c r="C142" s="269" t="s">
        <v>1408</v>
      </c>
      <c r="D142" s="200"/>
      <c r="E142" s="122" t="str">
        <f t="shared" si="33"/>
        <v>--</v>
      </c>
      <c r="F142" s="123" t="str">
        <f t="shared" si="34"/>
        <v>--</v>
      </c>
      <c r="G142" s="124"/>
      <c r="H142" s="121">
        <f t="shared" si="35"/>
        <v>5.1000000000000004E-3</v>
      </c>
      <c r="I142" s="121" t="str">
        <f t="shared" si="36"/>
        <v>CA</v>
      </c>
      <c r="J142" s="121" t="str">
        <f t="shared" si="37"/>
        <v/>
      </c>
      <c r="K142" s="121" t="str">
        <f t="shared" si="38"/>
        <v/>
      </c>
      <c r="L142" s="121" t="str">
        <f>VLOOKUP(B142,VISL!$B:$W,22,FALSE)</f>
        <v/>
      </c>
      <c r="M142" s="190"/>
      <c r="N142" s="190" t="str">
        <f t="shared" si="39"/>
        <v/>
      </c>
      <c r="O142" s="190"/>
      <c r="P142" s="190"/>
      <c r="Q142" s="190"/>
      <c r="R142" s="190"/>
      <c r="S142" s="190"/>
    </row>
    <row r="143" spans="1:19">
      <c r="A143" s="124" t="str">
        <f>IF(INDEX(VISL!A:A,MATCH(B143,VISL!B:B,0))="x","x","")</f>
        <v/>
      </c>
      <c r="B143" s="344" t="s">
        <v>2117</v>
      </c>
      <c r="C143" s="269" t="s">
        <v>599</v>
      </c>
      <c r="D143" s="200"/>
      <c r="E143" s="122" t="str">
        <f t="shared" si="33"/>
        <v>--</v>
      </c>
      <c r="F143" s="123" t="str">
        <f t="shared" si="34"/>
        <v>--</v>
      </c>
      <c r="G143" s="124"/>
      <c r="H143" s="121" t="str">
        <f t="shared" si="35"/>
        <v/>
      </c>
      <c r="I143" s="121" t="str">
        <f t="shared" si="36"/>
        <v/>
      </c>
      <c r="J143" s="121">
        <f t="shared" si="37"/>
        <v>0.1</v>
      </c>
      <c r="K143" s="121" t="str">
        <f t="shared" si="38"/>
        <v>P</v>
      </c>
      <c r="L143" s="121" t="str">
        <f>VLOOKUP(B143,VISL!$B:$W,22,FALSE)</f>
        <v/>
      </c>
      <c r="M143" s="190"/>
      <c r="N143" s="190" t="str">
        <f t="shared" si="39"/>
        <v/>
      </c>
      <c r="O143" s="190"/>
      <c r="P143" s="190"/>
      <c r="Q143" s="190"/>
      <c r="R143" s="190"/>
      <c r="S143" s="190"/>
    </row>
    <row r="144" spans="1:19">
      <c r="A144" s="124" t="str">
        <f>IF(INDEX(VISL!A:A,MATCH(B144,VISL!B:B,0))="x","x","")</f>
        <v/>
      </c>
      <c r="B144" s="344" t="s">
        <v>217</v>
      </c>
      <c r="C144" s="269" t="s">
        <v>2244</v>
      </c>
      <c r="D144" s="200"/>
      <c r="E144" s="122" t="str">
        <f t="shared" si="33"/>
        <v>--</v>
      </c>
      <c r="F144" s="123" t="str">
        <f t="shared" si="34"/>
        <v>--</v>
      </c>
      <c r="G144" s="124"/>
      <c r="H144" s="121">
        <f t="shared" si="35"/>
        <v>3.4E-5</v>
      </c>
      <c r="I144" s="121" t="str">
        <f t="shared" si="36"/>
        <v>CA</v>
      </c>
      <c r="J144" s="121">
        <f t="shared" si="37"/>
        <v>3.0000000000000001E-3</v>
      </c>
      <c r="K144" s="121" t="str">
        <f t="shared" si="38"/>
        <v>I</v>
      </c>
      <c r="L144" s="121" t="str">
        <f>VLOOKUP(B144,VISL!$B:$W,22,FALSE)</f>
        <v/>
      </c>
      <c r="M144" s="190"/>
      <c r="N144" s="190" t="str">
        <f t="shared" si="39"/>
        <v/>
      </c>
      <c r="O144" s="190"/>
      <c r="P144" s="190"/>
      <c r="Q144" s="190"/>
      <c r="R144" s="190"/>
      <c r="S144" s="190"/>
    </row>
    <row r="145" spans="1:19">
      <c r="A145" s="124" t="str">
        <f>IF(INDEX(VISL!A:A,MATCH(B145,VISL!B:B,0))="x","x","")</f>
        <v/>
      </c>
      <c r="B145" s="344" t="s">
        <v>108</v>
      </c>
      <c r="C145" s="269" t="s">
        <v>601</v>
      </c>
      <c r="D145" s="200"/>
      <c r="E145" s="122" t="str">
        <f t="shared" si="33"/>
        <v>--</v>
      </c>
      <c r="F145" s="123" t="str">
        <f t="shared" si="34"/>
        <v>--</v>
      </c>
      <c r="G145" s="124"/>
      <c r="H145" s="121">
        <f t="shared" si="35"/>
        <v>2.5999999999999998E-4</v>
      </c>
      <c r="I145" s="121" t="str">
        <f t="shared" si="36"/>
        <v>CA</v>
      </c>
      <c r="J145" s="121">
        <f t="shared" si="37"/>
        <v>1.4E-5</v>
      </c>
      <c r="K145" s="121" t="str">
        <f t="shared" si="38"/>
        <v>CA</v>
      </c>
      <c r="L145" s="121" t="str">
        <f>VLOOKUP(B145,VISL!$B:$W,22,FALSE)</f>
        <v/>
      </c>
      <c r="M145" s="190"/>
      <c r="N145" s="190" t="str">
        <f t="shared" si="39"/>
        <v/>
      </c>
      <c r="O145" s="190"/>
      <c r="P145" s="190"/>
      <c r="Q145" s="190"/>
      <c r="R145" s="190"/>
      <c r="S145" s="190"/>
    </row>
    <row r="146" spans="1:19">
      <c r="A146" s="124" t="str">
        <f>IF(INDEX(VISL!A:A,MATCH(B146,VISL!B:B,0))="x","x","")</f>
        <v/>
      </c>
      <c r="B146" s="344" t="s">
        <v>116</v>
      </c>
      <c r="C146" s="269" t="s">
        <v>391</v>
      </c>
      <c r="D146" s="200"/>
      <c r="E146" s="122" t="str">
        <f t="shared" si="33"/>
        <v>--</v>
      </c>
      <c r="F146" s="123" t="str">
        <f t="shared" si="34"/>
        <v>--</v>
      </c>
      <c r="G146" s="124"/>
      <c r="H146" s="121">
        <f t="shared" si="35"/>
        <v>4.0000000000000003E-5</v>
      </c>
      <c r="I146" s="121" t="str">
        <f t="shared" si="36"/>
        <v>I</v>
      </c>
      <c r="J146" s="121">
        <f t="shared" si="37"/>
        <v>8.9999999999999993E-3</v>
      </c>
      <c r="K146" s="121" t="str">
        <f t="shared" si="38"/>
        <v>I</v>
      </c>
      <c r="L146" s="121" t="str">
        <f>VLOOKUP(B146,VISL!$B:$W,22,FALSE)</f>
        <v/>
      </c>
      <c r="M146" s="190"/>
      <c r="N146" s="190" t="str">
        <f t="shared" si="39"/>
        <v/>
      </c>
      <c r="O146" s="190"/>
      <c r="P146" s="190"/>
      <c r="Q146" s="190"/>
      <c r="R146" s="190"/>
      <c r="S146" s="190"/>
    </row>
    <row r="147" spans="1:19">
      <c r="A147" s="124" t="str">
        <f>IF(INDEX(VISL!A:A,MATCH(B147,VISL!B:B,0))="x","x","")</f>
        <v/>
      </c>
      <c r="B147" s="269" t="s">
        <v>122</v>
      </c>
      <c r="C147" s="269" t="s">
        <v>1260</v>
      </c>
      <c r="D147" s="200"/>
      <c r="E147" s="122" t="str">
        <f t="shared" si="33"/>
        <v>--</v>
      </c>
      <c r="F147" s="123" t="str">
        <f t="shared" si="34"/>
        <v>--</v>
      </c>
      <c r="G147" s="124"/>
      <c r="H147" s="121">
        <f t="shared" si="35"/>
        <v>8.8000000000000004E-6</v>
      </c>
      <c r="I147" s="121" t="str">
        <f t="shared" si="36"/>
        <v>P</v>
      </c>
      <c r="J147" s="121">
        <f t="shared" si="37"/>
        <v>5.0000000000000001E-3</v>
      </c>
      <c r="K147" s="121" t="str">
        <f t="shared" si="38"/>
        <v>P</v>
      </c>
      <c r="L147" s="121" t="str">
        <f>VLOOKUP(B147,VISL!$B:$W,22,FALSE)</f>
        <v/>
      </c>
      <c r="M147" s="190"/>
      <c r="N147" s="190" t="str">
        <f t="shared" si="39"/>
        <v/>
      </c>
      <c r="O147" s="190"/>
      <c r="P147" s="190"/>
      <c r="Q147" s="190"/>
      <c r="R147" s="190"/>
      <c r="S147" s="190"/>
    </row>
    <row r="148" spans="1:19">
      <c r="A148" s="124" t="str">
        <f>IF(INDEX(VISL!A:A,MATCH(B148,VISL!B:B,0))="x","x","")</f>
        <v/>
      </c>
      <c r="B148" s="344" t="s">
        <v>123</v>
      </c>
      <c r="C148" s="269" t="s">
        <v>1261</v>
      </c>
      <c r="D148" s="200"/>
      <c r="E148" s="122" t="str">
        <f t="shared" si="33"/>
        <v>--</v>
      </c>
      <c r="F148" s="123" t="str">
        <f t="shared" si="34"/>
        <v>--</v>
      </c>
      <c r="G148" s="124"/>
      <c r="H148" s="121">
        <f t="shared" si="35"/>
        <v>2.7000000000000001E-3</v>
      </c>
      <c r="I148" s="121" t="str">
        <f t="shared" si="36"/>
        <v>H</v>
      </c>
      <c r="J148" s="121">
        <f t="shared" si="37"/>
        <v>0.02</v>
      </c>
      <c r="K148" s="121" t="str">
        <f t="shared" si="38"/>
        <v>I</v>
      </c>
      <c r="L148" s="121" t="str">
        <f>VLOOKUP(B148,VISL!$B:$W,22,FALSE)</f>
        <v/>
      </c>
      <c r="M148" s="190"/>
      <c r="N148" s="190" t="str">
        <f t="shared" si="39"/>
        <v/>
      </c>
      <c r="O148" s="190"/>
      <c r="P148" s="190"/>
      <c r="Q148" s="190"/>
      <c r="R148" s="190"/>
      <c r="S148" s="190"/>
    </row>
    <row r="149" spans="1:19">
      <c r="A149" s="124" t="str">
        <f>IF(INDEX(VISL!A:A,MATCH(B149,VISL!B:B,0))="x","x","")</f>
        <v/>
      </c>
      <c r="B149" s="269" t="s">
        <v>130</v>
      </c>
      <c r="C149" s="269" t="s">
        <v>1267</v>
      </c>
      <c r="D149" s="200"/>
      <c r="E149" s="122" t="str">
        <f t="shared" si="33"/>
        <v>--</v>
      </c>
      <c r="F149" s="123" t="str">
        <f t="shared" si="34"/>
        <v>--</v>
      </c>
      <c r="G149" s="124"/>
      <c r="H149" s="121">
        <f t="shared" si="35"/>
        <v>1.4E-2</v>
      </c>
      <c r="I149" s="121" t="str">
        <f t="shared" si="36"/>
        <v>I</v>
      </c>
      <c r="J149" s="121">
        <f t="shared" si="37"/>
        <v>4.0000000000000003E-5</v>
      </c>
      <c r="K149" s="121" t="str">
        <f t="shared" si="38"/>
        <v>X</v>
      </c>
      <c r="L149" s="121" t="str">
        <f>VLOOKUP(B149,VISL!$B:$W,22,FALSE)</f>
        <v>Mut</v>
      </c>
      <c r="M149" s="190"/>
      <c r="N149" s="190" t="str">
        <f t="shared" si="39"/>
        <v/>
      </c>
      <c r="O149" s="190"/>
      <c r="P149" s="190"/>
      <c r="Q149" s="190"/>
      <c r="R149" s="190"/>
      <c r="S149" s="190"/>
    </row>
    <row r="150" spans="1:19">
      <c r="A150" s="124" t="str">
        <f>IF(INDEX(VISL!A:A,MATCH(B150,VISL!B:B,0))="x","x","")</f>
        <v/>
      </c>
      <c r="B150" s="344" t="s">
        <v>126</v>
      </c>
      <c r="C150" s="269" t="s">
        <v>1262</v>
      </c>
      <c r="D150" s="200"/>
      <c r="E150" s="122" t="str">
        <f t="shared" si="33"/>
        <v>--</v>
      </c>
      <c r="F150" s="123" t="str">
        <f t="shared" si="34"/>
        <v>--</v>
      </c>
      <c r="G150" s="124"/>
      <c r="H150" s="121">
        <f t="shared" si="35"/>
        <v>1.6000000000000001E-3</v>
      </c>
      <c r="I150" s="121" t="str">
        <f t="shared" si="36"/>
        <v>I</v>
      </c>
      <c r="J150" s="121" t="str">
        <f t="shared" si="37"/>
        <v/>
      </c>
      <c r="K150" s="121" t="str">
        <f t="shared" si="38"/>
        <v/>
      </c>
      <c r="L150" s="121" t="str">
        <f>VLOOKUP(B150,VISL!$B:$W,22,FALSE)</f>
        <v/>
      </c>
      <c r="M150" s="190"/>
      <c r="N150" s="190" t="str">
        <f t="shared" si="39"/>
        <v/>
      </c>
      <c r="O150" s="190"/>
      <c r="P150" s="190"/>
      <c r="Q150" s="190"/>
      <c r="R150" s="190"/>
      <c r="S150" s="190"/>
    </row>
    <row r="151" spans="1:19">
      <c r="A151" s="124" t="str">
        <f>IF(INDEX(VISL!A:A,MATCH(B151,VISL!B:B,0))="x","x","")</f>
        <v/>
      </c>
      <c r="B151" s="344" t="s">
        <v>132</v>
      </c>
      <c r="C151" s="269" t="s">
        <v>1269</v>
      </c>
      <c r="D151" s="200"/>
      <c r="E151" s="122" t="str">
        <f t="shared" si="33"/>
        <v>--</v>
      </c>
      <c r="F151" s="123" t="str">
        <f t="shared" si="34"/>
        <v>--</v>
      </c>
      <c r="G151" s="124"/>
      <c r="H151" s="121">
        <f t="shared" si="35"/>
        <v>6.3E-3</v>
      </c>
      <c r="I151" s="121" t="str">
        <f t="shared" si="36"/>
        <v>CA</v>
      </c>
      <c r="J151" s="121" t="str">
        <f t="shared" si="37"/>
        <v/>
      </c>
      <c r="K151" s="121" t="str">
        <f t="shared" si="38"/>
        <v/>
      </c>
      <c r="L151" s="121" t="str">
        <f>VLOOKUP(B151,VISL!$B:$W,22,FALSE)</f>
        <v/>
      </c>
      <c r="M151" s="190"/>
      <c r="N151" s="190" t="str">
        <f t="shared" si="39"/>
        <v/>
      </c>
      <c r="O151" s="190"/>
      <c r="P151" s="190"/>
      <c r="Q151" s="190"/>
      <c r="R151" s="190"/>
      <c r="S151" s="190"/>
    </row>
    <row r="152" spans="1:19">
      <c r="A152" s="124" t="str">
        <f>IF(INDEX(VISL!A:A,MATCH(B152,VISL!B:B,0))="x","x","")</f>
        <v/>
      </c>
      <c r="B152" s="344" t="s">
        <v>139</v>
      </c>
      <c r="C152" s="269" t="s">
        <v>608</v>
      </c>
      <c r="D152" s="200"/>
      <c r="E152" s="122" t="str">
        <f t="shared" si="33"/>
        <v>--</v>
      </c>
      <c r="F152" s="123" t="str">
        <f t="shared" si="34"/>
        <v>--</v>
      </c>
      <c r="G152" s="124"/>
      <c r="H152" s="121" t="str">
        <f t="shared" si="35"/>
        <v/>
      </c>
      <c r="I152" s="121" t="str">
        <f t="shared" si="36"/>
        <v/>
      </c>
      <c r="J152" s="121">
        <f t="shared" si="37"/>
        <v>0.02</v>
      </c>
      <c r="K152" s="121" t="str">
        <f t="shared" si="38"/>
        <v>P</v>
      </c>
      <c r="L152" s="121" t="str">
        <f>VLOOKUP(B152,VISL!$B:$W,22,FALSE)</f>
        <v/>
      </c>
      <c r="M152" s="190"/>
      <c r="N152" s="190" t="str">
        <f t="shared" si="39"/>
        <v/>
      </c>
      <c r="O152" s="190"/>
      <c r="P152" s="190"/>
      <c r="Q152" s="190"/>
      <c r="R152" s="190"/>
      <c r="S152" s="190"/>
    </row>
    <row r="153" spans="1:19">
      <c r="A153" s="124" t="str">
        <f>IF(INDEX(VISL!A:A,MATCH(B153,VISL!B:B,0))="x","x","")</f>
        <v/>
      </c>
      <c r="B153" s="344" t="s">
        <v>195</v>
      </c>
      <c r="C153" s="269" t="s">
        <v>2245</v>
      </c>
      <c r="D153" s="200"/>
      <c r="E153" s="122" t="str">
        <f t="shared" si="33"/>
        <v>--</v>
      </c>
      <c r="F153" s="123" t="str">
        <f t="shared" si="34"/>
        <v>--</v>
      </c>
      <c r="G153" s="124"/>
      <c r="H153" s="121">
        <f t="shared" si="35"/>
        <v>1.1000000000000001E-3</v>
      </c>
      <c r="I153" s="121" t="str">
        <f t="shared" si="36"/>
        <v>E</v>
      </c>
      <c r="J153" s="121">
        <f t="shared" si="37"/>
        <v>1.2999999999999999E-3</v>
      </c>
      <c r="K153" s="121" t="str">
        <f t="shared" si="38"/>
        <v>E</v>
      </c>
      <c r="L153" s="121" t="str">
        <f>VLOOKUP(B153,VISL!$B:$W,22,FALSE)</f>
        <v/>
      </c>
      <c r="M153" s="190"/>
      <c r="N153" s="190" t="str">
        <f t="shared" si="39"/>
        <v/>
      </c>
      <c r="O153" s="190"/>
      <c r="P153" s="190"/>
      <c r="Q153" s="190"/>
      <c r="R153" s="190"/>
      <c r="S153" s="190"/>
    </row>
    <row r="154" spans="1:19">
      <c r="A154" s="124" t="str">
        <f>IF(INDEX(VISL!A:A,MATCH(B154,VISL!B:B,0))="x","x","")</f>
        <v/>
      </c>
      <c r="B154" s="344" t="s">
        <v>196</v>
      </c>
      <c r="C154" s="269" t="s">
        <v>2246</v>
      </c>
      <c r="D154" s="200"/>
      <c r="E154" s="122" t="str">
        <f t="shared" si="33"/>
        <v>--</v>
      </c>
      <c r="F154" s="123" t="str">
        <f t="shared" si="34"/>
        <v>--</v>
      </c>
      <c r="G154" s="124"/>
      <c r="H154" s="121">
        <f t="shared" si="35"/>
        <v>1.1000000000000001E-3</v>
      </c>
      <c r="I154" s="121" t="str">
        <f t="shared" si="36"/>
        <v>E</v>
      </c>
      <c r="J154" s="121">
        <f t="shared" si="37"/>
        <v>1.2999999999999999E-3</v>
      </c>
      <c r="K154" s="121" t="str">
        <f t="shared" si="38"/>
        <v>E</v>
      </c>
      <c r="L154" s="121" t="str">
        <f>VLOOKUP(B154,VISL!$B:$W,22,FALSE)</f>
        <v/>
      </c>
      <c r="M154" s="190"/>
      <c r="N154" s="190" t="str">
        <f t="shared" si="39"/>
        <v/>
      </c>
      <c r="O154" s="190"/>
      <c r="P154" s="190"/>
      <c r="Q154" s="190"/>
      <c r="R154" s="190"/>
      <c r="S154" s="190"/>
    </row>
    <row r="155" spans="1:19">
      <c r="A155" s="124" t="str">
        <f>IF(INDEX(VISL!A:A,MATCH(B155,VISL!B:B,0))="x","x","")</f>
        <v/>
      </c>
      <c r="B155" s="344" t="s">
        <v>194</v>
      </c>
      <c r="C155" s="269" t="s">
        <v>2247</v>
      </c>
      <c r="D155" s="200"/>
      <c r="E155" s="122" t="str">
        <f t="shared" si="33"/>
        <v>--</v>
      </c>
      <c r="F155" s="123" t="str">
        <f t="shared" si="34"/>
        <v>--</v>
      </c>
      <c r="G155" s="124"/>
      <c r="H155" s="121">
        <f t="shared" si="35"/>
        <v>1.1000000000000001E-3</v>
      </c>
      <c r="I155" s="121" t="str">
        <f t="shared" si="36"/>
        <v>E</v>
      </c>
      <c r="J155" s="121">
        <f t="shared" si="37"/>
        <v>1.2999999999999999E-3</v>
      </c>
      <c r="K155" s="121" t="str">
        <f t="shared" si="38"/>
        <v>E</v>
      </c>
      <c r="L155" s="121" t="str">
        <f>VLOOKUP(B155,VISL!$B:$W,22,FALSE)</f>
        <v/>
      </c>
      <c r="M155" s="190"/>
      <c r="N155" s="190" t="str">
        <f t="shared" si="39"/>
        <v/>
      </c>
      <c r="O155" s="190"/>
      <c r="P155" s="190"/>
      <c r="Q155" s="190"/>
      <c r="R155" s="190"/>
      <c r="S155" s="190"/>
    </row>
    <row r="156" spans="1:19">
      <c r="A156" s="124" t="str">
        <f>IF(INDEX(VISL!A:A,MATCH(B156,VISL!B:B,0))="x","x","")</f>
        <v/>
      </c>
      <c r="B156" s="344" t="s">
        <v>193</v>
      </c>
      <c r="C156" s="269" t="s">
        <v>2248</v>
      </c>
      <c r="D156" s="200"/>
      <c r="E156" s="122" t="str">
        <f t="shared" si="33"/>
        <v>--</v>
      </c>
      <c r="F156" s="123" t="str">
        <f t="shared" si="34"/>
        <v>--</v>
      </c>
      <c r="G156" s="124"/>
      <c r="H156" s="121">
        <f t="shared" si="35"/>
        <v>1.1000000000000001E-3</v>
      </c>
      <c r="I156" s="121" t="str">
        <f t="shared" si="36"/>
        <v>E</v>
      </c>
      <c r="J156" s="121">
        <f t="shared" si="37"/>
        <v>1.2999999999999999E-3</v>
      </c>
      <c r="K156" s="121" t="str">
        <f t="shared" si="38"/>
        <v>E</v>
      </c>
      <c r="L156" s="121" t="str">
        <f>VLOOKUP(B156,VISL!$B:$W,22,FALSE)</f>
        <v/>
      </c>
      <c r="M156" s="190"/>
      <c r="N156" s="190" t="str">
        <f t="shared" si="39"/>
        <v/>
      </c>
      <c r="O156" s="190"/>
      <c r="P156" s="190"/>
      <c r="Q156" s="190"/>
      <c r="R156" s="190"/>
      <c r="S156" s="190"/>
    </row>
    <row r="157" spans="1:19">
      <c r="A157" s="124" t="str">
        <f>IF(INDEX(VISL!A:A,MATCH(B157,VISL!B:B,0))="x","x","")</f>
        <v/>
      </c>
      <c r="B157" s="344" t="s">
        <v>197</v>
      </c>
      <c r="C157" s="269" t="s">
        <v>2249</v>
      </c>
      <c r="D157" s="200"/>
      <c r="E157" s="122" t="str">
        <f t="shared" si="33"/>
        <v>--</v>
      </c>
      <c r="F157" s="123" t="str">
        <f t="shared" si="34"/>
        <v>--</v>
      </c>
      <c r="G157" s="124"/>
      <c r="H157" s="121">
        <f t="shared" si="35"/>
        <v>3.8</v>
      </c>
      <c r="I157" s="121" t="str">
        <f t="shared" si="36"/>
        <v>E</v>
      </c>
      <c r="J157" s="121">
        <f t="shared" si="37"/>
        <v>3.9999999999999998E-7</v>
      </c>
      <c r="K157" s="121" t="str">
        <f t="shared" si="38"/>
        <v>E</v>
      </c>
      <c r="L157" s="121" t="str">
        <f>VLOOKUP(B157,VISL!$B:$W,22,FALSE)</f>
        <v/>
      </c>
      <c r="M157" s="190"/>
      <c r="N157" s="190" t="str">
        <f t="shared" si="39"/>
        <v/>
      </c>
      <c r="O157" s="190"/>
      <c r="P157" s="190"/>
      <c r="Q157" s="190"/>
      <c r="R157" s="190"/>
      <c r="S157" s="190"/>
    </row>
    <row r="158" spans="1:19">
      <c r="A158" s="124" t="str">
        <f>IF(INDEX(VISL!A:A,MATCH(B158,VISL!B:B,0))="x","x","")</f>
        <v/>
      </c>
      <c r="B158" s="344" t="s">
        <v>159</v>
      </c>
      <c r="C158" s="269" t="s">
        <v>609</v>
      </c>
      <c r="D158" s="200"/>
      <c r="E158" s="122" t="str">
        <f t="shared" si="33"/>
        <v>--</v>
      </c>
      <c r="F158" s="123" t="str">
        <f t="shared" si="34"/>
        <v>--</v>
      </c>
      <c r="G158" s="124"/>
      <c r="H158" s="121" t="str">
        <f t="shared" si="35"/>
        <v/>
      </c>
      <c r="I158" s="121" t="str">
        <f t="shared" si="36"/>
        <v/>
      </c>
      <c r="J158" s="121">
        <f t="shared" si="37"/>
        <v>1</v>
      </c>
      <c r="K158" s="121" t="str">
        <f t="shared" si="38"/>
        <v>P</v>
      </c>
      <c r="L158" s="121" t="str">
        <f>VLOOKUP(B158,VISL!$B:$W,22,FALSE)</f>
        <v/>
      </c>
      <c r="M158" s="190"/>
      <c r="N158" s="190" t="str">
        <f t="shared" si="39"/>
        <v/>
      </c>
      <c r="O158" s="190"/>
      <c r="P158" s="190"/>
      <c r="Q158" s="190"/>
      <c r="R158" s="190"/>
      <c r="S158" s="190"/>
    </row>
    <row r="159" spans="1:19">
      <c r="A159" s="124" t="str">
        <f>IF(INDEX(VISL!A:A,MATCH(B159,VISL!B:B,0))="x","x","")</f>
        <v/>
      </c>
      <c r="B159" s="344" t="s">
        <v>170</v>
      </c>
      <c r="C159" s="269" t="s">
        <v>1296</v>
      </c>
      <c r="D159" s="200"/>
      <c r="E159" s="122" t="str">
        <f t="shared" si="33"/>
        <v>--</v>
      </c>
      <c r="F159" s="123" t="str">
        <f t="shared" si="34"/>
        <v>--</v>
      </c>
      <c r="G159" s="124"/>
      <c r="H159" s="121" t="str">
        <f t="shared" si="35"/>
        <v/>
      </c>
      <c r="I159" s="121" t="str">
        <f t="shared" si="36"/>
        <v/>
      </c>
      <c r="J159" s="121">
        <f t="shared" si="37"/>
        <v>2.9999999999999997E-4</v>
      </c>
      <c r="K159" s="121" t="str">
        <f t="shared" si="38"/>
        <v>I</v>
      </c>
      <c r="L159" s="121" t="str">
        <f>VLOOKUP(B159,VISL!$B:$W,22,FALSE)</f>
        <v/>
      </c>
      <c r="M159" s="190"/>
      <c r="N159" s="190" t="str">
        <f t="shared" si="39"/>
        <v/>
      </c>
      <c r="O159" s="190"/>
      <c r="P159" s="190"/>
      <c r="Q159" s="190"/>
      <c r="R159" s="190"/>
      <c r="S159" s="190"/>
    </row>
    <row r="160" spans="1:19">
      <c r="A160" s="124" t="str">
        <f>IF(INDEX(VISL!A:A,MATCH(B160,VISL!B:B,0))="x","x","")</f>
        <v/>
      </c>
      <c r="B160" s="344" t="s">
        <v>172</v>
      </c>
      <c r="C160" s="269" t="s">
        <v>1298</v>
      </c>
      <c r="D160" s="200"/>
      <c r="E160" s="122" t="str">
        <f t="shared" si="33"/>
        <v>--</v>
      </c>
      <c r="F160" s="123" t="str">
        <f t="shared" si="34"/>
        <v>--</v>
      </c>
      <c r="G160" s="124"/>
      <c r="H160" s="121" t="str">
        <f t="shared" si="35"/>
        <v/>
      </c>
      <c r="I160" s="121" t="str">
        <f t="shared" si="36"/>
        <v/>
      </c>
      <c r="J160" s="121">
        <f t="shared" si="37"/>
        <v>2.9999999999999997E-4</v>
      </c>
      <c r="K160" s="121" t="str">
        <f t="shared" si="38"/>
        <v>I</v>
      </c>
      <c r="L160" s="121" t="str">
        <f>VLOOKUP(B160,VISL!$B:$W,22,FALSE)</f>
        <v/>
      </c>
      <c r="M160" s="190"/>
      <c r="N160" s="190" t="str">
        <f t="shared" si="39"/>
        <v/>
      </c>
      <c r="O160" s="190"/>
      <c r="P160" s="190"/>
      <c r="Q160" s="190"/>
      <c r="R160" s="190"/>
      <c r="S160" s="190"/>
    </row>
    <row r="161" spans="1:19">
      <c r="A161" s="124" t="str">
        <f>IF(INDEX(VISL!A:A,MATCH(B161,VISL!B:B,0))="x","x","")</f>
        <v/>
      </c>
      <c r="B161" s="344" t="s">
        <v>232</v>
      </c>
      <c r="C161" s="269" t="s">
        <v>611</v>
      </c>
      <c r="D161" s="200"/>
      <c r="E161" s="122" t="str">
        <f t="shared" si="33"/>
        <v>--</v>
      </c>
      <c r="F161" s="123" t="str">
        <f t="shared" si="34"/>
        <v>--</v>
      </c>
      <c r="G161" s="124"/>
      <c r="H161" s="121" t="str">
        <f t="shared" si="35"/>
        <v/>
      </c>
      <c r="I161" s="121" t="str">
        <f t="shared" si="36"/>
        <v/>
      </c>
      <c r="J161" s="121">
        <f t="shared" si="37"/>
        <v>8.0000000000000002E-3</v>
      </c>
      <c r="K161" s="121" t="str">
        <f t="shared" si="38"/>
        <v>I</v>
      </c>
      <c r="L161" s="121" t="str">
        <f>VLOOKUP(B161,VISL!$B:$W,22,FALSE)</f>
        <v/>
      </c>
      <c r="M161" s="190"/>
      <c r="N161" s="190" t="str">
        <f t="shared" si="39"/>
        <v/>
      </c>
      <c r="O161" s="190"/>
      <c r="P161" s="190"/>
      <c r="Q161" s="190"/>
      <c r="R161" s="190"/>
      <c r="S161" s="190"/>
    </row>
    <row r="162" spans="1:19">
      <c r="A162" s="124" t="str">
        <f>IF(INDEX(VISL!A:A,MATCH(B162,VISL!B:B,0))="x","x","")</f>
        <v/>
      </c>
      <c r="B162" s="344" t="s">
        <v>233</v>
      </c>
      <c r="C162" s="269" t="s">
        <v>612</v>
      </c>
      <c r="D162" s="200"/>
      <c r="E162" s="122" t="str">
        <f t="shared" si="33"/>
        <v>--</v>
      </c>
      <c r="F162" s="123" t="str">
        <f t="shared" si="34"/>
        <v>--</v>
      </c>
      <c r="G162" s="124"/>
      <c r="H162" s="121" t="str">
        <f t="shared" si="35"/>
        <v/>
      </c>
      <c r="I162" s="121" t="str">
        <f t="shared" si="36"/>
        <v/>
      </c>
      <c r="J162" s="121">
        <f t="shared" si="37"/>
        <v>1</v>
      </c>
      <c r="K162" s="121" t="str">
        <f t="shared" si="38"/>
        <v>X</v>
      </c>
      <c r="L162" s="121" t="str">
        <f>VLOOKUP(B162,VISL!$B:$W,22,FALSE)</f>
        <v/>
      </c>
      <c r="M162" s="190"/>
      <c r="N162" s="190" t="str">
        <f t="shared" si="39"/>
        <v/>
      </c>
      <c r="O162" s="190"/>
      <c r="P162" s="190"/>
      <c r="Q162" s="190"/>
      <c r="R162" s="190"/>
      <c r="S162" s="190"/>
    </row>
    <row r="163" spans="1:19">
      <c r="A163" s="124" t="str">
        <f>IF(INDEX(VISL!A:A,MATCH(B163,VISL!B:B,0))="x","x","")</f>
        <v/>
      </c>
      <c r="B163" s="344" t="s">
        <v>234</v>
      </c>
      <c r="C163" s="269" t="s">
        <v>613</v>
      </c>
      <c r="D163" s="200"/>
      <c r="E163" s="122" t="str">
        <f t="shared" si="33"/>
        <v>--</v>
      </c>
      <c r="F163" s="123" t="str">
        <f t="shared" si="34"/>
        <v>--</v>
      </c>
      <c r="G163" s="124"/>
      <c r="H163" s="121" t="str">
        <f t="shared" si="35"/>
        <v/>
      </c>
      <c r="I163" s="121" t="str">
        <f t="shared" si="36"/>
        <v/>
      </c>
      <c r="J163" s="121">
        <f t="shared" si="37"/>
        <v>3</v>
      </c>
      <c r="K163" s="121" t="str">
        <f t="shared" si="38"/>
        <v>CA</v>
      </c>
      <c r="L163" s="121" t="str">
        <f>VLOOKUP(B163,VISL!$B:$W,22,FALSE)</f>
        <v/>
      </c>
      <c r="M163" s="190"/>
      <c r="N163" s="190" t="str">
        <f t="shared" si="39"/>
        <v/>
      </c>
      <c r="O163" s="190"/>
      <c r="P163" s="190"/>
      <c r="Q163" s="190"/>
      <c r="R163" s="190"/>
      <c r="S163" s="190"/>
    </row>
    <row r="164" spans="1:19">
      <c r="A164" s="124" t="str">
        <f>IF(INDEX(VISL!A:A,MATCH(B164,VISL!B:B,0))="x","x","")</f>
        <v/>
      </c>
      <c r="B164" s="269" t="s">
        <v>237</v>
      </c>
      <c r="C164" s="269" t="s">
        <v>1318</v>
      </c>
      <c r="D164" s="200"/>
      <c r="E164" s="122" t="str">
        <f t="shared" si="33"/>
        <v>--</v>
      </c>
      <c r="F164" s="123" t="str">
        <f t="shared" si="34"/>
        <v>--</v>
      </c>
      <c r="G164" s="124"/>
      <c r="H164" s="121" t="str">
        <f t="shared" si="35"/>
        <v/>
      </c>
      <c r="I164" s="121" t="str">
        <f t="shared" si="36"/>
        <v/>
      </c>
      <c r="J164" s="121">
        <f t="shared" si="37"/>
        <v>2</v>
      </c>
      <c r="K164" s="121" t="str">
        <f t="shared" si="38"/>
        <v>I</v>
      </c>
      <c r="L164" s="121" t="str">
        <f>VLOOKUP(B164,VISL!$B:$W,22,FALSE)</f>
        <v/>
      </c>
      <c r="M164" s="190"/>
      <c r="N164" s="190" t="str">
        <f t="shared" si="39"/>
        <v/>
      </c>
      <c r="O164" s="190"/>
      <c r="P164" s="190"/>
      <c r="Q164" s="190"/>
      <c r="R164" s="190"/>
      <c r="S164" s="190"/>
    </row>
    <row r="165" spans="1:19">
      <c r="A165" s="124" t="str">
        <f>IF(INDEX(VISL!A:A,MATCH(B165,VISL!B:B,0))="x","x","")</f>
        <v/>
      </c>
      <c r="B165" s="344" t="s">
        <v>238</v>
      </c>
      <c r="C165" s="269" t="s">
        <v>1319</v>
      </c>
      <c r="D165" s="200"/>
      <c r="E165" s="122" t="str">
        <f t="shared" si="33"/>
        <v>--</v>
      </c>
      <c r="F165" s="123" t="str">
        <f t="shared" si="34"/>
        <v>--</v>
      </c>
      <c r="G165" s="124"/>
      <c r="H165" s="121">
        <f t="shared" si="35"/>
        <v>3.7000000000000002E-6</v>
      </c>
      <c r="I165" s="121" t="str">
        <f t="shared" si="36"/>
        <v>I</v>
      </c>
      <c r="J165" s="121">
        <f t="shared" si="37"/>
        <v>0.03</v>
      </c>
      <c r="K165" s="121" t="str">
        <f t="shared" si="38"/>
        <v>I</v>
      </c>
      <c r="L165" s="121" t="str">
        <f>VLOOKUP(B165,VISL!$B:$W,22,FALSE)</f>
        <v/>
      </c>
      <c r="M165" s="190"/>
      <c r="N165" s="190" t="str">
        <f t="shared" si="39"/>
        <v/>
      </c>
      <c r="O165" s="190"/>
      <c r="P165" s="190"/>
      <c r="Q165" s="190"/>
      <c r="R165" s="190"/>
      <c r="S165" s="190"/>
    </row>
    <row r="166" spans="1:19">
      <c r="A166" s="124" t="str">
        <f>IF(INDEX(VISL!A:A,MATCH(B166,VISL!B:B,0))="x","x","")</f>
        <v/>
      </c>
      <c r="B166" s="269" t="s">
        <v>266</v>
      </c>
      <c r="C166" s="269" t="s">
        <v>396</v>
      </c>
      <c r="D166" s="200"/>
      <c r="E166" s="122" t="str">
        <f t="shared" si="33"/>
        <v>--</v>
      </c>
      <c r="F166" s="123" t="str">
        <f t="shared" si="34"/>
        <v>--</v>
      </c>
      <c r="G166" s="124"/>
      <c r="H166" s="121" t="str">
        <f t="shared" si="35"/>
        <v/>
      </c>
      <c r="I166" s="121" t="str">
        <f t="shared" si="36"/>
        <v/>
      </c>
      <c r="J166" s="121">
        <f t="shared" si="37"/>
        <v>1</v>
      </c>
      <c r="K166" s="121" t="str">
        <f t="shared" si="38"/>
        <v>I</v>
      </c>
      <c r="L166" s="121" t="str">
        <f>VLOOKUP(B166,VISL!$B:$W,22,FALSE)</f>
        <v/>
      </c>
      <c r="M166" s="190"/>
      <c r="N166" s="190" t="str">
        <f t="shared" si="39"/>
        <v/>
      </c>
      <c r="O166" s="190"/>
      <c r="P166" s="190"/>
      <c r="Q166" s="190"/>
      <c r="R166" s="190"/>
      <c r="S166" s="190"/>
    </row>
    <row r="167" spans="1:19">
      <c r="A167" s="124" t="str">
        <f>IF(INDEX(VISL!A:A,MATCH(B167,VISL!B:B,0))="x","x","")</f>
        <v/>
      </c>
      <c r="B167" s="344" t="s">
        <v>2271</v>
      </c>
      <c r="C167" s="269" t="s">
        <v>2130</v>
      </c>
      <c r="D167" s="200"/>
      <c r="E167" s="122" t="str">
        <f t="shared" si="33"/>
        <v>--</v>
      </c>
      <c r="F167" s="123" t="str">
        <f t="shared" si="34"/>
        <v>--</v>
      </c>
      <c r="G167" s="124"/>
      <c r="H167" s="121" t="str">
        <f t="shared" si="35"/>
        <v/>
      </c>
      <c r="I167" s="121" t="str">
        <f t="shared" si="36"/>
        <v/>
      </c>
      <c r="J167" s="121">
        <f t="shared" si="37"/>
        <v>1E-3</v>
      </c>
      <c r="K167" s="121" t="str">
        <f t="shared" si="38"/>
        <v>CA</v>
      </c>
      <c r="L167" s="121" t="str">
        <f>VLOOKUP(B167,VISL!$B:$W,22,FALSE)</f>
        <v/>
      </c>
      <c r="M167" s="190"/>
      <c r="N167" s="190" t="str">
        <f t="shared" si="39"/>
        <v/>
      </c>
      <c r="O167" s="190"/>
      <c r="P167" s="190"/>
      <c r="Q167" s="190"/>
      <c r="R167" s="190"/>
      <c r="S167" s="190"/>
    </row>
    <row r="168" spans="1:19">
      <c r="A168" s="124" t="str">
        <f>IF(INDEX(VISL!A:A,MATCH(B168,VISL!B:B,0))="x","x","")</f>
        <v/>
      </c>
      <c r="B168" s="344" t="s">
        <v>891</v>
      </c>
      <c r="C168" s="269" t="s">
        <v>2250</v>
      </c>
      <c r="D168" s="200"/>
      <c r="E168" s="122" t="str">
        <f t="shared" si="33"/>
        <v>--</v>
      </c>
      <c r="F168" s="123" t="str">
        <f t="shared" si="34"/>
        <v>--</v>
      </c>
      <c r="G168" s="124"/>
      <c r="H168" s="121">
        <f t="shared" si="35"/>
        <v>38</v>
      </c>
      <c r="I168" s="121" t="str">
        <f t="shared" si="36"/>
        <v>CA</v>
      </c>
      <c r="J168" s="121">
        <f t="shared" si="37"/>
        <v>4.0000000000000001E-8</v>
      </c>
      <c r="K168" s="121" t="str">
        <f t="shared" si="38"/>
        <v>CA</v>
      </c>
      <c r="L168" s="121" t="str">
        <f>VLOOKUP(B168,VISL!$B:$W,22,FALSE)</f>
        <v/>
      </c>
      <c r="M168" s="190"/>
      <c r="N168" s="190" t="str">
        <f t="shared" si="39"/>
        <v/>
      </c>
      <c r="O168" s="190"/>
      <c r="P168" s="190"/>
      <c r="Q168" s="190"/>
      <c r="R168" s="190"/>
      <c r="S168" s="190"/>
    </row>
    <row r="169" spans="1:19">
      <c r="A169" s="124" t="str">
        <f>IF(INDEX(VISL!A:A,MATCH(B169,VISL!B:B,0))="x","x","")</f>
        <v/>
      </c>
      <c r="B169" s="344" t="s">
        <v>199</v>
      </c>
      <c r="C169" s="269" t="s">
        <v>2251</v>
      </c>
      <c r="D169" s="200"/>
      <c r="E169" s="122" t="str">
        <f t="shared" si="33"/>
        <v>--</v>
      </c>
      <c r="F169" s="123" t="str">
        <f t="shared" si="34"/>
        <v>--</v>
      </c>
      <c r="G169" s="124"/>
      <c r="H169" s="121">
        <f t="shared" si="35"/>
        <v>1.0999999999999999E-2</v>
      </c>
      <c r="I169" s="121" t="str">
        <f t="shared" si="36"/>
        <v>E</v>
      </c>
      <c r="J169" s="121">
        <f t="shared" si="37"/>
        <v>1.2999999999999999E-4</v>
      </c>
      <c r="K169" s="121" t="str">
        <f t="shared" si="38"/>
        <v>E</v>
      </c>
      <c r="L169" s="121" t="str">
        <f>VLOOKUP(B169,VISL!$B:$W,22,FALSE)</f>
        <v/>
      </c>
      <c r="M169" s="190"/>
      <c r="N169" s="190" t="str">
        <f t="shared" si="39"/>
        <v/>
      </c>
      <c r="O169" s="190"/>
      <c r="P169" s="190"/>
      <c r="Q169" s="190"/>
      <c r="R169" s="190"/>
      <c r="S169" s="190"/>
    </row>
    <row r="170" spans="1:19">
      <c r="A170" s="124" t="str">
        <f>IF(INDEX(VISL!A:A,MATCH(B170,VISL!B:B,0))="x","x","")</f>
        <v/>
      </c>
      <c r="B170" s="344" t="s">
        <v>278</v>
      </c>
      <c r="C170" s="269" t="s">
        <v>441</v>
      </c>
      <c r="D170" s="200"/>
      <c r="E170" s="122" t="str">
        <f t="shared" si="33"/>
        <v>--</v>
      </c>
      <c r="F170" s="123" t="str">
        <f t="shared" si="34"/>
        <v>--</v>
      </c>
      <c r="G170" s="124"/>
      <c r="H170" s="121">
        <f t="shared" si="35"/>
        <v>7.4000000000000003E-6</v>
      </c>
      <c r="I170" s="121" t="str">
        <f t="shared" si="36"/>
        <v>I</v>
      </c>
      <c r="J170" s="121" t="str">
        <f t="shared" si="37"/>
        <v/>
      </c>
      <c r="K170" s="121" t="str">
        <f t="shared" si="38"/>
        <v/>
      </c>
      <c r="L170" s="121" t="str">
        <f>VLOOKUP(B170,VISL!$B:$W,22,FALSE)</f>
        <v/>
      </c>
      <c r="M170" s="190"/>
      <c r="N170" s="190" t="str">
        <f t="shared" si="39"/>
        <v/>
      </c>
      <c r="O170" s="190"/>
      <c r="P170" s="190"/>
      <c r="Q170" s="190"/>
      <c r="R170" s="190"/>
      <c r="S170" s="190"/>
    </row>
    <row r="171" spans="1:19">
      <c r="A171" s="124" t="str">
        <f>IF(INDEX(VISL!A:A,MATCH(B171,VISL!B:B,0))="x","x","")</f>
        <v/>
      </c>
      <c r="B171" s="269" t="s">
        <v>279</v>
      </c>
      <c r="C171" s="269" t="s">
        <v>443</v>
      </c>
      <c r="D171" s="200"/>
      <c r="E171" s="122" t="str">
        <f t="shared" si="33"/>
        <v>--</v>
      </c>
      <c r="F171" s="123" t="str">
        <f t="shared" si="34"/>
        <v>--</v>
      </c>
      <c r="G171" s="124"/>
      <c r="H171" s="121">
        <f t="shared" si="35"/>
        <v>5.8E-5</v>
      </c>
      <c r="I171" s="121" t="str">
        <f t="shared" si="36"/>
        <v>CA</v>
      </c>
      <c r="J171" s="121" t="str">
        <f t="shared" si="37"/>
        <v/>
      </c>
      <c r="K171" s="121" t="str">
        <f t="shared" si="38"/>
        <v/>
      </c>
      <c r="L171" s="121" t="str">
        <f>VLOOKUP(B171,VISL!$B:$W,22,FALSE)</f>
        <v/>
      </c>
      <c r="M171" s="190"/>
      <c r="N171" s="190" t="str">
        <f t="shared" si="39"/>
        <v/>
      </c>
      <c r="O171" s="190"/>
      <c r="P171" s="190"/>
      <c r="Q171" s="190"/>
      <c r="R171" s="190"/>
      <c r="S171" s="190"/>
    </row>
    <row r="172" spans="1:19">
      <c r="A172" s="124" t="str">
        <f>IF(INDEX(VISL!A:A,MATCH(B172,VISL!B:B,0))="x","x","")</f>
        <v/>
      </c>
      <c r="B172" s="269" t="s">
        <v>280</v>
      </c>
      <c r="C172" s="269" t="s">
        <v>397</v>
      </c>
      <c r="D172" s="200"/>
      <c r="E172" s="122" t="str">
        <f t="shared" si="33"/>
        <v>--</v>
      </c>
      <c r="F172" s="123" t="str">
        <f t="shared" si="34"/>
        <v>--</v>
      </c>
      <c r="G172" s="124"/>
      <c r="H172" s="121">
        <f t="shared" si="35"/>
        <v>2.6E-7</v>
      </c>
      <c r="I172" s="121" t="str">
        <f t="shared" si="36"/>
        <v>I</v>
      </c>
      <c r="J172" s="121">
        <f t="shared" si="37"/>
        <v>0.04</v>
      </c>
      <c r="K172" s="121" t="str">
        <f t="shared" si="38"/>
        <v>I</v>
      </c>
      <c r="L172" s="121" t="str">
        <f>VLOOKUP(B172,VISL!$B:$W,22,FALSE)</f>
        <v/>
      </c>
      <c r="M172" s="190"/>
      <c r="N172" s="190" t="str">
        <f t="shared" si="39"/>
        <v/>
      </c>
      <c r="O172" s="190"/>
      <c r="P172" s="190"/>
      <c r="Q172" s="190"/>
      <c r="R172" s="190"/>
      <c r="S172" s="190"/>
    </row>
    <row r="173" spans="1:19">
      <c r="A173" s="124" t="str">
        <f>IF(INDEX(VISL!A:A,MATCH(B173,VISL!B:B,0))="x","x","")</f>
        <v/>
      </c>
      <c r="B173" s="344" t="s">
        <v>284</v>
      </c>
      <c r="C173" s="269" t="s">
        <v>1349</v>
      </c>
      <c r="D173" s="200"/>
      <c r="E173" s="122" t="str">
        <f t="shared" si="33"/>
        <v>--</v>
      </c>
      <c r="F173" s="123" t="str">
        <f t="shared" si="34"/>
        <v>--</v>
      </c>
      <c r="G173" s="124"/>
      <c r="H173" s="121" t="str">
        <f t="shared" si="35"/>
        <v/>
      </c>
      <c r="I173" s="121" t="str">
        <f t="shared" si="36"/>
        <v/>
      </c>
      <c r="J173" s="121">
        <f t="shared" si="37"/>
        <v>80</v>
      </c>
      <c r="K173" s="121" t="str">
        <f t="shared" si="38"/>
        <v>I</v>
      </c>
      <c r="L173" s="121" t="str">
        <f>VLOOKUP(B173,VISL!$B:$W,22,FALSE)</f>
        <v/>
      </c>
      <c r="M173" s="190"/>
      <c r="N173" s="190" t="str">
        <f t="shared" si="39"/>
        <v/>
      </c>
      <c r="O173" s="190"/>
      <c r="P173" s="190"/>
      <c r="Q173" s="190"/>
      <c r="R173" s="190"/>
      <c r="S173" s="190"/>
    </row>
    <row r="174" spans="1:19">
      <c r="A174" s="124" t="str">
        <f>IF(INDEX(VISL!A:A,MATCH(B174,VISL!B:B,0))="x","x","")</f>
        <v/>
      </c>
      <c r="B174" s="344" t="s">
        <v>1831</v>
      </c>
      <c r="C174" s="269" t="s">
        <v>2252</v>
      </c>
      <c r="D174" s="200"/>
      <c r="E174" s="122" t="str">
        <f t="shared" si="33"/>
        <v>--</v>
      </c>
      <c r="F174" s="123" t="str">
        <f t="shared" si="34"/>
        <v>--</v>
      </c>
      <c r="G174" s="124"/>
      <c r="H174" s="121" t="str">
        <f t="shared" si="35"/>
        <v/>
      </c>
      <c r="I174" s="121" t="str">
        <f t="shared" si="36"/>
        <v/>
      </c>
      <c r="J174" s="121">
        <f t="shared" si="37"/>
        <v>2</v>
      </c>
      <c r="K174" s="121" t="str">
        <f t="shared" si="38"/>
        <v>I</v>
      </c>
      <c r="L174" s="121" t="str">
        <f>VLOOKUP(B174,VISL!$B:$W,22,FALSE)</f>
        <v/>
      </c>
      <c r="M174" s="190"/>
      <c r="N174" s="190" t="str">
        <f t="shared" si="39"/>
        <v/>
      </c>
      <c r="O174" s="190"/>
      <c r="P174" s="190"/>
      <c r="Q174" s="190"/>
      <c r="R174" s="190"/>
      <c r="S174" s="190"/>
    </row>
    <row r="175" spans="1:19">
      <c r="A175" s="124" t="str">
        <f>IF(INDEX(VISL!A:A,MATCH(B175,VISL!B:B,0))="x","x","")</f>
        <v/>
      </c>
      <c r="B175" s="344" t="s">
        <v>293</v>
      </c>
      <c r="C175" s="269" t="s">
        <v>620</v>
      </c>
      <c r="D175" s="200"/>
      <c r="E175" s="122" t="str">
        <f t="shared" si="33"/>
        <v>--</v>
      </c>
      <c r="F175" s="123" t="str">
        <f t="shared" si="34"/>
        <v>--</v>
      </c>
      <c r="G175" s="124"/>
      <c r="H175" s="121" t="str">
        <f t="shared" si="35"/>
        <v/>
      </c>
      <c r="I175" s="121" t="str">
        <f t="shared" si="36"/>
        <v/>
      </c>
      <c r="J175" s="121">
        <f t="shared" si="37"/>
        <v>1E-4</v>
      </c>
      <c r="K175" s="121" t="str">
        <f t="shared" si="38"/>
        <v>A</v>
      </c>
      <c r="L175" s="121" t="str">
        <f>VLOOKUP(B175,VISL!$B:$W,22,FALSE)</f>
        <v/>
      </c>
      <c r="M175" s="190"/>
      <c r="N175" s="190" t="str">
        <f t="shared" si="39"/>
        <v/>
      </c>
      <c r="O175" s="190"/>
      <c r="P175" s="190"/>
      <c r="Q175" s="190"/>
      <c r="R175" s="190"/>
      <c r="S175" s="190"/>
    </row>
    <row r="176" spans="1:19">
      <c r="A176" s="124" t="str">
        <f>IF(INDEX(VISL!A:A,MATCH(B176,VISL!B:B,0))="x","x","")</f>
        <v/>
      </c>
      <c r="B176" s="344" t="s">
        <v>294</v>
      </c>
      <c r="C176" s="269" t="s">
        <v>398</v>
      </c>
      <c r="D176" s="200"/>
      <c r="E176" s="122" t="str">
        <f t="shared" si="33"/>
        <v>--</v>
      </c>
      <c r="F176" s="123" t="str">
        <f t="shared" si="34"/>
        <v>--</v>
      </c>
      <c r="G176" s="124"/>
      <c r="H176" s="121" t="str">
        <f t="shared" si="35"/>
        <v/>
      </c>
      <c r="I176" s="121" t="str">
        <f t="shared" si="36"/>
        <v/>
      </c>
      <c r="J176" s="121">
        <f t="shared" si="37"/>
        <v>5</v>
      </c>
      <c r="K176" s="121" t="str">
        <f t="shared" si="38"/>
        <v>I</v>
      </c>
      <c r="L176" s="121" t="str">
        <f>VLOOKUP(B176,VISL!$B:$W,22,FALSE)</f>
        <v/>
      </c>
      <c r="M176" s="190"/>
      <c r="N176" s="190" t="str">
        <f t="shared" si="39"/>
        <v/>
      </c>
      <c r="O176" s="190"/>
      <c r="P176" s="190"/>
      <c r="Q176" s="190"/>
      <c r="R176" s="190"/>
      <c r="S176" s="190"/>
    </row>
    <row r="177" spans="1:19">
      <c r="A177" s="124" t="str">
        <f>IF(INDEX(VISL!A:A,MATCH(B177,VISL!B:B,0))="x","x","")</f>
        <v/>
      </c>
      <c r="B177" s="269" t="s">
        <v>310</v>
      </c>
      <c r="C177" s="269" t="s">
        <v>1364</v>
      </c>
      <c r="D177" s="200"/>
      <c r="E177" s="122" t="str">
        <f t="shared" si="33"/>
        <v>--</v>
      </c>
      <c r="F177" s="123" t="str">
        <f t="shared" si="34"/>
        <v>--</v>
      </c>
      <c r="G177" s="124"/>
      <c r="H177" s="121" t="str">
        <f t="shared" si="35"/>
        <v/>
      </c>
      <c r="I177" s="121" t="str">
        <f t="shared" si="36"/>
        <v/>
      </c>
      <c r="J177" s="121">
        <f t="shared" si="37"/>
        <v>5</v>
      </c>
      <c r="K177" s="121" t="str">
        <f t="shared" si="38"/>
        <v>P</v>
      </c>
      <c r="L177" s="121" t="str">
        <f>VLOOKUP(B177,VISL!$B:$W,22,FALSE)</f>
        <v/>
      </c>
      <c r="M177" s="190"/>
      <c r="N177" s="190" t="str">
        <f t="shared" si="39"/>
        <v/>
      </c>
      <c r="O177" s="190"/>
      <c r="P177" s="190"/>
      <c r="Q177" s="190"/>
      <c r="R177" s="190"/>
      <c r="S177" s="190"/>
    </row>
    <row r="178" spans="1:19">
      <c r="A178" s="124" t="str">
        <f>IF(INDEX(VISL!A:A,MATCH(B178,VISL!B:B,0))="x","x","")</f>
        <v/>
      </c>
      <c r="B178" s="344" t="s">
        <v>316</v>
      </c>
      <c r="C178" s="269" t="s">
        <v>1367</v>
      </c>
      <c r="D178" s="200"/>
      <c r="E178" s="122" t="str">
        <f t="shared" si="33"/>
        <v>--</v>
      </c>
      <c r="F178" s="123" t="str">
        <f t="shared" si="34"/>
        <v>--</v>
      </c>
      <c r="G178" s="124"/>
      <c r="H178" s="121" t="str">
        <f t="shared" si="35"/>
        <v/>
      </c>
      <c r="I178" s="121" t="str">
        <f t="shared" si="36"/>
        <v/>
      </c>
      <c r="J178" s="121">
        <f t="shared" si="37"/>
        <v>2E-3</v>
      </c>
      <c r="K178" s="121" t="str">
        <f t="shared" si="38"/>
        <v>P</v>
      </c>
      <c r="L178" s="121" t="str">
        <f>VLOOKUP(B178,VISL!$B:$W,22,FALSE)</f>
        <v/>
      </c>
      <c r="M178" s="190"/>
      <c r="N178" s="190" t="str">
        <f t="shared" si="39"/>
        <v/>
      </c>
      <c r="O178" s="190"/>
      <c r="P178" s="190"/>
      <c r="Q178" s="190"/>
      <c r="R178" s="190"/>
      <c r="S178" s="190"/>
    </row>
    <row r="179" spans="1:19">
      <c r="A179" s="124" t="str">
        <f>IF(INDEX(VISL!A:A,MATCH(B179,VISL!B:B,0))="x","x","")</f>
        <v/>
      </c>
      <c r="B179" s="345" t="s">
        <v>317</v>
      </c>
      <c r="C179" s="269" t="s">
        <v>442</v>
      </c>
      <c r="D179" s="200"/>
      <c r="E179" s="122" t="str">
        <f>IF(OR(D179="",ISTEXT(D179)),"--",IF(H179="","No IUR",IF(L179&lt;&gt;"TCE",D179*(IF(AND(L179="VC",Scenario_IA="Residential"),H179,0)+H179*IF(L179="Mut",MMOAAF_IA,ED_IA)*EF_IA*ET_IA/(ATc_IA*365*24)),D179*mIURTCE_IA*MMOAAF_IA*EF_IA*ET_IA/(ATc_IA*365*24)+D179*IURTCE_IA*ED_IA*EF_IA*ET_IA/(ATc_IA*365*24))))</f>
        <v>--</v>
      </c>
      <c r="F179" s="123" t="str">
        <f>IF(OR(D179="",ISTEXT(D179)),"--",IF(J179="","No RfC",D179*EF_IA*ED_IA*ET_IA/(J179*ATnc_IA*365*24*1000)))</f>
        <v>--</v>
      </c>
      <c r="G179" s="124"/>
      <c r="H179" s="121" t="str">
        <f>IF(INDEX(IUR,MATCH(B179,CASNoTox,0))=" ","",IF(L179="TCE","see note",INDEX(IUR,MATCH(B179,CASNoTox,0))))</f>
        <v/>
      </c>
      <c r="I179" s="121" t="str">
        <f>IF(INDEX(IURSource,MATCH(B179,CASNoTox,0))="","",SUBSTITUTE(INDEX(IURSource,MATCH(B179,CASNoTox,0)),"C","CA"))</f>
        <v/>
      </c>
      <c r="J179" s="121">
        <f>IF(INDEX(RFC,MATCH(B179,CASNoTox,0))=" ","",INDEX(RFC,MATCH(B179,CASNoTox,0)))</f>
        <v>5</v>
      </c>
      <c r="K179" s="121" t="str">
        <f>IF(INDEX(RFCSource,MATCH(B179,CASNoTox,0))="","",SUBSTITUTE(INDEX(RFCSource,MATCH(B179,CASNoTox,0)),"C","CA"))</f>
        <v>I</v>
      </c>
      <c r="L179" s="121" t="str">
        <f>VLOOKUP(B179,VISL!$B:$W,22,FALSE)</f>
        <v/>
      </c>
      <c r="M179" s="190"/>
      <c r="N179" s="190"/>
      <c r="O179" s="190"/>
      <c r="P179" s="190"/>
      <c r="Q179" s="190"/>
      <c r="R179" s="190"/>
      <c r="S179" s="190"/>
    </row>
    <row r="180" spans="1:19">
      <c r="A180" s="124" t="str">
        <f>IF(INDEX(VISL!A:A,MATCH(B180,VISL!B:B,0))="x","x","")</f>
        <v/>
      </c>
      <c r="B180" s="345" t="s">
        <v>318</v>
      </c>
      <c r="C180" s="269" t="s">
        <v>1368</v>
      </c>
      <c r="D180" s="200"/>
      <c r="E180" s="122" t="str">
        <f>IF(OR(D180="",ISTEXT(D180)),"--",IF(H180="","No IUR",IF(L180&lt;&gt;"TCE",D180*(IF(AND(L180="VC",Scenario_IA="Residential"),H180,0)+H180*IF(L180="Mut",MMOAAF_IA,ED_IA)*EF_IA*ET_IA/(ATc_IA*365*24)),D180*mIURTCE_IA*MMOAAF_IA*EF_IA*ET_IA/(ATc_IA*365*24)+D180*IURTCE_IA*ED_IA*EF_IA*ET_IA/(ATc_IA*365*24))))</f>
        <v>--</v>
      </c>
      <c r="F180" s="123" t="str">
        <f>IF(OR(D180="",ISTEXT(D180)),"--",IF(J180="","No RfC",D180*EF_IA*ED_IA*ET_IA/(J180*ATnc_IA*365*24*1000)))</f>
        <v>--</v>
      </c>
      <c r="G180" s="124"/>
      <c r="H180" s="121">
        <f>IF(INDEX(IUR,MATCH(B180,CASNoTox,0))=" ","",IF(L180="TCE","see note",INDEX(IUR,MATCH(B180,CASNoTox,0))))</f>
        <v>1.5999999999999999E-5</v>
      </c>
      <c r="I180" s="121" t="str">
        <f>IF(INDEX(IURSource,MATCH(B180,CASNoTox,0))="","",SUBSTITUTE(INDEX(IURSource,MATCH(B180,CASNoTox,0)),"C","CA"))</f>
        <v>I</v>
      </c>
      <c r="J180" s="121">
        <f>IF(INDEX(RFC,MATCH(B180,CASNoTox,0))=" ","",INDEX(RFC,MATCH(B180,CASNoTox,0)))</f>
        <v>2.0000000000000001E-4</v>
      </c>
      <c r="K180" s="121" t="str">
        <f>IF(INDEX(RFCSource,MATCH(B180,CASNoTox,0))="","",SUBSTITUTE(INDEX(RFCSource,MATCH(B180,CASNoTox,0)),"C","CA"))</f>
        <v>X</v>
      </c>
      <c r="L180" s="121" t="str">
        <f>VLOOKUP(B180,VISL!$B:$W,22,FALSE)</f>
        <v/>
      </c>
      <c r="M180" s="190"/>
      <c r="N180" s="190" t="str">
        <f t="shared" si="39"/>
        <v/>
      </c>
      <c r="O180" s="190"/>
      <c r="P180" s="190"/>
      <c r="Q180" s="190"/>
      <c r="R180" s="190"/>
      <c r="S180" s="190"/>
    </row>
    <row r="181" spans="1:19">
      <c r="A181" s="124" t="str">
        <f>IF(INDEX(VISL!A:A,MATCH(B181,VISL!B:B,0))="x","x","")</f>
        <v/>
      </c>
      <c r="B181" s="345" t="s">
        <v>319</v>
      </c>
      <c r="C181" s="269" t="s">
        <v>400</v>
      </c>
      <c r="D181" s="200"/>
      <c r="E181" s="122" t="str">
        <f t="shared" si="33"/>
        <v>--</v>
      </c>
      <c r="F181" s="123" t="str">
        <f t="shared" si="34"/>
        <v>--</v>
      </c>
      <c r="G181" s="124"/>
      <c r="H181" s="121" t="str">
        <f t="shared" si="35"/>
        <v>see note</v>
      </c>
      <c r="I181" s="121" t="str">
        <f t="shared" si="36"/>
        <v>I</v>
      </c>
      <c r="J181" s="121">
        <f t="shared" si="37"/>
        <v>2E-3</v>
      </c>
      <c r="K181" s="121" t="str">
        <f t="shared" si="38"/>
        <v>I</v>
      </c>
      <c r="L181" s="121" t="str">
        <f>VLOOKUP(B181,VISL!$B:$W,22,FALSE)</f>
        <v>TCE</v>
      </c>
      <c r="M181" s="190"/>
      <c r="N181" s="190" t="str">
        <f t="shared" si="39"/>
        <v/>
      </c>
      <c r="O181" s="190"/>
      <c r="P181" s="190"/>
      <c r="Q181" s="190"/>
      <c r="R181" s="190"/>
      <c r="S181" s="190"/>
    </row>
    <row r="182" spans="1:19">
      <c r="A182" s="124" t="str">
        <f>IF(INDEX(VISL!A:A,MATCH(B182,VISL!B:B,0))="x","x","")</f>
        <v/>
      </c>
      <c r="B182" s="345" t="s">
        <v>326</v>
      </c>
      <c r="C182" s="269" t="s">
        <v>1373</v>
      </c>
      <c r="D182" s="200"/>
      <c r="E182" s="122" t="str">
        <f t="shared" si="33"/>
        <v>--</v>
      </c>
      <c r="F182" s="123" t="str">
        <f t="shared" si="34"/>
        <v>--</v>
      </c>
      <c r="G182" s="124"/>
      <c r="H182" s="121" t="str">
        <f t="shared" si="35"/>
        <v/>
      </c>
      <c r="I182" s="121" t="str">
        <f t="shared" si="36"/>
        <v/>
      </c>
      <c r="J182" s="121">
        <f t="shared" si="37"/>
        <v>2.9999999999999997E-4</v>
      </c>
      <c r="K182" s="121" t="str">
        <f t="shared" si="38"/>
        <v>I</v>
      </c>
      <c r="L182" s="121" t="str">
        <f>VLOOKUP(B182,VISL!$B:$W,22,FALSE)</f>
        <v>Mut</v>
      </c>
      <c r="M182" s="190"/>
      <c r="N182" s="190" t="str">
        <f t="shared" si="39"/>
        <v/>
      </c>
      <c r="O182" s="190"/>
      <c r="P182" s="190"/>
      <c r="Q182" s="190"/>
      <c r="R182" s="190"/>
      <c r="S182" s="190"/>
    </row>
    <row r="183" spans="1:19">
      <c r="A183" s="124" t="str">
        <f>IF(INDEX(VISL!A:A,MATCH(B183,VISL!B:B,0))="x","x","")</f>
        <v/>
      </c>
      <c r="B183" s="345" t="s">
        <v>327</v>
      </c>
      <c r="C183" s="269" t="s">
        <v>544</v>
      </c>
      <c r="D183" s="200"/>
      <c r="E183" s="122" t="str">
        <f>IF(OR(D183="",ISTEXT(D183)),"--",IF(H183="","No IUR",IF(L183&lt;&gt;"TCE",D183*(IF(AND(L183="VC",Scenario_IA="Residential"),H183,0)+H183*IF(L183="Mut",MMOAAF_IA,ED_IA)*EF_IA*ET_IA/(ATc_IA*365*24)),D183*mIURTCE_IA*MMOAAF_IA*EF_IA*ET_IA/(ATc_IA*365*24)+D183*IURTCE_IA*ED_IA*EF_IA*ET_IA/(ATc_IA*365*24))))</f>
        <v>--</v>
      </c>
      <c r="F183" s="123" t="str">
        <f>IF(OR(D183="",ISTEXT(D183)),"--",IF(J183="","No RfC",D183*EF_IA*ED_IA*ET_IA/(J183*ATnc_IA*365*24*1000)))</f>
        <v>--</v>
      </c>
      <c r="G183" s="124"/>
      <c r="H183" s="121" t="str">
        <f>IF(INDEX(IUR,MATCH(B183,CASNoTox,0))=" ","",IF(L183="TCE","see note",INDEX(IUR,MATCH(B183,CASNoTox,0))))</f>
        <v/>
      </c>
      <c r="I183" s="121" t="str">
        <f>IF(INDEX(IURSource,MATCH(B183,CASNoTox,0))="","",SUBSTITUTE(INDEX(IURSource,MATCH(B183,CASNoTox,0)),"C","CA"))</f>
        <v/>
      </c>
      <c r="J183" s="121">
        <f>IF(INDEX(RFC,MATCH(B183,CASNoTox,0))=" ","",INDEX(RFC,MATCH(B183,CASNoTox,0)))</f>
        <v>2.9999999999999997E-4</v>
      </c>
      <c r="K183" s="121" t="str">
        <f>IF(INDEX(RFCSource,MATCH(B183,CASNoTox,0))="","",SUBSTITUTE(INDEX(RFCSource,MATCH(B183,CASNoTox,0)),"C","CA"))</f>
        <v>P</v>
      </c>
      <c r="L183" s="121" t="str">
        <f>VLOOKUP(B183,VISL!$B:$W,22,FALSE)</f>
        <v/>
      </c>
      <c r="M183" s="190"/>
      <c r="N183" s="190"/>
      <c r="O183" s="190"/>
      <c r="P183" s="190"/>
      <c r="Q183" s="190"/>
      <c r="R183" s="190"/>
      <c r="S183" s="190"/>
    </row>
    <row r="184" spans="1:19">
      <c r="A184" s="124" t="str">
        <f>IF(INDEX(VISL!A:A,MATCH(B184,VISL!B:B,0))="x","x","")</f>
        <v/>
      </c>
      <c r="B184" s="345" t="s">
        <v>329</v>
      </c>
      <c r="C184" s="269" t="s">
        <v>1375</v>
      </c>
      <c r="D184" s="200"/>
      <c r="E184" s="122" t="str">
        <f t="shared" si="33"/>
        <v>--</v>
      </c>
      <c r="F184" s="123" t="str">
        <f t="shared" si="34"/>
        <v>--</v>
      </c>
      <c r="G184" s="124"/>
      <c r="H184" s="121" t="str">
        <f t="shared" si="35"/>
        <v/>
      </c>
      <c r="I184" s="121" t="str">
        <f t="shared" si="36"/>
        <v/>
      </c>
      <c r="J184" s="121">
        <f t="shared" si="37"/>
        <v>7.0000000000000001E-3</v>
      </c>
      <c r="K184" s="121" t="str">
        <f t="shared" si="38"/>
        <v>I</v>
      </c>
      <c r="L184" s="121" t="str">
        <f>VLOOKUP(B184,VISL!$B:$W,22,FALSE)</f>
        <v/>
      </c>
      <c r="M184" s="190"/>
      <c r="N184" s="190" t="str">
        <f t="shared" si="39"/>
        <v/>
      </c>
      <c r="O184" s="190"/>
      <c r="P184" s="190"/>
      <c r="Q184" s="190"/>
      <c r="R184" s="190"/>
      <c r="S184" s="190"/>
    </row>
    <row r="185" spans="1:19">
      <c r="A185" s="124" t="str">
        <f>IF(INDEX(VISL!A:A,MATCH(B185,VISL!B:B,0))="x","x","")</f>
        <v/>
      </c>
      <c r="B185" s="345" t="s">
        <v>2291</v>
      </c>
      <c r="C185" s="269" t="s">
        <v>2294</v>
      </c>
      <c r="D185" s="200"/>
      <c r="E185" s="122" t="str">
        <f t="shared" si="33"/>
        <v>--</v>
      </c>
      <c r="F185" s="123" t="str">
        <f t="shared" si="34"/>
        <v>--</v>
      </c>
      <c r="G185" s="124"/>
      <c r="H185" s="121" t="str">
        <f t="shared" si="35"/>
        <v/>
      </c>
      <c r="I185" s="121" t="str">
        <f t="shared" si="36"/>
        <v/>
      </c>
      <c r="J185" s="121">
        <f t="shared" si="37"/>
        <v>20</v>
      </c>
      <c r="K185" s="121" t="str">
        <f t="shared" si="38"/>
        <v>P</v>
      </c>
      <c r="L185" s="121" t="str">
        <f>VLOOKUP(B185,VISL!$B:$W,22,FALSE)</f>
        <v/>
      </c>
      <c r="M185" s="190"/>
      <c r="N185" s="190" t="str">
        <f t="shared" si="39"/>
        <v/>
      </c>
      <c r="O185" s="190"/>
      <c r="P185" s="190"/>
      <c r="Q185" s="190"/>
      <c r="R185" s="190"/>
      <c r="S185" s="190"/>
    </row>
    <row r="186" spans="1:19">
      <c r="A186" s="124" t="str">
        <f>IF(INDEX(VISL!A:A,MATCH(B186,VISL!B:B,0))="x","x","")</f>
        <v/>
      </c>
      <c r="B186" s="345" t="s">
        <v>1615</v>
      </c>
      <c r="C186" s="269" t="s">
        <v>1614</v>
      </c>
      <c r="D186" s="200"/>
      <c r="E186" s="122" t="str">
        <f t="shared" si="33"/>
        <v>--</v>
      </c>
      <c r="F186" s="123" t="str">
        <f t="shared" si="34"/>
        <v>--</v>
      </c>
      <c r="G186" s="124"/>
      <c r="H186" s="121" t="str">
        <f t="shared" si="35"/>
        <v/>
      </c>
      <c r="I186" s="121" t="str">
        <f t="shared" si="36"/>
        <v/>
      </c>
      <c r="J186" s="121">
        <f t="shared" si="37"/>
        <v>0.06</v>
      </c>
      <c r="K186" s="121" t="str">
        <f t="shared" si="38"/>
        <v>I</v>
      </c>
      <c r="L186" s="121" t="str">
        <f>VLOOKUP(B186,VISL!$B:$W,22,FALSE)</f>
        <v/>
      </c>
      <c r="M186" s="190"/>
      <c r="N186" s="190" t="str">
        <f t="shared" si="39"/>
        <v/>
      </c>
      <c r="O186" s="190"/>
      <c r="P186" s="190"/>
      <c r="Q186" s="190"/>
      <c r="R186" s="190"/>
      <c r="S186" s="190"/>
    </row>
    <row r="187" spans="1:19">
      <c r="A187" s="124" t="str">
        <f>IF(INDEX(VISL!A:A,MATCH(B187,VISL!B:B,0))="x","x","")</f>
        <v/>
      </c>
      <c r="B187" s="345" t="s">
        <v>332</v>
      </c>
      <c r="C187" s="269" t="s">
        <v>1378</v>
      </c>
      <c r="D187" s="200"/>
      <c r="E187" s="122" t="str">
        <f t="shared" si="33"/>
        <v>--</v>
      </c>
      <c r="F187" s="123" t="str">
        <f t="shared" si="34"/>
        <v>--</v>
      </c>
      <c r="G187" s="124"/>
      <c r="H187" s="121" t="str">
        <f t="shared" si="35"/>
        <v/>
      </c>
      <c r="I187" s="121" t="str">
        <f t="shared" si="36"/>
        <v/>
      </c>
      <c r="J187" s="121">
        <f t="shared" si="37"/>
        <v>0.06</v>
      </c>
      <c r="K187" s="121" t="str">
        <f t="shared" si="38"/>
        <v>I</v>
      </c>
      <c r="L187" s="121" t="str">
        <f>VLOOKUP(B187,VISL!$B:$W,22,FALSE)</f>
        <v/>
      </c>
      <c r="M187" s="190"/>
      <c r="N187" s="190" t="str">
        <f t="shared" si="39"/>
        <v/>
      </c>
      <c r="O187" s="190"/>
      <c r="P187" s="190"/>
      <c r="Q187" s="190"/>
      <c r="R187" s="190"/>
      <c r="S187" s="190"/>
    </row>
    <row r="188" spans="1:19">
      <c r="A188" s="124" t="str">
        <f>IF(INDEX(VISL!A:A,MATCH(B188,VISL!B:B,0))="x","x","")</f>
        <v/>
      </c>
      <c r="B188" s="345" t="s">
        <v>333</v>
      </c>
      <c r="C188" s="269" t="s">
        <v>545</v>
      </c>
      <c r="D188" s="200"/>
      <c r="E188" s="122" t="str">
        <f t="shared" si="33"/>
        <v>--</v>
      </c>
      <c r="F188" s="123" t="str">
        <f t="shared" si="34"/>
        <v>--</v>
      </c>
      <c r="G188" s="124"/>
      <c r="H188" s="121" t="str">
        <f t="shared" si="35"/>
        <v/>
      </c>
      <c r="I188" s="121" t="str">
        <f t="shared" si="36"/>
        <v/>
      </c>
      <c r="J188" s="121">
        <f t="shared" si="37"/>
        <v>0.06</v>
      </c>
      <c r="K188" s="121" t="str">
        <f t="shared" si="38"/>
        <v>I</v>
      </c>
      <c r="L188" s="121" t="str">
        <f>VLOOKUP(B188,VISL!$B:$W,22,FALSE)</f>
        <v/>
      </c>
      <c r="M188" s="190"/>
      <c r="N188" s="190" t="str">
        <f t="shared" si="39"/>
        <v/>
      </c>
      <c r="O188" s="190"/>
      <c r="P188" s="190"/>
      <c r="Q188" s="190"/>
      <c r="R188" s="190"/>
      <c r="S188" s="190"/>
    </row>
    <row r="189" spans="1:19">
      <c r="A189" s="124" t="str">
        <f>IF(INDEX(VISL!A:A,MATCH(B189,VISL!B:B,0))="x","x","")</f>
        <v/>
      </c>
      <c r="B189" s="345" t="s">
        <v>2197</v>
      </c>
      <c r="C189" s="269" t="s">
        <v>2196</v>
      </c>
      <c r="D189" s="200"/>
      <c r="E189" s="122" t="str">
        <f t="shared" si="33"/>
        <v>--</v>
      </c>
      <c r="F189" s="123" t="str">
        <f t="shared" si="34"/>
        <v>--</v>
      </c>
      <c r="G189" s="124"/>
      <c r="H189" s="121">
        <f t="shared" si="35"/>
        <v>6.6E-4</v>
      </c>
      <c r="I189" s="121" t="str">
        <f t="shared" si="36"/>
        <v>CA</v>
      </c>
      <c r="J189" s="121" t="str">
        <f t="shared" si="37"/>
        <v/>
      </c>
      <c r="K189" s="121" t="str">
        <f t="shared" si="38"/>
        <v/>
      </c>
      <c r="L189" s="121" t="str">
        <f>VLOOKUP(B189,VISL!$B:$W,22,FALSE)</f>
        <v/>
      </c>
      <c r="M189" s="190"/>
      <c r="N189" s="190" t="str">
        <f t="shared" si="39"/>
        <v/>
      </c>
      <c r="O189" s="190"/>
      <c r="P189" s="190"/>
      <c r="Q189" s="190"/>
      <c r="R189" s="190"/>
      <c r="S189" s="190"/>
    </row>
    <row r="190" spans="1:19">
      <c r="A190" s="124" t="str">
        <f>IF(INDEX(VISL!A:A,MATCH(B190,VISL!B:B,0))="x","x","")</f>
        <v/>
      </c>
      <c r="B190" s="345" t="s">
        <v>343</v>
      </c>
      <c r="C190" s="269" t="s">
        <v>1387</v>
      </c>
      <c r="D190" s="200"/>
      <c r="E190" s="122" t="str">
        <f>IF(OR(D190="",ISTEXT(D190)),"--",IF(H190="","No IUR",IF(L190&lt;&gt;"TCE",D190*(IF(AND(L190="VC",Scenario_IA="Residential"),H190,0)+H190*IF(L190="Mut",MMOAAF_IA,ED_IA)*EF_IA*ET_IA/(ATc_IA*365*24)),D190*mIURTCE_IA*MMOAAF_IA*EF_IA*ET_IA/(ATc_IA*365*24)+D190*IURTCE_IA*ED_IA*EF_IA*ET_IA/(ATc_IA*365*24))))</f>
        <v>--</v>
      </c>
      <c r="F190" s="123" t="str">
        <f t="shared" si="34"/>
        <v>--</v>
      </c>
      <c r="G190" s="124"/>
      <c r="H190" s="121" t="str">
        <f t="shared" si="35"/>
        <v/>
      </c>
      <c r="I190" s="121" t="str">
        <f t="shared" si="36"/>
        <v/>
      </c>
      <c r="J190" s="121">
        <f t="shared" si="37"/>
        <v>0.2</v>
      </c>
      <c r="K190" s="121" t="str">
        <f t="shared" si="38"/>
        <v>I</v>
      </c>
      <c r="L190" s="121" t="str">
        <f>VLOOKUP(B190,VISL!$B:$W,22,FALSE)</f>
        <v/>
      </c>
      <c r="M190" s="190"/>
      <c r="N190" s="190" t="str">
        <f t="shared" si="39"/>
        <v/>
      </c>
      <c r="O190" s="190"/>
      <c r="P190" s="190"/>
      <c r="Q190" s="190"/>
      <c r="R190" s="190"/>
      <c r="S190" s="190"/>
    </row>
    <row r="191" spans="1:19">
      <c r="A191" s="124" t="str">
        <f>IF(INDEX(VISL!A:A,MATCH(B191,VISL!B:B,0))="x","x","")</f>
        <v/>
      </c>
      <c r="B191" s="345" t="s">
        <v>344</v>
      </c>
      <c r="C191" s="269" t="s">
        <v>1388</v>
      </c>
      <c r="D191" s="200"/>
      <c r="E191" s="122" t="str">
        <f t="shared" si="33"/>
        <v>--</v>
      </c>
      <c r="F191" s="123" t="str">
        <f t="shared" si="34"/>
        <v>--</v>
      </c>
      <c r="G191" s="124"/>
      <c r="H191" s="121">
        <f t="shared" si="35"/>
        <v>3.1999999999999999E-5</v>
      </c>
      <c r="I191" s="121" t="str">
        <f t="shared" si="36"/>
        <v>H</v>
      </c>
      <c r="J191" s="121">
        <f t="shared" si="37"/>
        <v>3.0000000000000001E-3</v>
      </c>
      <c r="K191" s="121" t="str">
        <f t="shared" si="38"/>
        <v>I</v>
      </c>
      <c r="L191" s="121" t="str">
        <f>VLOOKUP(B191,VISL!$B:$W,22,FALSE)</f>
        <v/>
      </c>
      <c r="M191" s="190"/>
      <c r="N191" s="190" t="str">
        <f t="shared" si="39"/>
        <v/>
      </c>
      <c r="O191" s="190"/>
      <c r="P191" s="190"/>
      <c r="Q191" s="190"/>
      <c r="R191" s="190"/>
      <c r="S191" s="190"/>
    </row>
    <row r="192" spans="1:19">
      <c r="A192" s="124" t="str">
        <f>IF(INDEX(VISL!A:A,MATCH(B192,VISL!B:B,0))="x","x","")</f>
        <v/>
      </c>
      <c r="B192" s="345" t="s">
        <v>345</v>
      </c>
      <c r="C192" s="269" t="s">
        <v>1389</v>
      </c>
      <c r="D192" s="200"/>
      <c r="E192" s="122" t="str">
        <f t="shared" si="33"/>
        <v>--</v>
      </c>
      <c r="F192" s="123" t="str">
        <f t="shared" si="34"/>
        <v>--</v>
      </c>
      <c r="G192" s="124"/>
      <c r="H192" s="121">
        <f t="shared" si="35"/>
        <v>4.4000000000000002E-6</v>
      </c>
      <c r="I192" s="121" t="str">
        <f t="shared" si="36"/>
        <v>I</v>
      </c>
      <c r="J192" s="121">
        <f t="shared" si="37"/>
        <v>0.1</v>
      </c>
      <c r="K192" s="121" t="str">
        <f t="shared" si="38"/>
        <v>I</v>
      </c>
      <c r="L192" s="121" t="str">
        <f>VLOOKUP(B192,VISL!$B:$W,22,FALSE)</f>
        <v>VC</v>
      </c>
      <c r="M192" s="190"/>
      <c r="N192" s="190" t="str">
        <f t="shared" si="39"/>
        <v/>
      </c>
      <c r="O192" s="190"/>
      <c r="P192" s="190"/>
      <c r="Q192" s="190"/>
      <c r="R192" s="190"/>
      <c r="S192" s="190"/>
    </row>
    <row r="193" spans="1:21">
      <c r="A193" s="124" t="str">
        <f>IF(INDEX(VISL!A:A,MATCH(B193,VISL!B:B,0))="x","x","")</f>
        <v/>
      </c>
      <c r="B193" s="344" t="s">
        <v>349</v>
      </c>
      <c r="C193" s="269" t="s">
        <v>1393</v>
      </c>
      <c r="D193" s="200"/>
      <c r="E193" s="122" t="str">
        <f t="shared" si="33"/>
        <v>--</v>
      </c>
      <c r="F193" s="123" t="str">
        <f t="shared" si="34"/>
        <v>--</v>
      </c>
      <c r="G193" s="124"/>
      <c r="H193" s="121" t="str">
        <f t="shared" si="35"/>
        <v/>
      </c>
      <c r="I193" s="121" t="str">
        <f t="shared" si="36"/>
        <v/>
      </c>
      <c r="J193" s="121">
        <f t="shared" si="37"/>
        <v>0.1</v>
      </c>
      <c r="K193" s="121" t="str">
        <f t="shared" si="38"/>
        <v>S</v>
      </c>
      <c r="L193" s="121" t="str">
        <f>VLOOKUP(B193,VISL!$B:$W,22,FALSE)</f>
        <v/>
      </c>
      <c r="M193" s="190"/>
      <c r="N193" s="190" t="str">
        <f t="shared" si="39"/>
        <v/>
      </c>
      <c r="O193" s="190"/>
      <c r="P193" s="190"/>
      <c r="Q193" s="190"/>
      <c r="R193" s="190"/>
      <c r="S193" s="190"/>
    </row>
    <row r="194" spans="1:21">
      <c r="A194" s="124" t="str">
        <f>IF(INDEX(VISL!A:A,MATCH(B194,VISL!B:B,0))="x","x","")</f>
        <v/>
      </c>
      <c r="B194" s="344" t="s">
        <v>350</v>
      </c>
      <c r="C194" s="269" t="s">
        <v>1394</v>
      </c>
      <c r="D194" s="200"/>
      <c r="E194" s="122" t="str">
        <f t="shared" si="33"/>
        <v>--</v>
      </c>
      <c r="F194" s="123" t="str">
        <f t="shared" si="34"/>
        <v>--</v>
      </c>
      <c r="G194" s="124"/>
      <c r="H194" s="121" t="str">
        <f t="shared" si="35"/>
        <v/>
      </c>
      <c r="I194" s="121" t="str">
        <f t="shared" si="36"/>
        <v/>
      </c>
      <c r="J194" s="121">
        <f t="shared" si="37"/>
        <v>0.1</v>
      </c>
      <c r="K194" s="121" t="str">
        <f t="shared" si="38"/>
        <v>S</v>
      </c>
      <c r="L194" s="121" t="str">
        <f>VLOOKUP(B194,VISL!$B:$W,22,FALSE)</f>
        <v/>
      </c>
      <c r="M194" s="190"/>
      <c r="N194" s="190" t="str">
        <f t="shared" si="39"/>
        <v/>
      </c>
      <c r="O194" s="190"/>
      <c r="P194" s="190"/>
      <c r="Q194" s="190"/>
      <c r="R194" s="190"/>
      <c r="S194" s="190"/>
    </row>
    <row r="195" spans="1:21">
      <c r="A195" s="124" t="str">
        <f>IF(INDEX(VISL!A:A,MATCH(B195,VISL!B:B,0))="x","x","")</f>
        <v/>
      </c>
      <c r="B195" s="344" t="s">
        <v>348</v>
      </c>
      <c r="C195" s="269" t="s">
        <v>1392</v>
      </c>
      <c r="D195" s="200"/>
      <c r="E195" s="122" t="str">
        <f t="shared" si="33"/>
        <v>--</v>
      </c>
      <c r="F195" s="123" t="str">
        <f t="shared" si="34"/>
        <v>--</v>
      </c>
      <c r="G195" s="124"/>
      <c r="H195" s="121" t="str">
        <f t="shared" si="35"/>
        <v/>
      </c>
      <c r="I195" s="121" t="str">
        <f t="shared" si="36"/>
        <v/>
      </c>
      <c r="J195" s="121">
        <f t="shared" si="37"/>
        <v>0.1</v>
      </c>
      <c r="K195" s="121" t="str">
        <f t="shared" si="38"/>
        <v>S</v>
      </c>
      <c r="L195" s="121" t="str">
        <f>VLOOKUP(B195,VISL!$B:$W,22,FALSE)</f>
        <v/>
      </c>
      <c r="M195" s="190"/>
      <c r="N195" s="190" t="str">
        <f t="shared" si="39"/>
        <v/>
      </c>
      <c r="O195" s="190"/>
      <c r="P195" s="190"/>
      <c r="Q195" s="190"/>
      <c r="R195" s="190"/>
      <c r="S195" s="190"/>
    </row>
    <row r="196" spans="1:21">
      <c r="A196" s="124" t="str">
        <f>IF(INDEX(VISL!A:A,MATCH(B196,VISL!B:B,0))="x","x","")</f>
        <v/>
      </c>
      <c r="B196" s="344" t="s">
        <v>347</v>
      </c>
      <c r="C196" s="269" t="s">
        <v>1616</v>
      </c>
      <c r="D196" s="200"/>
      <c r="E196" s="122" t="str">
        <f t="shared" si="33"/>
        <v>--</v>
      </c>
      <c r="F196" s="123" t="str">
        <f t="shared" si="34"/>
        <v>--</v>
      </c>
      <c r="G196" s="124"/>
      <c r="H196" s="121" t="str">
        <f t="shared" si="35"/>
        <v/>
      </c>
      <c r="I196" s="121" t="str">
        <f t="shared" si="36"/>
        <v/>
      </c>
      <c r="J196" s="121">
        <f t="shared" si="37"/>
        <v>0.1</v>
      </c>
      <c r="K196" s="121" t="str">
        <f t="shared" si="38"/>
        <v>I</v>
      </c>
      <c r="L196" s="121" t="str">
        <f>VLOOKUP(B196,VISL!$B:$W,22,FALSE)</f>
        <v/>
      </c>
      <c r="M196" s="190"/>
      <c r="N196" s="190" t="str">
        <f t="shared" si="39"/>
        <v/>
      </c>
      <c r="O196" s="190"/>
      <c r="P196" s="190"/>
      <c r="Q196" s="190"/>
      <c r="R196" s="190"/>
      <c r="S196" s="190"/>
    </row>
    <row r="197" spans="1:21">
      <c r="A197" s="124" t="str">
        <f>IF(INDEX(VISL!A:A,MATCH(B197,VISL!B:B,0))="x","x","")</f>
        <v/>
      </c>
      <c r="B197" s="419" t="s">
        <v>2450</v>
      </c>
      <c r="C197" s="419" t="s">
        <v>2449</v>
      </c>
      <c r="D197" s="200"/>
      <c r="E197" s="122" t="str">
        <f t="shared" si="33"/>
        <v>--</v>
      </c>
      <c r="F197" s="123" t="str">
        <f t="shared" si="34"/>
        <v>--</v>
      </c>
      <c r="G197" s="124"/>
      <c r="H197" s="121" t="str">
        <f t="shared" si="35"/>
        <v/>
      </c>
      <c r="I197" s="121" t="str">
        <f t="shared" si="36"/>
        <v/>
      </c>
      <c r="J197" s="121">
        <f t="shared" si="37"/>
        <v>0.4</v>
      </c>
      <c r="K197" s="121" t="str">
        <f t="shared" si="38"/>
        <v>P</v>
      </c>
      <c r="L197" s="121" t="str">
        <f>VLOOKUP(B197,VISL!$B:$W,22,FALSE)</f>
        <v/>
      </c>
      <c r="M197" s="190"/>
      <c r="N197" s="190" t="str">
        <f t="shared" si="39"/>
        <v/>
      </c>
      <c r="O197" s="190"/>
      <c r="P197" s="190"/>
      <c r="Q197" s="190"/>
      <c r="R197" s="190"/>
      <c r="S197" s="190"/>
    </row>
    <row r="198" spans="1:21">
      <c r="A198" s="124" t="str">
        <f>IF(INDEX(VISL!A:A,MATCH(B198,VISL!B:B,0))="x","x","")</f>
        <v/>
      </c>
      <c r="B198" s="419" t="s">
        <v>2462</v>
      </c>
      <c r="C198" s="419" t="s">
        <v>2461</v>
      </c>
      <c r="D198" s="200"/>
      <c r="E198" s="122" t="str">
        <f t="shared" si="33"/>
        <v>--</v>
      </c>
      <c r="F198" s="123" t="str">
        <f t="shared" si="34"/>
        <v>--</v>
      </c>
      <c r="G198" s="124"/>
      <c r="H198" s="121">
        <f t="shared" si="35"/>
        <v>1.1E-5</v>
      </c>
      <c r="I198" s="121" t="str">
        <f t="shared" si="36"/>
        <v>CA</v>
      </c>
      <c r="J198" s="121">
        <f t="shared" si="37"/>
        <v>7.9999999999999996E-6</v>
      </c>
      <c r="K198" s="121" t="str">
        <f t="shared" si="38"/>
        <v>CA</v>
      </c>
      <c r="L198" s="121" t="str">
        <f>VLOOKUP(B198,VISL!$B:$W,22,FALSE)</f>
        <v/>
      </c>
      <c r="M198" s="190"/>
      <c r="N198" s="190" t="str">
        <f t="shared" si="39"/>
        <v/>
      </c>
      <c r="O198" s="190"/>
      <c r="P198" s="190"/>
      <c r="Q198" s="190"/>
      <c r="R198" s="190"/>
      <c r="S198" s="190"/>
    </row>
    <row r="199" spans="1:21">
      <c r="A199" s="124" t="str">
        <f>IF(INDEX(VISL!A:A,MATCH(B199,VISL!B:B,0))="x","x","")</f>
        <v/>
      </c>
      <c r="B199" s="419" t="s">
        <v>2464</v>
      </c>
      <c r="C199" s="419" t="s">
        <v>2463</v>
      </c>
      <c r="D199" s="200"/>
      <c r="E199" s="122" t="str">
        <f>IF(OR(D199="",ISTEXT(D199)),"--",IF(H199="","No IUR",IF(L199&lt;&gt;"TCE",D199*(IF(AND(L199="VC",Scenario_IA="Residential"),H199,0)+H199*IF(L199="Mut",MMOAAF_IA,ED_IA)*EF_IA*ET_IA/(ATc_IA*365*24)),D199*mIURTCE_IA*MMOAAF_IA*EF_IA*ET_IA/(ATc_IA*365*24)+D199*IURTCE_IA*ED_IA*EF_IA*ET_IA/(ATc_IA*365*24))))</f>
        <v>--</v>
      </c>
      <c r="F199" s="123" t="str">
        <f>IF(OR(D199="",ISTEXT(D199)),"--",IF(J199="","No RfC",D199*EF_IA*ED_IA*ET_IA/(J199*ATnc_IA*365*24*1000)))</f>
        <v>--</v>
      </c>
      <c r="G199" s="124"/>
      <c r="H199" s="121">
        <f>IF(INDEX(IUR,MATCH(B199,CASNoTox,0))=" ","",IF(L199="TCE","see note",INDEX(IUR,MATCH(B199,CASNoTox,0))))</f>
        <v>1.1E-5</v>
      </c>
      <c r="I199" s="121" t="str">
        <f>IF(INDEX(IURSource,MATCH(B199,CASNoTox,0))="","",SUBSTITUTE(INDEX(IURSource,MATCH(B199,CASNoTox,0)),"C","CA"))</f>
        <v>CA</v>
      </c>
      <c r="J199" s="121">
        <f>IF(INDEX(RFC,MATCH(B199,CASNoTox,0))=" ","",INDEX(RFC,MATCH(B199,CASNoTox,0)))</f>
        <v>7.9999999999999996E-6</v>
      </c>
      <c r="K199" s="121" t="str">
        <f>IF(INDEX(RFCSource,MATCH(B199,CASNoTox,0))="","",SUBSTITUTE(INDEX(RFCSource,MATCH(B199,CASNoTox,0)),"C","CA"))</f>
        <v>CA</v>
      </c>
      <c r="L199" s="121" t="str">
        <f>VLOOKUP(B199,VISL!$B:$W,22,FALSE)</f>
        <v/>
      </c>
      <c r="M199" s="190"/>
      <c r="N199" s="190" t="str">
        <f>IF(AND(H199="",J199=""),"X","")</f>
        <v/>
      </c>
      <c r="O199" s="190"/>
      <c r="P199" s="190"/>
      <c r="Q199" s="190"/>
      <c r="R199" s="190"/>
      <c r="S199" s="190"/>
    </row>
    <row r="200" spans="1:21" s="243" customFormat="1">
      <c r="A200" s="229"/>
      <c r="B200" s="307"/>
      <c r="C200" s="307"/>
      <c r="D200" s="335"/>
      <c r="E200" s="267"/>
      <c r="F200" s="267"/>
      <c r="G200" s="229"/>
      <c r="H200" s="266"/>
      <c r="I200" s="266"/>
      <c r="J200" s="266"/>
      <c r="K200" s="266"/>
      <c r="L200" s="266"/>
    </row>
    <row r="201" spans="1:21">
      <c r="A201" s="120"/>
      <c r="B201" s="180"/>
      <c r="C201" s="136"/>
      <c r="D201" s="120"/>
      <c r="E201" s="142"/>
      <c r="F201" s="125"/>
      <c r="G201" s="142"/>
      <c r="H201" s="142"/>
      <c r="I201" s="120"/>
      <c r="J201" s="181"/>
      <c r="K201" s="181"/>
      <c r="L201" s="181"/>
      <c r="M201" s="120"/>
      <c r="N201" s="125"/>
      <c r="O201" s="125"/>
      <c r="P201" s="125"/>
      <c r="Q201" s="125"/>
      <c r="R201" s="125"/>
      <c r="S201" s="125"/>
    </row>
    <row r="202" spans="1:21" s="50" customFormat="1" ht="15.6">
      <c r="A202" s="120"/>
      <c r="B202" s="126" t="s">
        <v>473</v>
      </c>
      <c r="C202" s="124"/>
      <c r="D202" s="114"/>
      <c r="E202" s="127"/>
      <c r="F202" s="127"/>
      <c r="G202" s="114"/>
      <c r="H202" s="114"/>
      <c r="I202" s="128"/>
      <c r="J202" s="129"/>
      <c r="K202" s="129"/>
      <c r="L202" s="129"/>
      <c r="M202" s="187"/>
      <c r="N202" s="187"/>
      <c r="O202" s="114"/>
      <c r="P202" s="130"/>
      <c r="Q202" s="130"/>
      <c r="R202" s="130"/>
      <c r="S202" s="130"/>
      <c r="T202" s="130"/>
      <c r="U202" s="130"/>
    </row>
    <row r="203" spans="1:21" s="50" customFormat="1" ht="15.6">
      <c r="A203" s="120"/>
      <c r="B203" s="126"/>
      <c r="C203" s="124"/>
      <c r="D203" s="114"/>
      <c r="E203" s="127"/>
      <c r="F203" s="127"/>
      <c r="G203" s="114"/>
      <c r="H203" s="131"/>
      <c r="I203" s="131"/>
      <c r="J203" s="129"/>
      <c r="K203" s="114"/>
      <c r="L203" s="129"/>
      <c r="M203" s="129"/>
      <c r="N203" s="187"/>
      <c r="O203" s="114"/>
      <c r="P203" s="130"/>
      <c r="Q203" s="130"/>
      <c r="R203" s="130"/>
      <c r="S203" s="130"/>
      <c r="T203" s="130"/>
      <c r="U203" s="130"/>
    </row>
    <row r="204" spans="1:21" s="50" customFormat="1" ht="30.75" customHeight="1">
      <c r="A204" s="120"/>
      <c r="B204" s="132" t="s">
        <v>474</v>
      </c>
      <c r="C204" s="133" t="s">
        <v>462</v>
      </c>
      <c r="D204" s="187" t="s">
        <v>1411</v>
      </c>
      <c r="E204" s="114"/>
      <c r="F204" s="565" t="s">
        <v>449</v>
      </c>
      <c r="G204" s="565"/>
      <c r="H204" s="565" t="s">
        <v>472</v>
      </c>
      <c r="I204" s="565"/>
      <c r="J204" s="134"/>
      <c r="K204" s="114"/>
      <c r="L204" s="567" t="str">
        <f>"Selected (based on scenario)"</f>
        <v>Selected (based on scenario)</v>
      </c>
      <c r="M204" s="567"/>
      <c r="N204" s="150"/>
      <c r="O204" s="150"/>
      <c r="P204" s="182"/>
      <c r="Q204" s="130"/>
      <c r="R204" s="130"/>
      <c r="S204" s="130"/>
      <c r="T204" s="130"/>
      <c r="U204" s="130"/>
    </row>
    <row r="205" spans="1:21" s="50" customFormat="1" ht="15.6">
      <c r="A205" s="120"/>
      <c r="B205" s="127"/>
      <c r="C205" s="137" t="s">
        <v>447</v>
      </c>
      <c r="D205" s="127"/>
      <c r="E205" s="114"/>
      <c r="F205" s="187" t="s">
        <v>459</v>
      </c>
      <c r="G205" s="187" t="s">
        <v>469</v>
      </c>
      <c r="H205" s="187" t="s">
        <v>459</v>
      </c>
      <c r="I205" s="187" t="s">
        <v>469</v>
      </c>
      <c r="J205" s="134"/>
      <c r="K205" s="114"/>
      <c r="L205" s="187" t="s">
        <v>459</v>
      </c>
      <c r="M205" s="187" t="s">
        <v>469</v>
      </c>
      <c r="N205" s="114"/>
      <c r="O205" s="128"/>
      <c r="P205" s="136"/>
      <c r="Q205" s="130"/>
      <c r="R205" s="130"/>
      <c r="S205" s="130"/>
      <c r="T205" s="130"/>
      <c r="U205" s="130"/>
    </row>
    <row r="206" spans="1:21" s="50" customFormat="1">
      <c r="A206" s="120"/>
      <c r="B206" s="127"/>
      <c r="C206" s="138" t="s">
        <v>450</v>
      </c>
      <c r="D206" s="139" t="s">
        <v>451</v>
      </c>
      <c r="E206" s="114"/>
      <c r="F206" s="161" t="s">
        <v>1954</v>
      </c>
      <c r="G206" s="162">
        <v>70</v>
      </c>
      <c r="H206" s="161" t="s">
        <v>1959</v>
      </c>
      <c r="I206" s="163">
        <v>70</v>
      </c>
      <c r="J206" s="164"/>
      <c r="K206" s="165"/>
      <c r="L206" s="161" t="s">
        <v>1964</v>
      </c>
      <c r="M206" s="163">
        <f>IF(Scenario_IA="Residential",ATc_R_IA,IF(Scenario_IA="Commercial",ATc_C_IA,"Error"))</f>
        <v>70</v>
      </c>
      <c r="N206" s="114"/>
      <c r="O206" s="128"/>
      <c r="P206" s="136"/>
      <c r="Q206" s="130"/>
      <c r="R206" s="130"/>
      <c r="S206" s="130"/>
      <c r="T206" s="142"/>
      <c r="U206" s="130"/>
    </row>
    <row r="207" spans="1:21" s="50" customFormat="1">
      <c r="A207" s="120"/>
      <c r="B207" s="127"/>
      <c r="C207" s="135" t="s">
        <v>452</v>
      </c>
      <c r="D207" s="139" t="s">
        <v>451</v>
      </c>
      <c r="E207" s="114"/>
      <c r="F207" s="161" t="s">
        <v>1955</v>
      </c>
      <c r="G207" s="162">
        <v>26</v>
      </c>
      <c r="H207" s="161" t="s">
        <v>1960</v>
      </c>
      <c r="I207" s="163">
        <v>25</v>
      </c>
      <c r="J207" s="164"/>
      <c r="K207" s="165"/>
      <c r="L207" s="161" t="s">
        <v>1965</v>
      </c>
      <c r="M207" s="163">
        <f>IF(Scenario_IA="Residential",ATnc_R_IA,IF(Scenario_IA="Commercial",ATnc_C_IA,"Error"))</f>
        <v>26</v>
      </c>
      <c r="N207" s="114"/>
      <c r="O207" s="143"/>
      <c r="P207" s="136"/>
      <c r="Q207" s="130"/>
      <c r="R207" s="130"/>
      <c r="S207" s="130"/>
      <c r="T207" s="142"/>
      <c r="U207" s="130"/>
    </row>
    <row r="208" spans="1:21" s="50" customFormat="1" ht="15.6">
      <c r="A208" s="120"/>
      <c r="B208" s="187"/>
      <c r="C208" s="138" t="s">
        <v>453</v>
      </c>
      <c r="D208" s="127" t="s">
        <v>451</v>
      </c>
      <c r="E208" s="114"/>
      <c r="F208" s="186" t="s">
        <v>1956</v>
      </c>
      <c r="G208" s="163">
        <v>26</v>
      </c>
      <c r="H208" s="186" t="s">
        <v>1961</v>
      </c>
      <c r="I208" s="163">
        <v>25</v>
      </c>
      <c r="J208" s="164"/>
      <c r="K208" s="165"/>
      <c r="L208" s="186" t="s">
        <v>1966</v>
      </c>
      <c r="M208" s="163">
        <f>IF(Scenario_IA="Residential",ED_R_IA,IF(Scenario_IA="Commercial",ED_C_IA,"Error"))</f>
        <v>26</v>
      </c>
      <c r="N208" s="114"/>
      <c r="O208" s="128"/>
      <c r="P208" s="136"/>
      <c r="Q208" s="130"/>
      <c r="R208" s="130"/>
      <c r="S208" s="130"/>
      <c r="T208" s="130"/>
      <c r="U208" s="130"/>
    </row>
    <row r="209" spans="1:21" s="50" customFormat="1">
      <c r="A209" s="120"/>
      <c r="B209" s="127"/>
      <c r="C209" s="138" t="s">
        <v>454</v>
      </c>
      <c r="D209" s="127" t="s">
        <v>455</v>
      </c>
      <c r="E209" s="114"/>
      <c r="F209" s="186" t="s">
        <v>1957</v>
      </c>
      <c r="G209" s="163">
        <v>350</v>
      </c>
      <c r="H209" s="186" t="s">
        <v>1962</v>
      </c>
      <c r="I209" s="163">
        <v>250</v>
      </c>
      <c r="J209" s="164"/>
      <c r="K209" s="165"/>
      <c r="L209" s="186" t="s">
        <v>1967</v>
      </c>
      <c r="M209" s="163">
        <f>IF(Scenario_IA="Residential",EF_R_IA,IF(Scenario_IA="Commercial",EF_C_IA,"Error"))</f>
        <v>350</v>
      </c>
      <c r="N209" s="114"/>
      <c r="O209" s="114"/>
      <c r="P209" s="136"/>
      <c r="Q209" s="130"/>
      <c r="R209" s="130"/>
      <c r="S209" s="130"/>
      <c r="T209" s="130"/>
      <c r="U209" s="130"/>
    </row>
    <row r="210" spans="1:21" s="50" customFormat="1">
      <c r="A210" s="120"/>
      <c r="B210" s="127"/>
      <c r="C210" s="138" t="s">
        <v>516</v>
      </c>
      <c r="D210" s="124" t="s">
        <v>1744</v>
      </c>
      <c r="E210" s="114"/>
      <c r="F210" s="163" t="s">
        <v>1958</v>
      </c>
      <c r="G210" s="163">
        <v>24</v>
      </c>
      <c r="H210" s="163" t="s">
        <v>1963</v>
      </c>
      <c r="I210" s="163">
        <v>8</v>
      </c>
      <c r="J210" s="164"/>
      <c r="K210" s="165"/>
      <c r="L210" s="163" t="s">
        <v>1968</v>
      </c>
      <c r="M210" s="163">
        <f>IF(Scenario_IA="Residential",ET_R_IA,IF(Scenario_IA="Commercial",ET_C_IA,"Error"))</f>
        <v>24</v>
      </c>
      <c r="N210" s="114"/>
      <c r="O210" s="114"/>
      <c r="P210" s="136"/>
      <c r="Q210" s="130"/>
      <c r="R210" s="130"/>
      <c r="S210" s="130"/>
      <c r="T210" s="130"/>
      <c r="U210" s="130"/>
    </row>
    <row r="211" spans="1:21" s="50" customFormat="1">
      <c r="A211" s="120"/>
      <c r="B211" s="127"/>
      <c r="C211" s="138"/>
      <c r="D211" s="124"/>
      <c r="E211" s="114"/>
      <c r="F211" s="124"/>
      <c r="G211" s="124"/>
      <c r="H211" s="124"/>
      <c r="I211" s="124"/>
      <c r="J211" s="134"/>
      <c r="K211" s="114"/>
      <c r="L211" s="124"/>
      <c r="M211" s="145"/>
      <c r="N211" s="114"/>
      <c r="O211" s="114"/>
      <c r="P211" s="136"/>
      <c r="Q211" s="130"/>
      <c r="R211" s="130"/>
      <c r="S211" s="130"/>
      <c r="T211" s="130"/>
      <c r="U211" s="130"/>
    </row>
    <row r="212" spans="1:21" s="50" customFormat="1" ht="30.75" customHeight="1">
      <c r="A212" s="120"/>
      <c r="B212" s="132" t="s">
        <v>476</v>
      </c>
      <c r="C212" s="133" t="s">
        <v>458</v>
      </c>
      <c r="D212" s="127"/>
      <c r="E212" s="114"/>
      <c r="F212" s="565" t="s">
        <v>449</v>
      </c>
      <c r="G212" s="565"/>
      <c r="H212" s="565" t="s">
        <v>472</v>
      </c>
      <c r="I212" s="565"/>
      <c r="J212" s="134"/>
      <c r="K212" s="114"/>
      <c r="L212" s="567" t="s">
        <v>1819</v>
      </c>
      <c r="M212" s="567"/>
      <c r="N212" s="150"/>
      <c r="O212" s="150"/>
      <c r="P212" s="136"/>
      <c r="Q212" s="130"/>
      <c r="R212" s="130"/>
      <c r="S212" s="130"/>
      <c r="T212" s="130"/>
      <c r="U212" s="130"/>
    </row>
    <row r="213" spans="1:21" s="50" customFormat="1" ht="15.6">
      <c r="A213" s="120"/>
      <c r="B213" s="124"/>
      <c r="C213" s="137" t="s">
        <v>456</v>
      </c>
      <c r="D213" s="124"/>
      <c r="E213" s="114"/>
      <c r="F213" s="187" t="s">
        <v>459</v>
      </c>
      <c r="G213" s="187" t="s">
        <v>469</v>
      </c>
      <c r="H213" s="187" t="s">
        <v>459</v>
      </c>
      <c r="I213" s="187" t="s">
        <v>469</v>
      </c>
      <c r="J213" s="134"/>
      <c r="K213" s="114"/>
      <c r="L213" s="187" t="s">
        <v>459</v>
      </c>
      <c r="M213" s="187" t="s">
        <v>469</v>
      </c>
      <c r="N213" s="114"/>
      <c r="O213" s="114"/>
      <c r="P213" s="136"/>
      <c r="Q213" s="130"/>
      <c r="R213" s="130"/>
      <c r="S213" s="130"/>
      <c r="T213" s="130"/>
      <c r="U213" s="130"/>
    </row>
    <row r="214" spans="1:21" s="50" customFormat="1">
      <c r="A214" s="120"/>
      <c r="B214" s="127"/>
      <c r="C214" s="138" t="s">
        <v>457</v>
      </c>
      <c r="D214" s="127" t="s">
        <v>464</v>
      </c>
      <c r="E214" s="114"/>
      <c r="F214" s="186" t="s">
        <v>1971</v>
      </c>
      <c r="G214" s="163">
        <v>1E-3</v>
      </c>
      <c r="H214" s="186" t="s">
        <v>1973</v>
      </c>
      <c r="I214" s="163">
        <v>1E-3</v>
      </c>
      <c r="J214" s="164"/>
      <c r="K214" s="165"/>
      <c r="L214" s="186" t="s">
        <v>1969</v>
      </c>
      <c r="M214" s="163">
        <f>IF(Scenario_IA="Residential",AFgw_R_IA,IF(Scenario_IA="Commercial",AFgw_C_IA,"Error"))</f>
        <v>1E-3</v>
      </c>
      <c r="N214" s="114"/>
      <c r="O214" s="114"/>
      <c r="P214" s="136"/>
      <c r="Q214" s="130"/>
      <c r="R214" s="130"/>
      <c r="S214" s="130"/>
      <c r="T214" s="130"/>
      <c r="U214" s="130"/>
    </row>
    <row r="215" spans="1:21" s="50" customFormat="1">
      <c r="A215" s="120"/>
      <c r="B215" s="127"/>
      <c r="C215" s="138" t="s">
        <v>1694</v>
      </c>
      <c r="D215" s="127" t="s">
        <v>464</v>
      </c>
      <c r="E215" s="114"/>
      <c r="F215" s="186" t="s">
        <v>1972</v>
      </c>
      <c r="G215" s="163">
        <v>0.03</v>
      </c>
      <c r="H215" s="186" t="s">
        <v>1974</v>
      </c>
      <c r="I215" s="163">
        <v>0.03</v>
      </c>
      <c r="J215" s="164"/>
      <c r="K215" s="165"/>
      <c r="L215" s="186" t="s">
        <v>1970</v>
      </c>
      <c r="M215" s="163">
        <f>IF(Scenario_IA="Residential",AFss_R_IA,IF(Scenario_IA="Commercial",AFss_C_IA,"Error"))</f>
        <v>0.03</v>
      </c>
      <c r="N215" s="114"/>
      <c r="O215" s="114"/>
      <c r="P215" s="130"/>
      <c r="Q215" s="130"/>
      <c r="R215" s="130"/>
      <c r="S215" s="130"/>
      <c r="T215" s="130"/>
      <c r="U215" s="130"/>
    </row>
    <row r="216" spans="1:21" s="50" customFormat="1">
      <c r="A216" s="120"/>
      <c r="B216" s="127"/>
      <c r="C216" s="138"/>
      <c r="D216" s="124"/>
      <c r="E216" s="127"/>
      <c r="F216" s="127"/>
      <c r="G216" s="124"/>
      <c r="H216" s="127"/>
      <c r="I216" s="114"/>
      <c r="J216" s="134"/>
      <c r="K216" s="134"/>
      <c r="L216" s="134"/>
      <c r="M216" s="114"/>
      <c r="N216" s="114"/>
      <c r="O216" s="114"/>
      <c r="P216" s="130"/>
      <c r="Q216" s="130"/>
      <c r="R216" s="130"/>
      <c r="S216" s="130"/>
      <c r="T216" s="130"/>
      <c r="U216" s="130"/>
    </row>
    <row r="217" spans="1:21" s="50" customFormat="1" ht="15.6">
      <c r="A217" s="120"/>
      <c r="B217" s="132" t="s">
        <v>477</v>
      </c>
      <c r="C217" s="133" t="s">
        <v>468</v>
      </c>
      <c r="D217" s="138"/>
      <c r="E217" s="127"/>
      <c r="F217" s="127"/>
      <c r="G217" s="127"/>
      <c r="H217" s="127"/>
      <c r="I217" s="114"/>
      <c r="J217" s="134"/>
      <c r="K217" s="134"/>
      <c r="L217" s="134"/>
      <c r="M217" s="114"/>
      <c r="N217" s="114"/>
      <c r="O217" s="114"/>
      <c r="P217" s="130"/>
      <c r="Q217" s="130"/>
      <c r="R217" s="130"/>
      <c r="S217" s="130"/>
      <c r="T217" s="130"/>
      <c r="U217" s="130"/>
    </row>
    <row r="218" spans="1:21" s="50" customFormat="1">
      <c r="A218" s="120"/>
      <c r="B218" s="127"/>
      <c r="C218" s="138" t="s">
        <v>475</v>
      </c>
      <c r="D218" s="124"/>
      <c r="E218" s="127"/>
      <c r="F218" s="114"/>
      <c r="G218" s="124"/>
      <c r="H218" s="127"/>
      <c r="I218" s="114"/>
      <c r="J218" s="134"/>
      <c r="K218" s="134"/>
      <c r="L218" s="134"/>
      <c r="M218" s="114"/>
      <c r="N218" s="114"/>
      <c r="O218" s="114"/>
      <c r="P218" s="130"/>
      <c r="Q218" s="130"/>
      <c r="R218" s="130"/>
      <c r="S218" s="130"/>
      <c r="T218" s="130"/>
      <c r="U218" s="130"/>
    </row>
    <row r="219" spans="1:21" s="50" customFormat="1">
      <c r="A219" s="120"/>
      <c r="B219" s="127"/>
      <c r="C219" s="138" t="s">
        <v>1742</v>
      </c>
      <c r="D219" s="124"/>
      <c r="E219" s="127"/>
      <c r="F219" s="138"/>
      <c r="G219" s="124"/>
      <c r="H219" s="127"/>
      <c r="I219" s="114"/>
      <c r="J219" s="134"/>
      <c r="K219" s="134"/>
      <c r="L219" s="134"/>
      <c r="M219" s="114"/>
      <c r="N219" s="114"/>
      <c r="O219" s="114"/>
      <c r="P219" s="130"/>
      <c r="Q219" s="130"/>
      <c r="R219" s="130"/>
      <c r="S219" s="130"/>
      <c r="T219" s="130"/>
      <c r="U219" s="130"/>
    </row>
    <row r="220" spans="1:21" s="50" customFormat="1">
      <c r="A220" s="120"/>
      <c r="B220" s="127"/>
      <c r="C220" s="138" t="s">
        <v>1743</v>
      </c>
      <c r="D220" s="124"/>
      <c r="E220" s="127"/>
      <c r="F220" s="138"/>
      <c r="G220" s="124"/>
      <c r="H220" s="127"/>
      <c r="I220" s="114"/>
      <c r="J220" s="134"/>
      <c r="K220" s="134"/>
      <c r="L220" s="134"/>
      <c r="M220" s="114"/>
      <c r="N220" s="114"/>
      <c r="O220" s="114"/>
      <c r="P220" s="130"/>
      <c r="Q220" s="130"/>
      <c r="R220" s="130"/>
      <c r="S220" s="130"/>
      <c r="T220" s="130"/>
      <c r="U220" s="130"/>
    </row>
    <row r="221" spans="1:21" s="50" customFormat="1">
      <c r="A221" s="120"/>
      <c r="B221" s="127"/>
      <c r="C221" s="138"/>
      <c r="D221" s="124"/>
      <c r="E221" s="136"/>
      <c r="F221" s="136"/>
      <c r="G221" s="136"/>
      <c r="H221" s="136"/>
      <c r="I221" s="136"/>
      <c r="J221" s="136"/>
      <c r="K221" s="136"/>
      <c r="L221" s="136"/>
      <c r="M221" s="136"/>
      <c r="N221" s="114"/>
      <c r="O221" s="114"/>
      <c r="P221" s="130"/>
      <c r="Q221" s="130"/>
      <c r="R221" s="130"/>
      <c r="S221" s="130"/>
      <c r="T221" s="130"/>
      <c r="U221" s="130"/>
    </row>
    <row r="222" spans="1:21" s="50" customFormat="1" ht="33" customHeight="1">
      <c r="A222" s="120"/>
      <c r="B222" s="132" t="s">
        <v>1630</v>
      </c>
      <c r="C222" s="133" t="s">
        <v>1631</v>
      </c>
      <c r="D222" s="124"/>
      <c r="E222" s="127"/>
      <c r="F222" s="565" t="s">
        <v>449</v>
      </c>
      <c r="G222" s="565"/>
      <c r="H222" s="565" t="s">
        <v>472</v>
      </c>
      <c r="I222" s="565"/>
      <c r="J222" s="146"/>
      <c r="K222" s="147"/>
      <c r="L222" s="567" t="s">
        <v>1819</v>
      </c>
      <c r="M222" s="567"/>
      <c r="N222" s="150"/>
      <c r="O222" s="150"/>
      <c r="P222" s="130"/>
      <c r="Q222" s="130"/>
      <c r="R222" s="130"/>
      <c r="S222" s="130"/>
      <c r="T222" s="130"/>
      <c r="U222" s="130"/>
    </row>
    <row r="223" spans="1:21" s="50" customFormat="1" ht="15.6">
      <c r="A223" s="120"/>
      <c r="B223" s="127"/>
      <c r="C223" s="138" t="s">
        <v>400</v>
      </c>
      <c r="D223" s="124"/>
      <c r="E223" s="136"/>
      <c r="F223" s="187" t="s">
        <v>459</v>
      </c>
      <c r="G223" s="187" t="s">
        <v>469</v>
      </c>
      <c r="H223" s="187" t="s">
        <v>459</v>
      </c>
      <c r="I223" s="187" t="s">
        <v>469</v>
      </c>
      <c r="J223" s="134"/>
      <c r="K223" s="114"/>
      <c r="L223" s="187" t="s">
        <v>459</v>
      </c>
      <c r="M223" s="187" t="s">
        <v>469</v>
      </c>
      <c r="N223" s="114"/>
      <c r="O223" s="114"/>
      <c r="P223" s="130"/>
      <c r="Q223" s="130"/>
      <c r="R223" s="130"/>
      <c r="S223" s="130"/>
      <c r="T223" s="130"/>
      <c r="U223" s="130"/>
    </row>
    <row r="224" spans="1:21" s="50" customFormat="1">
      <c r="A224" s="120"/>
      <c r="B224" s="114"/>
      <c r="C224" s="114"/>
      <c r="D224" s="124"/>
      <c r="E224" s="127"/>
      <c r="F224" s="166" t="s">
        <v>1975</v>
      </c>
      <c r="G224" s="167">
        <v>9.9999999999999995E-7</v>
      </c>
      <c r="H224" s="166" t="s">
        <v>1977</v>
      </c>
      <c r="I224" s="167">
        <v>0</v>
      </c>
      <c r="J224" s="164"/>
      <c r="K224" s="165"/>
      <c r="L224" s="245" t="s">
        <v>1979</v>
      </c>
      <c r="M224" s="167">
        <f>IF(Scenario_IA="Residential",mIURTCE_R_IA,IF(Scenario_IA="Commercial",mIURTCE_C_IA,"Error"))</f>
        <v>9.9999999999999995E-7</v>
      </c>
      <c r="N224" s="127"/>
      <c r="O224" s="114"/>
      <c r="P224" s="130"/>
      <c r="Q224" s="130"/>
      <c r="R224" s="130"/>
      <c r="S224" s="130"/>
      <c r="T224" s="130"/>
      <c r="U224" s="130"/>
    </row>
    <row r="225" spans="1:21" s="50" customFormat="1">
      <c r="A225" s="120"/>
      <c r="B225" s="127"/>
      <c r="C225" s="138"/>
      <c r="D225" s="124"/>
      <c r="E225" s="127"/>
      <c r="F225" s="166" t="s">
        <v>1976</v>
      </c>
      <c r="G225" s="167">
        <v>3.1E-6</v>
      </c>
      <c r="H225" s="166" t="s">
        <v>1978</v>
      </c>
      <c r="I225" s="167">
        <v>4.0999999999999997E-6</v>
      </c>
      <c r="J225" s="164"/>
      <c r="K225" s="165"/>
      <c r="L225" s="245" t="s">
        <v>1980</v>
      </c>
      <c r="M225" s="167">
        <f>IF(Scenario_IA="Residential",IURTCE_R_IA,IF(Scenario_IA="Commercial",IURTCE_C_IA,"Error"))</f>
        <v>3.1E-6</v>
      </c>
      <c r="N225" s="127"/>
      <c r="O225" s="114"/>
      <c r="P225" s="130"/>
      <c r="Q225" s="130"/>
      <c r="R225" s="130"/>
      <c r="S225" s="130"/>
      <c r="T225" s="130"/>
      <c r="U225" s="130"/>
    </row>
    <row r="226" spans="1:21" s="50" customFormat="1">
      <c r="A226" s="120"/>
      <c r="B226" s="127"/>
      <c r="C226" s="138"/>
      <c r="D226" s="124"/>
      <c r="E226" s="127"/>
      <c r="F226" s="138"/>
      <c r="G226" s="124"/>
      <c r="H226" s="127"/>
      <c r="I226" s="114"/>
      <c r="J226" s="145"/>
      <c r="K226" s="145"/>
      <c r="L226" s="145"/>
      <c r="M226" s="127"/>
      <c r="N226" s="127"/>
      <c r="O226" s="114"/>
      <c r="P226" s="130"/>
      <c r="Q226" s="130"/>
      <c r="R226" s="130"/>
      <c r="S226" s="130"/>
      <c r="T226" s="130"/>
      <c r="U226" s="130"/>
    </row>
    <row r="227" spans="1:21" s="50" customFormat="1">
      <c r="A227" s="120"/>
      <c r="B227" s="127"/>
      <c r="C227" s="138" t="s">
        <v>1729</v>
      </c>
      <c r="D227" s="149" t="s">
        <v>1730</v>
      </c>
      <c r="E227" s="127"/>
      <c r="F227" s="138"/>
      <c r="G227" s="124"/>
      <c r="H227" s="127"/>
      <c r="I227" s="114"/>
      <c r="J227" s="114"/>
      <c r="K227" s="114"/>
      <c r="L227" s="114"/>
      <c r="M227" s="114"/>
      <c r="N227" s="127"/>
      <c r="O227" s="114"/>
      <c r="P227" s="130"/>
      <c r="Q227" s="130"/>
      <c r="R227" s="130"/>
      <c r="S227" s="130"/>
      <c r="T227" s="130"/>
      <c r="U227" s="130"/>
    </row>
    <row r="228" spans="1:21" s="50" customFormat="1">
      <c r="A228" s="120"/>
      <c r="B228" s="127"/>
      <c r="C228" s="138"/>
      <c r="D228" s="124"/>
      <c r="E228" s="127"/>
      <c r="F228" s="138"/>
      <c r="G228" s="124"/>
      <c r="H228" s="127"/>
      <c r="I228" s="114"/>
      <c r="J228" s="114"/>
      <c r="K228" s="114"/>
      <c r="L228" s="114"/>
      <c r="M228" s="114"/>
      <c r="N228" s="127"/>
      <c r="O228" s="114"/>
      <c r="P228" s="130"/>
      <c r="Q228" s="130"/>
      <c r="R228" s="130"/>
      <c r="S228" s="130"/>
      <c r="T228" s="130"/>
      <c r="U228" s="130"/>
    </row>
    <row r="229" spans="1:21" s="50" customFormat="1" ht="15.6">
      <c r="A229" s="120"/>
      <c r="B229" s="127"/>
      <c r="C229" s="566" t="s">
        <v>1737</v>
      </c>
      <c r="D229" s="565" t="s">
        <v>1731</v>
      </c>
      <c r="E229" s="567" t="s">
        <v>1732</v>
      </c>
      <c r="F229" s="568" t="s">
        <v>1733</v>
      </c>
      <c r="G229" s="568"/>
      <c r="H229" s="114"/>
      <c r="I229" s="114"/>
      <c r="J229" s="150"/>
      <c r="K229" s="150"/>
      <c r="L229" s="114"/>
      <c r="M229" s="114"/>
      <c r="N229" s="127"/>
      <c r="O229" s="114"/>
      <c r="P229" s="130"/>
      <c r="Q229" s="130"/>
      <c r="R229" s="130"/>
      <c r="S229" s="130"/>
      <c r="T229" s="130"/>
      <c r="U229" s="130"/>
    </row>
    <row r="230" spans="1:21" s="50" customFormat="1">
      <c r="A230" s="120"/>
      <c r="B230" s="127"/>
      <c r="C230" s="566"/>
      <c r="D230" s="565"/>
      <c r="E230" s="567"/>
      <c r="F230" s="568"/>
      <c r="G230" s="568"/>
      <c r="H230" s="114"/>
      <c r="I230" s="114"/>
      <c r="J230" s="114"/>
      <c r="K230" s="114"/>
      <c r="L230" s="114"/>
      <c r="M230" s="114"/>
      <c r="N230" s="127"/>
      <c r="O230" s="114"/>
      <c r="P230" s="130"/>
      <c r="Q230" s="130"/>
      <c r="R230" s="130"/>
      <c r="S230" s="130"/>
      <c r="T230" s="130"/>
      <c r="U230" s="130"/>
    </row>
    <row r="231" spans="1:21" s="50" customFormat="1">
      <c r="A231" s="120"/>
      <c r="B231" s="127"/>
      <c r="C231" s="566"/>
      <c r="D231" s="186" t="s">
        <v>1734</v>
      </c>
      <c r="E231" s="186">
        <v>2</v>
      </c>
      <c r="F231" s="564">
        <v>10</v>
      </c>
      <c r="G231" s="564"/>
      <c r="H231" s="114"/>
      <c r="I231" s="114"/>
      <c r="J231" s="114"/>
      <c r="K231" s="114"/>
      <c r="L231" s="114"/>
      <c r="M231" s="114"/>
      <c r="N231" s="127"/>
      <c r="O231" s="114"/>
      <c r="P231" s="130"/>
      <c r="Q231" s="130"/>
      <c r="R231" s="130"/>
      <c r="S231" s="130"/>
      <c r="T231" s="130"/>
      <c r="U231" s="130"/>
    </row>
    <row r="232" spans="1:21" s="50" customFormat="1">
      <c r="A232" s="120"/>
      <c r="B232" s="127"/>
      <c r="C232" s="566"/>
      <c r="D232" s="186" t="s">
        <v>1735</v>
      </c>
      <c r="E232" s="186">
        <v>4</v>
      </c>
      <c r="F232" s="564">
        <v>3</v>
      </c>
      <c r="G232" s="564"/>
      <c r="H232" s="114"/>
      <c r="I232" s="114"/>
      <c r="J232" s="114"/>
      <c r="K232" s="114"/>
      <c r="L232" s="114"/>
      <c r="M232" s="114"/>
      <c r="N232" s="127"/>
      <c r="O232" s="114"/>
      <c r="P232" s="130"/>
      <c r="Q232" s="130"/>
      <c r="R232" s="130"/>
      <c r="S232" s="130"/>
      <c r="T232" s="130"/>
      <c r="U232" s="130"/>
    </row>
    <row r="233" spans="1:21" s="50" customFormat="1">
      <c r="A233" s="120"/>
      <c r="B233" s="127"/>
      <c r="C233" s="138"/>
      <c r="D233" s="186" t="s">
        <v>1736</v>
      </c>
      <c r="E233" s="186">
        <v>10</v>
      </c>
      <c r="F233" s="564">
        <v>3</v>
      </c>
      <c r="G233" s="564"/>
      <c r="H233" s="114"/>
      <c r="I233" s="114"/>
      <c r="J233" s="114"/>
      <c r="K233" s="114"/>
      <c r="L233" s="127"/>
      <c r="M233" s="127"/>
      <c r="N233" s="127"/>
      <c r="O233" s="114"/>
      <c r="P233" s="130"/>
      <c r="Q233" s="130"/>
      <c r="R233" s="130"/>
      <c r="S233" s="130"/>
      <c r="T233" s="130"/>
      <c r="U233" s="130"/>
    </row>
    <row r="234" spans="1:21" s="50" customFormat="1">
      <c r="A234" s="120"/>
      <c r="B234" s="127"/>
      <c r="C234" s="138"/>
      <c r="D234" s="260" t="s">
        <v>2087</v>
      </c>
      <c r="E234" s="260">
        <v>10</v>
      </c>
      <c r="F234" s="564">
        <v>1</v>
      </c>
      <c r="G234" s="564"/>
      <c r="H234" s="127"/>
      <c r="I234" s="114"/>
      <c r="J234" s="114"/>
      <c r="K234" s="114"/>
      <c r="L234" s="114"/>
      <c r="M234" s="114"/>
      <c r="N234" s="127"/>
      <c r="O234" s="114"/>
      <c r="P234" s="130"/>
      <c r="Q234" s="130"/>
      <c r="R234" s="130"/>
      <c r="S234" s="130"/>
      <c r="T234" s="130"/>
      <c r="U234" s="130"/>
    </row>
    <row r="235" spans="1:21" s="50" customFormat="1">
      <c r="A235" s="120"/>
      <c r="B235" s="127"/>
      <c r="C235" s="138"/>
      <c r="D235" s="127"/>
      <c r="E235" s="127"/>
      <c r="F235" s="127"/>
      <c r="G235" s="127"/>
      <c r="H235" s="127"/>
      <c r="I235" s="114"/>
      <c r="J235" s="114"/>
      <c r="K235" s="114"/>
      <c r="L235" s="114"/>
      <c r="M235" s="114"/>
      <c r="N235" s="127"/>
      <c r="O235" s="114"/>
      <c r="P235" s="130"/>
      <c r="Q235" s="130"/>
      <c r="R235" s="130"/>
      <c r="S235" s="130"/>
      <c r="T235" s="130"/>
      <c r="U235" s="130"/>
    </row>
    <row r="236" spans="1:21" s="50" customFormat="1" ht="15.6">
      <c r="A236" s="120"/>
      <c r="B236" s="127"/>
      <c r="C236" s="138"/>
      <c r="D236" s="114"/>
      <c r="E236" s="151" t="s">
        <v>1739</v>
      </c>
      <c r="F236" s="564">
        <f>IF(Scenario_IA="Residential",SUMPRODUCT(E231:E234,F231:F234),IF(Scenario_IA="Commercial",ED_C_IA,"Error"))</f>
        <v>72</v>
      </c>
      <c r="G236" s="564"/>
      <c r="H236" s="135" t="s">
        <v>1738</v>
      </c>
      <c r="I236" s="114"/>
      <c r="J236" s="152"/>
      <c r="K236" s="127"/>
      <c r="L236" s="127"/>
      <c r="M236" s="127"/>
      <c r="N236" s="127"/>
      <c r="O236" s="114"/>
      <c r="P236" s="130"/>
      <c r="Q236" s="130"/>
      <c r="R236" s="130"/>
      <c r="S236" s="130"/>
      <c r="T236" s="130"/>
      <c r="U236" s="130"/>
    </row>
    <row r="237" spans="1:21" s="50" customFormat="1">
      <c r="A237" s="120"/>
      <c r="B237" s="127"/>
      <c r="C237" s="138"/>
      <c r="D237" s="124"/>
      <c r="E237" s="127"/>
      <c r="F237" s="138"/>
      <c r="G237" s="124"/>
      <c r="H237" s="127"/>
      <c r="I237" s="114"/>
      <c r="J237" s="152"/>
      <c r="K237" s="145"/>
      <c r="L237" s="145"/>
      <c r="M237" s="127"/>
      <c r="N237" s="127"/>
      <c r="O237" s="114"/>
      <c r="P237" s="130"/>
      <c r="Q237" s="130"/>
      <c r="R237" s="130"/>
      <c r="S237" s="130"/>
      <c r="T237" s="130"/>
      <c r="U237" s="130"/>
    </row>
    <row r="238" spans="1:21" s="50" customFormat="1">
      <c r="A238" s="120"/>
      <c r="B238" s="127"/>
      <c r="C238" s="138" t="s">
        <v>1389</v>
      </c>
      <c r="D238" s="148" t="s">
        <v>1702</v>
      </c>
      <c r="E238" s="127"/>
      <c r="F238" s="138"/>
      <c r="G238" s="124"/>
      <c r="H238" s="127"/>
      <c r="I238" s="114"/>
      <c r="J238" s="145"/>
      <c r="K238" s="145"/>
      <c r="L238" s="145"/>
      <c r="M238" s="127"/>
      <c r="N238" s="127"/>
      <c r="O238" s="114"/>
      <c r="P238" s="130"/>
      <c r="Q238" s="130"/>
      <c r="R238" s="130"/>
      <c r="S238" s="130"/>
      <c r="T238" s="130"/>
      <c r="U238" s="130"/>
    </row>
    <row r="239" spans="1:21" s="50" customFormat="1">
      <c r="A239" s="120"/>
      <c r="B239" s="127"/>
      <c r="C239" s="138"/>
      <c r="D239" s="124"/>
      <c r="E239" s="127"/>
      <c r="F239" s="138"/>
      <c r="G239" s="124"/>
      <c r="H239" s="127"/>
      <c r="I239" s="114"/>
      <c r="J239" s="152"/>
      <c r="K239" s="145"/>
      <c r="L239" s="145"/>
      <c r="M239" s="127"/>
      <c r="N239" s="127"/>
      <c r="O239" s="114"/>
      <c r="P239" s="130"/>
      <c r="Q239" s="130"/>
      <c r="R239" s="130"/>
      <c r="S239" s="130"/>
      <c r="T239" s="130"/>
      <c r="U239" s="130"/>
    </row>
    <row r="240" spans="1:21" s="50" customFormat="1" ht="15.6">
      <c r="A240" s="120"/>
      <c r="B240" s="187" t="s">
        <v>962</v>
      </c>
      <c r="C240" s="138"/>
      <c r="D240" s="124"/>
      <c r="E240" s="127"/>
      <c r="F240" s="138"/>
      <c r="G240" s="124"/>
      <c r="H240" s="127"/>
      <c r="I240" s="114"/>
      <c r="J240" s="145"/>
      <c r="K240" s="145"/>
      <c r="L240" s="145"/>
      <c r="M240" s="127"/>
      <c r="N240" s="127"/>
      <c r="O240" s="114"/>
      <c r="P240" s="130"/>
      <c r="Q240" s="130"/>
      <c r="R240" s="130"/>
      <c r="S240" s="130"/>
      <c r="T240" s="130"/>
      <c r="U240" s="130"/>
    </row>
    <row r="241" spans="1:23" s="50" customFormat="1">
      <c r="A241" s="120"/>
      <c r="B241" s="128" t="s">
        <v>1763</v>
      </c>
      <c r="C241" s="128"/>
      <c r="D241" s="114"/>
      <c r="G241" s="153" t="s">
        <v>1764</v>
      </c>
      <c r="H241" s="127"/>
      <c r="I241" s="114"/>
      <c r="J241" s="134"/>
      <c r="K241" s="134"/>
      <c r="L241" s="134"/>
      <c r="M241" s="128"/>
      <c r="N241" s="128"/>
      <c r="O241" s="114"/>
      <c r="P241" s="130"/>
      <c r="Q241" s="130"/>
      <c r="R241" s="130"/>
      <c r="S241" s="130"/>
      <c r="T241" s="130"/>
      <c r="U241" s="130"/>
    </row>
    <row r="242" spans="1:23" s="50" customFormat="1">
      <c r="A242" s="120"/>
      <c r="B242" s="128" t="s">
        <v>1765</v>
      </c>
      <c r="C242" s="128"/>
      <c r="D242" s="140"/>
      <c r="E242" s="128"/>
      <c r="H242" s="154" t="s">
        <v>1766</v>
      </c>
      <c r="J242" s="129"/>
      <c r="K242" s="129"/>
      <c r="L242" s="129"/>
      <c r="M242" s="128"/>
      <c r="N242" s="128"/>
      <c r="O242" s="114"/>
      <c r="P242" s="130"/>
      <c r="Q242" s="130"/>
      <c r="R242" s="130"/>
      <c r="S242" s="130"/>
      <c r="T242" s="130"/>
      <c r="U242" s="130"/>
    </row>
    <row r="243" spans="1:23" s="50" customFormat="1">
      <c r="A243" s="120"/>
      <c r="B243" s="143" t="s">
        <v>1767</v>
      </c>
      <c r="C243" s="128"/>
      <c r="D243" s="140"/>
      <c r="E243" s="128"/>
      <c r="F243" s="128"/>
      <c r="G243" s="114"/>
      <c r="J243" s="155" t="s">
        <v>1768</v>
      </c>
      <c r="K243" s="129"/>
      <c r="L243" s="129"/>
      <c r="M243" s="128"/>
      <c r="N243" s="128"/>
      <c r="O243" s="114"/>
      <c r="P243" s="130"/>
      <c r="Q243" s="130"/>
      <c r="R243" s="130"/>
      <c r="S243" s="130"/>
      <c r="T243" s="130"/>
      <c r="U243" s="130"/>
    </row>
    <row r="244" spans="1:23" s="50" customFormat="1">
      <c r="A244" s="120"/>
      <c r="B244" s="128" t="s">
        <v>1769</v>
      </c>
      <c r="C244" s="128"/>
      <c r="D244" s="140"/>
      <c r="E244" s="128"/>
      <c r="F244" s="128"/>
      <c r="G244" s="128"/>
      <c r="H244" s="128"/>
      <c r="I244" s="114"/>
      <c r="N244" s="154" t="s">
        <v>1770</v>
      </c>
      <c r="O244" s="114"/>
      <c r="P244" s="130"/>
      <c r="Q244" s="130"/>
      <c r="R244" s="130"/>
      <c r="S244" s="130"/>
      <c r="T244" s="130"/>
      <c r="U244" s="130"/>
    </row>
    <row r="245" spans="1:23" s="50" customFormat="1">
      <c r="A245" s="120"/>
      <c r="B245" s="143" t="s">
        <v>1771</v>
      </c>
      <c r="C245" s="114"/>
      <c r="D245" s="114"/>
      <c r="E245" s="114"/>
      <c r="F245" s="128"/>
      <c r="G245" s="128"/>
      <c r="J245" s="154" t="s">
        <v>1772</v>
      </c>
      <c r="K245" s="129"/>
      <c r="L245" s="129"/>
      <c r="M245" s="114"/>
      <c r="N245" s="114"/>
      <c r="O245" s="114"/>
      <c r="P245" s="130"/>
      <c r="Q245" s="130"/>
      <c r="R245" s="130"/>
      <c r="S245" s="130"/>
      <c r="T245" s="130"/>
      <c r="U245" s="130"/>
    </row>
    <row r="246" spans="1:23" s="50" customFormat="1">
      <c r="A246" s="120"/>
      <c r="B246" s="143" t="s">
        <v>1654</v>
      </c>
      <c r="C246" s="114"/>
      <c r="D246" s="114"/>
      <c r="E246" s="114"/>
      <c r="F246" s="114"/>
      <c r="G246" s="114"/>
      <c r="H246" s="114"/>
      <c r="I246" s="114"/>
      <c r="J246" s="134"/>
      <c r="K246" s="134"/>
      <c r="L246" s="134"/>
      <c r="M246" s="114"/>
      <c r="N246" s="114"/>
      <c r="O246" s="114"/>
      <c r="P246" s="130"/>
      <c r="Q246" s="130"/>
      <c r="R246" s="130"/>
      <c r="S246" s="130"/>
      <c r="T246" s="130"/>
      <c r="U246" s="130"/>
    </row>
    <row r="247" spans="1:23" s="50" customFormat="1">
      <c r="A247" s="120"/>
      <c r="B247" s="143" t="s">
        <v>1655</v>
      </c>
      <c r="C247" s="114"/>
      <c r="D247" s="114"/>
      <c r="E247" s="114"/>
      <c r="F247" s="114"/>
      <c r="G247" s="114"/>
      <c r="H247" s="114"/>
      <c r="I247" s="114"/>
      <c r="J247" s="134"/>
      <c r="K247" s="134"/>
      <c r="L247" s="134"/>
      <c r="M247" s="114"/>
      <c r="N247" s="114"/>
      <c r="O247" s="114"/>
      <c r="P247" s="130"/>
      <c r="Q247" s="130"/>
      <c r="R247" s="130"/>
      <c r="S247" s="130"/>
      <c r="T247" s="130"/>
      <c r="U247" s="130"/>
    </row>
    <row r="248" spans="1:23" s="50" customFormat="1">
      <c r="A248" s="120"/>
      <c r="B248" s="148" t="s">
        <v>1745</v>
      </c>
      <c r="C248" s="114"/>
      <c r="D248" s="114"/>
      <c r="E248" s="114"/>
      <c r="F248" s="114"/>
      <c r="G248" s="114"/>
      <c r="H248" s="114"/>
      <c r="I248" s="114"/>
      <c r="J248" s="134"/>
      <c r="K248" s="134"/>
      <c r="L248" s="134"/>
      <c r="M248" s="114"/>
      <c r="N248" s="114"/>
      <c r="O248" s="114"/>
      <c r="P248" s="130"/>
      <c r="Q248" s="130"/>
      <c r="R248" s="130"/>
      <c r="S248" s="130"/>
      <c r="T248" s="130"/>
      <c r="U248" s="130"/>
    </row>
    <row r="249" spans="1:23" s="50" customFormat="1">
      <c r="A249" s="120"/>
      <c r="B249" s="148" t="s">
        <v>1746</v>
      </c>
      <c r="C249" s="114"/>
      <c r="D249" s="114"/>
      <c r="E249" s="114"/>
      <c r="F249" s="114"/>
      <c r="G249" s="114"/>
      <c r="H249" s="114"/>
      <c r="I249" s="114"/>
      <c r="J249" s="134"/>
      <c r="K249" s="134"/>
      <c r="L249" s="134"/>
      <c r="M249" s="114"/>
      <c r="N249" s="114"/>
      <c r="O249" s="114"/>
      <c r="P249" s="130"/>
      <c r="Q249" s="130"/>
      <c r="R249" s="130"/>
      <c r="S249" s="130"/>
      <c r="T249" s="130"/>
      <c r="U249" s="130"/>
    </row>
    <row r="250" spans="1:23" s="50" customFormat="1">
      <c r="A250" s="120"/>
      <c r="B250" s="148" t="s">
        <v>1747</v>
      </c>
      <c r="C250" s="114"/>
      <c r="D250" s="114"/>
      <c r="E250" s="114"/>
      <c r="F250" s="114"/>
      <c r="G250" s="114"/>
      <c r="H250" s="114"/>
      <c r="I250" s="114"/>
      <c r="J250" s="134"/>
      <c r="K250" s="134"/>
      <c r="L250" s="134"/>
      <c r="M250" s="114"/>
      <c r="N250" s="114"/>
      <c r="O250" s="114"/>
      <c r="P250" s="130"/>
      <c r="Q250" s="130"/>
      <c r="R250" s="130"/>
      <c r="S250" s="130"/>
      <c r="T250" s="130"/>
      <c r="U250" s="130"/>
    </row>
    <row r="251" spans="1:23" s="50" customFormat="1">
      <c r="A251" s="120"/>
      <c r="B251" s="157" t="s">
        <v>1815</v>
      </c>
      <c r="C251" s="158"/>
      <c r="D251" s="158"/>
      <c r="E251" s="202"/>
      <c r="F251" s="114"/>
      <c r="G251" s="114"/>
      <c r="H251" s="114"/>
      <c r="I251" s="114"/>
      <c r="J251" s="134"/>
      <c r="K251" s="134"/>
      <c r="L251" s="134"/>
      <c r="M251" s="114"/>
      <c r="N251" s="114"/>
      <c r="O251" s="114"/>
      <c r="P251" s="130"/>
      <c r="Q251" s="130"/>
      <c r="R251" s="130"/>
      <c r="S251" s="130"/>
      <c r="T251" s="130"/>
      <c r="U251" s="130"/>
    </row>
    <row r="252" spans="1:23" s="50" customFormat="1" ht="14.4" customHeight="1">
      <c r="A252" s="120"/>
      <c r="B252" s="168" t="s">
        <v>1897</v>
      </c>
      <c r="C252" s="165"/>
      <c r="D252" s="165"/>
      <c r="E252" s="165"/>
      <c r="F252" s="165"/>
      <c r="G252" s="165"/>
      <c r="H252" s="165"/>
      <c r="I252" s="165"/>
      <c r="J252" s="165"/>
      <c r="K252" s="164"/>
      <c r="L252" s="164"/>
      <c r="M252" s="164"/>
      <c r="N252" s="114"/>
      <c r="O252" s="114"/>
      <c r="P252" s="114"/>
      <c r="Q252" s="130"/>
      <c r="R252" s="130"/>
      <c r="S252" s="130"/>
      <c r="T252" s="130"/>
      <c r="U252" s="130"/>
      <c r="V252" s="130"/>
      <c r="W252" s="130"/>
    </row>
    <row r="253" spans="1:23" s="50" customFormat="1">
      <c r="A253" s="120"/>
      <c r="B253" s="232" t="s">
        <v>1895</v>
      </c>
      <c r="C253" s="233"/>
      <c r="D253" s="233"/>
      <c r="E253" s="233"/>
      <c r="F253" s="233"/>
      <c r="G253" s="233"/>
      <c r="H253" s="233"/>
      <c r="I253" s="233"/>
      <c r="J253" s="233"/>
      <c r="K253" s="234"/>
      <c r="L253" s="234"/>
      <c r="M253" s="234"/>
      <c r="N253" s="114"/>
      <c r="O253" s="114"/>
      <c r="P253" s="130"/>
      <c r="Q253" s="130"/>
      <c r="R253" s="130"/>
      <c r="S253" s="130"/>
      <c r="T253" s="130"/>
      <c r="U253" s="130"/>
    </row>
    <row r="254" spans="1:23">
      <c r="A254" s="120"/>
      <c r="B254" s="183"/>
      <c r="C254" s="177"/>
      <c r="D254" s="177"/>
      <c r="E254" s="177"/>
      <c r="F254" s="136"/>
      <c r="G254" s="159"/>
      <c r="H254" s="136"/>
      <c r="I254" s="136"/>
      <c r="J254" s="184"/>
      <c r="K254" s="184"/>
      <c r="L254" s="184"/>
      <c r="M254" s="177"/>
      <c r="N254" s="185"/>
      <c r="O254" s="185"/>
      <c r="P254" s="185"/>
      <c r="Q254" s="185"/>
      <c r="R254" s="185"/>
      <c r="S254" s="185"/>
    </row>
    <row r="255" spans="1:23">
      <c r="A255" s="120"/>
      <c r="N255" s="53"/>
      <c r="O255" s="53"/>
      <c r="P255" s="53"/>
      <c r="Q255" s="53"/>
      <c r="R255" s="53"/>
      <c r="S255" s="53"/>
    </row>
    <row r="256" spans="1:23">
      <c r="A256" s="120"/>
      <c r="B256" s="51"/>
      <c r="N256" s="53"/>
      <c r="O256" s="53"/>
      <c r="P256" s="53"/>
      <c r="Q256" s="53"/>
      <c r="R256" s="53"/>
      <c r="S256" s="53"/>
    </row>
    <row r="257" spans="1:19">
      <c r="A257" s="120"/>
      <c r="B257" s="51"/>
      <c r="N257" s="53"/>
      <c r="O257" s="53"/>
      <c r="P257" s="53"/>
      <c r="Q257" s="53"/>
      <c r="R257" s="53"/>
      <c r="S257" s="53"/>
    </row>
    <row r="258" spans="1:19">
      <c r="A258" s="120"/>
      <c r="N258" s="53"/>
      <c r="O258" s="53"/>
      <c r="P258" s="53"/>
      <c r="Q258" s="53"/>
      <c r="R258" s="53"/>
      <c r="S258" s="53"/>
    </row>
    <row r="259" spans="1:19">
      <c r="A259" s="120"/>
      <c r="N259" s="53"/>
      <c r="O259" s="53"/>
      <c r="P259" s="53"/>
      <c r="Q259" s="53"/>
      <c r="R259" s="53"/>
      <c r="S259" s="53"/>
    </row>
    <row r="260" spans="1:19">
      <c r="A260" s="176"/>
      <c r="N260" s="53"/>
      <c r="O260" s="53"/>
      <c r="P260" s="53"/>
      <c r="Q260" s="53"/>
      <c r="R260" s="53"/>
      <c r="S260" s="53"/>
    </row>
  </sheetData>
  <sheetProtection algorithmName="SHA-512" hashValue="1HKxc5zvUbpeH5sBqFb5xl4o+HrwLpfg/Hhd4kccsZzAc7HqRZlgT/gmEhihP5T6FsWSnIeWKB5mxh70nBDuVQ==" saltValue="s8hvFtC+8k587ck3vDQPAA==" spinCount="100000" sheet="1" autoFilter="0"/>
  <autoFilter ref="A12:U199"/>
  <sortState ref="B13:C199">
    <sortCondition ref="C13:C199"/>
  </sortState>
  <mergeCells count="27">
    <mergeCell ref="E11:E12"/>
    <mergeCell ref="F11:F12"/>
    <mergeCell ref="F4:O4"/>
    <mergeCell ref="F5:O5"/>
    <mergeCell ref="F6:O6"/>
    <mergeCell ref="F7:O7"/>
    <mergeCell ref="F204:G204"/>
    <mergeCell ref="H204:I204"/>
    <mergeCell ref="L204:M204"/>
    <mergeCell ref="I10:I12"/>
    <mergeCell ref="K10:K12"/>
    <mergeCell ref="L10:L11"/>
    <mergeCell ref="F212:G212"/>
    <mergeCell ref="H212:I212"/>
    <mergeCell ref="L212:M212"/>
    <mergeCell ref="L222:M222"/>
    <mergeCell ref="C229:C232"/>
    <mergeCell ref="D229:D230"/>
    <mergeCell ref="E229:E230"/>
    <mergeCell ref="F229:G230"/>
    <mergeCell ref="F231:G231"/>
    <mergeCell ref="F232:G232"/>
    <mergeCell ref="F233:G233"/>
    <mergeCell ref="F234:G234"/>
    <mergeCell ref="F236:G236"/>
    <mergeCell ref="F222:G222"/>
    <mergeCell ref="H222:I222"/>
  </mergeCells>
  <conditionalFormatting sqref="C200">
    <cfRule type="expression" dxfId="7" priority="31">
      <formula>AND(#REF!&lt;&gt;"",OR(#REF!&lt;0.95,#REF!&gt;1.05))</formula>
    </cfRule>
    <cfRule type="expression" dxfId="6" priority="32">
      <formula>OR(#REF!&lt;0.2,#REF!&gt;5)</formula>
    </cfRule>
  </conditionalFormatting>
  <conditionalFormatting sqref="E13:E200">
    <cfRule type="expression" dxfId="5" priority="26">
      <formula>AND(ISNUMBER(E13),E13&gt;=TCR_IA)</formula>
    </cfRule>
  </conditionalFormatting>
  <conditionalFormatting sqref="F13:F200">
    <cfRule type="expression" dxfId="4" priority="25">
      <formula>AND(ISNUMBER(F13),F13&gt;=THQ_IA)</formula>
    </cfRule>
  </conditionalFormatting>
  <conditionalFormatting sqref="T206:T207">
    <cfRule type="expression" dxfId="3" priority="60">
      <formula>AND($F206="NC",OR($R206="A",$P206="CA",$P206="H"),OR($P206="I",$R206="X",$R206="P"))</formula>
    </cfRule>
    <cfRule type="expression" dxfId="2" priority="61">
      <formula>AND($F206="C",OR($P206="A",$P206="CA",$P206="H"),OR($R206="I",$R206="X",$R206="P"))</formula>
    </cfRule>
  </conditionalFormatting>
  <conditionalFormatting sqref="C13:C199">
    <cfRule type="expression" dxfId="1" priority="1">
      <formula>AND(#REF!&lt;&gt;"",OR(#REF!&lt;0.95,#REF!&gt;1.05))</formula>
    </cfRule>
    <cfRule type="expression" dxfId="0" priority="2">
      <formula>OR(#REF!&lt;0.2,#REF!&gt;5)</formula>
    </cfRule>
  </conditionalFormatting>
  <dataValidations count="1">
    <dataValidation type="list" allowBlank="1" showInputMessage="1" showErrorMessage="1" sqref="E5">
      <formula1>"Residential, Commercial"</formula1>
    </dataValidation>
  </dataValidations>
  <hyperlinks>
    <hyperlink ref="G241" r:id="rId1"/>
    <hyperlink ref="H242" r:id="rId2"/>
    <hyperlink ref="J243" r:id="rId3"/>
    <hyperlink ref="N244" r:id="rId4"/>
    <hyperlink ref="J245" r:id="rId5"/>
  </hyperlinks>
  <pageMargins left="0.7" right="0.7" top="0.75" bottom="0.75" header="0.3" footer="0.3"/>
  <pageSetup scale="48" fitToHeight="0" orientation="landscape" r:id="rId6"/>
  <headerFooter>
    <oddHeader>&amp;CVISL Version 3.5
Updated October 2017
Current Toxicity Values from June 2017 RSL Update</oddHeader>
    <oddFooter>&amp;LVISL Calculator Version 3.5, June 2017 RSLs&amp;CUpdated October 2017&amp;RPage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L878"/>
  <sheetViews>
    <sheetView topLeftCell="T1" zoomScale="90" zoomScaleNormal="90" workbookViewId="0">
      <pane ySplit="4" topLeftCell="A28" activePane="bottomLeft" state="frozen"/>
      <selection activeCell="B1" sqref="B1"/>
      <selection pane="bottomLeft" activeCell="AK39" sqref="AK39"/>
    </sheetView>
  </sheetViews>
  <sheetFormatPr defaultColWidth="9.109375" defaultRowHeight="13.2"/>
  <cols>
    <col min="1" max="1" width="20.6640625" style="29" customWidth="1"/>
    <col min="2" max="4" width="20.6640625" style="77" customWidth="1"/>
    <col min="5" max="5" width="14" style="82" customWidth="1"/>
    <col min="6" max="6" width="11" style="82" bestFit="1" customWidth="1"/>
    <col min="7" max="7" width="23.5546875" style="29" customWidth="1"/>
    <col min="8" max="8" width="12.88671875" style="29" bestFit="1" customWidth="1"/>
    <col min="9" max="9" width="12.44140625" style="29" customWidth="1"/>
    <col min="10" max="10" width="8.6640625" style="29" customWidth="1"/>
    <col min="11" max="11" width="10.88671875" style="78" customWidth="1"/>
    <col min="12" max="12" width="17.88671875" style="29" customWidth="1"/>
    <col min="13" max="13" width="9.5546875" style="29" customWidth="1"/>
    <col min="14" max="15" width="14.44140625" style="78" customWidth="1"/>
    <col min="16" max="18" width="18.44140625" style="78" customWidth="1"/>
    <col min="19" max="19" width="13.44140625" style="78" customWidth="1"/>
    <col min="20" max="20" width="13.109375" style="78" customWidth="1"/>
    <col min="21" max="21" width="8.44140625" style="78" customWidth="1"/>
    <col min="22" max="22" width="13.109375" style="78" customWidth="1"/>
    <col min="23" max="23" width="8.109375" style="78" customWidth="1"/>
    <col min="24" max="24" width="17.109375" style="296" customWidth="1"/>
    <col min="25" max="25" width="9.33203125" style="77" customWidth="1"/>
    <col min="26" max="26" width="10.33203125" style="77" customWidth="1"/>
    <col min="27" max="27" width="6.88671875" style="77" customWidth="1"/>
    <col min="28" max="28" width="10" style="77" customWidth="1"/>
    <col min="29" max="29" width="6.88671875" style="77" customWidth="1"/>
    <col min="30" max="30" width="10.44140625" style="78" customWidth="1"/>
    <col min="31" max="31" width="6.88671875" style="78" customWidth="1"/>
    <col min="32" max="32" width="10.44140625" style="78" customWidth="1"/>
    <col min="33" max="33" width="6.88671875" style="383" customWidth="1"/>
    <col min="34" max="34" width="2.109375" style="81" customWidth="1"/>
    <col min="35" max="35" width="40.44140625" style="314" customWidth="1"/>
    <col min="36" max="36" width="39.109375" style="79" bestFit="1" customWidth="1"/>
    <col min="37" max="37" width="9.109375" style="313"/>
    <col min="38" max="38" width="9.44140625" style="80" bestFit="1" customWidth="1"/>
    <col min="39" max="16384" width="9.109375" style="81"/>
  </cols>
  <sheetData>
    <row r="1" spans="1:38">
      <c r="A1" s="48"/>
      <c r="B1" s="84" t="s">
        <v>505</v>
      </c>
      <c r="C1" s="84"/>
      <c r="D1" s="84"/>
      <c r="E1" s="11" t="s">
        <v>1545</v>
      </c>
      <c r="F1" s="11" t="s">
        <v>300</v>
      </c>
      <c r="G1" s="11" t="s">
        <v>512</v>
      </c>
      <c r="H1" s="11"/>
      <c r="I1" s="11" t="s">
        <v>506</v>
      </c>
      <c r="J1" s="11"/>
      <c r="K1" s="11" t="s">
        <v>440</v>
      </c>
      <c r="L1" s="11"/>
      <c r="M1" s="11"/>
      <c r="N1" s="11" t="s">
        <v>508</v>
      </c>
      <c r="O1" s="11" t="s">
        <v>507</v>
      </c>
      <c r="P1" s="12" t="s">
        <v>1535</v>
      </c>
      <c r="Q1" s="12"/>
      <c r="R1" s="12"/>
      <c r="S1" s="12" t="s">
        <v>513</v>
      </c>
      <c r="T1" s="85"/>
      <c r="U1" s="85"/>
      <c r="V1" s="85" t="s">
        <v>2436</v>
      </c>
      <c r="W1" s="85"/>
      <c r="X1" s="289"/>
      <c r="Y1" s="84"/>
      <c r="Z1" s="84"/>
      <c r="AA1" s="84"/>
      <c r="AB1" s="84"/>
      <c r="AC1" s="84"/>
      <c r="AD1" s="85"/>
      <c r="AE1" s="85"/>
      <c r="AF1" s="85"/>
      <c r="AG1" s="316"/>
      <c r="AH1" s="92"/>
      <c r="AI1" s="87"/>
    </row>
    <row r="2" spans="1:38" ht="12.75" customHeight="1">
      <c r="A2" s="48"/>
      <c r="B2" s="84"/>
      <c r="C2" s="84"/>
      <c r="D2" s="84"/>
      <c r="E2" s="13">
        <v>2</v>
      </c>
      <c r="F2" s="14"/>
      <c r="G2" s="15"/>
      <c r="H2" s="14"/>
      <c r="I2" s="13">
        <v>15</v>
      </c>
      <c r="J2" s="14"/>
      <c r="K2" s="15"/>
      <c r="L2" s="13">
        <v>5</v>
      </c>
      <c r="M2" s="14"/>
      <c r="N2" s="15"/>
      <c r="O2" s="15"/>
      <c r="P2" s="12"/>
      <c r="Q2" s="12"/>
      <c r="R2" s="12"/>
      <c r="S2" s="12"/>
      <c r="T2" s="85">
        <v>9</v>
      </c>
      <c r="U2" s="85"/>
      <c r="V2" s="85">
        <v>11</v>
      </c>
      <c r="W2" s="85"/>
      <c r="X2" s="287"/>
      <c r="Y2" s="84"/>
      <c r="Z2" s="84" t="s">
        <v>624</v>
      </c>
      <c r="AA2" s="84"/>
      <c r="AB2" s="84" t="s">
        <v>624</v>
      </c>
      <c r="AC2" s="84"/>
      <c r="AD2" s="85">
        <v>13</v>
      </c>
      <c r="AE2" s="85"/>
      <c r="AF2" s="85"/>
      <c r="AG2" s="315"/>
      <c r="AH2" s="92"/>
      <c r="AI2" s="310"/>
    </row>
    <row r="3" spans="1:38" ht="54.75" customHeight="1">
      <c r="A3" s="86" t="s">
        <v>2540</v>
      </c>
      <c r="B3" s="16" t="s">
        <v>500</v>
      </c>
      <c r="C3" s="579" t="s">
        <v>2192</v>
      </c>
      <c r="D3" s="343"/>
      <c r="E3" s="583" t="s">
        <v>404</v>
      </c>
      <c r="F3" s="584"/>
      <c r="G3" s="583" t="s">
        <v>403</v>
      </c>
      <c r="H3" s="584"/>
      <c r="I3" s="583" t="s">
        <v>402</v>
      </c>
      <c r="J3" s="584"/>
      <c r="K3" s="27" t="s">
        <v>440</v>
      </c>
      <c r="L3" s="583" t="s">
        <v>301</v>
      </c>
      <c r="M3" s="584"/>
      <c r="N3" s="27" t="s">
        <v>1656</v>
      </c>
      <c r="O3" s="27" t="s">
        <v>1657</v>
      </c>
      <c r="P3" s="27" t="s">
        <v>1546</v>
      </c>
      <c r="Q3" s="214" t="s">
        <v>1824</v>
      </c>
      <c r="R3" s="214" t="s">
        <v>1825</v>
      </c>
      <c r="S3" s="27" t="s">
        <v>1658</v>
      </c>
      <c r="T3" s="583" t="s">
        <v>1659</v>
      </c>
      <c r="U3" s="584"/>
      <c r="V3" s="583" t="s">
        <v>1660</v>
      </c>
      <c r="W3" s="584"/>
      <c r="X3" s="590" t="s">
        <v>496</v>
      </c>
      <c r="Y3" s="584"/>
      <c r="Z3" s="585" t="s">
        <v>1635</v>
      </c>
      <c r="AA3" s="586"/>
      <c r="AB3" s="585" t="s">
        <v>498</v>
      </c>
      <c r="AC3" s="586"/>
      <c r="AD3" s="583" t="s">
        <v>1661</v>
      </c>
      <c r="AE3" s="584"/>
      <c r="AF3" s="583" t="s">
        <v>1523</v>
      </c>
      <c r="AG3" s="584"/>
      <c r="AH3" s="92"/>
      <c r="AI3" s="88"/>
      <c r="AJ3" s="327"/>
    </row>
    <row r="4" spans="1:38" ht="15.6">
      <c r="A4" s="89"/>
      <c r="B4" s="17"/>
      <c r="C4" s="580"/>
      <c r="D4" s="342"/>
      <c r="E4" s="581" t="s">
        <v>504</v>
      </c>
      <c r="F4" s="582"/>
      <c r="G4" s="581" t="s">
        <v>439</v>
      </c>
      <c r="H4" s="582"/>
      <c r="I4" s="581" t="s">
        <v>405</v>
      </c>
      <c r="J4" s="582"/>
      <c r="K4" s="26" t="s">
        <v>412</v>
      </c>
      <c r="L4" s="581" t="s">
        <v>485</v>
      </c>
      <c r="M4" s="582"/>
      <c r="N4" s="26" t="s">
        <v>486</v>
      </c>
      <c r="O4" s="26" t="s">
        <v>487</v>
      </c>
      <c r="P4" s="26" t="s">
        <v>1535</v>
      </c>
      <c r="Q4" s="213" t="s">
        <v>1826</v>
      </c>
      <c r="R4" s="213" t="s">
        <v>1827</v>
      </c>
      <c r="S4" s="26" t="s">
        <v>513</v>
      </c>
      <c r="T4" s="581" t="s">
        <v>491</v>
      </c>
      <c r="U4" s="582"/>
      <c r="V4" s="581" t="s">
        <v>492</v>
      </c>
      <c r="W4" s="582"/>
      <c r="X4" s="589" t="s">
        <v>493</v>
      </c>
      <c r="Y4" s="582"/>
      <c r="Z4" s="587" t="s">
        <v>494</v>
      </c>
      <c r="AA4" s="588"/>
      <c r="AB4" s="587" t="s">
        <v>1662</v>
      </c>
      <c r="AC4" s="588"/>
      <c r="AD4" s="581" t="s">
        <v>495</v>
      </c>
      <c r="AE4" s="582"/>
      <c r="AF4" s="581" t="s">
        <v>363</v>
      </c>
      <c r="AG4" s="582"/>
      <c r="AH4" s="92"/>
      <c r="AI4" s="89"/>
      <c r="AJ4" s="328"/>
      <c r="AL4" s="81"/>
    </row>
    <row r="5" spans="1:38" ht="15.6">
      <c r="A5" s="376" t="s">
        <v>365</v>
      </c>
      <c r="B5" s="377" t="s">
        <v>446</v>
      </c>
      <c r="C5" s="580"/>
      <c r="D5" s="342" t="s">
        <v>2209</v>
      </c>
      <c r="E5" s="362" t="s">
        <v>411</v>
      </c>
      <c r="F5" s="378" t="s">
        <v>300</v>
      </c>
      <c r="G5" s="362" t="s">
        <v>410</v>
      </c>
      <c r="H5" s="363" t="s">
        <v>300</v>
      </c>
      <c r="I5" s="362" t="s">
        <v>408</v>
      </c>
      <c r="J5" s="363" t="s">
        <v>300</v>
      </c>
      <c r="K5" s="362"/>
      <c r="L5" s="362" t="s">
        <v>1663</v>
      </c>
      <c r="M5" s="363" t="s">
        <v>300</v>
      </c>
      <c r="N5" s="362" t="s">
        <v>409</v>
      </c>
      <c r="O5" s="362" t="s">
        <v>409</v>
      </c>
      <c r="P5" s="362" t="s">
        <v>409</v>
      </c>
      <c r="Q5" s="362" t="s">
        <v>409</v>
      </c>
      <c r="R5" s="362" t="s">
        <v>409</v>
      </c>
      <c r="S5" s="362" t="s">
        <v>514</v>
      </c>
      <c r="T5" s="362" t="s">
        <v>1664</v>
      </c>
      <c r="U5" s="363" t="s">
        <v>300</v>
      </c>
      <c r="V5" s="362" t="s">
        <v>1664</v>
      </c>
      <c r="W5" s="363" t="s">
        <v>300</v>
      </c>
      <c r="X5" s="366" t="s">
        <v>1665</v>
      </c>
      <c r="Y5" s="365" t="s">
        <v>300</v>
      </c>
      <c r="Z5" s="364" t="s">
        <v>1665</v>
      </c>
      <c r="AA5" s="365" t="s">
        <v>300</v>
      </c>
      <c r="AB5" s="364" t="s">
        <v>484</v>
      </c>
      <c r="AC5" s="365" t="s">
        <v>300</v>
      </c>
      <c r="AD5" s="362" t="s">
        <v>1666</v>
      </c>
      <c r="AE5" s="363" t="s">
        <v>300</v>
      </c>
      <c r="AF5" s="362" t="s">
        <v>364</v>
      </c>
      <c r="AG5" s="306" t="s">
        <v>300</v>
      </c>
      <c r="AH5" s="92"/>
      <c r="AI5" s="90" t="s">
        <v>1787</v>
      </c>
      <c r="AJ5" s="329" t="s">
        <v>1788</v>
      </c>
      <c r="AL5" s="81"/>
    </row>
    <row r="6" spans="1:38" ht="12.75" customHeight="1">
      <c r="A6" s="95" t="s">
        <v>201</v>
      </c>
      <c r="B6" s="96" t="s">
        <v>2325</v>
      </c>
      <c r="C6" s="96" t="str">
        <f>IF((COUNTIF(G6,"&gt;1")+COUNTIF(L6,"&gt;1E-5"))&gt;0,"Yes","No")</f>
        <v>Yes</v>
      </c>
      <c r="D6" s="96" t="str">
        <f>VLOOKUP(A6,'Tox Summary'!$O$3:$R$824,3,FALSE)</f>
        <v>No</v>
      </c>
      <c r="E6" s="97">
        <f>VLOOKUP(A6,'Parameters Summary'!$B$2:$AB$826,4,FALSE)</f>
        <v>154.21</v>
      </c>
      <c r="F6" s="97" t="str">
        <f>VLOOKUP(A6,'Parameters Summary'!$B$2:$AB$826,5,FALSE)</f>
        <v>PHYSPROP</v>
      </c>
      <c r="G6" s="93">
        <f>VLOOKUP(A6,'Parameters Summary'!$B$2:$AB$826,9,FALSE)</f>
        <v>2.15E-3</v>
      </c>
      <c r="H6" s="93" t="str">
        <f>VLOOKUP(A6,'Parameters Summary'!$B$2:$AB$826,10,FALSE)</f>
        <v>PHYSPROP</v>
      </c>
      <c r="I6" s="93">
        <f>VLOOKUP(A6,'Parameters Summary'!$B$2:$AB$826,24,FALSE)</f>
        <v>3.9</v>
      </c>
      <c r="J6" s="97" t="str">
        <f>VLOOKUP(A6,'Parameters Summary'!$B$2:$AB$826,25,FALSE)</f>
        <v>PHYSPROP</v>
      </c>
      <c r="K6" s="97" t="str">
        <f>VLOOKUP(A6,'Tox Summary'!$O$3:$S$827,2,FALSE)</f>
        <v/>
      </c>
      <c r="L6" s="93">
        <f>VLOOKUP(A6,'Parameters Summary'!$B$2:$AB$826,7,FALSE)</f>
        <v>1.84E-4</v>
      </c>
      <c r="M6" s="93" t="str">
        <f>VLOOKUP(A6,'Parameters Summary'!$B$2:$AB$826,8,FALSE)</f>
        <v>PHYSPROP</v>
      </c>
      <c r="N6" s="91">
        <f>VLOOKUP(A6,'Parameters Summary'!$B$2:$AB$826,6,FALSE)</f>
        <v>7.5224999999999997E-3</v>
      </c>
      <c r="O6" s="91">
        <f t="shared" ref="O6:O68" si="0">IF(OR(L6="No Hc25",Z6="No Tcrit",AB6="No DHv,b"),"",N6*EXP((-(AB6*((1-(Tgw+273)/Z6)/(1-X6/Z6))^(IF(X6/Z6&lt;0.57,0.3,IF(X6/Z6&gt;0.71,0.41,0.74*(X6/Z6)-0.116))))/1.9872)*(1/(Tgw+273)-1/298)))</f>
        <v>7.5224999999999997E-3</v>
      </c>
      <c r="P6" s="91">
        <f>IF(O6="",N6,O6)</f>
        <v>7.5224999999999997E-3</v>
      </c>
      <c r="Q6" s="91">
        <f t="shared" ref="Q6:Q68" si="1">IF(OR(L6="No Hc25",Z6="No Tcrit",AB6="No DHv,b"),"",N6*EXP((-(AB6*((1-(Tgw_GW+273)/Z6)/(1-X6/Z6))^(IF(X6/Z6&lt;0.57,0.3,IF(X6/Z6&gt;0.71,0.41,0.74*(X6/Z6)-0.116))))/1.9872)*(1/(Tgw_GW+273)-1/298)))</f>
        <v>7.5224999999999997E-3</v>
      </c>
      <c r="R6" s="91">
        <f>IF(Q6="",P6,Q6)</f>
        <v>7.5224999999999997E-3</v>
      </c>
      <c r="S6" s="91">
        <f>IF(OR(G6="No VP",Z6="No Tcrit",AB6="No DHv,b",L6="No Hc25"),"",G6*E6*53808.7856452378*O6/N6)</f>
        <v>17840.383593857059</v>
      </c>
      <c r="T6" s="93">
        <f>VLOOKUP(A6,'Parameters Summary'!$B$2:$AB$826,15,FALSE)</f>
        <v>5.0614300000000001E-2</v>
      </c>
      <c r="U6" s="93" t="str">
        <f>VLOOKUP(A6,'Parameters Summary'!$B$2:$AB$826,17,FALSE)</f>
        <v>WATER9 (U.S. EPA, 2001)</v>
      </c>
      <c r="V6" s="93">
        <f>VLOOKUP(A6,'Parameters Summary'!$B$2:$AB$826,16,FALSE)</f>
        <v>8.3299999999999999E-6</v>
      </c>
      <c r="W6" s="379" t="str">
        <f>VLOOKUP(A6,'Parameters Summary'!$B$2:$AB$826,17,FALSE)</f>
        <v>WATER9 (U.S. EPA, 2001)</v>
      </c>
      <c r="X6" s="290">
        <v>552</v>
      </c>
      <c r="Y6" s="96" t="s">
        <v>553</v>
      </c>
      <c r="Z6" s="96">
        <v>803.15</v>
      </c>
      <c r="AA6" s="96" t="s">
        <v>2227</v>
      </c>
      <c r="AB6" s="96">
        <v>12155</v>
      </c>
      <c r="AC6" s="96" t="s">
        <v>2227</v>
      </c>
      <c r="AD6" s="93">
        <f>VLOOKUP(A6,'Parameters Summary'!$B$2:$AB$826,20,FALSE)</f>
        <v>5027</v>
      </c>
      <c r="AE6" s="97" t="str">
        <f>VLOOKUP(A6,'Parameters Summary'!$B$2:$AB$826,21,FALSE)</f>
        <v>EPI</v>
      </c>
      <c r="AF6" s="309">
        <v>0.6</v>
      </c>
      <c r="AG6" s="309" t="s">
        <v>522</v>
      </c>
      <c r="AH6" s="92"/>
      <c r="AI6" s="94"/>
      <c r="AJ6" s="330"/>
      <c r="AL6" s="81"/>
    </row>
    <row r="7" spans="1:38" ht="12.75" customHeight="1">
      <c r="A7" s="96" t="s">
        <v>632</v>
      </c>
      <c r="B7" s="96" t="s">
        <v>968</v>
      </c>
      <c r="C7" s="96" t="str">
        <f t="shared" ref="C7:C69" si="2">IF((COUNTIF(G7,"&gt;1")+COUNTIF(L7,"&gt;1E-5"))&gt;0,"Yes","No")</f>
        <v>No</v>
      </c>
      <c r="D7" s="96" t="str">
        <f>VLOOKUP(A7,'Tox Summary'!$O$3:$R$824,3,FALSE)</f>
        <v>No</v>
      </c>
      <c r="E7" s="97">
        <f>VLOOKUP(A7,'Parameters Summary'!$B$2:$AB$826,4,FALSE)</f>
        <v>183.17</v>
      </c>
      <c r="F7" s="97" t="str">
        <f>VLOOKUP(A7,'Parameters Summary'!$B$2:$AB$826,5,FALSE)</f>
        <v>PHYSPROP</v>
      </c>
      <c r="G7" s="93">
        <f>VLOOKUP(A7,'Parameters Summary'!$B$2:$AB$826,9,FALSE)</f>
        <v>1.7E-6</v>
      </c>
      <c r="H7" s="93" t="str">
        <f>VLOOKUP(A7,'Parameters Summary'!$B$2:$AB$826,10,FALSE)</f>
        <v>PHYSPROP</v>
      </c>
      <c r="I7" s="93">
        <f>VLOOKUP(A7,'Parameters Summary'!$B$2:$AB$826,24,FALSE)</f>
        <v>818000</v>
      </c>
      <c r="J7" s="97" t="str">
        <f>VLOOKUP(A7,'Parameters Summary'!$B$2:$AB$826,25,FALSE)</f>
        <v>PHYSPROP</v>
      </c>
      <c r="K7" s="97" t="str">
        <f>VLOOKUP(A7,'Tox Summary'!$O$3:$S$827,2,FALSE)</f>
        <v/>
      </c>
      <c r="L7" s="93">
        <f>VLOOKUP(A7,'Parameters Summary'!$B$2:$AB$826,7,FALSE)</f>
        <v>5.0099999999999999E-13</v>
      </c>
      <c r="M7" s="93" t="str">
        <f>VLOOKUP(A7,'Parameters Summary'!$B$2:$AB$826,8,FALSE)</f>
        <v>EPI</v>
      </c>
      <c r="N7" s="91">
        <f>VLOOKUP(A7,'Parameters Summary'!$B$2:$AB$826,6,FALSE)</f>
        <v>2.048E-11</v>
      </c>
      <c r="O7" s="91" t="str">
        <f t="shared" si="0"/>
        <v/>
      </c>
      <c r="P7" s="91">
        <f t="shared" ref="P7:P69" si="3">IF(O7="",N7,O7)</f>
        <v>2.048E-11</v>
      </c>
      <c r="Q7" s="91" t="str">
        <f t="shared" si="1"/>
        <v/>
      </c>
      <c r="R7" s="91">
        <f t="shared" ref="R7:R69" si="4">IF(Q7="",P7,Q7)</f>
        <v>2.048E-11</v>
      </c>
      <c r="S7" s="91" t="str">
        <f t="shared" ref="S7:S69" si="5">IF(OR(G7="No VP",Z7="No Tcrit",AB7="No DHv,b",L7="No Hc25"),"",G7*E7*53808.7856452378*O7/N7)</f>
        <v/>
      </c>
      <c r="T7" s="93">
        <f>VLOOKUP(A7,'Parameters Summary'!$B$2:$AB$826,15,FALSE)</f>
        <v>3.7348300000000001E-2</v>
      </c>
      <c r="U7" s="93" t="str">
        <f>VLOOKUP(A7,'Parameters Summary'!$B$2:$AB$826,17,FALSE)</f>
        <v>WATER9 (U.S. EPA, 2001)</v>
      </c>
      <c r="V7" s="93">
        <f>VLOOKUP(A7,'Parameters Summary'!$B$2:$AB$826,16,FALSE)</f>
        <v>7.9755000000000001E-6</v>
      </c>
      <c r="W7" s="379" t="str">
        <f>VLOOKUP(A7,'Parameters Summary'!$B$2:$AB$826,17,FALSE)</f>
        <v>WATER9 (U.S. EPA, 2001)</v>
      </c>
      <c r="X7" s="347"/>
      <c r="Y7" s="96"/>
      <c r="Z7" s="96" t="s">
        <v>1653</v>
      </c>
      <c r="AA7" s="96"/>
      <c r="AB7" s="96" t="s">
        <v>1651</v>
      </c>
      <c r="AC7" s="96"/>
      <c r="AD7" s="93">
        <f>VLOOKUP(A7,'Parameters Summary'!$B$2:$AB$826,20,FALSE)</f>
        <v>10</v>
      </c>
      <c r="AE7" s="97" t="str">
        <f>VLOOKUP(A7,'Parameters Summary'!$B$2:$AB$826,21,FALSE)</f>
        <v>EPI</v>
      </c>
      <c r="AF7" s="97"/>
      <c r="AG7" s="94"/>
      <c r="AH7" s="92"/>
      <c r="AI7" s="94"/>
      <c r="AJ7" s="330"/>
      <c r="AL7" s="81"/>
    </row>
    <row r="8" spans="1:38" ht="12.75" customHeight="1">
      <c r="A8" s="95" t="s">
        <v>633</v>
      </c>
      <c r="B8" s="96" t="s">
        <v>1428</v>
      </c>
      <c r="C8" s="96" t="str">
        <f t="shared" si="2"/>
        <v>Yes</v>
      </c>
      <c r="D8" s="96" t="str">
        <f>VLOOKUP(A8,'Tox Summary'!$O$3:$R$824,3,FALSE)</f>
        <v>Yes</v>
      </c>
      <c r="E8" s="97">
        <f>VLOOKUP(A8,'Parameters Summary'!$B$2:$AB$826,4,FALSE)</f>
        <v>44.054000000000002</v>
      </c>
      <c r="F8" s="97" t="str">
        <f>VLOOKUP(A8,'Parameters Summary'!$B$2:$AB$826,5,FALSE)</f>
        <v>PHYSPROP</v>
      </c>
      <c r="G8" s="93">
        <f>VLOOKUP(A8,'Parameters Summary'!$B$2:$AB$826,9,FALSE)</f>
        <v>902</v>
      </c>
      <c r="H8" s="93" t="str">
        <f>VLOOKUP(A8,'Parameters Summary'!$B$2:$AB$826,10,FALSE)</f>
        <v>PHYSPROP</v>
      </c>
      <c r="I8" s="93">
        <f>VLOOKUP(A8,'Parameters Summary'!$B$2:$AB$826,24,FALSE)</f>
        <v>1000000</v>
      </c>
      <c r="J8" s="97" t="str">
        <f>VLOOKUP(A8,'Parameters Summary'!$B$2:$AB$826,25,FALSE)</f>
        <v>PHYSPROP</v>
      </c>
      <c r="K8" s="97" t="str">
        <f>VLOOKUP(A8,'Tox Summary'!$O$3:$S$827,2,FALSE)</f>
        <v/>
      </c>
      <c r="L8" s="93">
        <f>VLOOKUP(A8,'Parameters Summary'!$B$2:$AB$826,7,FALSE)</f>
        <v>6.6699999999999995E-5</v>
      </c>
      <c r="M8" s="93" t="str">
        <f>VLOOKUP(A8,'Parameters Summary'!$B$2:$AB$826,8,FALSE)</f>
        <v>PHYSPROP</v>
      </c>
      <c r="N8" s="91">
        <f>VLOOKUP(A8,'Parameters Summary'!$B$2:$AB$826,6,FALSE)</f>
        <v>2.7269E-3</v>
      </c>
      <c r="O8" s="91">
        <f t="shared" si="0"/>
        <v>2.7269E-3</v>
      </c>
      <c r="P8" s="91">
        <f t="shared" si="3"/>
        <v>2.7269E-3</v>
      </c>
      <c r="Q8" s="91">
        <f t="shared" si="1"/>
        <v>2.7269E-3</v>
      </c>
      <c r="R8" s="91">
        <f t="shared" si="4"/>
        <v>2.7269E-3</v>
      </c>
      <c r="S8" s="91">
        <f t="shared" si="5"/>
        <v>2138184003.0194058</v>
      </c>
      <c r="T8" s="93">
        <f>VLOOKUP(A8,'Parameters Summary'!$B$2:$AB$826,15,FALSE)</f>
        <v>0.1277026</v>
      </c>
      <c r="U8" s="93" t="str">
        <f>VLOOKUP(A8,'Parameters Summary'!$B$2:$AB$826,17,FALSE)</f>
        <v>WATER9 (U.S. EPA, 2001)</v>
      </c>
      <c r="V8" s="93">
        <f>VLOOKUP(A8,'Parameters Summary'!$B$2:$AB$826,16,FALSE)</f>
        <v>1.3499999999999999E-5</v>
      </c>
      <c r="W8" s="379" t="str">
        <f>VLOOKUP(A8,'Parameters Summary'!$B$2:$AB$826,17,FALSE)</f>
        <v>WATER9 (U.S. EPA, 2001)</v>
      </c>
      <c r="X8" s="290">
        <v>293.10000000000002</v>
      </c>
      <c r="Y8" s="96" t="s">
        <v>553</v>
      </c>
      <c r="Z8" s="96">
        <v>466</v>
      </c>
      <c r="AA8" s="96" t="s">
        <v>2221</v>
      </c>
      <c r="AB8" s="96">
        <v>6156.64</v>
      </c>
      <c r="AC8" s="96" t="s">
        <v>2221</v>
      </c>
      <c r="AD8" s="93">
        <f>VLOOKUP(A8,'Parameters Summary'!$B$2:$AB$826,20,FALSE)</f>
        <v>1</v>
      </c>
      <c r="AE8" s="97" t="str">
        <f>VLOOKUP(A8,'Parameters Summary'!$B$2:$AB$826,21,FALSE)</f>
        <v>EPI</v>
      </c>
      <c r="AF8" s="97">
        <v>4</v>
      </c>
      <c r="AG8" s="97" t="s">
        <v>360</v>
      </c>
      <c r="AH8" s="92"/>
      <c r="AI8" s="96"/>
      <c r="AJ8" s="330"/>
      <c r="AL8" s="81"/>
    </row>
    <row r="9" spans="1:38" ht="12.75" customHeight="1">
      <c r="A9" s="96" t="s">
        <v>634</v>
      </c>
      <c r="B9" s="96" t="s">
        <v>970</v>
      </c>
      <c r="C9" s="96" t="str">
        <f t="shared" si="2"/>
        <v>No</v>
      </c>
      <c r="D9" s="96" t="str">
        <f>VLOOKUP(A9,'Tox Summary'!$O$3:$R$824,3,FALSE)</f>
        <v>No</v>
      </c>
      <c r="E9" s="97">
        <f>VLOOKUP(A9,'Parameters Summary'!$B$2:$AB$826,4,FALSE)</f>
        <v>269.77</v>
      </c>
      <c r="F9" s="97" t="str">
        <f>VLOOKUP(A9,'Parameters Summary'!$B$2:$AB$826,5,FALSE)</f>
        <v>PHYSPROP</v>
      </c>
      <c r="G9" s="93">
        <f>VLOOKUP(A9,'Parameters Summary'!$B$2:$AB$826,9,FALSE)</f>
        <v>2.8E-5</v>
      </c>
      <c r="H9" s="93" t="str">
        <f>VLOOKUP(A9,'Parameters Summary'!$B$2:$AB$826,10,FALSE)</f>
        <v>PHYSPROP</v>
      </c>
      <c r="I9" s="93">
        <f>VLOOKUP(A9,'Parameters Summary'!$B$2:$AB$826,24,FALSE)</f>
        <v>223</v>
      </c>
      <c r="J9" s="97" t="str">
        <f>VLOOKUP(A9,'Parameters Summary'!$B$2:$AB$826,25,FALSE)</f>
        <v>PHYSPROP</v>
      </c>
      <c r="K9" s="97" t="str">
        <f>VLOOKUP(A9,'Tox Summary'!$O$3:$S$827,2,FALSE)</f>
        <v/>
      </c>
      <c r="L9" s="93">
        <f>VLOOKUP(A9,'Parameters Summary'!$B$2:$AB$826,7,FALSE)</f>
        <v>2.2300000000000001E-8</v>
      </c>
      <c r="M9" s="93" t="str">
        <f>VLOOKUP(A9,'Parameters Summary'!$B$2:$AB$826,8,FALSE)</f>
        <v>PHYSPROP</v>
      </c>
      <c r="N9" s="91">
        <f>VLOOKUP(A9,'Parameters Summary'!$B$2:$AB$826,6,FALSE)</f>
        <v>9.1169000000000003E-7</v>
      </c>
      <c r="O9" s="91" t="str">
        <f t="shared" si="0"/>
        <v/>
      </c>
      <c r="P9" s="91">
        <f t="shared" si="3"/>
        <v>9.1169000000000003E-7</v>
      </c>
      <c r="Q9" s="91" t="str">
        <f t="shared" si="1"/>
        <v/>
      </c>
      <c r="R9" s="91">
        <f t="shared" si="4"/>
        <v>9.1169000000000003E-7</v>
      </c>
      <c r="S9" s="91" t="str">
        <f t="shared" si="5"/>
        <v/>
      </c>
      <c r="T9" s="93">
        <f>VLOOKUP(A9,'Parameters Summary'!$B$2:$AB$826,15,FALSE)</f>
        <v>2.2390799999999999E-2</v>
      </c>
      <c r="U9" s="93" t="str">
        <f>VLOOKUP(A9,'Parameters Summary'!$B$2:$AB$826,17,FALSE)</f>
        <v>WATER9 (U.S. EPA, 2001)</v>
      </c>
      <c r="V9" s="93">
        <f>VLOOKUP(A9,'Parameters Summary'!$B$2:$AB$826,16,FALSE)</f>
        <v>5.6126000000000003E-6</v>
      </c>
      <c r="W9" s="379" t="str">
        <f>VLOOKUP(A9,'Parameters Summary'!$B$2:$AB$826,17,FALSE)</f>
        <v>WATER9 (U.S. EPA, 2001)</v>
      </c>
      <c r="X9" s="290">
        <v>435.15</v>
      </c>
      <c r="Y9" s="96" t="s">
        <v>553</v>
      </c>
      <c r="Z9" s="96">
        <v>652.72499999999991</v>
      </c>
      <c r="AA9" s="96" t="s">
        <v>2220</v>
      </c>
      <c r="AB9" s="96" t="s">
        <v>1651</v>
      </c>
      <c r="AC9" s="96"/>
      <c r="AD9" s="93">
        <f>VLOOKUP(A9,'Parameters Summary'!$B$2:$AB$826,20,FALSE)</f>
        <v>298.39999999999998</v>
      </c>
      <c r="AE9" s="97" t="str">
        <f>VLOOKUP(A9,'Parameters Summary'!$B$2:$AB$826,21,FALSE)</f>
        <v>EPI</v>
      </c>
      <c r="AF9" s="97"/>
      <c r="AG9" s="94"/>
      <c r="AH9" s="92"/>
      <c r="AI9" s="94"/>
      <c r="AJ9" s="330"/>
      <c r="AL9" s="81"/>
    </row>
    <row r="10" spans="1:38" ht="12.75" customHeight="1">
      <c r="A10" s="95" t="s">
        <v>635</v>
      </c>
      <c r="B10" s="96" t="s">
        <v>424</v>
      </c>
      <c r="C10" s="96" t="str">
        <f t="shared" si="2"/>
        <v>Yes</v>
      </c>
      <c r="D10" s="96" t="str">
        <f>VLOOKUP(A10,'Tox Summary'!$O$3:$R$824,3,FALSE)</f>
        <v>Yes</v>
      </c>
      <c r="E10" s="97">
        <f>VLOOKUP(A10,'Parameters Summary'!$B$2:$AB$826,4,FALSE)</f>
        <v>58.081000000000003</v>
      </c>
      <c r="F10" s="97" t="str">
        <f>VLOOKUP(A10,'Parameters Summary'!$B$2:$AB$826,5,FALSE)</f>
        <v>PHYSPROP</v>
      </c>
      <c r="G10" s="93">
        <f>VLOOKUP(A10,'Parameters Summary'!$B$2:$AB$826,9,FALSE)</f>
        <v>231.5</v>
      </c>
      <c r="H10" s="93" t="str">
        <f>VLOOKUP(A10,'Parameters Summary'!$B$2:$AB$826,10,FALSE)</f>
        <v>PHYSPROP</v>
      </c>
      <c r="I10" s="93">
        <f>VLOOKUP(A10,'Parameters Summary'!$B$2:$AB$826,24,FALSE)</f>
        <v>1000000</v>
      </c>
      <c r="J10" s="97" t="str">
        <f>VLOOKUP(A10,'Parameters Summary'!$B$2:$AB$826,25,FALSE)</f>
        <v>PHYSPROP</v>
      </c>
      <c r="K10" s="97" t="str">
        <f>VLOOKUP(A10,'Tox Summary'!$O$3:$S$827,2,FALSE)</f>
        <v/>
      </c>
      <c r="L10" s="93">
        <f>VLOOKUP(A10,'Parameters Summary'!$B$2:$AB$826,7,FALSE)</f>
        <v>3.4999999999999997E-5</v>
      </c>
      <c r="M10" s="93" t="str">
        <f>VLOOKUP(A10,'Parameters Summary'!$B$2:$AB$826,8,FALSE)</f>
        <v>PHYSPROP</v>
      </c>
      <c r="N10" s="91">
        <f>VLOOKUP(A10,'Parameters Summary'!$B$2:$AB$826,6,FALSE)</f>
        <v>1.4308999999999999E-3</v>
      </c>
      <c r="O10" s="91">
        <f t="shared" si="0"/>
        <v>1.4308999999999999E-3</v>
      </c>
      <c r="P10" s="91">
        <f t="shared" si="3"/>
        <v>1.4308999999999999E-3</v>
      </c>
      <c r="Q10" s="91">
        <f t="shared" si="1"/>
        <v>1.4308999999999999E-3</v>
      </c>
      <c r="R10" s="91">
        <f t="shared" si="4"/>
        <v>1.4308999999999999E-3</v>
      </c>
      <c r="S10" s="91">
        <f t="shared" si="5"/>
        <v>723499560.3026346</v>
      </c>
      <c r="T10" s="93">
        <f>VLOOKUP(A10,'Parameters Summary'!$B$2:$AB$826,15,FALSE)</f>
        <v>0.1059215</v>
      </c>
      <c r="U10" s="93" t="str">
        <f>VLOOKUP(A10,'Parameters Summary'!$B$2:$AB$826,17,FALSE)</f>
        <v>WATER9 (U.S. EPA, 2001)</v>
      </c>
      <c r="V10" s="93">
        <f>VLOOKUP(A10,'Parameters Summary'!$B$2:$AB$826,16,FALSE)</f>
        <v>1.15E-5</v>
      </c>
      <c r="W10" s="379" t="str">
        <f>VLOOKUP(A10,'Parameters Summary'!$B$2:$AB$826,17,FALSE)</f>
        <v>WATER9 (U.S. EPA, 2001)</v>
      </c>
      <c r="X10" s="290">
        <v>328.5</v>
      </c>
      <c r="Y10" s="96" t="s">
        <v>553</v>
      </c>
      <c r="Z10" s="96">
        <v>508.1</v>
      </c>
      <c r="AA10" s="96" t="s">
        <v>2227</v>
      </c>
      <c r="AB10" s="96">
        <v>6955</v>
      </c>
      <c r="AC10" s="96" t="s">
        <v>2227</v>
      </c>
      <c r="AD10" s="93">
        <f>VLOOKUP(A10,'Parameters Summary'!$B$2:$AB$826,20,FALSE)</f>
        <v>2.3639999999999999</v>
      </c>
      <c r="AE10" s="97" t="str">
        <f>VLOOKUP(A10,'Parameters Summary'!$B$2:$AB$826,21,FALSE)</f>
        <v>EPI</v>
      </c>
      <c r="AF10" s="97">
        <v>2.6</v>
      </c>
      <c r="AG10" s="97" t="s">
        <v>360</v>
      </c>
      <c r="AH10" s="92"/>
      <c r="AI10" s="94"/>
      <c r="AJ10" s="330"/>
      <c r="AL10" s="81"/>
    </row>
    <row r="11" spans="1:38" ht="12.6" customHeight="1">
      <c r="A11" s="95" t="s">
        <v>636</v>
      </c>
      <c r="B11" s="96" t="s">
        <v>971</v>
      </c>
      <c r="C11" s="96" t="str">
        <f t="shared" si="2"/>
        <v>No</v>
      </c>
      <c r="D11" s="96" t="str">
        <f>VLOOKUP(A11,'Tox Summary'!$O$3:$R$824,3,FALSE)</f>
        <v>Yes</v>
      </c>
      <c r="E11" s="97">
        <f>VLOOKUP(A11,'Parameters Summary'!$B$2:$AB$826,4,FALSE)</f>
        <v>85.105999999999995</v>
      </c>
      <c r="F11" s="97" t="str">
        <f>VLOOKUP(A11,'Parameters Summary'!$B$2:$AB$826,5,FALSE)</f>
        <v>PHYSPROP</v>
      </c>
      <c r="G11" s="93">
        <f>VLOOKUP(A11,'Parameters Summary'!$B$2:$AB$826,9,FALSE)</f>
        <v>0.34100000000000003</v>
      </c>
      <c r="H11" s="93" t="str">
        <f>VLOOKUP(A11,'Parameters Summary'!$B$2:$AB$826,10,FALSE)</f>
        <v>PHYSPROP</v>
      </c>
      <c r="I11" s="93">
        <f>VLOOKUP(A11,'Parameters Summary'!$B$2:$AB$826,24,FALSE)</f>
        <v>1000000</v>
      </c>
      <c r="J11" s="97" t="str">
        <f>VLOOKUP(A11,'Parameters Summary'!$B$2:$AB$826,25,FALSE)</f>
        <v>PHYSPROP</v>
      </c>
      <c r="K11" s="97" t="str">
        <f>VLOOKUP(A11,'Tox Summary'!$O$3:$S$827,2,FALSE)</f>
        <v/>
      </c>
      <c r="L11" s="93">
        <f>VLOOKUP(A11,'Parameters Summary'!$B$2:$AB$826,7,FALSE)</f>
        <v>1.97E-9</v>
      </c>
      <c r="M11" s="93" t="str">
        <f>VLOOKUP(A11,'Parameters Summary'!$B$2:$AB$826,8,FALSE)</f>
        <v>PHYSPROP</v>
      </c>
      <c r="N11" s="91">
        <f>VLOOKUP(A11,'Parameters Summary'!$B$2:$AB$826,6,FALSE)</f>
        <v>8.0540000000000005E-8</v>
      </c>
      <c r="O11" s="91" t="str">
        <f t="shared" si="0"/>
        <v/>
      </c>
      <c r="P11" s="91">
        <f t="shared" si="3"/>
        <v>8.0540000000000005E-8</v>
      </c>
      <c r="Q11" s="91" t="str">
        <f t="shared" si="1"/>
        <v/>
      </c>
      <c r="R11" s="91">
        <f t="shared" si="4"/>
        <v>8.0540000000000005E-8</v>
      </c>
      <c r="S11" s="91" t="str">
        <f t="shared" si="5"/>
        <v/>
      </c>
      <c r="T11" s="93">
        <f>VLOOKUP(A11,'Parameters Summary'!$B$2:$AB$826,15,FALSE)</f>
        <v>8.59491E-2</v>
      </c>
      <c r="U11" s="93" t="str">
        <f>VLOOKUP(A11,'Parameters Summary'!$B$2:$AB$826,17,FALSE)</f>
        <v>WATER9 (U.S. EPA, 2001)</v>
      </c>
      <c r="V11" s="93">
        <f>VLOOKUP(A11,'Parameters Summary'!$B$2:$AB$826,16,FALSE)</f>
        <v>1.01E-5</v>
      </c>
      <c r="W11" s="379" t="str">
        <f>VLOOKUP(A11,'Parameters Summary'!$B$2:$AB$826,17,FALSE)</f>
        <v>WATER9 (U.S. EPA, 2001)</v>
      </c>
      <c r="X11" s="290">
        <v>444</v>
      </c>
      <c r="Y11" s="96" t="s">
        <v>2217</v>
      </c>
      <c r="Z11" s="96">
        <v>666</v>
      </c>
      <c r="AA11" s="96" t="s">
        <v>2220</v>
      </c>
      <c r="AB11" s="96" t="s">
        <v>1651</v>
      </c>
      <c r="AC11" s="96"/>
      <c r="AD11" s="93">
        <f>VLOOKUP(A11,'Parameters Summary'!$B$2:$AB$826,20,FALSE)</f>
        <v>1</v>
      </c>
      <c r="AE11" s="97" t="str">
        <f>VLOOKUP(A11,'Parameters Summary'!$B$2:$AB$826,21,FALSE)</f>
        <v>EPI</v>
      </c>
      <c r="AF11" s="97"/>
      <c r="AG11" s="97"/>
      <c r="AH11" s="92"/>
      <c r="AI11" s="94"/>
      <c r="AJ11" s="330"/>
      <c r="AL11" s="81"/>
    </row>
    <row r="12" spans="1:38" ht="12.6" customHeight="1">
      <c r="A12" s="95" t="s">
        <v>637</v>
      </c>
      <c r="B12" s="96" t="s">
        <v>1429</v>
      </c>
      <c r="C12" s="96" t="str">
        <f t="shared" si="2"/>
        <v>Yes</v>
      </c>
      <c r="D12" s="96" t="str">
        <f>VLOOKUP(A12,'Tox Summary'!$O$3:$R$824,3,FALSE)</f>
        <v>Yes</v>
      </c>
      <c r="E12" s="97">
        <f>VLOOKUP(A12,'Parameters Summary'!$B$2:$AB$826,4,FALSE)</f>
        <v>41.052999999999997</v>
      </c>
      <c r="F12" s="97" t="str">
        <f>VLOOKUP(A12,'Parameters Summary'!$B$2:$AB$826,5,FALSE)</f>
        <v>PHYSPROP</v>
      </c>
      <c r="G12" s="93">
        <f>VLOOKUP(A12,'Parameters Summary'!$B$2:$AB$826,9,FALSE)</f>
        <v>88.8</v>
      </c>
      <c r="H12" s="93" t="str">
        <f>VLOOKUP(A12,'Parameters Summary'!$B$2:$AB$826,10,FALSE)</f>
        <v>PHYSPROP</v>
      </c>
      <c r="I12" s="93">
        <f>VLOOKUP(A12,'Parameters Summary'!$B$2:$AB$826,24,FALSE)</f>
        <v>1000000</v>
      </c>
      <c r="J12" s="97" t="str">
        <f>VLOOKUP(A12,'Parameters Summary'!$B$2:$AB$826,25,FALSE)</f>
        <v>PHYSPROP</v>
      </c>
      <c r="K12" s="97" t="str">
        <f>VLOOKUP(A12,'Tox Summary'!$O$3:$S$827,2,FALSE)</f>
        <v/>
      </c>
      <c r="L12" s="93">
        <f>VLOOKUP(A12,'Parameters Summary'!$B$2:$AB$826,7,FALSE)</f>
        <v>3.4499999999999998E-5</v>
      </c>
      <c r="M12" s="93" t="str">
        <f>VLOOKUP(A12,'Parameters Summary'!$B$2:$AB$826,8,FALSE)</f>
        <v>PHYSPROP</v>
      </c>
      <c r="N12" s="91">
        <f>VLOOKUP(A12,'Parameters Summary'!$B$2:$AB$826,6,FALSE)</f>
        <v>1.4105000000000001E-3</v>
      </c>
      <c r="O12" s="91">
        <f t="shared" si="0"/>
        <v>1.4105000000000001E-3</v>
      </c>
      <c r="P12" s="91">
        <f t="shared" si="3"/>
        <v>1.4105000000000001E-3</v>
      </c>
      <c r="Q12" s="91">
        <f t="shared" si="1"/>
        <v>1.4105000000000001E-3</v>
      </c>
      <c r="R12" s="91">
        <f t="shared" si="4"/>
        <v>1.4105000000000001E-3</v>
      </c>
      <c r="S12" s="91">
        <f t="shared" si="5"/>
        <v>196160272.44594249</v>
      </c>
      <c r="T12" s="93">
        <f>VLOOKUP(A12,'Parameters Summary'!$B$2:$AB$826,15,FALSE)</f>
        <v>0.1339939</v>
      </c>
      <c r="U12" s="93" t="str">
        <f>VLOOKUP(A12,'Parameters Summary'!$B$2:$AB$826,17,FALSE)</f>
        <v>WATER9 (U.S. EPA, 2001)</v>
      </c>
      <c r="V12" s="93">
        <f>VLOOKUP(A12,'Parameters Summary'!$B$2:$AB$826,16,FALSE)</f>
        <v>1.4100000000000001E-5</v>
      </c>
      <c r="W12" s="379" t="str">
        <f>VLOOKUP(A12,'Parameters Summary'!$B$2:$AB$826,17,FALSE)</f>
        <v>WATER9 (U.S. EPA, 2001)</v>
      </c>
      <c r="X12" s="290">
        <v>332.6</v>
      </c>
      <c r="Y12" s="96" t="s">
        <v>553</v>
      </c>
      <c r="Z12" s="96">
        <v>545.5</v>
      </c>
      <c r="AA12" s="96" t="s">
        <v>2221</v>
      </c>
      <c r="AB12" s="96">
        <v>7110.25</v>
      </c>
      <c r="AC12" s="96" t="s">
        <v>2221</v>
      </c>
      <c r="AD12" s="93">
        <f>VLOOKUP(A12,'Parameters Summary'!$B$2:$AB$826,20,FALSE)</f>
        <v>4.67</v>
      </c>
      <c r="AE12" s="97" t="str">
        <f>VLOOKUP(A12,'Parameters Summary'!$B$2:$AB$826,21,FALSE)</f>
        <v>EPI</v>
      </c>
      <c r="AF12" s="97">
        <v>3</v>
      </c>
      <c r="AG12" s="97" t="s">
        <v>302</v>
      </c>
      <c r="AH12" s="92"/>
      <c r="AI12" s="94"/>
      <c r="AJ12" s="330"/>
      <c r="AL12" s="81"/>
    </row>
    <row r="13" spans="1:38" ht="12.6" customHeight="1">
      <c r="A13" s="95" t="s">
        <v>638</v>
      </c>
      <c r="B13" s="96" t="s">
        <v>1430</v>
      </c>
      <c r="C13" s="96" t="str">
        <f t="shared" si="2"/>
        <v>Yes</v>
      </c>
      <c r="D13" s="96" t="str">
        <f>VLOOKUP(A13,'Tox Summary'!$O$3:$R$824,3,FALSE)</f>
        <v>No</v>
      </c>
      <c r="E13" s="97">
        <f>VLOOKUP(A13,'Parameters Summary'!$B$2:$AB$826,4,FALSE)</f>
        <v>120.15</v>
      </c>
      <c r="F13" s="97" t="str">
        <f>VLOOKUP(A13,'Parameters Summary'!$B$2:$AB$826,5,FALSE)</f>
        <v>PHYSPROP</v>
      </c>
      <c r="G13" s="93">
        <f>VLOOKUP(A13,'Parameters Summary'!$B$2:$AB$826,9,FALSE)</f>
        <v>0.39700000000000002</v>
      </c>
      <c r="H13" s="93" t="str">
        <f>VLOOKUP(A13,'Parameters Summary'!$B$2:$AB$826,10,FALSE)</f>
        <v>PHYSPROP</v>
      </c>
      <c r="I13" s="93">
        <f>VLOOKUP(A13,'Parameters Summary'!$B$2:$AB$826,24,FALSE)</f>
        <v>6130</v>
      </c>
      <c r="J13" s="97" t="str">
        <f>VLOOKUP(A13,'Parameters Summary'!$B$2:$AB$826,25,FALSE)</f>
        <v>PHYSPROP</v>
      </c>
      <c r="K13" s="97" t="str">
        <f>VLOOKUP(A13,'Tox Summary'!$O$3:$S$827,2,FALSE)</f>
        <v/>
      </c>
      <c r="L13" s="93">
        <f>VLOOKUP(A13,'Parameters Summary'!$B$2:$AB$826,7,FALSE)</f>
        <v>1.04E-5</v>
      </c>
      <c r="M13" s="93" t="str">
        <f>VLOOKUP(A13,'Parameters Summary'!$B$2:$AB$826,8,FALSE)</f>
        <v>PHYSPROP</v>
      </c>
      <c r="N13" s="91">
        <f>VLOOKUP(A13,'Parameters Summary'!$B$2:$AB$826,6,FALSE)</f>
        <v>4.2519999999999998E-4</v>
      </c>
      <c r="O13" s="91">
        <f t="shared" si="0"/>
        <v>4.2519999999999998E-4</v>
      </c>
      <c r="P13" s="91">
        <f t="shared" si="3"/>
        <v>4.2519999999999998E-4</v>
      </c>
      <c r="Q13" s="91">
        <f t="shared" si="1"/>
        <v>4.2519999999999998E-4</v>
      </c>
      <c r="R13" s="91">
        <f t="shared" si="4"/>
        <v>4.2519999999999998E-4</v>
      </c>
      <c r="S13" s="91">
        <f t="shared" si="5"/>
        <v>2566654.8613243029</v>
      </c>
      <c r="T13" s="93">
        <f>VLOOKUP(A13,'Parameters Summary'!$B$2:$AB$826,15,FALSE)</f>
        <v>6.5222100000000005E-2</v>
      </c>
      <c r="U13" s="93" t="str">
        <f>VLOOKUP(A13,'Parameters Summary'!$B$2:$AB$826,17,FALSE)</f>
        <v>WATER9 (U.S. EPA, 2001)</v>
      </c>
      <c r="V13" s="93">
        <f>VLOOKUP(A13,'Parameters Summary'!$B$2:$AB$826,16,FALSE)</f>
        <v>8.7229000000000008E-6</v>
      </c>
      <c r="W13" s="379" t="str">
        <f>VLOOKUP(A13,'Parameters Summary'!$B$2:$AB$826,17,FALSE)</f>
        <v>WATER9 (U.S. EPA, 2001)</v>
      </c>
      <c r="X13" s="290">
        <v>475</v>
      </c>
      <c r="Y13" s="96" t="s">
        <v>553</v>
      </c>
      <c r="Z13" s="96">
        <v>709.5</v>
      </c>
      <c r="AA13" s="96" t="s">
        <v>2221</v>
      </c>
      <c r="AB13" s="96">
        <v>11731.5</v>
      </c>
      <c r="AC13" s="96" t="s">
        <v>2215</v>
      </c>
      <c r="AD13" s="93">
        <f>VLOOKUP(A13,'Parameters Summary'!$B$2:$AB$826,20,FALSE)</f>
        <v>51.85</v>
      </c>
      <c r="AE13" s="97" t="str">
        <f>VLOOKUP(A13,'Parameters Summary'!$B$2:$AB$826,21,FALSE)</f>
        <v>EPI</v>
      </c>
      <c r="AF13" s="97">
        <v>1.1000000000000001</v>
      </c>
      <c r="AG13" s="97" t="s">
        <v>522</v>
      </c>
      <c r="AH13" s="92"/>
      <c r="AI13" s="94"/>
      <c r="AJ13" s="330"/>
      <c r="AL13" s="81"/>
    </row>
    <row r="14" spans="1:38" ht="12.6" customHeight="1">
      <c r="A14" s="96" t="s">
        <v>639</v>
      </c>
      <c r="B14" s="96" t="s">
        <v>558</v>
      </c>
      <c r="C14" s="96" t="str">
        <f t="shared" si="2"/>
        <v>No</v>
      </c>
      <c r="D14" s="96" t="str">
        <f>VLOOKUP(A14,'Tox Summary'!$O$3:$R$824,3,FALSE)</f>
        <v>Yes</v>
      </c>
      <c r="E14" s="97">
        <f>VLOOKUP(A14,'Parameters Summary'!$B$2:$AB$826,4,FALSE)</f>
        <v>223.28</v>
      </c>
      <c r="F14" s="97" t="str">
        <f>VLOOKUP(A14,'Parameters Summary'!$B$2:$AB$826,5,FALSE)</f>
        <v>PHYSPROP</v>
      </c>
      <c r="G14" s="93">
        <f>VLOOKUP(A14,'Parameters Summary'!$B$2:$AB$826,9,FALSE)</f>
        <v>9.4399999999999998E-8</v>
      </c>
      <c r="H14" s="93" t="str">
        <f>VLOOKUP(A14,'Parameters Summary'!$B$2:$AB$826,10,FALSE)</f>
        <v>PHYSPROP</v>
      </c>
      <c r="I14" s="93">
        <f>VLOOKUP(A14,'Parameters Summary'!$B$2:$AB$826,24,FALSE)</f>
        <v>5.5339999999999998</v>
      </c>
      <c r="J14" s="97" t="str">
        <f>VLOOKUP(A14,'Parameters Summary'!$B$2:$AB$826,25,FALSE)</f>
        <v>PHYSPROP</v>
      </c>
      <c r="K14" s="97" t="str">
        <f>VLOOKUP(A14,'Tox Summary'!$O$3:$S$827,2,FALSE)</f>
        <v/>
      </c>
      <c r="L14" s="93">
        <f>VLOOKUP(A14,'Parameters Summary'!$B$2:$AB$826,7,FALSE)</f>
        <v>1.9200000000000001E-10</v>
      </c>
      <c r="M14" s="93" t="str">
        <f>VLOOKUP(A14,'Parameters Summary'!$B$2:$AB$826,8,FALSE)</f>
        <v>PHYSPROP</v>
      </c>
      <c r="N14" s="91">
        <f>VLOOKUP(A14,'Parameters Summary'!$B$2:$AB$826,6,FALSE)</f>
        <v>7.8496000000000007E-9</v>
      </c>
      <c r="O14" s="91" t="str">
        <f t="shared" si="0"/>
        <v/>
      </c>
      <c r="P14" s="91">
        <f t="shared" si="3"/>
        <v>7.8496000000000007E-9</v>
      </c>
      <c r="Q14" s="91" t="str">
        <f t="shared" si="1"/>
        <v/>
      </c>
      <c r="R14" s="91">
        <f t="shared" si="4"/>
        <v>7.8496000000000007E-9</v>
      </c>
      <c r="S14" s="91" t="str">
        <f t="shared" si="5"/>
        <v/>
      </c>
      <c r="T14" s="93">
        <f>VLOOKUP(A14,'Parameters Summary'!$B$2:$AB$826,15,FALSE)</f>
        <v>5.1624200000000002E-2</v>
      </c>
      <c r="U14" s="93" t="str">
        <f>VLOOKUP(A14,'Parameters Summary'!$B$2:$AB$826,17,FALSE)</f>
        <v>WATER9 (U.S. EPA, 2001)</v>
      </c>
      <c r="V14" s="93">
        <f>VLOOKUP(A14,'Parameters Summary'!$B$2:$AB$826,16,FALSE)</f>
        <v>6.0318999999999998E-6</v>
      </c>
      <c r="W14" s="379" t="str">
        <f>VLOOKUP(A14,'Parameters Summary'!$B$2:$AB$826,17,FALSE)</f>
        <v>WATER9 (U.S. EPA, 2001)</v>
      </c>
      <c r="X14" s="290">
        <v>576.15</v>
      </c>
      <c r="Y14" s="96" t="s">
        <v>553</v>
      </c>
      <c r="Z14" s="96">
        <v>864.22499999999991</v>
      </c>
      <c r="AA14" s="96" t="s">
        <v>2220</v>
      </c>
      <c r="AB14" s="96" t="s">
        <v>1651</v>
      </c>
      <c r="AC14" s="96"/>
      <c r="AD14" s="93">
        <f>VLOOKUP(A14,'Parameters Summary'!$B$2:$AB$826,20,FALSE)</f>
        <v>2206</v>
      </c>
      <c r="AE14" s="97" t="str">
        <f>VLOOKUP(A14,'Parameters Summary'!$B$2:$AB$826,21,FALSE)</f>
        <v>EPI</v>
      </c>
      <c r="AF14" s="97"/>
      <c r="AG14" s="94"/>
      <c r="AH14" s="92"/>
      <c r="AI14" s="94"/>
      <c r="AJ14" s="330"/>
      <c r="AL14" s="81"/>
    </row>
    <row r="15" spans="1:38" ht="12.6" customHeight="1">
      <c r="A15" s="95" t="s">
        <v>640</v>
      </c>
      <c r="B15" s="96" t="s">
        <v>1431</v>
      </c>
      <c r="C15" s="96" t="str">
        <f t="shared" si="2"/>
        <v>Yes</v>
      </c>
      <c r="D15" s="96" t="str">
        <f>VLOOKUP(A15,'Tox Summary'!$O$3:$R$824,3,FALSE)</f>
        <v>Yes</v>
      </c>
      <c r="E15" s="97">
        <f>VLOOKUP(A15,'Parameters Summary'!$B$2:$AB$826,4,FALSE)</f>
        <v>56.064999999999998</v>
      </c>
      <c r="F15" s="97" t="str">
        <f>VLOOKUP(A15,'Parameters Summary'!$B$2:$AB$826,5,FALSE)</f>
        <v>PHYSPROP</v>
      </c>
      <c r="G15" s="93">
        <f>VLOOKUP(A15,'Parameters Summary'!$B$2:$AB$826,9,FALSE)</f>
        <v>274.10000000000002</v>
      </c>
      <c r="H15" s="93" t="str">
        <f>VLOOKUP(A15,'Parameters Summary'!$B$2:$AB$826,10,FALSE)</f>
        <v>PHYSPROP</v>
      </c>
      <c r="I15" s="93">
        <f>VLOOKUP(A15,'Parameters Summary'!$B$2:$AB$826,24,FALSE)</f>
        <v>212000</v>
      </c>
      <c r="J15" s="97" t="str">
        <f>VLOOKUP(A15,'Parameters Summary'!$B$2:$AB$826,25,FALSE)</f>
        <v>PHYSPROP</v>
      </c>
      <c r="K15" s="97" t="str">
        <f>VLOOKUP(A15,'Tox Summary'!$O$3:$S$827,2,FALSE)</f>
        <v/>
      </c>
      <c r="L15" s="93">
        <f>VLOOKUP(A15,'Parameters Summary'!$B$2:$AB$826,7,FALSE)</f>
        <v>1.22E-4</v>
      </c>
      <c r="M15" s="93" t="str">
        <f>VLOOKUP(A15,'Parameters Summary'!$B$2:$AB$826,8,FALSE)</f>
        <v>PHYSPROP</v>
      </c>
      <c r="N15" s="91">
        <f>VLOOKUP(A15,'Parameters Summary'!$B$2:$AB$826,6,FALSE)</f>
        <v>4.9877000000000003E-3</v>
      </c>
      <c r="O15" s="91">
        <f t="shared" si="0"/>
        <v>4.9877000000000003E-3</v>
      </c>
      <c r="P15" s="91">
        <f t="shared" si="3"/>
        <v>4.9877000000000003E-3</v>
      </c>
      <c r="Q15" s="91">
        <f t="shared" si="1"/>
        <v>4.9877000000000003E-3</v>
      </c>
      <c r="R15" s="91">
        <f t="shared" si="4"/>
        <v>4.9877000000000003E-3</v>
      </c>
      <c r="S15" s="91">
        <f t="shared" si="5"/>
        <v>826902020.36959052</v>
      </c>
      <c r="T15" s="93">
        <f>VLOOKUP(A15,'Parameters Summary'!$B$2:$AB$826,15,FALSE)</f>
        <v>0.1116862</v>
      </c>
      <c r="U15" s="93" t="str">
        <f>VLOOKUP(A15,'Parameters Summary'!$B$2:$AB$826,17,FALSE)</f>
        <v>WATER9 (U.S. EPA, 2001)</v>
      </c>
      <c r="V15" s="93">
        <f>VLOOKUP(A15,'Parameters Summary'!$B$2:$AB$826,16,FALSE)</f>
        <v>1.22E-5</v>
      </c>
      <c r="W15" s="379" t="str">
        <f>VLOOKUP(A15,'Parameters Summary'!$B$2:$AB$826,17,FALSE)</f>
        <v>WATER9 (U.S. EPA, 2001)</v>
      </c>
      <c r="X15" s="290">
        <v>325.60000000000002</v>
      </c>
      <c r="Y15" s="96" t="s">
        <v>553</v>
      </c>
      <c r="Z15" s="96">
        <v>506</v>
      </c>
      <c r="AA15" s="96" t="s">
        <v>2225</v>
      </c>
      <c r="AB15" s="96">
        <v>6730.7658000000001</v>
      </c>
      <c r="AC15" s="96" t="s">
        <v>2215</v>
      </c>
      <c r="AD15" s="93">
        <f>VLOOKUP(A15,'Parameters Summary'!$B$2:$AB$826,20,FALSE)</f>
        <v>1</v>
      </c>
      <c r="AE15" s="97" t="str">
        <f>VLOOKUP(A15,'Parameters Summary'!$B$2:$AB$826,21,FALSE)</f>
        <v>EPI</v>
      </c>
      <c r="AF15" s="97">
        <v>2.8</v>
      </c>
      <c r="AG15" s="97" t="s">
        <v>302</v>
      </c>
      <c r="AH15" s="92"/>
      <c r="AI15" s="96"/>
      <c r="AJ15" s="330"/>
      <c r="AL15" s="81"/>
    </row>
    <row r="16" spans="1:38" ht="12.75" customHeight="1">
      <c r="A16" s="96" t="s">
        <v>641</v>
      </c>
      <c r="B16" s="96" t="s">
        <v>1397</v>
      </c>
      <c r="C16" s="96" t="str">
        <f t="shared" si="2"/>
        <v>No</v>
      </c>
      <c r="D16" s="96" t="str">
        <f>VLOOKUP(A16,'Tox Summary'!$O$3:$R$824,3,FALSE)</f>
        <v>Yes</v>
      </c>
      <c r="E16" s="97">
        <f>VLOOKUP(A16,'Parameters Summary'!$B$2:$AB$826,4,FALSE)</f>
        <v>71.078999999999994</v>
      </c>
      <c r="F16" s="97" t="str">
        <f>VLOOKUP(A16,'Parameters Summary'!$B$2:$AB$826,5,FALSE)</f>
        <v>PHYSPROP</v>
      </c>
      <c r="G16" s="93">
        <f>VLOOKUP(A16,'Parameters Summary'!$B$2:$AB$826,9,FALSE)</f>
        <v>7.0000000000000001E-3</v>
      </c>
      <c r="H16" s="93" t="str">
        <f>VLOOKUP(A16,'Parameters Summary'!$B$2:$AB$826,10,FALSE)</f>
        <v>PHYSPROP</v>
      </c>
      <c r="I16" s="93">
        <f>VLOOKUP(A16,'Parameters Summary'!$B$2:$AB$826,24,FALSE)</f>
        <v>390000</v>
      </c>
      <c r="J16" s="97" t="str">
        <f>VLOOKUP(A16,'Parameters Summary'!$B$2:$AB$826,25,FALSE)</f>
        <v>PHYSPROP</v>
      </c>
      <c r="K16" s="97" t="str">
        <f>VLOOKUP(A16,'Tox Summary'!$O$3:$S$827,2,FALSE)</f>
        <v/>
      </c>
      <c r="L16" s="93">
        <f>VLOOKUP(A16,'Parameters Summary'!$B$2:$AB$826,7,FALSE)</f>
        <v>1.6999999999999999E-9</v>
      </c>
      <c r="M16" s="93" t="str">
        <f>VLOOKUP(A16,'Parameters Summary'!$B$2:$AB$826,8,FALSE)</f>
        <v>EPI</v>
      </c>
      <c r="N16" s="91">
        <f>VLOOKUP(A16,'Parameters Summary'!$B$2:$AB$826,6,FALSE)</f>
        <v>6.9500999999999995E-8</v>
      </c>
      <c r="O16" s="91" t="str">
        <f t="shared" si="0"/>
        <v/>
      </c>
      <c r="P16" s="91">
        <f t="shared" si="3"/>
        <v>6.9500999999999995E-8</v>
      </c>
      <c r="Q16" s="91" t="str">
        <f t="shared" si="1"/>
        <v/>
      </c>
      <c r="R16" s="91">
        <f t="shared" si="4"/>
        <v>6.9500999999999995E-8</v>
      </c>
      <c r="S16" s="91" t="str">
        <f t="shared" si="5"/>
        <v/>
      </c>
      <c r="T16" s="93">
        <f>VLOOKUP(A16,'Parameters Summary'!$B$2:$AB$826,15,FALSE)</f>
        <v>0.1104004</v>
      </c>
      <c r="U16" s="93" t="str">
        <f>VLOOKUP(A16,'Parameters Summary'!$B$2:$AB$826,17,FALSE)</f>
        <v>WATER9 (U.S. EPA, 2001)</v>
      </c>
      <c r="V16" s="93">
        <f>VLOOKUP(A16,'Parameters Summary'!$B$2:$AB$826,16,FALSE)</f>
        <v>1.33E-5</v>
      </c>
      <c r="W16" s="379" t="str">
        <f>VLOOKUP(A16,'Parameters Summary'!$B$2:$AB$826,17,FALSE)</f>
        <v>WATER9 (U.S. EPA, 2001)</v>
      </c>
      <c r="X16" s="290">
        <v>469.34999999999997</v>
      </c>
      <c r="Y16" s="96" t="s">
        <v>553</v>
      </c>
      <c r="Z16" s="96">
        <v>704.02499999999998</v>
      </c>
      <c r="AA16" s="96" t="s">
        <v>2220</v>
      </c>
      <c r="AB16" s="96" t="s">
        <v>1651</v>
      </c>
      <c r="AC16" s="96"/>
      <c r="AD16" s="93">
        <f>VLOOKUP(A16,'Parameters Summary'!$B$2:$AB$826,20,FALSE)</f>
        <v>5.694</v>
      </c>
      <c r="AE16" s="97" t="str">
        <f>VLOOKUP(A16,'Parameters Summary'!$B$2:$AB$826,21,FALSE)</f>
        <v>EPI</v>
      </c>
      <c r="AF16" s="97"/>
      <c r="AG16" s="94"/>
      <c r="AH16" s="92"/>
      <c r="AI16" s="94"/>
      <c r="AJ16" s="330"/>
      <c r="AL16" s="81"/>
    </row>
    <row r="17" spans="1:38" ht="12.75" customHeight="1">
      <c r="A17" s="95" t="s">
        <v>642</v>
      </c>
      <c r="B17" s="96" t="s">
        <v>972</v>
      </c>
      <c r="C17" s="96" t="str">
        <f t="shared" si="2"/>
        <v>Yes</v>
      </c>
      <c r="D17" s="96" t="str">
        <f>VLOOKUP(A17,'Tox Summary'!$O$3:$R$824,3,FALSE)</f>
        <v>Yes</v>
      </c>
      <c r="E17" s="97">
        <f>VLOOKUP(A17,'Parameters Summary'!$B$2:$AB$826,4,FALSE)</f>
        <v>72.063999999999993</v>
      </c>
      <c r="F17" s="97" t="str">
        <f>VLOOKUP(A17,'Parameters Summary'!$B$2:$AB$826,5,FALSE)</f>
        <v>PHYSPROP</v>
      </c>
      <c r="G17" s="93">
        <f>VLOOKUP(A17,'Parameters Summary'!$B$2:$AB$826,9,FALSE)</f>
        <v>3.97</v>
      </c>
      <c r="H17" s="93" t="str">
        <f>VLOOKUP(A17,'Parameters Summary'!$B$2:$AB$826,10,FALSE)</f>
        <v>PHYSPROP</v>
      </c>
      <c r="I17" s="93">
        <f>VLOOKUP(A17,'Parameters Summary'!$B$2:$AB$826,24,FALSE)</f>
        <v>1000000</v>
      </c>
      <c r="J17" s="97" t="str">
        <f>VLOOKUP(A17,'Parameters Summary'!$B$2:$AB$826,25,FALSE)</f>
        <v>PHYSPROP</v>
      </c>
      <c r="K17" s="97" t="str">
        <f>VLOOKUP(A17,'Tox Summary'!$O$3:$S$827,2,FALSE)</f>
        <v/>
      </c>
      <c r="L17" s="93">
        <f>VLOOKUP(A17,'Parameters Summary'!$B$2:$AB$826,7,FALSE)</f>
        <v>3.7E-7</v>
      </c>
      <c r="M17" s="93" t="str">
        <f>VLOOKUP(A17,'Parameters Summary'!$B$2:$AB$826,8,FALSE)</f>
        <v>EPI</v>
      </c>
      <c r="N17" s="91">
        <f>VLOOKUP(A17,'Parameters Summary'!$B$2:$AB$826,6,FALSE)</f>
        <v>1.5099999999999999E-5</v>
      </c>
      <c r="O17" s="91">
        <f t="shared" si="0"/>
        <v>1.5099999999999999E-5</v>
      </c>
      <c r="P17" s="91">
        <f t="shared" si="3"/>
        <v>1.5099999999999999E-5</v>
      </c>
      <c r="Q17" s="91">
        <f t="shared" si="1"/>
        <v>1.5099999999999999E-5</v>
      </c>
      <c r="R17" s="91">
        <f t="shared" si="4"/>
        <v>1.5099999999999999E-5</v>
      </c>
      <c r="S17" s="91">
        <f t="shared" si="5"/>
        <v>15394375.025091512</v>
      </c>
      <c r="T17" s="93">
        <f>VLOOKUP(A17,'Parameters Summary'!$B$2:$AB$826,15,FALSE)</f>
        <v>0.1027173</v>
      </c>
      <c r="U17" s="93" t="str">
        <f>VLOOKUP(A17,'Parameters Summary'!$B$2:$AB$826,17,FALSE)</f>
        <v>WATER9 (U.S. EPA, 2001)</v>
      </c>
      <c r="V17" s="93">
        <f>VLOOKUP(A17,'Parameters Summary'!$B$2:$AB$826,16,FALSE)</f>
        <v>1.2E-5</v>
      </c>
      <c r="W17" s="379" t="str">
        <f>VLOOKUP(A17,'Parameters Summary'!$B$2:$AB$826,17,FALSE)</f>
        <v>WATER9 (U.S. EPA, 2001)</v>
      </c>
      <c r="X17" s="290">
        <v>414.34999999999997</v>
      </c>
      <c r="Y17" s="96" t="s">
        <v>553</v>
      </c>
      <c r="Z17" s="96">
        <v>615.15</v>
      </c>
      <c r="AA17" s="96" t="s">
        <v>2218</v>
      </c>
      <c r="AB17" s="96">
        <v>10955.1</v>
      </c>
      <c r="AC17" s="96" t="s">
        <v>2218</v>
      </c>
      <c r="AD17" s="93">
        <f>VLOOKUP(A17,'Parameters Summary'!$B$2:$AB$826,20,FALSE)</f>
        <v>1.44</v>
      </c>
      <c r="AE17" s="97" t="str">
        <f>VLOOKUP(A17,'Parameters Summary'!$B$2:$AB$826,21,FALSE)</f>
        <v>EPI</v>
      </c>
      <c r="AF17" s="380">
        <v>2.4</v>
      </c>
      <c r="AG17" s="97" t="s">
        <v>302</v>
      </c>
      <c r="AH17" s="92"/>
      <c r="AI17" s="96"/>
      <c r="AJ17" s="330"/>
      <c r="AL17" s="81"/>
    </row>
    <row r="18" spans="1:38" ht="12.75" customHeight="1">
      <c r="A18" s="95" t="s">
        <v>643</v>
      </c>
      <c r="B18" s="96" t="s">
        <v>1432</v>
      </c>
      <c r="C18" s="96" t="str">
        <f t="shared" si="2"/>
        <v>Yes</v>
      </c>
      <c r="D18" s="96" t="str">
        <f>VLOOKUP(A18,'Tox Summary'!$O$3:$R$824,3,FALSE)</f>
        <v>Yes</v>
      </c>
      <c r="E18" s="97">
        <f>VLOOKUP(A18,'Parameters Summary'!$B$2:$AB$826,4,FALSE)</f>
        <v>53.064</v>
      </c>
      <c r="F18" s="97" t="str">
        <f>VLOOKUP(A18,'Parameters Summary'!$B$2:$AB$826,5,FALSE)</f>
        <v>PHYSPROP</v>
      </c>
      <c r="G18" s="93">
        <f>VLOOKUP(A18,'Parameters Summary'!$B$2:$AB$826,9,FALSE)</f>
        <v>108.5</v>
      </c>
      <c r="H18" s="93" t="str">
        <f>VLOOKUP(A18,'Parameters Summary'!$B$2:$AB$826,10,FALSE)</f>
        <v>PHYSPROP</v>
      </c>
      <c r="I18" s="93">
        <f>VLOOKUP(A18,'Parameters Summary'!$B$2:$AB$826,24,FALSE)</f>
        <v>74500</v>
      </c>
      <c r="J18" s="97" t="str">
        <f>VLOOKUP(A18,'Parameters Summary'!$B$2:$AB$826,25,FALSE)</f>
        <v>PHYSPROP</v>
      </c>
      <c r="K18" s="97" t="str">
        <f>VLOOKUP(A18,'Tox Summary'!$O$3:$S$827,2,FALSE)</f>
        <v/>
      </c>
      <c r="L18" s="93">
        <f>VLOOKUP(A18,'Parameters Summary'!$B$2:$AB$826,7,FALSE)</f>
        <v>1.3799999999999999E-4</v>
      </c>
      <c r="M18" s="93" t="str">
        <f>VLOOKUP(A18,'Parameters Summary'!$B$2:$AB$826,8,FALSE)</f>
        <v>PHYSPROP</v>
      </c>
      <c r="N18" s="91">
        <f>VLOOKUP(A18,'Parameters Summary'!$B$2:$AB$826,6,FALSE)</f>
        <v>5.6419E-3</v>
      </c>
      <c r="O18" s="91">
        <f t="shared" si="0"/>
        <v>5.6419E-3</v>
      </c>
      <c r="P18" s="91">
        <f t="shared" si="3"/>
        <v>5.6419E-3</v>
      </c>
      <c r="Q18" s="91">
        <f t="shared" si="1"/>
        <v>5.6419E-3</v>
      </c>
      <c r="R18" s="91">
        <f t="shared" si="4"/>
        <v>5.6419E-3</v>
      </c>
      <c r="S18" s="91">
        <f t="shared" si="5"/>
        <v>309801070.06046051</v>
      </c>
      <c r="T18" s="93">
        <f>VLOOKUP(A18,'Parameters Summary'!$B$2:$AB$826,15,FALSE)</f>
        <v>0.1136836</v>
      </c>
      <c r="U18" s="93" t="str">
        <f>VLOOKUP(A18,'Parameters Summary'!$B$2:$AB$826,17,FALSE)</f>
        <v>WATER9 (U.S. EPA, 2001)</v>
      </c>
      <c r="V18" s="93">
        <f>VLOOKUP(A18,'Parameters Summary'!$B$2:$AB$826,16,FALSE)</f>
        <v>1.2300000000000001E-5</v>
      </c>
      <c r="W18" s="379" t="str">
        <f>VLOOKUP(A18,'Parameters Summary'!$B$2:$AB$826,17,FALSE)</f>
        <v>WATER9 (U.S. EPA, 2001)</v>
      </c>
      <c r="X18" s="290">
        <v>350.3</v>
      </c>
      <c r="Y18" s="96" t="s">
        <v>553</v>
      </c>
      <c r="Z18" s="96">
        <v>519</v>
      </c>
      <c r="AA18" s="96" t="s">
        <v>2215</v>
      </c>
      <c r="AB18" s="96">
        <v>7786</v>
      </c>
      <c r="AC18" s="96" t="s">
        <v>2225</v>
      </c>
      <c r="AD18" s="93">
        <f>VLOOKUP(A18,'Parameters Summary'!$B$2:$AB$826,20,FALSE)</f>
        <v>8.5109999999999992</v>
      </c>
      <c r="AE18" s="97" t="str">
        <f>VLOOKUP(A18,'Parameters Summary'!$B$2:$AB$826,21,FALSE)</f>
        <v>EPI</v>
      </c>
      <c r="AF18" s="97">
        <v>3</v>
      </c>
      <c r="AG18" s="97" t="s">
        <v>302</v>
      </c>
      <c r="AH18" s="92"/>
      <c r="AI18" s="94"/>
      <c r="AJ18" s="330"/>
      <c r="AL18" s="81"/>
    </row>
    <row r="19" spans="1:38" ht="12.75" customHeight="1">
      <c r="A19" s="96" t="s">
        <v>644</v>
      </c>
      <c r="B19" s="96" t="s">
        <v>973</v>
      </c>
      <c r="C19" s="96" t="str">
        <f t="shared" si="2"/>
        <v>No</v>
      </c>
      <c r="D19" s="96" t="str">
        <f>VLOOKUP(A19,'Tox Summary'!$O$3:$R$824,3,FALSE)</f>
        <v>Yes</v>
      </c>
      <c r="E19" s="97">
        <f>VLOOKUP(A19,'Parameters Summary'!$B$2:$AB$826,4,FALSE)</f>
        <v>108.14</v>
      </c>
      <c r="F19" s="97" t="str">
        <f>VLOOKUP(A19,'Parameters Summary'!$B$2:$AB$826,5,FALSE)</f>
        <v>PHYSPROP</v>
      </c>
      <c r="G19" s="93">
        <f>VLOOKUP(A19,'Parameters Summary'!$B$2:$AB$826,9,FALSE)</f>
        <v>6.7900000000000002E-4</v>
      </c>
      <c r="H19" s="93" t="str">
        <f>VLOOKUP(A19,'Parameters Summary'!$B$2:$AB$826,10,FALSE)</f>
        <v>PHYSPROP</v>
      </c>
      <c r="I19" s="93">
        <f>VLOOKUP(A19,'Parameters Summary'!$B$2:$AB$826,24,FALSE)</f>
        <v>80000</v>
      </c>
      <c r="J19" s="97" t="str">
        <f>VLOOKUP(A19,'Parameters Summary'!$B$2:$AB$826,25,FALSE)</f>
        <v>PHYSPROP</v>
      </c>
      <c r="K19" s="97" t="str">
        <f>VLOOKUP(A19,'Tox Summary'!$O$3:$S$827,2,FALSE)</f>
        <v/>
      </c>
      <c r="L19" s="93">
        <f>VLOOKUP(A19,'Parameters Summary'!$B$2:$AB$826,7,FALSE)</f>
        <v>1.21E-9</v>
      </c>
      <c r="M19" s="93" t="str">
        <f>VLOOKUP(A19,'Parameters Summary'!$B$2:$AB$826,8,FALSE)</f>
        <v>EPI</v>
      </c>
      <c r="N19" s="91">
        <f>VLOOKUP(A19,'Parameters Summary'!$B$2:$AB$826,6,FALSE)</f>
        <v>4.9468999999999998E-8</v>
      </c>
      <c r="O19" s="91" t="str">
        <f t="shared" si="0"/>
        <v/>
      </c>
      <c r="P19" s="91">
        <f t="shared" si="3"/>
        <v>4.9468999999999998E-8</v>
      </c>
      <c r="Q19" s="91" t="str">
        <f t="shared" si="1"/>
        <v/>
      </c>
      <c r="R19" s="91">
        <f t="shared" si="4"/>
        <v>4.9468999999999998E-8</v>
      </c>
      <c r="S19" s="91" t="str">
        <f t="shared" si="5"/>
        <v/>
      </c>
      <c r="T19" s="93">
        <f>VLOOKUP(A19,'Parameters Summary'!$B$2:$AB$826,15,FALSE)</f>
        <v>7.0777499999999993E-2</v>
      </c>
      <c r="U19" s="93" t="str">
        <f>VLOOKUP(A19,'Parameters Summary'!$B$2:$AB$826,17,FALSE)</f>
        <v>WATER9 (U.S. EPA, 2001)</v>
      </c>
      <c r="V19" s="93">
        <f>VLOOKUP(A19,'Parameters Summary'!$B$2:$AB$826,16,FALSE)</f>
        <v>8.9598000000000002E-6</v>
      </c>
      <c r="W19" s="379" t="str">
        <f>VLOOKUP(A19,'Parameters Summary'!$B$2:$AB$826,17,FALSE)</f>
        <v>WATER9 (U.S. EPA, 2001)</v>
      </c>
      <c r="X19" s="290">
        <v>568.15</v>
      </c>
      <c r="Y19" s="96" t="s">
        <v>553</v>
      </c>
      <c r="Z19" s="96">
        <v>852.22499999999991</v>
      </c>
      <c r="AA19" s="96" t="s">
        <v>2220</v>
      </c>
      <c r="AB19" s="96" t="s">
        <v>1651</v>
      </c>
      <c r="AC19" s="96"/>
      <c r="AD19" s="93">
        <f>VLOOKUP(A19,'Parameters Summary'!$B$2:$AB$826,20,FALSE)</f>
        <v>20.18</v>
      </c>
      <c r="AE19" s="97" t="str">
        <f>VLOOKUP(A19,'Parameters Summary'!$B$2:$AB$826,21,FALSE)</f>
        <v>EPI</v>
      </c>
      <c r="AF19" s="97"/>
      <c r="AG19" s="94"/>
      <c r="AH19" s="92"/>
      <c r="AI19" s="96"/>
      <c r="AJ19" s="330"/>
      <c r="AL19" s="81"/>
    </row>
    <row r="20" spans="1:38" ht="12.75" customHeight="1">
      <c r="A20" s="96" t="s">
        <v>645</v>
      </c>
      <c r="B20" s="96" t="s">
        <v>974</v>
      </c>
      <c r="C20" s="96" t="str">
        <f t="shared" si="2"/>
        <v>No</v>
      </c>
      <c r="D20" s="96" t="str">
        <f>VLOOKUP(A20,'Tox Summary'!$O$3:$R$824,3,FALSE)</f>
        <v>No</v>
      </c>
      <c r="E20" s="97">
        <f>VLOOKUP(A20,'Parameters Summary'!$B$2:$AB$826,4,FALSE)</f>
        <v>269.77</v>
      </c>
      <c r="F20" s="97" t="str">
        <f>VLOOKUP(A20,'Parameters Summary'!$B$2:$AB$826,5,FALSE)</f>
        <v>PHYSPROP</v>
      </c>
      <c r="G20" s="93">
        <f>VLOOKUP(A20,'Parameters Summary'!$B$2:$AB$826,9,FALSE)</f>
        <v>2.1999999999999999E-5</v>
      </c>
      <c r="H20" s="93" t="str">
        <f>VLOOKUP(A20,'Parameters Summary'!$B$2:$AB$826,10,FALSE)</f>
        <v>PHYSPROP</v>
      </c>
      <c r="I20" s="93">
        <f>VLOOKUP(A20,'Parameters Summary'!$B$2:$AB$826,24,FALSE)</f>
        <v>240</v>
      </c>
      <c r="J20" s="97" t="str">
        <f>VLOOKUP(A20,'Parameters Summary'!$B$2:$AB$826,25,FALSE)</f>
        <v>PHYSPROP</v>
      </c>
      <c r="K20" s="97">
        <f>VLOOKUP(A20,'Tox Summary'!$O$3:$S$827,2,FALSE)</f>
        <v>2</v>
      </c>
      <c r="L20" s="93">
        <f>VLOOKUP(A20,'Parameters Summary'!$B$2:$AB$826,7,FALSE)</f>
        <v>8.3199999999999994E-9</v>
      </c>
      <c r="M20" s="93" t="str">
        <f>VLOOKUP(A20,'Parameters Summary'!$B$2:$AB$826,8,FALSE)</f>
        <v>PHYSPROP</v>
      </c>
      <c r="N20" s="91">
        <f>VLOOKUP(A20,'Parameters Summary'!$B$2:$AB$826,6,FALSE)</f>
        <v>3.4014999999999999E-7</v>
      </c>
      <c r="O20" s="91" t="str">
        <f t="shared" si="0"/>
        <v/>
      </c>
      <c r="P20" s="91">
        <f t="shared" si="3"/>
        <v>3.4014999999999999E-7</v>
      </c>
      <c r="Q20" s="91" t="str">
        <f t="shared" si="1"/>
        <v/>
      </c>
      <c r="R20" s="91">
        <f t="shared" si="4"/>
        <v>3.4014999999999999E-7</v>
      </c>
      <c r="S20" s="91" t="str">
        <f t="shared" si="5"/>
        <v/>
      </c>
      <c r="T20" s="93">
        <f>VLOOKUP(A20,'Parameters Summary'!$B$2:$AB$826,15,FALSE)</f>
        <v>2.26407E-2</v>
      </c>
      <c r="U20" s="93" t="str">
        <f>VLOOKUP(A20,'Parameters Summary'!$B$2:$AB$826,17,FALSE)</f>
        <v>WATER9 (U.S. EPA, 2001)</v>
      </c>
      <c r="V20" s="93">
        <f>VLOOKUP(A20,'Parameters Summary'!$B$2:$AB$826,16,FALSE)</f>
        <v>5.6913E-6</v>
      </c>
      <c r="W20" s="379" t="str">
        <f>VLOOKUP(A20,'Parameters Summary'!$B$2:$AB$826,17,FALSE)</f>
        <v>WATER9 (U.S. EPA, 2001)</v>
      </c>
      <c r="X20" s="290">
        <v>373.15</v>
      </c>
      <c r="Y20" s="96" t="s">
        <v>553</v>
      </c>
      <c r="Z20" s="96">
        <v>559.72499999999991</v>
      </c>
      <c r="AA20" s="96" t="s">
        <v>2220</v>
      </c>
      <c r="AB20" s="96" t="s">
        <v>1651</v>
      </c>
      <c r="AC20" s="96"/>
      <c r="AD20" s="93">
        <f>VLOOKUP(A20,'Parameters Summary'!$B$2:$AB$826,20,FALSE)</f>
        <v>312.3</v>
      </c>
      <c r="AE20" s="97" t="str">
        <f>VLOOKUP(A20,'Parameters Summary'!$B$2:$AB$826,21,FALSE)</f>
        <v>EPI</v>
      </c>
      <c r="AF20" s="97"/>
      <c r="AG20" s="94"/>
      <c r="AH20" s="92"/>
      <c r="AI20" s="96"/>
      <c r="AJ20" s="330"/>
      <c r="AL20" s="81"/>
    </row>
    <row r="21" spans="1:38" ht="12.75" customHeight="1">
      <c r="A21" s="96" t="s">
        <v>646</v>
      </c>
      <c r="B21" s="96" t="s">
        <v>975</v>
      </c>
      <c r="C21" s="96" t="str">
        <f t="shared" si="2"/>
        <v>No</v>
      </c>
      <c r="D21" s="96" t="str">
        <f>VLOOKUP(A21,'Tox Summary'!$O$3:$R$824,3,FALSE)</f>
        <v>No</v>
      </c>
      <c r="E21" s="97">
        <f>VLOOKUP(A21,'Parameters Summary'!$B$2:$AB$826,4,FALSE)</f>
        <v>190.27</v>
      </c>
      <c r="F21" s="97" t="str">
        <f>VLOOKUP(A21,'Parameters Summary'!$B$2:$AB$826,5,FALSE)</f>
        <v>PHYSPROP</v>
      </c>
      <c r="G21" s="93">
        <f>VLOOKUP(A21,'Parameters Summary'!$B$2:$AB$826,9,FALSE)</f>
        <v>3.4700000000000003E-5</v>
      </c>
      <c r="H21" s="93" t="str">
        <f>VLOOKUP(A21,'Parameters Summary'!$B$2:$AB$826,10,FALSE)</f>
        <v>PHYSPROP</v>
      </c>
      <c r="I21" s="93">
        <f>VLOOKUP(A21,'Parameters Summary'!$B$2:$AB$826,24,FALSE)</f>
        <v>6030</v>
      </c>
      <c r="J21" s="97" t="str">
        <f>VLOOKUP(A21,'Parameters Summary'!$B$2:$AB$826,25,FALSE)</f>
        <v>PHYSPROP</v>
      </c>
      <c r="K21" s="97">
        <f>VLOOKUP(A21,'Tox Summary'!$O$3:$S$827,2,FALSE)</f>
        <v>3</v>
      </c>
      <c r="L21" s="93">
        <f>VLOOKUP(A21,'Parameters Summary'!$B$2:$AB$826,7,FALSE)</f>
        <v>1.44E-9</v>
      </c>
      <c r="M21" s="93" t="str">
        <f>VLOOKUP(A21,'Parameters Summary'!$B$2:$AB$826,8,FALSE)</f>
        <v>EPI</v>
      </c>
      <c r="N21" s="91">
        <f>VLOOKUP(A21,'Parameters Summary'!$B$2:$AB$826,6,FALSE)</f>
        <v>5.8871999999999999E-8</v>
      </c>
      <c r="O21" s="91" t="str">
        <f t="shared" si="0"/>
        <v/>
      </c>
      <c r="P21" s="91">
        <f t="shared" si="3"/>
        <v>5.8871999999999999E-8</v>
      </c>
      <c r="Q21" s="91" t="str">
        <f t="shared" si="1"/>
        <v/>
      </c>
      <c r="R21" s="91">
        <f t="shared" si="4"/>
        <v>5.8871999999999999E-8</v>
      </c>
      <c r="S21" s="91" t="str">
        <f t="shared" si="5"/>
        <v/>
      </c>
      <c r="T21" s="93">
        <f>VLOOKUP(A21,'Parameters Summary'!$B$2:$AB$826,15,FALSE)</f>
        <v>3.18629E-2</v>
      </c>
      <c r="U21" s="93" t="str">
        <f>VLOOKUP(A21,'Parameters Summary'!$B$2:$AB$826,17,FALSE)</f>
        <v>WATER9 (U.S. EPA, 2001)</v>
      </c>
      <c r="V21" s="93">
        <f>VLOOKUP(A21,'Parameters Summary'!$B$2:$AB$826,16,FALSE)</f>
        <v>7.2455000000000003E-6</v>
      </c>
      <c r="W21" s="379" t="str">
        <f>VLOOKUP(A21,'Parameters Summary'!$B$2:$AB$826,17,FALSE)</f>
        <v>WATER9 (U.S. EPA, 2001)</v>
      </c>
      <c r="X21" s="347"/>
      <c r="Y21" s="96"/>
      <c r="Z21" s="96" t="s">
        <v>1653</v>
      </c>
      <c r="AA21" s="96"/>
      <c r="AB21" s="96" t="s">
        <v>1651</v>
      </c>
      <c r="AC21" s="96"/>
      <c r="AD21" s="93">
        <f>VLOOKUP(A21,'Parameters Summary'!$B$2:$AB$826,20,FALSE)</f>
        <v>24.64</v>
      </c>
      <c r="AE21" s="97" t="str">
        <f>VLOOKUP(A21,'Parameters Summary'!$B$2:$AB$826,21,FALSE)</f>
        <v>EPI</v>
      </c>
      <c r="AF21" s="97"/>
      <c r="AG21" s="94"/>
      <c r="AH21" s="92"/>
      <c r="AI21" s="94"/>
      <c r="AJ21" s="330"/>
      <c r="AL21" s="81"/>
    </row>
    <row r="22" spans="1:38" ht="12.75" customHeight="1">
      <c r="A22" s="96" t="s">
        <v>647</v>
      </c>
      <c r="B22" s="96" t="s">
        <v>976</v>
      </c>
      <c r="C22" s="96" t="str">
        <f t="shared" si="2"/>
        <v>No</v>
      </c>
      <c r="D22" s="96" t="str">
        <f>VLOOKUP(A22,'Tox Summary'!$O$3:$R$824,3,FALSE)</f>
        <v>No</v>
      </c>
      <c r="E22" s="97">
        <f>VLOOKUP(A22,'Parameters Summary'!$B$2:$AB$826,4,FALSE)</f>
        <v>222.26</v>
      </c>
      <c r="F22" s="97" t="str">
        <f>VLOOKUP(A22,'Parameters Summary'!$B$2:$AB$826,5,FALSE)</f>
        <v>PHYSPROP</v>
      </c>
      <c r="G22" s="93">
        <f>VLOOKUP(A22,'Parameters Summary'!$B$2:$AB$826,9,FALSE)</f>
        <v>9.0000000000000006E-5</v>
      </c>
      <c r="H22" s="93" t="str">
        <f>VLOOKUP(A22,'Parameters Summary'!$B$2:$AB$826,10,FALSE)</f>
        <v>PHYSPROP</v>
      </c>
      <c r="I22" s="93">
        <f>VLOOKUP(A22,'Parameters Summary'!$B$2:$AB$826,24,FALSE)</f>
        <v>10000</v>
      </c>
      <c r="J22" s="97" t="str">
        <f>VLOOKUP(A22,'Parameters Summary'!$B$2:$AB$826,25,FALSE)</f>
        <v>PHYSPROP</v>
      </c>
      <c r="K22" s="97">
        <f>VLOOKUP(A22,'Tox Summary'!$O$3:$S$827,2,FALSE)</f>
        <v>2</v>
      </c>
      <c r="L22" s="93">
        <f>VLOOKUP(A22,'Parameters Summary'!$B$2:$AB$826,7,FALSE)</f>
        <v>3.3700000000000001E-9</v>
      </c>
      <c r="M22" s="93" t="str">
        <f>VLOOKUP(A22,'Parameters Summary'!$B$2:$AB$826,8,FALSE)</f>
        <v>EPI</v>
      </c>
      <c r="N22" s="91">
        <f>VLOOKUP(A22,'Parameters Summary'!$B$2:$AB$826,6,FALSE)</f>
        <v>1.3778000000000001E-7</v>
      </c>
      <c r="O22" s="91" t="str">
        <f t="shared" si="0"/>
        <v/>
      </c>
      <c r="P22" s="91">
        <f t="shared" si="3"/>
        <v>1.3778000000000001E-7</v>
      </c>
      <c r="Q22" s="91" t="str">
        <f t="shared" si="1"/>
        <v/>
      </c>
      <c r="R22" s="91">
        <f t="shared" si="4"/>
        <v>1.3778000000000001E-7</v>
      </c>
      <c r="S22" s="91" t="str">
        <f t="shared" si="5"/>
        <v/>
      </c>
      <c r="T22" s="93">
        <f>VLOOKUP(A22,'Parameters Summary'!$B$2:$AB$826,15,FALSE)</f>
        <v>5.1782099999999998E-2</v>
      </c>
      <c r="U22" s="93" t="str">
        <f>VLOOKUP(A22,'Parameters Summary'!$B$2:$AB$826,17,FALSE)</f>
        <v>WATER9 (U.S. EPA, 2001)</v>
      </c>
      <c r="V22" s="93">
        <f>VLOOKUP(A22,'Parameters Summary'!$B$2:$AB$826,16,FALSE)</f>
        <v>6.0503000000000003E-6</v>
      </c>
      <c r="W22" s="379" t="str">
        <f>VLOOKUP(A22,'Parameters Summary'!$B$2:$AB$826,17,FALSE)</f>
        <v>WATER9 (U.S. EPA, 2001)</v>
      </c>
      <c r="X22" s="347"/>
      <c r="Y22" s="96"/>
      <c r="Z22" s="96" t="s">
        <v>1653</v>
      </c>
      <c r="AA22" s="96"/>
      <c r="AB22" s="96" t="s">
        <v>1651</v>
      </c>
      <c r="AC22" s="96"/>
      <c r="AD22" s="93">
        <f>VLOOKUP(A22,'Parameters Summary'!$B$2:$AB$826,20,FALSE)</f>
        <v>10</v>
      </c>
      <c r="AE22" s="97" t="str">
        <f>VLOOKUP(A22,'Parameters Summary'!$B$2:$AB$826,21,FALSE)</f>
        <v>EPI</v>
      </c>
      <c r="AF22" s="97"/>
      <c r="AG22" s="94"/>
      <c r="AH22" s="92"/>
      <c r="AI22" s="94"/>
      <c r="AJ22" s="330"/>
      <c r="AL22" s="81"/>
    </row>
    <row r="23" spans="1:38" ht="12.75" customHeight="1">
      <c r="A23" s="96" t="s">
        <v>1995</v>
      </c>
      <c r="B23" s="96" t="s">
        <v>1994</v>
      </c>
      <c r="C23" s="96" t="str">
        <f t="shared" si="2"/>
        <v>No</v>
      </c>
      <c r="D23" s="96" t="str">
        <f>VLOOKUP(A23,'Tox Summary'!$O$3:$R$824,3,FALSE)</f>
        <v>No</v>
      </c>
      <c r="E23" s="97">
        <f>VLOOKUP(A23,'Parameters Summary'!$B$2:$AB$826,4,FALSE)</f>
        <v>206.27</v>
      </c>
      <c r="F23" s="97" t="str">
        <f>VLOOKUP(A23,'Parameters Summary'!$B$2:$AB$826,5,FALSE)</f>
        <v>PHYSPROP</v>
      </c>
      <c r="G23" s="93">
        <f>VLOOKUP(A23,'Parameters Summary'!$B$2:$AB$826,9,FALSE)</f>
        <v>1E-4</v>
      </c>
      <c r="H23" s="93" t="str">
        <f>VLOOKUP(A23,'Parameters Summary'!$B$2:$AB$826,10,FALSE)</f>
        <v>PHYSPROP</v>
      </c>
      <c r="I23" s="93">
        <f>VLOOKUP(A23,'Parameters Summary'!$B$2:$AB$826,24,FALSE)</f>
        <v>28000</v>
      </c>
      <c r="J23" s="97" t="str">
        <f>VLOOKUP(A23,'Parameters Summary'!$B$2:$AB$826,25,FALSE)</f>
        <v>PHYSPROP</v>
      </c>
      <c r="K23" s="97">
        <f>VLOOKUP(A23,'Tox Summary'!$O$3:$S$827,2,FALSE)</f>
        <v>4</v>
      </c>
      <c r="L23" s="93">
        <f>VLOOKUP(A23,'Parameters Summary'!$B$2:$AB$826,7,FALSE)</f>
        <v>9.6900000000000007E-10</v>
      </c>
      <c r="M23" s="93" t="str">
        <f>VLOOKUP(A23,'Parameters Summary'!$B$2:$AB$826,8,FALSE)</f>
        <v>EPI</v>
      </c>
      <c r="N23" s="91">
        <f>VLOOKUP(A23,'Parameters Summary'!$B$2:$AB$826,6,FALSE)</f>
        <v>3.9616000000000002E-8</v>
      </c>
      <c r="O23" s="91" t="str">
        <f t="shared" si="0"/>
        <v/>
      </c>
      <c r="P23" s="91">
        <f t="shared" si="3"/>
        <v>3.9616000000000002E-8</v>
      </c>
      <c r="Q23" s="91" t="str">
        <f t="shared" si="1"/>
        <v/>
      </c>
      <c r="R23" s="91">
        <f t="shared" si="4"/>
        <v>3.9616000000000002E-8</v>
      </c>
      <c r="S23" s="91" t="str">
        <f t="shared" si="5"/>
        <v/>
      </c>
      <c r="T23" s="93">
        <f>VLOOKUP(A23,'Parameters Summary'!$B$2:$AB$826,15,FALSE)</f>
        <v>5.4424699999999999E-2</v>
      </c>
      <c r="U23" s="93" t="str">
        <f>VLOOKUP(A23,'Parameters Summary'!$B$2:$AB$826,17,FALSE)</f>
        <v>WATER9 (U.S. EPA, 2001)</v>
      </c>
      <c r="V23" s="93">
        <f>VLOOKUP(A23,'Parameters Summary'!$B$2:$AB$826,16,FALSE)</f>
        <v>6.3590999999999998E-6</v>
      </c>
      <c r="W23" s="379" t="str">
        <f>VLOOKUP(A23,'Parameters Summary'!$B$2:$AB$826,17,FALSE)</f>
        <v>WATER9 (U.S. EPA, 2001)</v>
      </c>
      <c r="X23" s="347"/>
      <c r="Y23" s="96"/>
      <c r="Z23" s="96" t="s">
        <v>1653</v>
      </c>
      <c r="AA23" s="96"/>
      <c r="AB23" s="96" t="s">
        <v>1651</v>
      </c>
      <c r="AC23" s="96"/>
      <c r="AD23" s="93">
        <f>VLOOKUP(A23,'Parameters Summary'!$B$2:$AB$826,20,FALSE)</f>
        <v>10</v>
      </c>
      <c r="AE23" s="97" t="str">
        <f>VLOOKUP(A23,'Parameters Summary'!$B$2:$AB$826,21,FALSE)</f>
        <v>EPI</v>
      </c>
      <c r="AF23" s="97"/>
      <c r="AG23" s="94"/>
      <c r="AH23" s="92"/>
      <c r="AI23" s="94"/>
      <c r="AJ23" s="330"/>
      <c r="AL23" s="81"/>
    </row>
    <row r="24" spans="1:38" ht="12.75" customHeight="1">
      <c r="A24" s="95" t="s">
        <v>648</v>
      </c>
      <c r="B24" s="96" t="s">
        <v>425</v>
      </c>
      <c r="C24" s="96" t="str">
        <f t="shared" si="2"/>
        <v>Yes</v>
      </c>
      <c r="D24" s="96" t="str">
        <f>VLOOKUP(A24,'Tox Summary'!$O$3:$R$824,3,FALSE)</f>
        <v>Yes</v>
      </c>
      <c r="E24" s="97">
        <f>VLOOKUP(A24,'Parameters Summary'!$B$2:$AB$826,4,FALSE)</f>
        <v>364.92</v>
      </c>
      <c r="F24" s="97" t="str">
        <f>VLOOKUP(A24,'Parameters Summary'!$B$2:$AB$826,5,FALSE)</f>
        <v>PHYSPROP</v>
      </c>
      <c r="G24" s="93">
        <f>VLOOKUP(A24,'Parameters Summary'!$B$2:$AB$826,9,FALSE)</f>
        <v>1.2E-4</v>
      </c>
      <c r="H24" s="93" t="str">
        <f>VLOOKUP(A24,'Parameters Summary'!$B$2:$AB$826,10,FALSE)</f>
        <v>PHYSPROP</v>
      </c>
      <c r="I24" s="93">
        <f>VLOOKUP(A24,'Parameters Summary'!$B$2:$AB$826,24,FALSE)</f>
        <v>1.7000000000000001E-2</v>
      </c>
      <c r="J24" s="97" t="str">
        <f>VLOOKUP(A24,'Parameters Summary'!$B$2:$AB$826,25,FALSE)</f>
        <v>PHYSPROP</v>
      </c>
      <c r="K24" s="97" t="str">
        <f>VLOOKUP(A24,'Tox Summary'!$O$3:$S$827,2,FALSE)</f>
        <v/>
      </c>
      <c r="L24" s="93">
        <f>VLOOKUP(A24,'Parameters Summary'!$B$2:$AB$826,7,FALSE)</f>
        <v>4.3999999999999999E-5</v>
      </c>
      <c r="M24" s="93" t="str">
        <f>VLOOKUP(A24,'Parameters Summary'!$B$2:$AB$826,8,FALSE)</f>
        <v>PHYSPROP</v>
      </c>
      <c r="N24" s="91">
        <f>VLOOKUP(A24,'Parameters Summary'!$B$2:$AB$826,6,FALSE)</f>
        <v>1.7989E-3</v>
      </c>
      <c r="O24" s="91">
        <f t="shared" si="0"/>
        <v>1.7989E-3</v>
      </c>
      <c r="P24" s="91">
        <f t="shared" si="3"/>
        <v>1.7989E-3</v>
      </c>
      <c r="Q24" s="91">
        <f t="shared" si="1"/>
        <v>1.7989E-3</v>
      </c>
      <c r="R24" s="91">
        <f t="shared" si="4"/>
        <v>1.7989E-3</v>
      </c>
      <c r="S24" s="91">
        <f t="shared" si="5"/>
        <v>2356.3082469192213</v>
      </c>
      <c r="T24" s="93">
        <f>VLOOKUP(A24,'Parameters Summary'!$B$2:$AB$826,15,FALSE)</f>
        <v>2.2811600000000001E-2</v>
      </c>
      <c r="U24" s="93" t="str">
        <f>VLOOKUP(A24,'Parameters Summary'!$B$2:$AB$826,17,FALSE)</f>
        <v>WATER9 (U.S. EPA, 2001)</v>
      </c>
      <c r="V24" s="93">
        <f>VLOOKUP(A24,'Parameters Summary'!$B$2:$AB$826,16,FALSE)</f>
        <v>5.8401999999999996E-6</v>
      </c>
      <c r="W24" s="379" t="str">
        <f>VLOOKUP(A24,'Parameters Summary'!$B$2:$AB$826,17,FALSE)</f>
        <v>WATER9 (U.S. EPA, 2001)</v>
      </c>
      <c r="X24" s="290">
        <v>418.15</v>
      </c>
      <c r="Y24" s="96" t="s">
        <v>553</v>
      </c>
      <c r="Z24" s="96">
        <v>627.22499999999991</v>
      </c>
      <c r="AA24" s="96" t="s">
        <v>2220</v>
      </c>
      <c r="AB24" s="96">
        <v>15000</v>
      </c>
      <c r="AC24" s="96" t="s">
        <v>2227</v>
      </c>
      <c r="AD24" s="93">
        <f>VLOOKUP(A24,'Parameters Summary'!$B$2:$AB$826,20,FALSE)</f>
        <v>82020</v>
      </c>
      <c r="AE24" s="97" t="str">
        <f>VLOOKUP(A24,'Parameters Summary'!$B$2:$AB$826,21,FALSE)</f>
        <v>EPI</v>
      </c>
      <c r="AF24" s="380"/>
      <c r="AG24" s="97"/>
      <c r="AH24" s="92"/>
      <c r="AI24" s="94"/>
      <c r="AJ24" s="330"/>
      <c r="AL24" s="81"/>
    </row>
    <row r="25" spans="1:38" ht="12.75" customHeight="1">
      <c r="A25" s="95" t="s">
        <v>650</v>
      </c>
      <c r="B25" s="96" t="s">
        <v>977</v>
      </c>
      <c r="C25" s="96" t="str">
        <f t="shared" si="2"/>
        <v>Yes</v>
      </c>
      <c r="D25" s="96" t="str">
        <f>VLOOKUP(A25,'Tox Summary'!$O$3:$R$824,3,FALSE)</f>
        <v>Yes</v>
      </c>
      <c r="E25" s="97">
        <f>VLOOKUP(A25,'Parameters Summary'!$B$2:$AB$826,4,FALSE)</f>
        <v>58.081000000000003</v>
      </c>
      <c r="F25" s="97" t="str">
        <f>VLOOKUP(A25,'Parameters Summary'!$B$2:$AB$826,5,FALSE)</f>
        <v>PHYSPROP</v>
      </c>
      <c r="G25" s="93">
        <f>VLOOKUP(A25,'Parameters Summary'!$B$2:$AB$826,9,FALSE)</f>
        <v>26.1</v>
      </c>
      <c r="H25" s="93" t="str">
        <f>VLOOKUP(A25,'Parameters Summary'!$B$2:$AB$826,10,FALSE)</f>
        <v>PHYSPROP</v>
      </c>
      <c r="I25" s="93">
        <f>VLOOKUP(A25,'Parameters Summary'!$B$2:$AB$826,24,FALSE)</f>
        <v>1000000</v>
      </c>
      <c r="J25" s="97" t="str">
        <f>VLOOKUP(A25,'Parameters Summary'!$B$2:$AB$826,25,FALSE)</f>
        <v>PHYSPROP</v>
      </c>
      <c r="K25" s="97" t="str">
        <f>VLOOKUP(A25,'Tox Summary'!$O$3:$S$827,2,FALSE)</f>
        <v/>
      </c>
      <c r="L25" s="93">
        <f>VLOOKUP(A25,'Parameters Summary'!$B$2:$AB$826,7,FALSE)</f>
        <v>4.9899999999999997E-6</v>
      </c>
      <c r="M25" s="93" t="str">
        <f>VLOOKUP(A25,'Parameters Summary'!$B$2:$AB$826,8,FALSE)</f>
        <v>PHYSPROP</v>
      </c>
      <c r="N25" s="91">
        <f>VLOOKUP(A25,'Parameters Summary'!$B$2:$AB$826,6,FALSE)</f>
        <v>2.04E-4</v>
      </c>
      <c r="O25" s="91">
        <f t="shared" si="0"/>
        <v>2.04E-4</v>
      </c>
      <c r="P25" s="91">
        <f t="shared" si="3"/>
        <v>2.04E-4</v>
      </c>
      <c r="Q25" s="91">
        <f t="shared" si="1"/>
        <v>2.04E-4</v>
      </c>
      <c r="R25" s="91">
        <f t="shared" si="4"/>
        <v>2.04E-4</v>
      </c>
      <c r="S25" s="91">
        <f t="shared" si="5"/>
        <v>81569496.863493592</v>
      </c>
      <c r="T25" s="93">
        <f>VLOOKUP(A25,'Parameters Summary'!$B$2:$AB$826,15,FALSE)</f>
        <v>0.1097535</v>
      </c>
      <c r="U25" s="93" t="str">
        <f>VLOOKUP(A25,'Parameters Summary'!$B$2:$AB$826,17,FALSE)</f>
        <v>WATER9 (U.S. EPA, 2001)</v>
      </c>
      <c r="V25" s="93">
        <f>VLOOKUP(A25,'Parameters Summary'!$B$2:$AB$826,16,FALSE)</f>
        <v>1.2099999999999999E-5</v>
      </c>
      <c r="W25" s="379" t="str">
        <f>VLOOKUP(A25,'Parameters Summary'!$B$2:$AB$826,17,FALSE)</f>
        <v>WATER9 (U.S. EPA, 2001)</v>
      </c>
      <c r="X25" s="290">
        <v>370.15</v>
      </c>
      <c r="Y25" s="96" t="s">
        <v>553</v>
      </c>
      <c r="Z25" s="96">
        <v>539.79999999999995</v>
      </c>
      <c r="AA25" s="96" t="s">
        <v>2215</v>
      </c>
      <c r="AB25" s="96">
        <v>9553.84</v>
      </c>
      <c r="AC25" s="96" t="s">
        <v>2218</v>
      </c>
      <c r="AD25" s="93">
        <f>VLOOKUP(A25,'Parameters Summary'!$B$2:$AB$826,20,FALSE)</f>
        <v>1.9039999999999999</v>
      </c>
      <c r="AE25" s="97" t="str">
        <f>VLOOKUP(A25,'Parameters Summary'!$B$2:$AB$826,21,FALSE)</f>
        <v>EPI</v>
      </c>
      <c r="AF25" s="380">
        <v>2.5</v>
      </c>
      <c r="AG25" s="97" t="s">
        <v>302</v>
      </c>
      <c r="AH25" s="92"/>
      <c r="AI25" s="96"/>
      <c r="AJ25" s="330"/>
      <c r="AL25" s="81"/>
    </row>
    <row r="26" spans="1:38" ht="12.75" customHeight="1">
      <c r="A26" s="95" t="s">
        <v>651</v>
      </c>
      <c r="B26" s="96" t="s">
        <v>978</v>
      </c>
      <c r="C26" s="96" t="str">
        <f t="shared" si="2"/>
        <v>Yes</v>
      </c>
      <c r="D26" s="96" t="str">
        <f>VLOOKUP(A26,'Tox Summary'!$O$3:$R$824,3,FALSE)</f>
        <v>Yes</v>
      </c>
      <c r="E26" s="97">
        <f>VLOOKUP(A26,'Parameters Summary'!$B$2:$AB$826,4,FALSE)</f>
        <v>76.525999999999996</v>
      </c>
      <c r="F26" s="97" t="str">
        <f>VLOOKUP(A26,'Parameters Summary'!$B$2:$AB$826,5,FALSE)</f>
        <v>PHYSPROP</v>
      </c>
      <c r="G26" s="93">
        <f>VLOOKUP(A26,'Parameters Summary'!$B$2:$AB$826,9,FALSE)</f>
        <v>367.9</v>
      </c>
      <c r="H26" s="93" t="str">
        <f>VLOOKUP(A26,'Parameters Summary'!$B$2:$AB$826,10,FALSE)</f>
        <v>PHYSPROP</v>
      </c>
      <c r="I26" s="93">
        <f>VLOOKUP(A26,'Parameters Summary'!$B$2:$AB$826,24,FALSE)</f>
        <v>3370</v>
      </c>
      <c r="J26" s="97" t="str">
        <f>VLOOKUP(A26,'Parameters Summary'!$B$2:$AB$826,25,FALSE)</f>
        <v>PHYSPROP</v>
      </c>
      <c r="K26" s="97" t="str">
        <f>VLOOKUP(A26,'Tox Summary'!$O$3:$S$827,2,FALSE)</f>
        <v/>
      </c>
      <c r="L26" s="93">
        <f>VLOOKUP(A26,'Parameters Summary'!$B$2:$AB$826,7,FALSE)</f>
        <v>1.0999999999999999E-2</v>
      </c>
      <c r="M26" s="93" t="str">
        <f>VLOOKUP(A26,'Parameters Summary'!$B$2:$AB$826,8,FALSE)</f>
        <v>EPI</v>
      </c>
      <c r="N26" s="91">
        <f>VLOOKUP(A26,'Parameters Summary'!$B$2:$AB$826,6,FALSE)</f>
        <v>0.4497138</v>
      </c>
      <c r="O26" s="91">
        <f t="shared" si="0"/>
        <v>0.4497138</v>
      </c>
      <c r="P26" s="91">
        <f t="shared" si="3"/>
        <v>0.4497138</v>
      </c>
      <c r="Q26" s="91">
        <f t="shared" si="1"/>
        <v>0.4497138</v>
      </c>
      <c r="R26" s="91">
        <f t="shared" si="4"/>
        <v>0.4497138</v>
      </c>
      <c r="S26" s="91">
        <f t="shared" si="5"/>
        <v>1514927998.8327589</v>
      </c>
      <c r="T26" s="93">
        <f>VLOOKUP(A26,'Parameters Summary'!$B$2:$AB$826,15,FALSE)</f>
        <v>9.3611E-2</v>
      </c>
      <c r="U26" s="93" t="str">
        <f>VLOOKUP(A26,'Parameters Summary'!$B$2:$AB$826,17,FALSE)</f>
        <v>WATER9 (U.S. EPA, 2001)</v>
      </c>
      <c r="V26" s="93">
        <f>VLOOKUP(A26,'Parameters Summary'!$B$2:$AB$826,16,FALSE)</f>
        <v>1.08E-5</v>
      </c>
      <c r="W26" s="379" t="str">
        <f>VLOOKUP(A26,'Parameters Summary'!$B$2:$AB$826,17,FALSE)</f>
        <v>WATER9 (U.S. EPA, 2001)</v>
      </c>
      <c r="X26" s="290">
        <v>318.10000000000002</v>
      </c>
      <c r="Y26" s="96" t="s">
        <v>2217</v>
      </c>
      <c r="Z26" s="96">
        <v>514.26</v>
      </c>
      <c r="AA26" s="96" t="s">
        <v>2218</v>
      </c>
      <c r="AB26" s="96">
        <v>6936.08</v>
      </c>
      <c r="AC26" s="96" t="s">
        <v>2218</v>
      </c>
      <c r="AD26" s="93">
        <f>VLOOKUP(A26,'Parameters Summary'!$B$2:$AB$826,20,FALSE)</f>
        <v>39.6</v>
      </c>
      <c r="AE26" s="97" t="str">
        <f>VLOOKUP(A26,'Parameters Summary'!$B$2:$AB$826,21,FALSE)</f>
        <v>EPI</v>
      </c>
      <c r="AF26" s="97"/>
      <c r="AG26" s="97"/>
      <c r="AH26" s="92"/>
      <c r="AI26" s="94"/>
      <c r="AJ26" s="330"/>
      <c r="AL26" s="81"/>
    </row>
    <row r="27" spans="1:38" ht="12.75" customHeight="1">
      <c r="A27" s="96" t="s">
        <v>652</v>
      </c>
      <c r="B27" s="96" t="s">
        <v>979</v>
      </c>
      <c r="C27" s="96" t="str">
        <f t="shared" si="2"/>
        <v>No</v>
      </c>
      <c r="D27" s="96" t="str">
        <f>VLOOKUP(A27,'Tox Summary'!$O$3:$R$824,3,FALSE)</f>
        <v>Yes</v>
      </c>
      <c r="E27" s="97">
        <f>VLOOKUP(A27,'Parameters Summary'!$B$2:$AB$826,4,FALSE)</f>
        <v>26.981999999999999</v>
      </c>
      <c r="F27" s="97" t="str">
        <f>VLOOKUP(A27,'Parameters Summary'!$B$2:$AB$826,5,FALSE)</f>
        <v>CRC89</v>
      </c>
      <c r="G27" s="93">
        <f>VLOOKUP(A27,'Parameters Summary'!$B$2:$AB$826,9,FALSE)</f>
        <v>0</v>
      </c>
      <c r="H27" s="93" t="str">
        <f>VLOOKUP(A27,'Parameters Summary'!$B$2:$AB$826,10,FALSE)</f>
        <v>NIOSH</v>
      </c>
      <c r="I27" s="93" t="s">
        <v>2440</v>
      </c>
      <c r="J27" s="97" t="str">
        <f>VLOOKUP(A27,'Parameters Summary'!$B$2:$AB$826,25,FALSE)</f>
        <v/>
      </c>
      <c r="K27" s="97" t="str">
        <f>VLOOKUP(A27,'Tox Summary'!$O$3:$S$827,2,FALSE)</f>
        <v/>
      </c>
      <c r="L27" s="93" t="str">
        <f>VLOOKUP(A27,'Parameters Summary'!$B$2:$AB$826,7,FALSE)</f>
        <v xml:space="preserve"> </v>
      </c>
      <c r="M27" s="93" t="str">
        <f>VLOOKUP(A27,'Parameters Summary'!$B$2:$AB$826,8,FALSE)</f>
        <v/>
      </c>
      <c r="N27" s="91" t="str">
        <f>VLOOKUP(A27,'Parameters Summary'!$B$2:$AB$826,6,FALSE)</f>
        <v xml:space="preserve"> </v>
      </c>
      <c r="O27" s="91" t="str">
        <f t="shared" si="0"/>
        <v/>
      </c>
      <c r="P27" s="91" t="str">
        <f t="shared" si="3"/>
        <v xml:space="preserve"> </v>
      </c>
      <c r="Q27" s="91" t="str">
        <f t="shared" si="1"/>
        <v/>
      </c>
      <c r="R27" s="91" t="str">
        <f t="shared" si="4"/>
        <v xml:space="preserve"> </v>
      </c>
      <c r="S27" s="91" t="str">
        <f t="shared" si="5"/>
        <v/>
      </c>
      <c r="T27" s="93" t="str">
        <f>VLOOKUP(A27,'Parameters Summary'!$B$2:$AB$826,15,FALSE)</f>
        <v xml:space="preserve"> </v>
      </c>
      <c r="U27" s="93" t="str">
        <f>VLOOKUP(A27,'Parameters Summary'!$B$2:$AB$826,17,FALSE)</f>
        <v/>
      </c>
      <c r="V27" s="93" t="str">
        <f>VLOOKUP(A27,'Parameters Summary'!$B$2:$AB$826,16,FALSE)</f>
        <v xml:space="preserve"> </v>
      </c>
      <c r="W27" s="379" t="str">
        <f>VLOOKUP(A27,'Parameters Summary'!$B$2:$AB$826,17,FALSE)</f>
        <v/>
      </c>
      <c r="X27" s="347">
        <v>3063.96</v>
      </c>
      <c r="Y27" s="96"/>
      <c r="Z27" s="96">
        <v>4595.9400000000005</v>
      </c>
      <c r="AA27" s="96" t="s">
        <v>2220</v>
      </c>
      <c r="AB27" s="96" t="s">
        <v>1651</v>
      </c>
      <c r="AC27" s="96"/>
      <c r="AD27" s="93" t="str">
        <f>VLOOKUP(A27,'Parameters Summary'!$B$2:$AB$826,20,FALSE)</f>
        <v xml:space="preserve"> </v>
      </c>
      <c r="AE27" s="97" t="str">
        <f>VLOOKUP(A27,'Parameters Summary'!$B$2:$AB$826,21,FALSE)</f>
        <v/>
      </c>
      <c r="AF27" s="97"/>
      <c r="AG27" s="94"/>
      <c r="AH27" s="92"/>
      <c r="AI27" s="94"/>
      <c r="AJ27" s="330"/>
      <c r="AL27" s="81"/>
    </row>
    <row r="28" spans="1:38" ht="12.75" customHeight="1">
      <c r="A28" s="96" t="s">
        <v>1581</v>
      </c>
      <c r="B28" s="96" t="s">
        <v>2381</v>
      </c>
      <c r="C28" s="96" t="str">
        <f t="shared" si="2"/>
        <v>No</v>
      </c>
      <c r="D28" s="96" t="str">
        <f>VLOOKUP(A28,'Tox Summary'!$O$3:$R$824,3,FALSE)</f>
        <v>No</v>
      </c>
      <c r="E28" s="97">
        <f>VLOOKUP(A28,'Parameters Summary'!$B$2:$AB$826,4,FALSE)</f>
        <v>263.89999999999998</v>
      </c>
      <c r="F28" s="97" t="str">
        <f>VLOOKUP(A28,'Parameters Summary'!$B$2:$AB$826,5,FALSE)</f>
        <v>CRC89</v>
      </c>
      <c r="G28" s="93" t="s">
        <v>2439</v>
      </c>
      <c r="H28" s="93" t="str">
        <f>VLOOKUP(A28,'Parameters Summary'!$B$2:$AB$826,10,FALSE)</f>
        <v/>
      </c>
      <c r="I28" s="93" t="s">
        <v>2440</v>
      </c>
      <c r="J28" s="97" t="str">
        <f>VLOOKUP(A28,'Parameters Summary'!$B$2:$AB$826,25,FALSE)</f>
        <v/>
      </c>
      <c r="K28" s="97" t="str">
        <f>VLOOKUP(A28,'Tox Summary'!$O$3:$S$827,2,FALSE)</f>
        <v/>
      </c>
      <c r="L28" s="93" t="s">
        <v>2298</v>
      </c>
      <c r="M28" s="93" t="str">
        <f>VLOOKUP(A28,'Parameters Summary'!$B$2:$AB$826,8,FALSE)</f>
        <v/>
      </c>
      <c r="N28" s="91" t="str">
        <f>VLOOKUP(A28,'Parameters Summary'!$B$2:$AB$826,6,FALSE)</f>
        <v xml:space="preserve"> </v>
      </c>
      <c r="O28" s="91" t="str">
        <f t="shared" si="0"/>
        <v/>
      </c>
      <c r="P28" s="91" t="str">
        <f t="shared" si="3"/>
        <v xml:space="preserve"> </v>
      </c>
      <c r="Q28" s="91" t="str">
        <f t="shared" si="1"/>
        <v/>
      </c>
      <c r="R28" s="91" t="str">
        <f t="shared" si="4"/>
        <v xml:space="preserve"> </v>
      </c>
      <c r="S28" s="91" t="str">
        <f t="shared" si="5"/>
        <v/>
      </c>
      <c r="T28" s="93" t="str">
        <f>VLOOKUP(A28,'Parameters Summary'!$B$2:$AB$826,15,FALSE)</f>
        <v xml:space="preserve"> </v>
      </c>
      <c r="U28" s="93" t="str">
        <f>VLOOKUP(A28,'Parameters Summary'!$B$2:$AB$826,17,FALSE)</f>
        <v/>
      </c>
      <c r="V28" s="93" t="str">
        <f>VLOOKUP(A28,'Parameters Summary'!$B$2:$AB$826,16,FALSE)</f>
        <v xml:space="preserve"> </v>
      </c>
      <c r="W28" s="379" t="str">
        <f>VLOOKUP(A28,'Parameters Summary'!$B$2:$AB$826,17,FALSE)</f>
        <v/>
      </c>
      <c r="X28" s="347"/>
      <c r="Y28" s="96"/>
      <c r="Z28" s="96" t="s">
        <v>1653</v>
      </c>
      <c r="AA28" s="96"/>
      <c r="AB28" s="96" t="s">
        <v>1651</v>
      </c>
      <c r="AC28" s="96"/>
      <c r="AD28" s="93" t="str">
        <f>VLOOKUP(A28,'Parameters Summary'!$B$2:$AB$826,20,FALSE)</f>
        <v xml:space="preserve"> </v>
      </c>
      <c r="AE28" s="97" t="str">
        <f>VLOOKUP(A28,'Parameters Summary'!$B$2:$AB$826,21,FALSE)</f>
        <v/>
      </c>
      <c r="AF28" s="97"/>
      <c r="AG28" s="94"/>
      <c r="AH28" s="92"/>
      <c r="AI28" s="94" t="s">
        <v>1416</v>
      </c>
      <c r="AJ28" s="330"/>
      <c r="AL28" s="81"/>
    </row>
    <row r="29" spans="1:38" ht="12.75" customHeight="1">
      <c r="A29" s="96" t="s">
        <v>653</v>
      </c>
      <c r="B29" s="96" t="s">
        <v>980</v>
      </c>
      <c r="C29" s="96" t="str">
        <f t="shared" si="2"/>
        <v>No</v>
      </c>
      <c r="D29" s="96" t="str">
        <f>VLOOKUP(A29,'Tox Summary'!$O$3:$R$824,3,FALSE)</f>
        <v>No</v>
      </c>
      <c r="E29" s="97">
        <f>VLOOKUP(A29,'Parameters Summary'!$B$2:$AB$826,4,FALSE)</f>
        <v>57.954999999999998</v>
      </c>
      <c r="F29" s="97" t="str">
        <f>VLOOKUP(A29,'Parameters Summary'!$B$2:$AB$826,5,FALSE)</f>
        <v>PHYSPROP</v>
      </c>
      <c r="G29" s="93" t="s">
        <v>2439</v>
      </c>
      <c r="H29" s="93" t="str">
        <f>VLOOKUP(A29,'Parameters Summary'!$B$2:$AB$826,10,FALSE)</f>
        <v/>
      </c>
      <c r="I29" s="93" t="s">
        <v>2440</v>
      </c>
      <c r="J29" s="97" t="str">
        <f>VLOOKUP(A29,'Parameters Summary'!$B$2:$AB$826,25,FALSE)</f>
        <v/>
      </c>
      <c r="K29" s="97" t="str">
        <f>VLOOKUP(A29,'Tox Summary'!$O$3:$S$827,2,FALSE)</f>
        <v/>
      </c>
      <c r="L29" s="93" t="s">
        <v>2298</v>
      </c>
      <c r="M29" s="93" t="str">
        <f>VLOOKUP(A29,'Parameters Summary'!$B$2:$AB$826,8,FALSE)</f>
        <v/>
      </c>
      <c r="N29" s="91" t="str">
        <f>VLOOKUP(A29,'Parameters Summary'!$B$2:$AB$826,6,FALSE)</f>
        <v xml:space="preserve"> </v>
      </c>
      <c r="O29" s="91" t="str">
        <f t="shared" si="0"/>
        <v/>
      </c>
      <c r="P29" s="91" t="str">
        <f t="shared" si="3"/>
        <v xml:space="preserve"> </v>
      </c>
      <c r="Q29" s="91" t="str">
        <f t="shared" si="1"/>
        <v/>
      </c>
      <c r="R29" s="91" t="str">
        <f t="shared" si="4"/>
        <v xml:space="preserve"> </v>
      </c>
      <c r="S29" s="91" t="str">
        <f t="shared" si="5"/>
        <v/>
      </c>
      <c r="T29" s="93" t="str">
        <f>VLOOKUP(A29,'Parameters Summary'!$B$2:$AB$826,15,FALSE)</f>
        <v xml:space="preserve"> </v>
      </c>
      <c r="U29" s="93" t="str">
        <f>VLOOKUP(A29,'Parameters Summary'!$B$2:$AB$826,17,FALSE)</f>
        <v/>
      </c>
      <c r="V29" s="93" t="str">
        <f>VLOOKUP(A29,'Parameters Summary'!$B$2:$AB$826,16,FALSE)</f>
        <v xml:space="preserve"> </v>
      </c>
      <c r="W29" s="379" t="str">
        <f>VLOOKUP(A29,'Parameters Summary'!$B$2:$AB$826,17,FALSE)</f>
        <v/>
      </c>
      <c r="X29" s="347"/>
      <c r="Y29" s="96"/>
      <c r="Z29" s="96" t="s">
        <v>1653</v>
      </c>
      <c r="AA29" s="96"/>
      <c r="AB29" s="96" t="s">
        <v>1651</v>
      </c>
      <c r="AC29" s="96"/>
      <c r="AD29" s="93" t="str">
        <f>VLOOKUP(A29,'Parameters Summary'!$B$2:$AB$826,20,FALSE)</f>
        <v xml:space="preserve"> </v>
      </c>
      <c r="AE29" s="97" t="str">
        <f>VLOOKUP(A29,'Parameters Summary'!$B$2:$AB$826,21,FALSE)</f>
        <v/>
      </c>
      <c r="AF29" s="97"/>
      <c r="AG29" s="94"/>
      <c r="AH29" s="92"/>
      <c r="AI29" s="94" t="s">
        <v>1417</v>
      </c>
      <c r="AJ29" s="330" t="s">
        <v>1796</v>
      </c>
      <c r="AL29" s="81"/>
    </row>
    <row r="30" spans="1:38" ht="12.75" customHeight="1">
      <c r="A30" s="96" t="s">
        <v>655</v>
      </c>
      <c r="B30" s="96" t="s">
        <v>981</v>
      </c>
      <c r="C30" s="96" t="str">
        <f t="shared" si="2"/>
        <v>No</v>
      </c>
      <c r="D30" s="96" t="str">
        <f>VLOOKUP(A30,'Tox Summary'!$O$3:$R$824,3,FALSE)</f>
        <v>No</v>
      </c>
      <c r="E30" s="97">
        <f>VLOOKUP(A30,'Parameters Summary'!$B$2:$AB$826,4,FALSE)</f>
        <v>227.33</v>
      </c>
      <c r="F30" s="97" t="str">
        <f>VLOOKUP(A30,'Parameters Summary'!$B$2:$AB$826,5,FALSE)</f>
        <v>PHYSPROP</v>
      </c>
      <c r="G30" s="93">
        <f>VLOOKUP(A30,'Parameters Summary'!$B$2:$AB$826,9,FALSE)</f>
        <v>2.74E-6</v>
      </c>
      <c r="H30" s="93" t="str">
        <f>VLOOKUP(A30,'Parameters Summary'!$B$2:$AB$826,10,FALSE)</f>
        <v>PHYSPROP</v>
      </c>
      <c r="I30" s="93">
        <f>VLOOKUP(A30,'Parameters Summary'!$B$2:$AB$826,24,FALSE)</f>
        <v>209</v>
      </c>
      <c r="J30" s="97" t="str">
        <f>VLOOKUP(A30,'Parameters Summary'!$B$2:$AB$826,25,FALSE)</f>
        <v>PHYSPROP</v>
      </c>
      <c r="K30" s="97" t="str">
        <f>VLOOKUP(A30,'Tox Summary'!$O$3:$S$827,2,FALSE)</f>
        <v/>
      </c>
      <c r="L30" s="93">
        <f>VLOOKUP(A30,'Parameters Summary'!$B$2:$AB$826,7,FALSE)</f>
        <v>2.4300000000000001E-9</v>
      </c>
      <c r="M30" s="93" t="str">
        <f>VLOOKUP(A30,'Parameters Summary'!$B$2:$AB$826,8,FALSE)</f>
        <v>EPI</v>
      </c>
      <c r="N30" s="91">
        <f>VLOOKUP(A30,'Parameters Summary'!$B$2:$AB$826,6,FALSE)</f>
        <v>9.9345999999999995E-8</v>
      </c>
      <c r="O30" s="91" t="str">
        <f t="shared" si="0"/>
        <v/>
      </c>
      <c r="P30" s="91">
        <f t="shared" si="3"/>
        <v>9.9345999999999995E-8</v>
      </c>
      <c r="Q30" s="91" t="str">
        <f t="shared" si="1"/>
        <v/>
      </c>
      <c r="R30" s="91">
        <f t="shared" si="4"/>
        <v>9.9345999999999995E-8</v>
      </c>
      <c r="S30" s="91" t="str">
        <f t="shared" si="5"/>
        <v/>
      </c>
      <c r="T30" s="93">
        <f>VLOOKUP(A30,'Parameters Summary'!$B$2:$AB$826,15,FALSE)</f>
        <v>5.10093E-2</v>
      </c>
      <c r="U30" s="93" t="str">
        <f>VLOOKUP(A30,'Parameters Summary'!$B$2:$AB$826,17,FALSE)</f>
        <v>WATER9 (U.S. EPA, 2001)</v>
      </c>
      <c r="V30" s="93">
        <f>VLOOKUP(A30,'Parameters Summary'!$B$2:$AB$826,16,FALSE)</f>
        <v>5.9599999999999997E-6</v>
      </c>
      <c r="W30" s="379" t="str">
        <f>VLOOKUP(A30,'Parameters Summary'!$B$2:$AB$826,17,FALSE)</f>
        <v>WATER9 (U.S. EPA, 2001)</v>
      </c>
      <c r="X30" s="290">
        <v>618.15</v>
      </c>
      <c r="Y30" s="96" t="s">
        <v>553</v>
      </c>
      <c r="Z30" s="96">
        <v>927.22499999999991</v>
      </c>
      <c r="AA30" s="96" t="s">
        <v>2220</v>
      </c>
      <c r="AB30" s="96" t="s">
        <v>1651</v>
      </c>
      <c r="AC30" s="96"/>
      <c r="AD30" s="93">
        <f>VLOOKUP(A30,'Parameters Summary'!$B$2:$AB$826,20,FALSE)</f>
        <v>428.2</v>
      </c>
      <c r="AE30" s="97" t="str">
        <f>VLOOKUP(A30,'Parameters Summary'!$B$2:$AB$826,21,FALSE)</f>
        <v>EPI</v>
      </c>
      <c r="AF30" s="97"/>
      <c r="AG30" s="94"/>
      <c r="AH30" s="92"/>
      <c r="AI30" s="94" t="s">
        <v>1434</v>
      </c>
      <c r="AJ30" s="330"/>
      <c r="AL30" s="81"/>
    </row>
    <row r="31" spans="1:38" ht="12.75" customHeight="1">
      <c r="A31" s="96" t="s">
        <v>656</v>
      </c>
      <c r="B31" s="96" t="s">
        <v>559</v>
      </c>
      <c r="C31" s="96" t="str">
        <f t="shared" si="2"/>
        <v>No</v>
      </c>
      <c r="D31" s="96" t="str">
        <f>VLOOKUP(A31,'Tox Summary'!$O$3:$R$824,3,FALSE)</f>
        <v>Yes</v>
      </c>
      <c r="E31" s="97">
        <f>VLOOKUP(A31,'Parameters Summary'!$B$2:$AB$826,4,FALSE)</f>
        <v>169.23</v>
      </c>
      <c r="F31" s="97" t="str">
        <f>VLOOKUP(A31,'Parameters Summary'!$B$2:$AB$826,5,FALSE)</f>
        <v>PHYSPROP</v>
      </c>
      <c r="G31" s="93">
        <f>VLOOKUP(A31,'Parameters Summary'!$B$2:$AB$826,9,FALSE)</f>
        <v>1.17E-4</v>
      </c>
      <c r="H31" s="93" t="str">
        <f>VLOOKUP(A31,'Parameters Summary'!$B$2:$AB$826,10,FALSE)</f>
        <v>PHYSPROP</v>
      </c>
      <c r="I31" s="93">
        <f>VLOOKUP(A31,'Parameters Summary'!$B$2:$AB$826,24,FALSE)</f>
        <v>223.9</v>
      </c>
      <c r="J31" s="97" t="str">
        <f>VLOOKUP(A31,'Parameters Summary'!$B$2:$AB$826,25,FALSE)</f>
        <v>PHYSPROP</v>
      </c>
      <c r="K31" s="97" t="str">
        <f>VLOOKUP(A31,'Tox Summary'!$O$3:$S$827,2,FALSE)</f>
        <v/>
      </c>
      <c r="L31" s="93">
        <f>VLOOKUP(A31,'Parameters Summary'!$B$2:$AB$826,7,FALSE)</f>
        <v>1.4600000000000001E-7</v>
      </c>
      <c r="M31" s="93" t="str">
        <f>VLOOKUP(A31,'Parameters Summary'!$B$2:$AB$826,8,FALSE)</f>
        <v>PHYSPROP</v>
      </c>
      <c r="N31" s="91">
        <f>VLOOKUP(A31,'Parameters Summary'!$B$2:$AB$826,6,FALSE)</f>
        <v>5.9688999999999997E-6</v>
      </c>
      <c r="O31" s="91" t="str">
        <f t="shared" si="0"/>
        <v/>
      </c>
      <c r="P31" s="91">
        <f t="shared" si="3"/>
        <v>5.9688999999999997E-6</v>
      </c>
      <c r="Q31" s="91" t="str">
        <f t="shared" si="1"/>
        <v/>
      </c>
      <c r="R31" s="91">
        <f t="shared" si="4"/>
        <v>5.9688999999999997E-6</v>
      </c>
      <c r="S31" s="91" t="str">
        <f t="shared" si="5"/>
        <v/>
      </c>
      <c r="T31" s="93">
        <f>VLOOKUP(A31,'Parameters Summary'!$B$2:$AB$826,15,FALSE)</f>
        <v>6.2101499999999997E-2</v>
      </c>
      <c r="U31" s="93" t="str">
        <f>VLOOKUP(A31,'Parameters Summary'!$B$2:$AB$826,17,FALSE)</f>
        <v>WATER9 (U.S. EPA, 2001)</v>
      </c>
      <c r="V31" s="93">
        <f>VLOOKUP(A31,'Parameters Summary'!$B$2:$AB$826,16,FALSE)</f>
        <v>7.2560999999999999E-6</v>
      </c>
      <c r="W31" s="379" t="str">
        <f>VLOOKUP(A31,'Parameters Summary'!$B$2:$AB$826,17,FALSE)</f>
        <v>WATER9 (U.S. EPA, 2001)</v>
      </c>
      <c r="X31" s="290">
        <v>575.15</v>
      </c>
      <c r="Y31" s="96" t="s">
        <v>553</v>
      </c>
      <c r="Z31" s="96">
        <v>862.72499999999991</v>
      </c>
      <c r="AA31" s="96" t="s">
        <v>2220</v>
      </c>
      <c r="AB31" s="96" t="s">
        <v>1651</v>
      </c>
      <c r="AC31" s="96"/>
      <c r="AD31" s="93">
        <f>VLOOKUP(A31,'Parameters Summary'!$B$2:$AB$826,20,FALSE)</f>
        <v>2471</v>
      </c>
      <c r="AE31" s="97" t="str">
        <f>VLOOKUP(A31,'Parameters Summary'!$B$2:$AB$826,21,FALSE)</f>
        <v>EPI</v>
      </c>
      <c r="AF31" s="97"/>
      <c r="AG31" s="94"/>
      <c r="AH31" s="92"/>
      <c r="AI31" s="94"/>
      <c r="AJ31" s="330"/>
      <c r="AL31" s="81"/>
    </row>
    <row r="32" spans="1:38" ht="12.75" customHeight="1">
      <c r="A32" s="96" t="s">
        <v>657</v>
      </c>
      <c r="B32" s="96" t="s">
        <v>982</v>
      </c>
      <c r="C32" s="96" t="str">
        <f t="shared" si="2"/>
        <v>No</v>
      </c>
      <c r="D32" s="96" t="str">
        <f>VLOOKUP(A32,'Tox Summary'!$O$3:$R$824,3,FALSE)</f>
        <v>No</v>
      </c>
      <c r="E32" s="97">
        <f>VLOOKUP(A32,'Parameters Summary'!$B$2:$AB$826,4,FALSE)</f>
        <v>109.13</v>
      </c>
      <c r="F32" s="97" t="str">
        <f>VLOOKUP(A32,'Parameters Summary'!$B$2:$AB$826,5,FALSE)</f>
        <v>PHYSPROP</v>
      </c>
      <c r="G32" s="93">
        <f>VLOOKUP(A32,'Parameters Summary'!$B$2:$AB$826,9,FALSE)</f>
        <v>9.5499999999999995E-3</v>
      </c>
      <c r="H32" s="93" t="str">
        <f>VLOOKUP(A32,'Parameters Summary'!$B$2:$AB$826,10,FALSE)</f>
        <v>PHYSPROP</v>
      </c>
      <c r="I32" s="93">
        <f>VLOOKUP(A32,'Parameters Summary'!$B$2:$AB$826,24,FALSE)</f>
        <v>27000</v>
      </c>
      <c r="J32" s="97" t="str">
        <f>VLOOKUP(A32,'Parameters Summary'!$B$2:$AB$826,25,FALSE)</f>
        <v>PHYSPROP</v>
      </c>
      <c r="K32" s="97" t="str">
        <f>VLOOKUP(A32,'Tox Summary'!$O$3:$S$827,2,FALSE)</f>
        <v/>
      </c>
      <c r="L32" s="93">
        <f>VLOOKUP(A32,'Parameters Summary'!$B$2:$AB$826,7,FALSE)</f>
        <v>1.9799999999999999E-10</v>
      </c>
      <c r="M32" s="93" t="str">
        <f>VLOOKUP(A32,'Parameters Summary'!$B$2:$AB$826,8,FALSE)</f>
        <v>PHYSPROP</v>
      </c>
      <c r="N32" s="91">
        <f>VLOOKUP(A32,'Parameters Summary'!$B$2:$AB$826,6,FALSE)</f>
        <v>8.0947999999999998E-9</v>
      </c>
      <c r="O32" s="91" t="str">
        <f t="shared" si="0"/>
        <v/>
      </c>
      <c r="P32" s="91">
        <f t="shared" si="3"/>
        <v>8.0947999999999998E-9</v>
      </c>
      <c r="Q32" s="91" t="str">
        <f t="shared" si="1"/>
        <v/>
      </c>
      <c r="R32" s="91">
        <f t="shared" si="4"/>
        <v>8.0947999999999998E-9</v>
      </c>
      <c r="S32" s="91" t="str">
        <f t="shared" si="5"/>
        <v/>
      </c>
      <c r="T32" s="93">
        <f>VLOOKUP(A32,'Parameters Summary'!$B$2:$AB$826,15,FALSE)</f>
        <v>8.3200200000000002E-2</v>
      </c>
      <c r="U32" s="93" t="str">
        <f>VLOOKUP(A32,'Parameters Summary'!$B$2:$AB$826,17,FALSE)</f>
        <v>WATER9 (U.S. EPA, 2001)</v>
      </c>
      <c r="V32" s="93">
        <f>VLOOKUP(A32,'Parameters Summary'!$B$2:$AB$826,16,FALSE)</f>
        <v>9.7212999999999996E-6</v>
      </c>
      <c r="W32" s="379" t="str">
        <f>VLOOKUP(A32,'Parameters Summary'!$B$2:$AB$826,17,FALSE)</f>
        <v>WATER9 (U.S. EPA, 2001)</v>
      </c>
      <c r="X32" s="290">
        <v>437.15</v>
      </c>
      <c r="Y32" s="96" t="s">
        <v>553</v>
      </c>
      <c r="Z32" s="96">
        <v>655.72499999999991</v>
      </c>
      <c r="AA32" s="96" t="s">
        <v>2220</v>
      </c>
      <c r="AB32" s="96" t="s">
        <v>1651</v>
      </c>
      <c r="AC32" s="96"/>
      <c r="AD32" s="93">
        <f>VLOOKUP(A32,'Parameters Summary'!$B$2:$AB$826,20,FALSE)</f>
        <v>90.2</v>
      </c>
      <c r="AE32" s="97" t="str">
        <f>VLOOKUP(A32,'Parameters Summary'!$B$2:$AB$826,21,FALSE)</f>
        <v>EPI</v>
      </c>
      <c r="AF32" s="97"/>
      <c r="AG32" s="94"/>
      <c r="AH32" s="92"/>
      <c r="AI32" s="94"/>
      <c r="AJ32" s="330"/>
      <c r="AL32" s="81"/>
    </row>
    <row r="33" spans="1:38" ht="12.75" customHeight="1">
      <c r="A33" s="96" t="s">
        <v>658</v>
      </c>
      <c r="B33" s="96" t="s">
        <v>983</v>
      </c>
      <c r="C33" s="96" t="str">
        <f t="shared" si="2"/>
        <v>No</v>
      </c>
      <c r="D33" s="96" t="str">
        <f>VLOOKUP(A33,'Tox Summary'!$O$3:$R$824,3,FALSE)</f>
        <v>No</v>
      </c>
      <c r="E33" s="97">
        <f>VLOOKUP(A33,'Parameters Summary'!$B$2:$AB$826,4,FALSE)</f>
        <v>109.13</v>
      </c>
      <c r="F33" s="97" t="str">
        <f>VLOOKUP(A33,'Parameters Summary'!$B$2:$AB$826,5,FALSE)</f>
        <v>PHYSPROP</v>
      </c>
      <c r="G33" s="93">
        <f>VLOOKUP(A33,'Parameters Summary'!$B$2:$AB$826,9,FALSE)</f>
        <v>4.0000000000000003E-5</v>
      </c>
      <c r="H33" s="93" t="str">
        <f>VLOOKUP(A33,'Parameters Summary'!$B$2:$AB$826,10,FALSE)</f>
        <v>EPI</v>
      </c>
      <c r="I33" s="93">
        <f>VLOOKUP(A33,'Parameters Summary'!$B$2:$AB$826,24,FALSE)</f>
        <v>16000</v>
      </c>
      <c r="J33" s="97" t="str">
        <f>VLOOKUP(A33,'Parameters Summary'!$B$2:$AB$826,25,FALSE)</f>
        <v>PHYSPROP</v>
      </c>
      <c r="K33" s="97" t="str">
        <f>VLOOKUP(A33,'Tox Summary'!$O$3:$S$827,2,FALSE)</f>
        <v/>
      </c>
      <c r="L33" s="93">
        <f>VLOOKUP(A33,'Parameters Summary'!$B$2:$AB$826,7,FALSE)</f>
        <v>3.59E-10</v>
      </c>
      <c r="M33" s="93" t="str">
        <f>VLOOKUP(A33,'Parameters Summary'!$B$2:$AB$826,8,FALSE)</f>
        <v>EPI</v>
      </c>
      <c r="N33" s="91">
        <f>VLOOKUP(A33,'Parameters Summary'!$B$2:$AB$826,6,FALSE)</f>
        <v>1.4677E-8</v>
      </c>
      <c r="O33" s="91" t="str">
        <f t="shared" si="0"/>
        <v/>
      </c>
      <c r="P33" s="91">
        <f t="shared" si="3"/>
        <v>1.4677E-8</v>
      </c>
      <c r="Q33" s="91" t="str">
        <f t="shared" si="1"/>
        <v/>
      </c>
      <c r="R33" s="91">
        <f t="shared" si="4"/>
        <v>1.4677E-8</v>
      </c>
      <c r="S33" s="91" t="str">
        <f t="shared" si="5"/>
        <v/>
      </c>
      <c r="T33" s="93">
        <f>VLOOKUP(A33,'Parameters Summary'!$B$2:$AB$826,15,FALSE)</f>
        <v>8.3200200000000002E-2</v>
      </c>
      <c r="U33" s="93" t="str">
        <f>VLOOKUP(A33,'Parameters Summary'!$B$2:$AB$826,17,FALSE)</f>
        <v>WATER9 (U.S. EPA, 2001)</v>
      </c>
      <c r="V33" s="93">
        <f>VLOOKUP(A33,'Parameters Summary'!$B$2:$AB$826,16,FALSE)</f>
        <v>9.7212999999999996E-6</v>
      </c>
      <c r="W33" s="379" t="str">
        <f>VLOOKUP(A33,'Parameters Summary'!$B$2:$AB$826,17,FALSE)</f>
        <v>WATER9 (U.S. EPA, 2001)</v>
      </c>
      <c r="X33" s="290">
        <v>557.15</v>
      </c>
      <c r="Y33" s="96" t="s">
        <v>553</v>
      </c>
      <c r="Z33" s="96">
        <v>835.72499999999991</v>
      </c>
      <c r="AA33" s="96" t="s">
        <v>2220</v>
      </c>
      <c r="AB33" s="96" t="s">
        <v>1651</v>
      </c>
      <c r="AC33" s="96"/>
      <c r="AD33" s="93">
        <f>VLOOKUP(A33,'Parameters Summary'!$B$2:$AB$826,20,FALSE)</f>
        <v>90.2</v>
      </c>
      <c r="AE33" s="97" t="str">
        <f>VLOOKUP(A33,'Parameters Summary'!$B$2:$AB$826,21,FALSE)</f>
        <v>EPI</v>
      </c>
      <c r="AF33" s="97"/>
      <c r="AG33" s="94"/>
      <c r="AH33" s="92"/>
      <c r="AI33" s="96" t="s">
        <v>1795</v>
      </c>
      <c r="AJ33" s="330"/>
      <c r="AL33" s="81"/>
    </row>
    <row r="34" spans="1:38" ht="12.75" customHeight="1">
      <c r="A34" s="96" t="s">
        <v>659</v>
      </c>
      <c r="B34" s="96" t="s">
        <v>984</v>
      </c>
      <c r="C34" s="96" t="str">
        <f t="shared" si="2"/>
        <v>No</v>
      </c>
      <c r="D34" s="96" t="str">
        <f>VLOOKUP(A34,'Tox Summary'!$O$3:$R$824,3,FALSE)</f>
        <v>Yes</v>
      </c>
      <c r="E34" s="97">
        <f>VLOOKUP(A34,'Parameters Summary'!$B$2:$AB$826,4,FALSE)</f>
        <v>293.42</v>
      </c>
      <c r="F34" s="97" t="str">
        <f>VLOOKUP(A34,'Parameters Summary'!$B$2:$AB$826,5,FALSE)</f>
        <v>PHYSPROP</v>
      </c>
      <c r="G34" s="93">
        <f>VLOOKUP(A34,'Parameters Summary'!$B$2:$AB$826,9,FALSE)</f>
        <v>1.9999999999999999E-6</v>
      </c>
      <c r="H34" s="93" t="str">
        <f>VLOOKUP(A34,'Parameters Summary'!$B$2:$AB$826,10,FALSE)</f>
        <v>PHYSPROP</v>
      </c>
      <c r="I34" s="93">
        <f>VLOOKUP(A34,'Parameters Summary'!$B$2:$AB$826,24,FALSE)</f>
        <v>1</v>
      </c>
      <c r="J34" s="97" t="str">
        <f>VLOOKUP(A34,'Parameters Summary'!$B$2:$AB$826,25,FALSE)</f>
        <v>PHYSPROP</v>
      </c>
      <c r="K34" s="97" t="str">
        <f>VLOOKUP(A34,'Tox Summary'!$O$3:$S$827,2,FALSE)</f>
        <v/>
      </c>
      <c r="L34" s="93">
        <f>VLOOKUP(A34,'Parameters Summary'!$B$2:$AB$826,7,FALSE)</f>
        <v>9.8700000000000004E-6</v>
      </c>
      <c r="M34" s="93" t="str">
        <f>VLOOKUP(A34,'Parameters Summary'!$B$2:$AB$826,8,FALSE)</f>
        <v>PHYSPROP</v>
      </c>
      <c r="N34" s="91">
        <f>VLOOKUP(A34,'Parameters Summary'!$B$2:$AB$826,6,FALSE)</f>
        <v>4.035E-4</v>
      </c>
      <c r="O34" s="91" t="str">
        <f t="shared" si="0"/>
        <v/>
      </c>
      <c r="P34" s="91">
        <f t="shared" si="3"/>
        <v>4.035E-4</v>
      </c>
      <c r="Q34" s="91" t="str">
        <f t="shared" si="1"/>
        <v/>
      </c>
      <c r="R34" s="91">
        <f t="shared" si="4"/>
        <v>4.035E-4</v>
      </c>
      <c r="S34" s="91" t="str">
        <f t="shared" si="5"/>
        <v/>
      </c>
      <c r="T34" s="93">
        <f>VLOOKUP(A34,'Parameters Summary'!$B$2:$AB$826,15,FALSE)</f>
        <v>2.1614299999999999E-2</v>
      </c>
      <c r="U34" s="93" t="str">
        <f>VLOOKUP(A34,'Parameters Summary'!$B$2:$AB$826,17,FALSE)</f>
        <v>WATER9 (U.S. EPA, 2001)</v>
      </c>
      <c r="V34" s="93">
        <f>VLOOKUP(A34,'Parameters Summary'!$B$2:$AB$826,16,FALSE)</f>
        <v>5.3971000000000004E-6</v>
      </c>
      <c r="W34" s="379" t="str">
        <f>VLOOKUP(A34,'Parameters Summary'!$B$2:$AB$826,17,FALSE)</f>
        <v>WATER9 (U.S. EPA, 2001)</v>
      </c>
      <c r="X34" s="347"/>
      <c r="Y34" s="96"/>
      <c r="Z34" s="96" t="s">
        <v>1653</v>
      </c>
      <c r="AA34" s="96"/>
      <c r="AB34" s="96" t="s">
        <v>1651</v>
      </c>
      <c r="AC34" s="96"/>
      <c r="AD34" s="93">
        <f>VLOOKUP(A34,'Parameters Summary'!$B$2:$AB$826,20,FALSE)</f>
        <v>257300</v>
      </c>
      <c r="AE34" s="97" t="str">
        <f>VLOOKUP(A34,'Parameters Summary'!$B$2:$AB$826,21,FALSE)</f>
        <v>EPI</v>
      </c>
      <c r="AF34" s="97"/>
      <c r="AG34" s="94"/>
      <c r="AH34" s="92"/>
      <c r="AI34" s="96"/>
      <c r="AJ34" s="330"/>
      <c r="AL34" s="81"/>
    </row>
    <row r="35" spans="1:38" ht="12.75" customHeight="1">
      <c r="A35" s="95" t="s">
        <v>660</v>
      </c>
      <c r="B35" s="96" t="s">
        <v>985</v>
      </c>
      <c r="C35" s="96" t="str">
        <f t="shared" si="2"/>
        <v>Yes</v>
      </c>
      <c r="D35" s="96" t="str">
        <f>VLOOKUP(A35,'Tox Summary'!$O$3:$R$824,3,FALSE)</f>
        <v>No</v>
      </c>
      <c r="E35" s="97">
        <f>VLOOKUP(A35,'Parameters Summary'!$B$2:$AB$826,4,FALSE)</f>
        <v>17.030999999999999</v>
      </c>
      <c r="F35" s="97" t="str">
        <f>VLOOKUP(A35,'Parameters Summary'!$B$2:$AB$826,5,FALSE)</f>
        <v>PHYSPROP</v>
      </c>
      <c r="G35" s="93">
        <f>VLOOKUP(A35,'Parameters Summary'!$B$2:$AB$826,9,FALSE)</f>
        <v>7508</v>
      </c>
      <c r="H35" s="93" t="str">
        <f>VLOOKUP(A35,'Parameters Summary'!$B$2:$AB$826,10,FALSE)</f>
        <v>PHYSPROP</v>
      </c>
      <c r="I35" s="93">
        <f>VLOOKUP(A35,'Parameters Summary'!$B$2:$AB$826,24,FALSE)</f>
        <v>482000</v>
      </c>
      <c r="J35" s="97" t="str">
        <f>VLOOKUP(A35,'Parameters Summary'!$B$2:$AB$826,25,FALSE)</f>
        <v>PHYSPROP</v>
      </c>
      <c r="K35" s="97" t="str">
        <f>VLOOKUP(A35,'Tox Summary'!$O$3:$S$827,2,FALSE)</f>
        <v/>
      </c>
      <c r="L35" s="93">
        <f>VLOOKUP(A35,'Parameters Summary'!$B$2:$AB$826,7,FALSE)</f>
        <v>1.6099999999999998E-5</v>
      </c>
      <c r="M35" s="93" t="str">
        <f>VLOOKUP(A35,'Parameters Summary'!$B$2:$AB$826,8,FALSE)</f>
        <v>PHYSPROP</v>
      </c>
      <c r="N35" s="91">
        <f>VLOOKUP(A35,'Parameters Summary'!$B$2:$AB$826,6,FALSE)</f>
        <v>6.5819999999999995E-4</v>
      </c>
      <c r="O35" s="91">
        <f t="shared" si="0"/>
        <v>6.5819999999999995E-4</v>
      </c>
      <c r="P35" s="91">
        <f t="shared" si="3"/>
        <v>6.5819999999999995E-4</v>
      </c>
      <c r="Q35" s="91">
        <f t="shared" si="1"/>
        <v>6.5819999999999995E-4</v>
      </c>
      <c r="R35" s="91">
        <f t="shared" si="4"/>
        <v>6.5819999999999995E-4</v>
      </c>
      <c r="S35" s="91">
        <f t="shared" si="5"/>
        <v>6880462051.8569279</v>
      </c>
      <c r="T35" s="93">
        <f>VLOOKUP(A35,'Parameters Summary'!$B$2:$AB$826,15,FALSE)</f>
        <v>0.2305471</v>
      </c>
      <c r="U35" s="93" t="str">
        <f>VLOOKUP(A35,'Parameters Summary'!$B$2:$AB$826,17,FALSE)</f>
        <v>WATER9 (U.S. EPA, 2001)</v>
      </c>
      <c r="V35" s="93">
        <f>VLOOKUP(A35,'Parameters Summary'!$B$2:$AB$826,16,FALSE)</f>
        <v>2.23E-5</v>
      </c>
      <c r="W35" s="379" t="str">
        <f>VLOOKUP(A35,'Parameters Summary'!$B$2:$AB$826,17,FALSE)</f>
        <v>WATER9 (U.S. EPA, 2001)</v>
      </c>
      <c r="X35" s="290">
        <v>239.79999999999998</v>
      </c>
      <c r="Y35" s="96" t="s">
        <v>2218</v>
      </c>
      <c r="Z35" s="96">
        <v>405.54999999999995</v>
      </c>
      <c r="AA35" s="96" t="s">
        <v>2218</v>
      </c>
      <c r="AB35" s="96">
        <v>5581</v>
      </c>
      <c r="AC35" s="96" t="s">
        <v>2215</v>
      </c>
      <c r="AD35" s="93" t="str">
        <f>VLOOKUP(A35,'Parameters Summary'!$B$2:$AB$826,20,FALSE)</f>
        <v xml:space="preserve"> </v>
      </c>
      <c r="AE35" s="97" t="str">
        <f>VLOOKUP(A35,'Parameters Summary'!$B$2:$AB$826,21,FALSE)</f>
        <v/>
      </c>
      <c r="AF35" s="380">
        <v>15</v>
      </c>
      <c r="AG35" s="97" t="s">
        <v>302</v>
      </c>
      <c r="AH35" s="92"/>
      <c r="AI35" s="96"/>
      <c r="AJ35" s="330"/>
      <c r="AL35" s="81"/>
    </row>
    <row r="36" spans="1:38" ht="12.75" customHeight="1">
      <c r="A36" s="96" t="s">
        <v>661</v>
      </c>
      <c r="B36" s="96" t="s">
        <v>2376</v>
      </c>
      <c r="C36" s="96" t="str">
        <f t="shared" si="2"/>
        <v>No</v>
      </c>
      <c r="D36" s="96" t="str">
        <f>VLOOKUP(A36,'Tox Summary'!$O$3:$R$824,3,FALSE)</f>
        <v>Yes</v>
      </c>
      <c r="E36" s="97">
        <f>VLOOKUP(A36,'Parameters Summary'!$B$2:$AB$826,4,FALSE)</f>
        <v>117.49</v>
      </c>
      <c r="F36" s="97" t="str">
        <f>VLOOKUP(A36,'Parameters Summary'!$B$2:$AB$826,5,FALSE)</f>
        <v>PHYSPROP</v>
      </c>
      <c r="G36" s="93" t="s">
        <v>2439</v>
      </c>
      <c r="H36" s="93" t="str">
        <f>VLOOKUP(A36,'Parameters Summary'!$B$2:$AB$826,10,FALSE)</f>
        <v/>
      </c>
      <c r="I36" s="93">
        <f>VLOOKUP(A36,'Parameters Summary'!$B$2:$AB$826,24,FALSE)</f>
        <v>245000</v>
      </c>
      <c r="J36" s="97" t="str">
        <f>VLOOKUP(A36,'Parameters Summary'!$B$2:$AB$826,25,FALSE)</f>
        <v>PHYSPROP</v>
      </c>
      <c r="K36" s="97" t="str">
        <f>VLOOKUP(A36,'Tox Summary'!$O$3:$S$827,2,FALSE)</f>
        <v/>
      </c>
      <c r="L36" s="93" t="s">
        <v>2298</v>
      </c>
      <c r="M36" s="93" t="str">
        <f>VLOOKUP(A36,'Parameters Summary'!$B$2:$AB$826,8,FALSE)</f>
        <v/>
      </c>
      <c r="N36" s="91" t="str">
        <f>VLOOKUP(A36,'Parameters Summary'!$B$2:$AB$826,6,FALSE)</f>
        <v xml:space="preserve"> </v>
      </c>
      <c r="O36" s="91" t="str">
        <f t="shared" si="0"/>
        <v/>
      </c>
      <c r="P36" s="91" t="str">
        <f t="shared" si="3"/>
        <v xml:space="preserve"> </v>
      </c>
      <c r="Q36" s="91" t="str">
        <f t="shared" si="1"/>
        <v/>
      </c>
      <c r="R36" s="91" t="str">
        <f t="shared" si="4"/>
        <v xml:space="preserve"> </v>
      </c>
      <c r="S36" s="91" t="str">
        <f t="shared" si="5"/>
        <v/>
      </c>
      <c r="T36" s="93" t="str">
        <f>VLOOKUP(A36,'Parameters Summary'!$B$2:$AB$826,15,FALSE)</f>
        <v xml:space="preserve"> </v>
      </c>
      <c r="U36" s="93" t="str">
        <f>VLOOKUP(A36,'Parameters Summary'!$B$2:$AB$826,17,FALSE)</f>
        <v/>
      </c>
      <c r="V36" s="93" t="str">
        <f>VLOOKUP(A36,'Parameters Summary'!$B$2:$AB$826,16,FALSE)</f>
        <v xml:space="preserve"> </v>
      </c>
      <c r="W36" s="379" t="str">
        <f>VLOOKUP(A36,'Parameters Summary'!$B$2:$AB$826,17,FALSE)</f>
        <v/>
      </c>
      <c r="X36" s="347"/>
      <c r="Y36" s="96"/>
      <c r="Z36" s="96" t="s">
        <v>1653</v>
      </c>
      <c r="AA36" s="96"/>
      <c r="AB36" s="96" t="s">
        <v>1651</v>
      </c>
      <c r="AC36" s="96"/>
      <c r="AD36" s="93" t="str">
        <f>VLOOKUP(A36,'Parameters Summary'!$B$2:$AB$826,20,FALSE)</f>
        <v xml:space="preserve"> </v>
      </c>
      <c r="AE36" s="97" t="str">
        <f>VLOOKUP(A36,'Parameters Summary'!$B$2:$AB$826,21,FALSE)</f>
        <v/>
      </c>
      <c r="AF36" s="97"/>
      <c r="AG36" s="94"/>
      <c r="AH36" s="92"/>
      <c r="AI36" s="94"/>
      <c r="AJ36" s="330"/>
      <c r="AL36" s="81"/>
    </row>
    <row r="37" spans="1:38" ht="12.75" customHeight="1">
      <c r="A37" s="96" t="s">
        <v>1582</v>
      </c>
      <c r="B37" s="96" t="s">
        <v>2382</v>
      </c>
      <c r="C37" s="96" t="str">
        <f t="shared" si="2"/>
        <v>No</v>
      </c>
      <c r="D37" s="96" t="str">
        <f>VLOOKUP(A37,'Tox Summary'!$O$3:$R$824,3,FALSE)</f>
        <v>No</v>
      </c>
      <c r="E37" s="97" t="str">
        <f>VLOOKUP(A37,'Parameters Summary'!$B$2:$AB$826,4,FALSE)</f>
        <v xml:space="preserve"> </v>
      </c>
      <c r="F37" s="97" t="str">
        <f>VLOOKUP(A37,'Parameters Summary'!$B$2:$AB$826,5,FALSE)</f>
        <v/>
      </c>
      <c r="G37" s="93" t="s">
        <v>2439</v>
      </c>
      <c r="H37" s="93" t="str">
        <f>VLOOKUP(A37,'Parameters Summary'!$B$2:$AB$826,10,FALSE)</f>
        <v/>
      </c>
      <c r="I37" s="93" t="s">
        <v>2440</v>
      </c>
      <c r="J37" s="97" t="str">
        <f>VLOOKUP(A37,'Parameters Summary'!$B$2:$AB$826,25,FALSE)</f>
        <v/>
      </c>
      <c r="K37" s="97" t="str">
        <f>VLOOKUP(A37,'Tox Summary'!$O$3:$S$827,2,FALSE)</f>
        <v/>
      </c>
      <c r="L37" s="93" t="s">
        <v>2298</v>
      </c>
      <c r="M37" s="93" t="str">
        <f>VLOOKUP(A37,'Parameters Summary'!$B$2:$AB$826,8,FALSE)</f>
        <v/>
      </c>
      <c r="N37" s="91" t="str">
        <f>VLOOKUP(A37,'Parameters Summary'!$B$2:$AB$826,6,FALSE)</f>
        <v xml:space="preserve"> </v>
      </c>
      <c r="O37" s="91" t="str">
        <f t="shared" si="0"/>
        <v/>
      </c>
      <c r="P37" s="91" t="str">
        <f t="shared" si="3"/>
        <v xml:space="preserve"> </v>
      </c>
      <c r="Q37" s="91" t="str">
        <f t="shared" si="1"/>
        <v/>
      </c>
      <c r="R37" s="91" t="str">
        <f t="shared" si="4"/>
        <v xml:space="preserve"> </v>
      </c>
      <c r="S37" s="91" t="str">
        <f t="shared" si="5"/>
        <v/>
      </c>
      <c r="T37" s="93" t="str">
        <f>VLOOKUP(A37,'Parameters Summary'!$B$2:$AB$826,15,FALSE)</f>
        <v xml:space="preserve"> </v>
      </c>
      <c r="U37" s="93" t="str">
        <f>VLOOKUP(A37,'Parameters Summary'!$B$2:$AB$826,17,FALSE)</f>
        <v/>
      </c>
      <c r="V37" s="93" t="str">
        <f>VLOOKUP(A37,'Parameters Summary'!$B$2:$AB$826,16,FALSE)</f>
        <v xml:space="preserve"> </v>
      </c>
      <c r="W37" s="379" t="str">
        <f>VLOOKUP(A37,'Parameters Summary'!$B$2:$AB$826,17,FALSE)</f>
        <v/>
      </c>
      <c r="X37" s="347"/>
      <c r="Y37" s="96"/>
      <c r="Z37" s="96" t="s">
        <v>1653</v>
      </c>
      <c r="AA37" s="96"/>
      <c r="AB37" s="96" t="s">
        <v>1651</v>
      </c>
      <c r="AC37" s="96"/>
      <c r="AD37" s="93" t="str">
        <f>VLOOKUP(A37,'Parameters Summary'!$B$2:$AB$826,20,FALSE)</f>
        <v xml:space="preserve"> </v>
      </c>
      <c r="AE37" s="97" t="str">
        <f>VLOOKUP(A37,'Parameters Summary'!$B$2:$AB$826,21,FALSE)</f>
        <v/>
      </c>
      <c r="AF37" s="97"/>
      <c r="AG37" s="94"/>
      <c r="AH37" s="92"/>
      <c r="AI37" s="94"/>
      <c r="AJ37" s="330"/>
      <c r="AL37" s="81"/>
    </row>
    <row r="38" spans="1:38" ht="12.75" customHeight="1">
      <c r="A38" s="96" t="s">
        <v>662</v>
      </c>
      <c r="B38" s="96" t="s">
        <v>986</v>
      </c>
      <c r="C38" s="96" t="str">
        <f t="shared" si="2"/>
        <v>No</v>
      </c>
      <c r="D38" s="96" t="str">
        <f>VLOOKUP(A38,'Tox Summary'!$O$3:$R$824,3,FALSE)</f>
        <v>Yes</v>
      </c>
      <c r="E38" s="97">
        <f>VLOOKUP(A38,'Parameters Summary'!$B$2:$AB$826,4,FALSE)</f>
        <v>114.124</v>
      </c>
      <c r="F38" s="97" t="str">
        <f>VLOOKUP(A38,'Parameters Summary'!$B$2:$AB$826,5,FALSE)</f>
        <v>CRC89</v>
      </c>
      <c r="G38" s="93">
        <f>VLOOKUP(A38,'Parameters Summary'!$B$2:$AB$826,9,FALSE)</f>
        <v>0</v>
      </c>
      <c r="H38" s="93" t="str">
        <f>VLOOKUP(A38,'Parameters Summary'!$B$2:$AB$826,10,FALSE)</f>
        <v>NIOSH</v>
      </c>
      <c r="I38" s="93">
        <f>VLOOKUP(A38,'Parameters Summary'!$B$2:$AB$826,24,FALSE)</f>
        <v>1340000</v>
      </c>
      <c r="J38" s="97" t="str">
        <f>VLOOKUP(A38,'Parameters Summary'!$B$2:$AB$826,25,FALSE)</f>
        <v>PERRY</v>
      </c>
      <c r="K38" s="97" t="str">
        <f>VLOOKUP(A38,'Tox Summary'!$O$3:$S$827,2,FALSE)</f>
        <v/>
      </c>
      <c r="L38" s="93" t="str">
        <f>VLOOKUP(A38,'Parameters Summary'!$B$2:$AB$826,7,FALSE)</f>
        <v xml:space="preserve"> </v>
      </c>
      <c r="M38" s="93" t="str">
        <f>VLOOKUP(A38,'Parameters Summary'!$B$2:$AB$826,8,FALSE)</f>
        <v/>
      </c>
      <c r="N38" s="91" t="str">
        <f>VLOOKUP(A38,'Parameters Summary'!$B$2:$AB$826,6,FALSE)</f>
        <v xml:space="preserve"> </v>
      </c>
      <c r="O38" s="91" t="str">
        <f t="shared" si="0"/>
        <v/>
      </c>
      <c r="P38" s="91" t="str">
        <f t="shared" si="3"/>
        <v xml:space="preserve"> </v>
      </c>
      <c r="Q38" s="91" t="str">
        <f t="shared" si="1"/>
        <v/>
      </c>
      <c r="R38" s="91" t="str">
        <f t="shared" si="4"/>
        <v xml:space="preserve"> </v>
      </c>
      <c r="S38" s="91" t="str">
        <f t="shared" si="5"/>
        <v/>
      </c>
      <c r="T38" s="93" t="str">
        <f>VLOOKUP(A38,'Parameters Summary'!$B$2:$AB$826,15,FALSE)</f>
        <v xml:space="preserve"> </v>
      </c>
      <c r="U38" s="93" t="str">
        <f>VLOOKUP(A38,'Parameters Summary'!$B$2:$AB$826,17,FALSE)</f>
        <v/>
      </c>
      <c r="V38" s="93" t="str">
        <f>VLOOKUP(A38,'Parameters Summary'!$B$2:$AB$826,16,FALSE)</f>
        <v xml:space="preserve"> </v>
      </c>
      <c r="W38" s="379" t="str">
        <f>VLOOKUP(A38,'Parameters Summary'!$B$2:$AB$826,17,FALSE)</f>
        <v/>
      </c>
      <c r="X38" s="347"/>
      <c r="Y38" s="96"/>
      <c r="Z38" s="96" t="s">
        <v>1653</v>
      </c>
      <c r="AA38" s="96"/>
      <c r="AB38" s="96" t="s">
        <v>1651</v>
      </c>
      <c r="AC38" s="96"/>
      <c r="AD38" s="93" t="str">
        <f>VLOOKUP(A38,'Parameters Summary'!$B$2:$AB$826,20,FALSE)</f>
        <v xml:space="preserve"> </v>
      </c>
      <c r="AE38" s="97" t="str">
        <f>VLOOKUP(A38,'Parameters Summary'!$B$2:$AB$826,21,FALSE)</f>
        <v/>
      </c>
      <c r="AF38" s="97"/>
      <c r="AG38" s="94"/>
      <c r="AH38" s="92"/>
      <c r="AI38" s="94" t="s">
        <v>388</v>
      </c>
      <c r="AJ38" s="330"/>
      <c r="AL38" s="81"/>
    </row>
    <row r="39" spans="1:38" ht="12.75" customHeight="1">
      <c r="A39" s="95" t="s">
        <v>2041</v>
      </c>
      <c r="B39" s="96" t="s">
        <v>2040</v>
      </c>
      <c r="C39" s="96" t="str">
        <f t="shared" si="2"/>
        <v>Yes</v>
      </c>
      <c r="D39" s="96" t="str">
        <f>VLOOKUP(A39,'Tox Summary'!$O$3:$R$824,3,FALSE)</f>
        <v>Yes</v>
      </c>
      <c r="E39" s="97">
        <f>VLOOKUP(A39,'Parameters Summary'!$B$2:$AB$826,4,FALSE)</f>
        <v>88.150999999999996</v>
      </c>
      <c r="F39" s="97" t="str">
        <f>VLOOKUP(A39,'Parameters Summary'!$B$2:$AB$826,5,FALSE)</f>
        <v>PHYSPROP</v>
      </c>
      <c r="G39" s="93">
        <f>VLOOKUP(A39,'Parameters Summary'!$B$2:$AB$826,9,FALSE)</f>
        <v>16.7</v>
      </c>
      <c r="H39" s="93" t="str">
        <f>VLOOKUP(A39,'Parameters Summary'!$B$2:$AB$826,10,FALSE)</f>
        <v>PHYSPROP</v>
      </c>
      <c r="I39" s="93">
        <f>VLOOKUP(A39,'Parameters Summary'!$B$2:$AB$826,24,FALSE)</f>
        <v>110000</v>
      </c>
      <c r="J39" s="97" t="str">
        <f>VLOOKUP(A39,'Parameters Summary'!$B$2:$AB$826,25,FALSE)</f>
        <v>PHYSPROP</v>
      </c>
      <c r="K39" s="97" t="str">
        <f>VLOOKUP(A39,'Tox Summary'!$O$3:$S$827,2,FALSE)</f>
        <v/>
      </c>
      <c r="L39" s="93">
        <f>VLOOKUP(A39,'Parameters Summary'!$B$2:$AB$826,7,FALSE)</f>
        <v>1.38E-5</v>
      </c>
      <c r="M39" s="93" t="str">
        <f>VLOOKUP(A39,'Parameters Summary'!$B$2:$AB$826,8,FALSE)</f>
        <v>PHYSPROP</v>
      </c>
      <c r="N39" s="91">
        <f>VLOOKUP(A39,'Parameters Summary'!$B$2:$AB$826,6,FALSE)</f>
        <v>5.6420000000000005E-4</v>
      </c>
      <c r="O39" s="91">
        <f t="shared" si="0"/>
        <v>5.6420000000000005E-4</v>
      </c>
      <c r="P39" s="91">
        <f t="shared" si="3"/>
        <v>5.6420000000000005E-4</v>
      </c>
      <c r="Q39" s="91">
        <f t="shared" si="1"/>
        <v>5.6420000000000005E-4</v>
      </c>
      <c r="R39" s="91">
        <f t="shared" si="4"/>
        <v>5.6420000000000005E-4</v>
      </c>
      <c r="S39" s="91">
        <f t="shared" si="5"/>
        <v>79213080.999003053</v>
      </c>
      <c r="T39" s="93">
        <f>VLOOKUP(A39,'Parameters Summary'!$B$2:$AB$826,15,FALSE)</f>
        <v>7.8544699999999995E-2</v>
      </c>
      <c r="U39" s="93" t="str">
        <f>VLOOKUP(A39,'Parameters Summary'!$B$2:$AB$826,17,FALSE)</f>
        <v>WATER9 (U.S. EPA, 2001)</v>
      </c>
      <c r="V39" s="93">
        <f>VLOOKUP(A39,'Parameters Summary'!$B$2:$AB$826,16,FALSE)</f>
        <v>9.1012000000000002E-6</v>
      </c>
      <c r="W39" s="379" t="str">
        <f>VLOOKUP(A39,'Parameters Summary'!$B$2:$AB$826,17,FALSE)</f>
        <v>WATER9 (U.S. EPA, 2001)</v>
      </c>
      <c r="X39" s="290">
        <v>375.54999999999995</v>
      </c>
      <c r="Y39" s="96" t="s">
        <v>553</v>
      </c>
      <c r="Z39" s="96">
        <v>545.15</v>
      </c>
      <c r="AA39" s="96" t="s">
        <v>2215</v>
      </c>
      <c r="AB39" s="96">
        <v>9586.5200764818346</v>
      </c>
      <c r="AC39" s="96" t="s">
        <v>2218</v>
      </c>
      <c r="AD39" s="93">
        <f>VLOOKUP(A39,'Parameters Summary'!$B$2:$AB$826,20,FALSE)</f>
        <v>4.1379999999999999</v>
      </c>
      <c r="AE39" s="97" t="str">
        <f>VLOOKUP(A39,'Parameters Summary'!$B$2:$AB$826,21,FALSE)</f>
        <v>EPI</v>
      </c>
      <c r="AF39" s="97">
        <v>1.3</v>
      </c>
      <c r="AG39" s="97" t="s">
        <v>522</v>
      </c>
      <c r="AH39" s="92"/>
      <c r="AI39" s="94" t="s">
        <v>1426</v>
      </c>
      <c r="AJ39" s="330"/>
      <c r="AL39" s="81"/>
    </row>
    <row r="40" spans="1:38" ht="12.75" customHeight="1">
      <c r="A40" s="96" t="s">
        <v>663</v>
      </c>
      <c r="B40" s="96" t="s">
        <v>1433</v>
      </c>
      <c r="C40" s="96" t="str">
        <f t="shared" si="2"/>
        <v>No</v>
      </c>
      <c r="D40" s="96" t="str">
        <f>VLOOKUP(A40,'Tox Summary'!$O$3:$R$824,3,FALSE)</f>
        <v>No</v>
      </c>
      <c r="E40" s="97">
        <f>VLOOKUP(A40,'Parameters Summary'!$B$2:$AB$826,4,FALSE)</f>
        <v>93.129000000000005</v>
      </c>
      <c r="F40" s="97" t="str">
        <f>VLOOKUP(A40,'Parameters Summary'!$B$2:$AB$826,5,FALSE)</f>
        <v>PHYSPROP</v>
      </c>
      <c r="G40" s="93">
        <f>VLOOKUP(A40,'Parameters Summary'!$B$2:$AB$826,9,FALSE)</f>
        <v>0.66700000000000004</v>
      </c>
      <c r="H40" s="93" t="str">
        <f>VLOOKUP(A40,'Parameters Summary'!$B$2:$AB$826,10,FALSE)</f>
        <v>PHYSPROP</v>
      </c>
      <c r="I40" s="93">
        <f>VLOOKUP(A40,'Parameters Summary'!$B$2:$AB$826,24,FALSE)</f>
        <v>36000</v>
      </c>
      <c r="J40" s="97" t="str">
        <f>VLOOKUP(A40,'Parameters Summary'!$B$2:$AB$826,25,FALSE)</f>
        <v>PHYSPROP</v>
      </c>
      <c r="K40" s="97" t="str">
        <f>VLOOKUP(A40,'Tox Summary'!$O$3:$S$827,2,FALSE)</f>
        <v/>
      </c>
      <c r="L40" s="93">
        <f>VLOOKUP(A40,'Parameters Summary'!$B$2:$AB$826,7,FALSE)</f>
        <v>2.0200000000000001E-6</v>
      </c>
      <c r="M40" s="93" t="str">
        <f>VLOOKUP(A40,'Parameters Summary'!$B$2:$AB$826,8,FALSE)</f>
        <v>PHYSPROP</v>
      </c>
      <c r="N40" s="91">
        <f>VLOOKUP(A40,'Parameters Summary'!$B$2:$AB$826,6,FALSE)</f>
        <v>8.2600000000000002E-5</v>
      </c>
      <c r="O40" s="91" t="str">
        <f t="shared" si="0"/>
        <v/>
      </c>
      <c r="P40" s="91">
        <f t="shared" si="3"/>
        <v>8.2600000000000002E-5</v>
      </c>
      <c r="Q40" s="91" t="str">
        <f t="shared" si="1"/>
        <v/>
      </c>
      <c r="R40" s="91">
        <f t="shared" si="4"/>
        <v>8.2600000000000002E-5</v>
      </c>
      <c r="S40" s="91" t="str">
        <f t="shared" si="5"/>
        <v/>
      </c>
      <c r="T40" s="93">
        <f>VLOOKUP(A40,'Parameters Summary'!$B$2:$AB$826,15,FALSE)</f>
        <v>8.3012199999999994E-2</v>
      </c>
      <c r="U40" s="93" t="str">
        <f>VLOOKUP(A40,'Parameters Summary'!$B$2:$AB$826,17,FALSE)</f>
        <v>WATER9 (U.S. EPA, 2001)</v>
      </c>
      <c r="V40" s="93">
        <f>VLOOKUP(A40,'Parameters Summary'!$B$2:$AB$826,16,FALSE)</f>
        <v>1.01E-5</v>
      </c>
      <c r="W40" s="379" t="str">
        <f>VLOOKUP(A40,'Parameters Summary'!$B$2:$AB$826,17,FALSE)</f>
        <v>WATER9 (U.S. EPA, 2001)</v>
      </c>
      <c r="X40" s="290">
        <v>457.31999999999994</v>
      </c>
      <c r="Y40" s="96" t="s">
        <v>553</v>
      </c>
      <c r="Z40" s="96">
        <v>685.9799999999999</v>
      </c>
      <c r="AA40" s="96" t="s">
        <v>2220</v>
      </c>
      <c r="AB40" s="96" t="s">
        <v>1651</v>
      </c>
      <c r="AC40" s="96"/>
      <c r="AD40" s="93">
        <f>VLOOKUP(A40,'Parameters Summary'!$B$2:$AB$826,20,FALSE)</f>
        <v>70.23</v>
      </c>
      <c r="AE40" s="97" t="str">
        <f>VLOOKUP(A40,'Parameters Summary'!$B$2:$AB$826,21,FALSE)</f>
        <v>EPI</v>
      </c>
      <c r="AF40" s="97"/>
      <c r="AG40" s="94"/>
      <c r="AH40" s="92"/>
      <c r="AI40" s="94"/>
      <c r="AJ40" s="330"/>
      <c r="AL40" s="81"/>
    </row>
    <row r="41" spans="1:38" ht="12.75" customHeight="1">
      <c r="A41" s="95" t="s">
        <v>202</v>
      </c>
      <c r="B41" s="96" t="s">
        <v>2326</v>
      </c>
      <c r="C41" s="96" t="str">
        <f t="shared" si="2"/>
        <v>Yes</v>
      </c>
      <c r="D41" s="96" t="s">
        <v>2433</v>
      </c>
      <c r="E41" s="97">
        <f>VLOOKUP(A41,'Parameters Summary'!$B$2:$AB$826,4,FALSE)</f>
        <v>178.24</v>
      </c>
      <c r="F41" s="97" t="str">
        <f>VLOOKUP(A41,'Parameters Summary'!$B$2:$AB$826,5,FALSE)</f>
        <v>PHYSPROP</v>
      </c>
      <c r="G41" s="93">
        <f>VLOOKUP(A41,'Parameters Summary'!$B$2:$AB$826,9,FALSE)</f>
        <v>6.5300000000000002E-6</v>
      </c>
      <c r="H41" s="93" t="str">
        <f>VLOOKUP(A41,'Parameters Summary'!$B$2:$AB$826,10,FALSE)</f>
        <v>EPI</v>
      </c>
      <c r="I41" s="93">
        <f>VLOOKUP(A41,'Parameters Summary'!$B$2:$AB$826,24,FALSE)</f>
        <v>4.3400000000000001E-2</v>
      </c>
      <c r="J41" s="97" t="str">
        <f>VLOOKUP(A41,'Parameters Summary'!$B$2:$AB$826,25,FALSE)</f>
        <v>PHYSPROP</v>
      </c>
      <c r="K41" s="97" t="str">
        <f>VLOOKUP(A41,'Tox Summary'!$O$3:$S$827,2,FALSE)</f>
        <v/>
      </c>
      <c r="L41" s="93">
        <f>VLOOKUP(A41,'Parameters Summary'!$B$2:$AB$826,7,FALSE)</f>
        <v>5.5600000000000003E-5</v>
      </c>
      <c r="M41" s="93" t="str">
        <f>VLOOKUP(A41,'Parameters Summary'!$B$2:$AB$826,8,FALSE)</f>
        <v>PHYSPROP</v>
      </c>
      <c r="N41" s="91">
        <f>VLOOKUP(A41,'Parameters Summary'!$B$2:$AB$826,6,FALSE)</f>
        <v>2.2731000000000001E-3</v>
      </c>
      <c r="O41" s="91">
        <f t="shared" si="0"/>
        <v>2.2731000000000001E-3</v>
      </c>
      <c r="P41" s="91">
        <f t="shared" si="3"/>
        <v>2.2731000000000001E-3</v>
      </c>
      <c r="Q41" s="91">
        <f t="shared" si="1"/>
        <v>2.2731000000000001E-3</v>
      </c>
      <c r="R41" s="91">
        <f t="shared" si="4"/>
        <v>2.2731000000000001E-3</v>
      </c>
      <c r="S41" s="91">
        <f t="shared" si="5"/>
        <v>62.628433035748927</v>
      </c>
      <c r="T41" s="93">
        <f>VLOOKUP(A41,'Parameters Summary'!$B$2:$AB$826,15,FALSE)</f>
        <v>3.89732E-2</v>
      </c>
      <c r="U41" s="93" t="str">
        <f>VLOOKUP(A41,'Parameters Summary'!$B$2:$AB$826,17,FALSE)</f>
        <v>WATER9 (U.S. EPA, 2001)</v>
      </c>
      <c r="V41" s="93">
        <f>VLOOKUP(A41,'Parameters Summary'!$B$2:$AB$826,16,FALSE)</f>
        <v>7.8522999999999993E-6</v>
      </c>
      <c r="W41" s="379" t="str">
        <f>VLOOKUP(A41,'Parameters Summary'!$B$2:$AB$826,17,FALSE)</f>
        <v>WATER9 (U.S. EPA, 2001)</v>
      </c>
      <c r="X41" s="290">
        <v>612.9</v>
      </c>
      <c r="Y41" s="96" t="s">
        <v>553</v>
      </c>
      <c r="Z41" s="96">
        <v>873</v>
      </c>
      <c r="AA41" s="96" t="s">
        <v>2227</v>
      </c>
      <c r="AB41" s="96">
        <v>13121</v>
      </c>
      <c r="AC41" s="96" t="s">
        <v>2227</v>
      </c>
      <c r="AD41" s="93">
        <f>VLOOKUP(A41,'Parameters Summary'!$B$2:$AB$826,20,FALSE)</f>
        <v>16360</v>
      </c>
      <c r="AE41" s="97" t="str">
        <f>VLOOKUP(A41,'Parameters Summary'!$B$2:$AB$826,21,FALSE)</f>
        <v>EPI</v>
      </c>
      <c r="AF41" s="97">
        <v>0.6</v>
      </c>
      <c r="AG41" s="97" t="s">
        <v>522</v>
      </c>
      <c r="AH41" s="92"/>
      <c r="AI41" s="94"/>
      <c r="AJ41" s="330"/>
      <c r="AL41" s="81"/>
    </row>
    <row r="42" spans="1:38" ht="12.75" customHeight="1">
      <c r="A42" s="96" t="s">
        <v>1558</v>
      </c>
      <c r="B42" s="96" t="s">
        <v>1557</v>
      </c>
      <c r="C42" s="96" t="str">
        <f t="shared" si="2"/>
        <v>No</v>
      </c>
      <c r="D42" s="96" t="str">
        <f>VLOOKUP(A42,'Tox Summary'!$O$3:$R$824,3,FALSE)</f>
        <v>No</v>
      </c>
      <c r="E42" s="97">
        <f>VLOOKUP(A42,'Parameters Summary'!$B$2:$AB$826,4,FALSE)</f>
        <v>208.22</v>
      </c>
      <c r="F42" s="97" t="str">
        <f>VLOOKUP(A42,'Parameters Summary'!$B$2:$AB$826,5,FALSE)</f>
        <v>PHYSPROP</v>
      </c>
      <c r="G42" s="93">
        <f>VLOOKUP(A42,'Parameters Summary'!$B$2:$AB$826,9,FALSE)</f>
        <v>1.1600000000000001E-7</v>
      </c>
      <c r="H42" s="93" t="str">
        <f>VLOOKUP(A42,'Parameters Summary'!$B$2:$AB$826,10,FALSE)</f>
        <v>PHYSPROP</v>
      </c>
      <c r="I42" s="93">
        <f>VLOOKUP(A42,'Parameters Summary'!$B$2:$AB$826,24,FALSE)</f>
        <v>1.35</v>
      </c>
      <c r="J42" s="97" t="str">
        <f>VLOOKUP(A42,'Parameters Summary'!$B$2:$AB$826,25,FALSE)</f>
        <v>PHYSPROP</v>
      </c>
      <c r="K42" s="97" t="str">
        <f>VLOOKUP(A42,'Tox Summary'!$O$3:$S$827,2,FALSE)</f>
        <v/>
      </c>
      <c r="L42" s="93">
        <f>VLOOKUP(A42,'Parameters Summary'!$B$2:$AB$826,7,FALSE)</f>
        <v>2.3499999999999999E-8</v>
      </c>
      <c r="M42" s="93" t="str">
        <f>VLOOKUP(A42,'Parameters Summary'!$B$2:$AB$826,8,FALSE)</f>
        <v>EPI</v>
      </c>
      <c r="N42" s="91">
        <f>VLOOKUP(A42,'Parameters Summary'!$B$2:$AB$826,6,FALSE)</f>
        <v>9.6099999999999999E-7</v>
      </c>
      <c r="O42" s="91" t="str">
        <f t="shared" si="0"/>
        <v/>
      </c>
      <c r="P42" s="91">
        <f t="shared" si="3"/>
        <v>9.6099999999999999E-7</v>
      </c>
      <c r="Q42" s="91" t="str">
        <f t="shared" si="1"/>
        <v/>
      </c>
      <c r="R42" s="91">
        <f t="shared" si="4"/>
        <v>9.6099999999999999E-7</v>
      </c>
      <c r="S42" s="91" t="str">
        <f t="shared" si="5"/>
        <v/>
      </c>
      <c r="T42" s="93">
        <f>VLOOKUP(A42,'Parameters Summary'!$B$2:$AB$826,15,FALSE)</f>
        <v>5.4084399999999998E-2</v>
      </c>
      <c r="U42" s="93" t="str">
        <f>VLOOKUP(A42,'Parameters Summary'!$B$2:$AB$826,17,FALSE)</f>
        <v>WATER9 (U.S. EPA, 2001)</v>
      </c>
      <c r="V42" s="93">
        <f>VLOOKUP(A42,'Parameters Summary'!$B$2:$AB$826,16,FALSE)</f>
        <v>6.3192999999999998E-6</v>
      </c>
      <c r="W42" s="379" t="str">
        <f>VLOOKUP(A42,'Parameters Summary'!$B$2:$AB$826,17,FALSE)</f>
        <v>WATER9 (U.S. EPA, 2001)</v>
      </c>
      <c r="X42" s="290">
        <v>650.15</v>
      </c>
      <c r="Y42" s="96" t="s">
        <v>553</v>
      </c>
      <c r="Z42" s="96">
        <v>975.22499999999991</v>
      </c>
      <c r="AA42" s="96" t="s">
        <v>2220</v>
      </c>
      <c r="AB42" s="96" t="s">
        <v>1651</v>
      </c>
      <c r="AC42" s="96"/>
      <c r="AD42" s="93">
        <f>VLOOKUP(A42,'Parameters Summary'!$B$2:$AB$826,20,FALSE)</f>
        <v>5012</v>
      </c>
      <c r="AE42" s="97" t="str">
        <f>VLOOKUP(A42,'Parameters Summary'!$B$2:$AB$826,21,FALSE)</f>
        <v>EPI</v>
      </c>
      <c r="AF42" s="97"/>
      <c r="AG42" s="94"/>
      <c r="AH42" s="92"/>
      <c r="AI42" s="94"/>
      <c r="AJ42" s="330"/>
      <c r="AL42" s="81"/>
    </row>
    <row r="43" spans="1:38" ht="12.75" customHeight="1">
      <c r="A43" s="96" t="s">
        <v>664</v>
      </c>
      <c r="B43" s="96" t="s">
        <v>987</v>
      </c>
      <c r="C43" s="96" t="str">
        <f t="shared" si="2"/>
        <v>No</v>
      </c>
      <c r="D43" s="96" t="str">
        <f>VLOOKUP(A43,'Tox Summary'!$O$3:$R$824,3,FALSE)</f>
        <v>No</v>
      </c>
      <c r="E43" s="97">
        <f>VLOOKUP(A43,'Parameters Summary'!$B$2:$AB$826,4,FALSE)</f>
        <v>121.76</v>
      </c>
      <c r="F43" s="97" t="str">
        <f>VLOOKUP(A43,'Parameters Summary'!$B$2:$AB$826,5,FALSE)</f>
        <v>CRC89</v>
      </c>
      <c r="G43" s="93">
        <f>VLOOKUP(A43,'Parameters Summary'!$B$2:$AB$826,9,FALSE)</f>
        <v>0</v>
      </c>
      <c r="H43" s="93" t="str">
        <f>VLOOKUP(A43,'Parameters Summary'!$B$2:$AB$826,10,FALSE)</f>
        <v>NIOSH</v>
      </c>
      <c r="I43" s="93" t="s">
        <v>2440</v>
      </c>
      <c r="J43" s="97" t="str">
        <f>VLOOKUP(A43,'Parameters Summary'!$B$2:$AB$826,25,FALSE)</f>
        <v/>
      </c>
      <c r="K43" s="97">
        <f>VLOOKUP(A43,'Tox Summary'!$O$3:$S$827,2,FALSE)</f>
        <v>6</v>
      </c>
      <c r="L43" s="93" t="str">
        <f>VLOOKUP(A43,'Parameters Summary'!$B$2:$AB$826,7,FALSE)</f>
        <v xml:space="preserve"> </v>
      </c>
      <c r="M43" s="93" t="str">
        <f>VLOOKUP(A43,'Parameters Summary'!$B$2:$AB$826,8,FALSE)</f>
        <v/>
      </c>
      <c r="N43" s="91" t="str">
        <f>VLOOKUP(A43,'Parameters Summary'!$B$2:$AB$826,6,FALSE)</f>
        <v xml:space="preserve"> </v>
      </c>
      <c r="O43" s="91" t="str">
        <f t="shared" si="0"/>
        <v/>
      </c>
      <c r="P43" s="91" t="str">
        <f t="shared" si="3"/>
        <v xml:space="preserve"> </v>
      </c>
      <c r="Q43" s="91" t="str">
        <f t="shared" si="1"/>
        <v/>
      </c>
      <c r="R43" s="91" t="str">
        <f t="shared" si="4"/>
        <v xml:space="preserve"> </v>
      </c>
      <c r="S43" s="91" t="str">
        <f t="shared" si="5"/>
        <v/>
      </c>
      <c r="T43" s="93" t="str">
        <f>VLOOKUP(A43,'Parameters Summary'!$B$2:$AB$826,15,FALSE)</f>
        <v xml:space="preserve"> </v>
      </c>
      <c r="U43" s="93" t="str">
        <f>VLOOKUP(A43,'Parameters Summary'!$B$2:$AB$826,17,FALSE)</f>
        <v/>
      </c>
      <c r="V43" s="93" t="str">
        <f>VLOOKUP(A43,'Parameters Summary'!$B$2:$AB$826,16,FALSE)</f>
        <v xml:space="preserve"> </v>
      </c>
      <c r="W43" s="379" t="str">
        <f>VLOOKUP(A43,'Parameters Summary'!$B$2:$AB$826,17,FALSE)</f>
        <v/>
      </c>
      <c r="X43" s="290">
        <v>1908.15</v>
      </c>
      <c r="Y43" s="96" t="s">
        <v>553</v>
      </c>
      <c r="Z43" s="96">
        <v>2862.2250000000004</v>
      </c>
      <c r="AA43" s="96" t="s">
        <v>2220</v>
      </c>
      <c r="AB43" s="96" t="s">
        <v>1651</v>
      </c>
      <c r="AC43" s="96"/>
      <c r="AD43" s="93" t="str">
        <f>VLOOKUP(A43,'Parameters Summary'!$B$2:$AB$826,20,FALSE)</f>
        <v xml:space="preserve"> </v>
      </c>
      <c r="AE43" s="97" t="str">
        <f>VLOOKUP(A43,'Parameters Summary'!$B$2:$AB$826,21,FALSE)</f>
        <v/>
      </c>
      <c r="AF43" s="97"/>
      <c r="AG43" s="94"/>
      <c r="AH43" s="92"/>
      <c r="AI43" s="94"/>
      <c r="AJ43" s="330"/>
      <c r="AL43" s="81"/>
    </row>
    <row r="44" spans="1:38" ht="12.75" customHeight="1">
      <c r="A44" s="96" t="s">
        <v>665</v>
      </c>
      <c r="B44" s="96" t="s">
        <v>988</v>
      </c>
      <c r="C44" s="96" t="str">
        <f t="shared" si="2"/>
        <v>No</v>
      </c>
      <c r="D44" s="96" t="str">
        <f>VLOOKUP(A44,'Tox Summary'!$O$3:$R$824,3,FALSE)</f>
        <v>No</v>
      </c>
      <c r="E44" s="97">
        <f>VLOOKUP(A44,'Parameters Summary'!$B$2:$AB$826,4,FALSE)</f>
        <v>323.517</v>
      </c>
      <c r="F44" s="97" t="str">
        <f>VLOOKUP(A44,'Parameters Summary'!$B$2:$AB$826,5,FALSE)</f>
        <v>CRC89</v>
      </c>
      <c r="G44" s="93" t="s">
        <v>2439</v>
      </c>
      <c r="H44" s="93" t="str">
        <f>VLOOKUP(A44,'Parameters Summary'!$B$2:$AB$826,10,FALSE)</f>
        <v/>
      </c>
      <c r="I44" s="93">
        <f>VLOOKUP(A44,'Parameters Summary'!$B$2:$AB$826,24,FALSE)</f>
        <v>3000</v>
      </c>
      <c r="J44" s="97" t="str">
        <f>VLOOKUP(A44,'Parameters Summary'!$B$2:$AB$826,25,FALSE)</f>
        <v>CRC89</v>
      </c>
      <c r="K44" s="97" t="str">
        <f>VLOOKUP(A44,'Tox Summary'!$O$3:$S$827,2,FALSE)</f>
        <v/>
      </c>
      <c r="L44" s="93" t="s">
        <v>2298</v>
      </c>
      <c r="M44" s="93" t="str">
        <f>VLOOKUP(A44,'Parameters Summary'!$B$2:$AB$826,8,FALSE)</f>
        <v/>
      </c>
      <c r="N44" s="91" t="str">
        <f>VLOOKUP(A44,'Parameters Summary'!$B$2:$AB$826,6,FALSE)</f>
        <v xml:space="preserve"> </v>
      </c>
      <c r="O44" s="91" t="str">
        <f t="shared" si="0"/>
        <v/>
      </c>
      <c r="P44" s="91" t="str">
        <f t="shared" si="3"/>
        <v xml:space="preserve"> </v>
      </c>
      <c r="Q44" s="91" t="str">
        <f t="shared" si="1"/>
        <v/>
      </c>
      <c r="R44" s="91" t="str">
        <f t="shared" si="4"/>
        <v xml:space="preserve"> </v>
      </c>
      <c r="S44" s="91" t="str">
        <f t="shared" si="5"/>
        <v/>
      </c>
      <c r="T44" s="93" t="str">
        <f>VLOOKUP(A44,'Parameters Summary'!$B$2:$AB$826,15,FALSE)</f>
        <v xml:space="preserve"> </v>
      </c>
      <c r="U44" s="93" t="str">
        <f>VLOOKUP(A44,'Parameters Summary'!$B$2:$AB$826,17,FALSE)</f>
        <v/>
      </c>
      <c r="V44" s="93" t="str">
        <f>VLOOKUP(A44,'Parameters Summary'!$B$2:$AB$826,16,FALSE)</f>
        <v xml:space="preserve"> </v>
      </c>
      <c r="W44" s="379" t="str">
        <f>VLOOKUP(A44,'Parameters Summary'!$B$2:$AB$826,17,FALSE)</f>
        <v/>
      </c>
      <c r="X44" s="347"/>
      <c r="Y44" s="96"/>
      <c r="Z44" s="96" t="s">
        <v>1653</v>
      </c>
      <c r="AA44" s="96"/>
      <c r="AB44" s="96" t="s">
        <v>1651</v>
      </c>
      <c r="AC44" s="96"/>
      <c r="AD44" s="93" t="str">
        <f>VLOOKUP(A44,'Parameters Summary'!$B$2:$AB$826,20,FALSE)</f>
        <v xml:space="preserve"> </v>
      </c>
      <c r="AE44" s="97" t="str">
        <f>VLOOKUP(A44,'Parameters Summary'!$B$2:$AB$826,21,FALSE)</f>
        <v/>
      </c>
      <c r="AF44" s="97"/>
      <c r="AG44" s="94"/>
      <c r="AH44" s="92"/>
      <c r="AI44" s="94"/>
      <c r="AJ44" s="330"/>
      <c r="AL44" s="81"/>
    </row>
    <row r="45" spans="1:38" ht="12.75" customHeight="1">
      <c r="A45" s="96" t="s">
        <v>666</v>
      </c>
      <c r="B45" s="96" t="s">
        <v>989</v>
      </c>
      <c r="C45" s="96" t="str">
        <f t="shared" si="2"/>
        <v>No</v>
      </c>
      <c r="D45" s="96" t="str">
        <f>VLOOKUP(A45,'Tox Summary'!$O$3:$R$824,3,FALSE)</f>
        <v>Yes</v>
      </c>
      <c r="E45" s="97">
        <f>VLOOKUP(A45,'Parameters Summary'!$B$2:$AB$826,4,FALSE)</f>
        <v>307.52</v>
      </c>
      <c r="F45" s="97" t="str">
        <f>VLOOKUP(A45,'Parameters Summary'!$B$2:$AB$826,5,FALSE)</f>
        <v>EPI</v>
      </c>
      <c r="G45" s="93" t="s">
        <v>2439</v>
      </c>
      <c r="H45" s="93" t="str">
        <f>VLOOKUP(A45,'Parameters Summary'!$B$2:$AB$826,10,FALSE)</f>
        <v/>
      </c>
      <c r="I45" s="93" t="s">
        <v>2440</v>
      </c>
      <c r="J45" s="97" t="str">
        <f>VLOOKUP(A45,'Parameters Summary'!$B$2:$AB$826,25,FALSE)</f>
        <v/>
      </c>
      <c r="K45" s="97" t="str">
        <f>VLOOKUP(A45,'Tox Summary'!$O$3:$S$827,2,FALSE)</f>
        <v/>
      </c>
      <c r="L45" s="93" t="s">
        <v>2298</v>
      </c>
      <c r="M45" s="93" t="str">
        <f>VLOOKUP(A45,'Parameters Summary'!$B$2:$AB$826,8,FALSE)</f>
        <v/>
      </c>
      <c r="N45" s="91" t="str">
        <f>VLOOKUP(A45,'Parameters Summary'!$B$2:$AB$826,6,FALSE)</f>
        <v xml:space="preserve"> </v>
      </c>
      <c r="O45" s="91" t="str">
        <f t="shared" si="0"/>
        <v/>
      </c>
      <c r="P45" s="91" t="str">
        <f t="shared" si="3"/>
        <v xml:space="preserve"> </v>
      </c>
      <c r="Q45" s="91" t="str">
        <f t="shared" si="1"/>
        <v/>
      </c>
      <c r="R45" s="91" t="str">
        <f t="shared" si="4"/>
        <v xml:space="preserve"> </v>
      </c>
      <c r="S45" s="91" t="str">
        <f t="shared" si="5"/>
        <v/>
      </c>
      <c r="T45" s="93" t="str">
        <f>VLOOKUP(A45,'Parameters Summary'!$B$2:$AB$826,15,FALSE)</f>
        <v xml:space="preserve"> </v>
      </c>
      <c r="U45" s="93" t="str">
        <f>VLOOKUP(A45,'Parameters Summary'!$B$2:$AB$826,17,FALSE)</f>
        <v/>
      </c>
      <c r="V45" s="93" t="str">
        <f>VLOOKUP(A45,'Parameters Summary'!$B$2:$AB$826,16,FALSE)</f>
        <v xml:space="preserve"> </v>
      </c>
      <c r="W45" s="379" t="str">
        <f>VLOOKUP(A45,'Parameters Summary'!$B$2:$AB$826,17,FALSE)</f>
        <v/>
      </c>
      <c r="X45" s="347"/>
      <c r="Y45" s="96"/>
      <c r="Z45" s="96" t="s">
        <v>1653</v>
      </c>
      <c r="AA45" s="96"/>
      <c r="AB45" s="96" t="s">
        <v>1651</v>
      </c>
      <c r="AC45" s="96"/>
      <c r="AD45" s="93" t="str">
        <f>VLOOKUP(A45,'Parameters Summary'!$B$2:$AB$826,20,FALSE)</f>
        <v xml:space="preserve"> </v>
      </c>
      <c r="AE45" s="97" t="str">
        <f>VLOOKUP(A45,'Parameters Summary'!$B$2:$AB$826,21,FALSE)</f>
        <v/>
      </c>
      <c r="AF45" s="97"/>
      <c r="AG45" s="94"/>
      <c r="AH45" s="92"/>
      <c r="AI45" s="96" t="s">
        <v>1797</v>
      </c>
      <c r="AJ45" s="330"/>
      <c r="AL45" s="81"/>
    </row>
    <row r="46" spans="1:38" ht="12.75" customHeight="1">
      <c r="A46" s="96" t="s">
        <v>667</v>
      </c>
      <c r="B46" s="96" t="s">
        <v>990</v>
      </c>
      <c r="C46" s="96" t="str">
        <f t="shared" si="2"/>
        <v>No</v>
      </c>
      <c r="D46" s="96" t="str">
        <f>VLOOKUP(A46,'Tox Summary'!$O$3:$R$824,3,FALSE)</f>
        <v>Yes</v>
      </c>
      <c r="E46" s="97">
        <f>VLOOKUP(A46,'Parameters Summary'!$B$2:$AB$826,4,FALSE)</f>
        <v>291.52</v>
      </c>
      <c r="F46" s="97" t="str">
        <f>VLOOKUP(A46,'Parameters Summary'!$B$2:$AB$826,5,FALSE)</f>
        <v>EPI</v>
      </c>
      <c r="G46" s="93" t="s">
        <v>2439</v>
      </c>
      <c r="H46" s="93" t="str">
        <f>VLOOKUP(A46,'Parameters Summary'!$B$2:$AB$826,10,FALSE)</f>
        <v/>
      </c>
      <c r="I46" s="93" t="s">
        <v>2440</v>
      </c>
      <c r="J46" s="97" t="str">
        <f>VLOOKUP(A46,'Parameters Summary'!$B$2:$AB$826,25,FALSE)</f>
        <v/>
      </c>
      <c r="K46" s="97" t="str">
        <f>VLOOKUP(A46,'Tox Summary'!$O$3:$S$827,2,FALSE)</f>
        <v/>
      </c>
      <c r="L46" s="93" t="s">
        <v>2298</v>
      </c>
      <c r="M46" s="93" t="str">
        <f>VLOOKUP(A46,'Parameters Summary'!$B$2:$AB$826,8,FALSE)</f>
        <v/>
      </c>
      <c r="N46" s="91" t="str">
        <f>VLOOKUP(A46,'Parameters Summary'!$B$2:$AB$826,6,FALSE)</f>
        <v xml:space="preserve"> </v>
      </c>
      <c r="O46" s="91" t="str">
        <f t="shared" si="0"/>
        <v/>
      </c>
      <c r="P46" s="91" t="str">
        <f t="shared" si="3"/>
        <v xml:space="preserve"> </v>
      </c>
      <c r="Q46" s="91" t="str">
        <f t="shared" si="1"/>
        <v/>
      </c>
      <c r="R46" s="91" t="str">
        <f t="shared" si="4"/>
        <v xml:space="preserve"> </v>
      </c>
      <c r="S46" s="91" t="str">
        <f t="shared" si="5"/>
        <v/>
      </c>
      <c r="T46" s="93" t="str">
        <f>VLOOKUP(A46,'Parameters Summary'!$B$2:$AB$826,15,FALSE)</f>
        <v xml:space="preserve"> </v>
      </c>
      <c r="U46" s="93" t="str">
        <f>VLOOKUP(A46,'Parameters Summary'!$B$2:$AB$826,17,FALSE)</f>
        <v/>
      </c>
      <c r="V46" s="93" t="str">
        <f>VLOOKUP(A46,'Parameters Summary'!$B$2:$AB$826,16,FALSE)</f>
        <v xml:space="preserve"> </v>
      </c>
      <c r="W46" s="379" t="str">
        <f>VLOOKUP(A46,'Parameters Summary'!$B$2:$AB$826,17,FALSE)</f>
        <v/>
      </c>
      <c r="X46" s="347"/>
      <c r="Y46" s="96"/>
      <c r="Z46" s="96" t="s">
        <v>1653</v>
      </c>
      <c r="AA46" s="96"/>
      <c r="AB46" s="96">
        <v>5090.8221299999996</v>
      </c>
      <c r="AC46" s="96" t="s">
        <v>2214</v>
      </c>
      <c r="AD46" s="93" t="str">
        <f>VLOOKUP(A46,'Parameters Summary'!$B$2:$AB$826,20,FALSE)</f>
        <v xml:space="preserve"> </v>
      </c>
      <c r="AE46" s="97" t="str">
        <f>VLOOKUP(A46,'Parameters Summary'!$B$2:$AB$826,21,FALSE)</f>
        <v/>
      </c>
      <c r="AF46" s="97"/>
      <c r="AG46" s="94"/>
      <c r="AH46" s="92"/>
      <c r="AI46" s="94" t="s">
        <v>1799</v>
      </c>
      <c r="AJ46" s="330" t="s">
        <v>1798</v>
      </c>
      <c r="AL46" s="81"/>
    </row>
    <row r="47" spans="1:38" ht="12.75" customHeight="1">
      <c r="A47" s="95" t="s">
        <v>181</v>
      </c>
      <c r="B47" s="96" t="s">
        <v>2228</v>
      </c>
      <c r="C47" s="96" t="str">
        <f t="shared" si="2"/>
        <v>Yes</v>
      </c>
      <c r="D47" s="96" t="str">
        <f>VLOOKUP(A47,'Tox Summary'!$O$3:$R$824,3,FALSE)</f>
        <v>Yes</v>
      </c>
      <c r="E47" s="97">
        <f>VLOOKUP(A47,'Parameters Summary'!$B$2:$AB$826,4,FALSE)</f>
        <v>549.54</v>
      </c>
      <c r="F47" s="97" t="str">
        <f>VLOOKUP(A47,'Parameters Summary'!$B$2:$AB$826,5,FALSE)</f>
        <v>PHYSPROP</v>
      </c>
      <c r="G47" s="93">
        <f>VLOOKUP(A47,'Parameters Summary'!$B$2:$AB$826,9,FALSE)</f>
        <v>4.0000000000000002E-4</v>
      </c>
      <c r="H47" s="93" t="str">
        <f>VLOOKUP(A47,'Parameters Summary'!$B$2:$AB$826,10,FALSE)</f>
        <v>PHYSPROP</v>
      </c>
      <c r="I47" s="93">
        <f>VLOOKUP(A47,'Parameters Summary'!$B$2:$AB$826,24,FALSE)</f>
        <v>0.42</v>
      </c>
      <c r="J47" s="97" t="str">
        <f>VLOOKUP(A47,'Parameters Summary'!$B$2:$AB$826,25,FALSE)</f>
        <v>PHYSPROP</v>
      </c>
      <c r="K47" s="97" t="str">
        <f>VLOOKUP(A47,'Tox Summary'!$O$3:$S$827,2,FALSE)</f>
        <v/>
      </c>
      <c r="L47" s="93">
        <f>VLOOKUP(A47,'Parameters Summary'!$B$2:$AB$826,7,FALSE)</f>
        <v>2.0000000000000001E-4</v>
      </c>
      <c r="M47" s="93" t="str">
        <f>VLOOKUP(A47,'Parameters Summary'!$B$2:$AB$826,8,FALSE)</f>
        <v>EPI</v>
      </c>
      <c r="N47" s="91">
        <f>VLOOKUP(A47,'Parameters Summary'!$B$2:$AB$826,6,FALSE)</f>
        <v>8.1765999999999991E-3</v>
      </c>
      <c r="O47" s="91" t="str">
        <f t="shared" si="0"/>
        <v/>
      </c>
      <c r="P47" s="91">
        <f t="shared" si="3"/>
        <v>8.1765999999999991E-3</v>
      </c>
      <c r="Q47" s="91" t="str">
        <f t="shared" si="1"/>
        <v/>
      </c>
      <c r="R47" s="91">
        <f t="shared" si="4"/>
        <v>8.1765999999999991E-3</v>
      </c>
      <c r="S47" s="91" t="str">
        <f t="shared" si="5"/>
        <v/>
      </c>
      <c r="T47" s="93">
        <f>VLOOKUP(A47,'Parameters Summary'!$B$2:$AB$826,15,FALSE)</f>
        <v>1.7099699999999999E-2</v>
      </c>
      <c r="U47" s="93" t="str">
        <f>VLOOKUP(A47,'Parameters Summary'!$B$2:$AB$826,17,FALSE)</f>
        <v>WATER9 (U.S. EPA, 2001)</v>
      </c>
      <c r="V47" s="93">
        <f>VLOOKUP(A47,'Parameters Summary'!$B$2:$AB$826,16,FALSE)</f>
        <v>4.1620000000000001E-6</v>
      </c>
      <c r="W47" s="379" t="str">
        <f>VLOOKUP(A47,'Parameters Summary'!$B$2:$AB$826,17,FALSE)</f>
        <v>WATER9 (U.S. EPA, 2001)</v>
      </c>
      <c r="X47" s="290">
        <v>596.15</v>
      </c>
      <c r="Y47" s="96" t="s">
        <v>2216</v>
      </c>
      <c r="Z47" s="96">
        <v>894.22499999999991</v>
      </c>
      <c r="AA47" s="96" t="s">
        <v>2220</v>
      </c>
      <c r="AB47" s="96" t="s">
        <v>1651</v>
      </c>
      <c r="AC47" s="96"/>
      <c r="AD47" s="93">
        <f>VLOOKUP(A47,'Parameters Summary'!$B$2:$AB$826,20,FALSE)</f>
        <v>47700</v>
      </c>
      <c r="AE47" s="97" t="str">
        <f>VLOOKUP(A47,'Parameters Summary'!$B$2:$AB$826,21,FALSE)</f>
        <v>EPI</v>
      </c>
      <c r="AF47" s="380"/>
      <c r="AG47" s="97"/>
      <c r="AH47" s="92"/>
      <c r="AI47" s="94"/>
      <c r="AJ47" s="330"/>
      <c r="AL47" s="81"/>
    </row>
    <row r="48" spans="1:38" ht="12.75" customHeight="1">
      <c r="A48" s="95" t="s">
        <v>182</v>
      </c>
      <c r="B48" s="96" t="s">
        <v>2229</v>
      </c>
      <c r="C48" s="96" t="str">
        <f t="shared" si="2"/>
        <v>Yes</v>
      </c>
      <c r="D48" s="96" t="str">
        <f>VLOOKUP(A48,'Tox Summary'!$O$3:$R$824,3,FALSE)</f>
        <v>Yes</v>
      </c>
      <c r="E48" s="97">
        <f>VLOOKUP(A48,'Parameters Summary'!$B$2:$AB$826,4,FALSE)</f>
        <v>188.66</v>
      </c>
      <c r="F48" s="97" t="str">
        <f>VLOOKUP(A48,'Parameters Summary'!$B$2:$AB$826,5,FALSE)</f>
        <v>PHYSPROP</v>
      </c>
      <c r="G48" s="93">
        <f>VLOOKUP(A48,'Parameters Summary'!$B$2:$AB$826,9,FALSE)</f>
        <v>6.7000000000000002E-3</v>
      </c>
      <c r="H48" s="93" t="str">
        <f>VLOOKUP(A48,'Parameters Summary'!$B$2:$AB$826,10,FALSE)</f>
        <v>PHYSPROP</v>
      </c>
      <c r="I48" s="93">
        <f>VLOOKUP(A48,'Parameters Summary'!$B$2:$AB$826,24,FALSE)</f>
        <v>15</v>
      </c>
      <c r="J48" s="97" t="str">
        <f>VLOOKUP(A48,'Parameters Summary'!$B$2:$AB$826,25,FALSE)</f>
        <v>PHYSPROP</v>
      </c>
      <c r="K48" s="97" t="str">
        <f>VLOOKUP(A48,'Tox Summary'!$O$3:$S$827,2,FALSE)</f>
        <v/>
      </c>
      <c r="L48" s="93">
        <f>VLOOKUP(A48,'Parameters Summary'!$B$2:$AB$826,7,FALSE)</f>
        <v>2.2800000000000001E-4</v>
      </c>
      <c r="M48" s="93" t="str">
        <f>VLOOKUP(A48,'Parameters Summary'!$B$2:$AB$826,8,FALSE)</f>
        <v>PHYSPROP</v>
      </c>
      <c r="N48" s="91">
        <f>VLOOKUP(A48,'Parameters Summary'!$B$2:$AB$826,6,FALSE)</f>
        <v>9.3212999999999994E-3</v>
      </c>
      <c r="O48" s="91" t="str">
        <f t="shared" si="0"/>
        <v/>
      </c>
      <c r="P48" s="91">
        <f t="shared" si="3"/>
        <v>9.3212999999999994E-3</v>
      </c>
      <c r="Q48" s="91" t="str">
        <f t="shared" si="1"/>
        <v/>
      </c>
      <c r="R48" s="91">
        <f t="shared" si="4"/>
        <v>9.3212999999999994E-3</v>
      </c>
      <c r="S48" s="91" t="str">
        <f t="shared" si="5"/>
        <v/>
      </c>
      <c r="T48" s="93">
        <f>VLOOKUP(A48,'Parameters Summary'!$B$2:$AB$826,15,FALSE)</f>
        <v>3.2457899999999998E-2</v>
      </c>
      <c r="U48" s="93" t="str">
        <f>VLOOKUP(A48,'Parameters Summary'!$B$2:$AB$826,17,FALSE)</f>
        <v>WATER9 (U.S. EPA, 2001)</v>
      </c>
      <c r="V48" s="93">
        <f>VLOOKUP(A48,'Parameters Summary'!$B$2:$AB$826,16,FALSE)</f>
        <v>7.2276000000000001E-6</v>
      </c>
      <c r="W48" s="379" t="str">
        <f>VLOOKUP(A48,'Parameters Summary'!$B$2:$AB$826,17,FALSE)</f>
        <v>WATER9 (U.S. EPA, 2001)</v>
      </c>
      <c r="X48" s="290">
        <v>563.15</v>
      </c>
      <c r="Y48" s="96" t="s">
        <v>2216</v>
      </c>
      <c r="Z48" s="96">
        <v>844.72499999999991</v>
      </c>
      <c r="AA48" s="96" t="s">
        <v>2220</v>
      </c>
      <c r="AB48" s="96" t="s">
        <v>1651</v>
      </c>
      <c r="AC48" s="96"/>
      <c r="AD48" s="93">
        <f>VLOOKUP(A48,'Parameters Summary'!$B$2:$AB$826,20,FALSE)</f>
        <v>8397</v>
      </c>
      <c r="AE48" s="97" t="str">
        <f>VLOOKUP(A48,'Parameters Summary'!$B$2:$AB$826,21,FALSE)</f>
        <v>EPI</v>
      </c>
      <c r="AF48" s="97"/>
      <c r="AG48" s="97"/>
      <c r="AH48" s="92"/>
      <c r="AI48" s="96" t="s">
        <v>1800</v>
      </c>
      <c r="AJ48" s="330"/>
      <c r="AL48" s="81"/>
    </row>
    <row r="49" spans="1:38" ht="12.75" customHeight="1">
      <c r="A49" s="95" t="s">
        <v>183</v>
      </c>
      <c r="B49" s="96" t="s">
        <v>2230</v>
      </c>
      <c r="C49" s="96" t="str">
        <f t="shared" si="2"/>
        <v>Yes</v>
      </c>
      <c r="D49" s="96" t="str">
        <f>VLOOKUP(A49,'Tox Summary'!$O$3:$R$824,3,FALSE)</f>
        <v>Yes</v>
      </c>
      <c r="E49" s="97">
        <f>VLOOKUP(A49,'Parameters Summary'!$B$2:$AB$826,4,FALSE)</f>
        <v>188.66</v>
      </c>
      <c r="F49" s="97" t="str">
        <f>VLOOKUP(A49,'Parameters Summary'!$B$2:$AB$826,5,FALSE)</f>
        <v>PHYSPROP</v>
      </c>
      <c r="G49" s="93">
        <f>VLOOKUP(A49,'Parameters Summary'!$B$2:$AB$826,9,FALSE)</f>
        <v>4.0600000000000002E-3</v>
      </c>
      <c r="H49" s="93" t="str">
        <f>VLOOKUP(A49,'Parameters Summary'!$B$2:$AB$826,10,FALSE)</f>
        <v>PHYSPROP</v>
      </c>
      <c r="I49" s="93">
        <f>VLOOKUP(A49,'Parameters Summary'!$B$2:$AB$826,24,FALSE)</f>
        <v>1.45</v>
      </c>
      <c r="J49" s="97" t="str">
        <f>VLOOKUP(A49,'Parameters Summary'!$B$2:$AB$826,25,FALSE)</f>
        <v>PHYSPROP</v>
      </c>
      <c r="K49" s="97" t="str">
        <f>VLOOKUP(A49,'Tox Summary'!$O$3:$S$827,2,FALSE)</f>
        <v/>
      </c>
      <c r="L49" s="93">
        <f>VLOOKUP(A49,'Parameters Summary'!$B$2:$AB$826,7,FALSE)</f>
        <v>7.36E-4</v>
      </c>
      <c r="M49" s="93" t="str">
        <f>VLOOKUP(A49,'Parameters Summary'!$B$2:$AB$826,8,FALSE)</f>
        <v>EPI</v>
      </c>
      <c r="N49" s="91">
        <f>VLOOKUP(A49,'Parameters Summary'!$B$2:$AB$826,6,FALSE)</f>
        <v>3.0089899999999999E-2</v>
      </c>
      <c r="O49" s="91" t="str">
        <f t="shared" si="0"/>
        <v/>
      </c>
      <c r="P49" s="91">
        <f t="shared" si="3"/>
        <v>3.0089899999999999E-2</v>
      </c>
      <c r="Q49" s="91" t="str">
        <f t="shared" si="1"/>
        <v/>
      </c>
      <c r="R49" s="91">
        <f t="shared" si="4"/>
        <v>3.0089899999999999E-2</v>
      </c>
      <c r="S49" s="91" t="str">
        <f t="shared" si="5"/>
        <v/>
      </c>
      <c r="T49" s="93">
        <f>VLOOKUP(A49,'Parameters Summary'!$B$2:$AB$826,15,FALSE)</f>
        <v>3.3446799999999999E-2</v>
      </c>
      <c r="U49" s="93" t="str">
        <f>VLOOKUP(A49,'Parameters Summary'!$B$2:$AB$826,17,FALSE)</f>
        <v>WATER9 (U.S. EPA, 2001)</v>
      </c>
      <c r="V49" s="93">
        <f>VLOOKUP(A49,'Parameters Summary'!$B$2:$AB$826,16,FALSE)</f>
        <v>7.5177E-6</v>
      </c>
      <c r="W49" s="379" t="str">
        <f>VLOOKUP(A49,'Parameters Summary'!$B$2:$AB$826,17,FALSE)</f>
        <v>WATER9 (U.S. EPA, 2001)</v>
      </c>
      <c r="X49" s="290">
        <v>563.15</v>
      </c>
      <c r="Y49" s="96" t="s">
        <v>2216</v>
      </c>
      <c r="Z49" s="96">
        <v>844.72499999999991</v>
      </c>
      <c r="AA49" s="96" t="s">
        <v>2220</v>
      </c>
      <c r="AB49" s="96" t="s">
        <v>1651</v>
      </c>
      <c r="AC49" s="96"/>
      <c r="AD49" s="93">
        <f>VLOOKUP(A49,'Parameters Summary'!$B$2:$AB$826,20,FALSE)</f>
        <v>8397</v>
      </c>
      <c r="AE49" s="97" t="str">
        <f>VLOOKUP(A49,'Parameters Summary'!$B$2:$AB$826,21,FALSE)</f>
        <v>EPI</v>
      </c>
      <c r="AF49" s="97"/>
      <c r="AG49" s="97"/>
      <c r="AH49" s="92"/>
      <c r="AI49" s="94"/>
      <c r="AJ49" s="330"/>
      <c r="AL49" s="81"/>
    </row>
    <row r="50" spans="1:38" ht="12.75" customHeight="1">
      <c r="A50" s="95" t="s">
        <v>184</v>
      </c>
      <c r="B50" s="96" t="s">
        <v>2231</v>
      </c>
      <c r="C50" s="96" t="str">
        <f t="shared" si="2"/>
        <v>Yes</v>
      </c>
      <c r="D50" s="96" t="str">
        <f>VLOOKUP(A50,'Tox Summary'!$O$3:$R$824,3,FALSE)</f>
        <v>Yes</v>
      </c>
      <c r="E50" s="97">
        <f>VLOOKUP(A50,'Parameters Summary'!$B$2:$AB$826,4,FALSE)</f>
        <v>291.99</v>
      </c>
      <c r="F50" s="97" t="str">
        <f>VLOOKUP(A50,'Parameters Summary'!$B$2:$AB$826,5,FALSE)</f>
        <v>PHYSPROP</v>
      </c>
      <c r="G50" s="93">
        <f>VLOOKUP(A50,'Parameters Summary'!$B$2:$AB$826,9,FALSE)</f>
        <v>8.6299999999999997E-5</v>
      </c>
      <c r="H50" s="93" t="str">
        <f>VLOOKUP(A50,'Parameters Summary'!$B$2:$AB$826,10,FALSE)</f>
        <v>EPI</v>
      </c>
      <c r="I50" s="93">
        <f>VLOOKUP(A50,'Parameters Summary'!$B$2:$AB$826,24,FALSE)</f>
        <v>0.27700000000000002</v>
      </c>
      <c r="J50" s="97" t="str">
        <f>VLOOKUP(A50,'Parameters Summary'!$B$2:$AB$826,25,FALSE)</f>
        <v>PHYSPROP</v>
      </c>
      <c r="K50" s="97" t="str">
        <f>VLOOKUP(A50,'Tox Summary'!$O$3:$S$827,2,FALSE)</f>
        <v/>
      </c>
      <c r="L50" s="93">
        <f>VLOOKUP(A50,'Parameters Summary'!$B$2:$AB$826,7,FALSE)</f>
        <v>3.4299999999999999E-4</v>
      </c>
      <c r="M50" s="93" t="str">
        <f>VLOOKUP(A50,'Parameters Summary'!$B$2:$AB$826,8,FALSE)</f>
        <v>PHYSPROP</v>
      </c>
      <c r="N50" s="91">
        <f>VLOOKUP(A50,'Parameters Summary'!$B$2:$AB$826,6,FALSE)</f>
        <v>1.40229E-2</v>
      </c>
      <c r="O50" s="91" t="str">
        <f t="shared" si="0"/>
        <v/>
      </c>
      <c r="P50" s="91">
        <f t="shared" si="3"/>
        <v>1.40229E-2</v>
      </c>
      <c r="Q50" s="91" t="str">
        <f t="shared" si="1"/>
        <v/>
      </c>
      <c r="R50" s="91">
        <f t="shared" si="4"/>
        <v>1.40229E-2</v>
      </c>
      <c r="S50" s="91" t="str">
        <f t="shared" si="5"/>
        <v/>
      </c>
      <c r="T50" s="93">
        <f>VLOOKUP(A50,'Parameters Summary'!$B$2:$AB$826,15,FALSE)</f>
        <v>2.38564E-2</v>
      </c>
      <c r="U50" s="93" t="str">
        <f>VLOOKUP(A50,'Parameters Summary'!$B$2:$AB$826,17,FALSE)</f>
        <v>WATER9 (U.S. EPA, 2001)</v>
      </c>
      <c r="V50" s="93">
        <f>VLOOKUP(A50,'Parameters Summary'!$B$2:$AB$826,16,FALSE)</f>
        <v>6.1090999999999997E-6</v>
      </c>
      <c r="W50" s="379" t="str">
        <f>VLOOKUP(A50,'Parameters Summary'!$B$2:$AB$826,17,FALSE)</f>
        <v>WATER9 (U.S. EPA, 2001)</v>
      </c>
      <c r="X50" s="290">
        <v>598.15</v>
      </c>
      <c r="Y50" s="96" t="s">
        <v>2219</v>
      </c>
      <c r="Z50" s="96">
        <v>897.22499999999991</v>
      </c>
      <c r="AA50" s="96" t="s">
        <v>2220</v>
      </c>
      <c r="AB50" s="96" t="s">
        <v>1651</v>
      </c>
      <c r="AC50" s="96"/>
      <c r="AD50" s="93">
        <f>VLOOKUP(A50,'Parameters Summary'!$B$2:$AB$826,20,FALSE)</f>
        <v>78100</v>
      </c>
      <c r="AE50" s="97" t="str">
        <f>VLOOKUP(A50,'Parameters Summary'!$B$2:$AB$826,21,FALSE)</f>
        <v>EPI</v>
      </c>
      <c r="AF50" s="380"/>
      <c r="AG50" s="97"/>
      <c r="AH50" s="92"/>
      <c r="AI50" s="94"/>
      <c r="AJ50" s="330"/>
      <c r="AL50" s="81"/>
    </row>
    <row r="51" spans="1:38" ht="12.75" customHeight="1">
      <c r="A51" s="95" t="s">
        <v>185</v>
      </c>
      <c r="B51" s="96" t="s">
        <v>2232</v>
      </c>
      <c r="C51" s="96" t="str">
        <f t="shared" si="2"/>
        <v>Yes</v>
      </c>
      <c r="D51" s="96" t="str">
        <f>VLOOKUP(A51,'Tox Summary'!$O$3:$R$824,3,FALSE)</f>
        <v>Yes</v>
      </c>
      <c r="E51" s="97">
        <f>VLOOKUP(A51,'Parameters Summary'!$B$2:$AB$826,4,FALSE)</f>
        <v>618.42999999999995</v>
      </c>
      <c r="F51" s="97" t="str">
        <f>VLOOKUP(A51,'Parameters Summary'!$B$2:$AB$826,5,FALSE)</f>
        <v>PHYSPROP</v>
      </c>
      <c r="G51" s="93">
        <f>VLOOKUP(A51,'Parameters Summary'!$B$2:$AB$826,9,FALSE)</f>
        <v>4.9399999999999997E-4</v>
      </c>
      <c r="H51" s="93" t="str">
        <f>VLOOKUP(A51,'Parameters Summary'!$B$2:$AB$826,10,FALSE)</f>
        <v>PHYSPROP</v>
      </c>
      <c r="I51" s="93">
        <f>VLOOKUP(A51,'Parameters Summary'!$B$2:$AB$826,24,FALSE)</f>
        <v>0.1</v>
      </c>
      <c r="J51" s="97" t="str">
        <f>VLOOKUP(A51,'Parameters Summary'!$B$2:$AB$826,25,FALSE)</f>
        <v>PHYSPROP</v>
      </c>
      <c r="K51" s="97" t="str">
        <f>VLOOKUP(A51,'Tox Summary'!$O$3:$S$827,2,FALSE)</f>
        <v/>
      </c>
      <c r="L51" s="93">
        <f>VLOOKUP(A51,'Parameters Summary'!$B$2:$AB$826,7,FALSE)</f>
        <v>4.4000000000000002E-4</v>
      </c>
      <c r="M51" s="93" t="str">
        <f>VLOOKUP(A51,'Parameters Summary'!$B$2:$AB$826,8,FALSE)</f>
        <v>PHYSPROP</v>
      </c>
      <c r="N51" s="91">
        <f>VLOOKUP(A51,'Parameters Summary'!$B$2:$AB$826,6,FALSE)</f>
        <v>1.79886E-2</v>
      </c>
      <c r="O51" s="91" t="str">
        <f t="shared" si="0"/>
        <v/>
      </c>
      <c r="P51" s="91">
        <f t="shared" si="3"/>
        <v>1.79886E-2</v>
      </c>
      <c r="Q51" s="91" t="str">
        <f t="shared" si="1"/>
        <v/>
      </c>
      <c r="R51" s="91">
        <f t="shared" si="4"/>
        <v>1.79886E-2</v>
      </c>
      <c r="S51" s="91" t="str">
        <f t="shared" si="5"/>
        <v/>
      </c>
      <c r="T51" s="93">
        <f>VLOOKUP(A51,'Parameters Summary'!$B$2:$AB$826,15,FALSE)</f>
        <v>1.6274500000000001E-2</v>
      </c>
      <c r="U51" s="93" t="str">
        <f>VLOOKUP(A51,'Parameters Summary'!$B$2:$AB$826,17,FALSE)</f>
        <v>WATER9 (U.S. EPA, 2001)</v>
      </c>
      <c r="V51" s="93">
        <f>VLOOKUP(A51,'Parameters Summary'!$B$2:$AB$826,16,FALSE)</f>
        <v>3.9364000000000001E-6</v>
      </c>
      <c r="W51" s="379" t="str">
        <f>VLOOKUP(A51,'Parameters Summary'!$B$2:$AB$826,17,FALSE)</f>
        <v>WATER9 (U.S. EPA, 2001)</v>
      </c>
      <c r="X51" s="290">
        <v>613.15</v>
      </c>
      <c r="Y51" s="96" t="s">
        <v>553</v>
      </c>
      <c r="Z51" s="96">
        <v>919.72499999999991</v>
      </c>
      <c r="AA51" s="96" t="s">
        <v>2220</v>
      </c>
      <c r="AB51" s="96" t="s">
        <v>1651</v>
      </c>
      <c r="AC51" s="96"/>
      <c r="AD51" s="93">
        <f>VLOOKUP(A51,'Parameters Summary'!$B$2:$AB$826,20,FALSE)</f>
        <v>76530</v>
      </c>
      <c r="AE51" s="97" t="str">
        <f>VLOOKUP(A51,'Parameters Summary'!$B$2:$AB$826,21,FALSE)</f>
        <v>EPI</v>
      </c>
      <c r="AF51" s="380"/>
      <c r="AG51" s="97"/>
      <c r="AH51" s="92"/>
      <c r="AI51" s="94" t="s">
        <v>1792</v>
      </c>
      <c r="AJ51" s="330"/>
      <c r="AL51" s="81"/>
    </row>
    <row r="52" spans="1:38" ht="12.75" customHeight="1">
      <c r="A52" s="95" t="s">
        <v>186</v>
      </c>
      <c r="B52" s="96" t="s">
        <v>2233</v>
      </c>
      <c r="C52" s="96" t="str">
        <f t="shared" si="2"/>
        <v>Yes</v>
      </c>
      <c r="D52" s="96" t="str">
        <f>VLOOKUP(A52,'Tox Summary'!$O$3:$R$824,3,FALSE)</f>
        <v>Yes</v>
      </c>
      <c r="E52" s="97">
        <f>VLOOKUP(A52,'Parameters Summary'!$B$2:$AB$826,4,FALSE)</f>
        <v>326.44</v>
      </c>
      <c r="F52" s="97" t="str">
        <f>VLOOKUP(A52,'Parameters Summary'!$B$2:$AB$826,5,FALSE)</f>
        <v>PHYSPROP</v>
      </c>
      <c r="G52" s="93">
        <f>VLOOKUP(A52,'Parameters Summary'!$B$2:$AB$826,9,FALSE)</f>
        <v>7.7100000000000004E-5</v>
      </c>
      <c r="H52" s="93" t="str">
        <f>VLOOKUP(A52,'Parameters Summary'!$B$2:$AB$826,10,FALSE)</f>
        <v>PHYSPROP</v>
      </c>
      <c r="I52" s="93">
        <f>VLOOKUP(A52,'Parameters Summary'!$B$2:$AB$826,24,FALSE)</f>
        <v>4.2999999999999997E-2</v>
      </c>
      <c r="J52" s="97" t="str">
        <f>VLOOKUP(A52,'Parameters Summary'!$B$2:$AB$826,25,FALSE)</f>
        <v>PHYSPROP</v>
      </c>
      <c r="K52" s="97" t="str">
        <f>VLOOKUP(A52,'Tox Summary'!$O$3:$S$827,2,FALSE)</f>
        <v/>
      </c>
      <c r="L52" s="93">
        <f>VLOOKUP(A52,'Parameters Summary'!$B$2:$AB$826,7,FALSE)</f>
        <v>2.8299999999999999E-4</v>
      </c>
      <c r="M52" s="93" t="str">
        <f>VLOOKUP(A52,'Parameters Summary'!$B$2:$AB$826,8,FALSE)</f>
        <v>PHYSPROP</v>
      </c>
      <c r="N52" s="91">
        <f>VLOOKUP(A52,'Parameters Summary'!$B$2:$AB$826,6,FALSE)</f>
        <v>1.1569899999999999E-2</v>
      </c>
      <c r="O52" s="91" t="str">
        <f t="shared" si="0"/>
        <v/>
      </c>
      <c r="P52" s="91">
        <f t="shared" si="3"/>
        <v>1.1569899999999999E-2</v>
      </c>
      <c r="Q52" s="91" t="str">
        <f t="shared" si="1"/>
        <v/>
      </c>
      <c r="R52" s="91">
        <f t="shared" si="4"/>
        <v>1.1569899999999999E-2</v>
      </c>
      <c r="S52" s="91" t="str">
        <f t="shared" si="5"/>
        <v/>
      </c>
      <c r="T52" s="93">
        <f>VLOOKUP(A52,'Parameters Summary'!$B$2:$AB$826,15,FALSE)</f>
        <v>2.3720499999999999E-2</v>
      </c>
      <c r="U52" s="93" t="str">
        <f>VLOOKUP(A52,'Parameters Summary'!$B$2:$AB$826,17,FALSE)</f>
        <v>WATER9 (U.S. EPA, 2001)</v>
      </c>
      <c r="V52" s="93">
        <f>VLOOKUP(A52,'Parameters Summary'!$B$2:$AB$826,16,FALSE)</f>
        <v>6.1024000000000002E-6</v>
      </c>
      <c r="W52" s="379" t="str">
        <f>VLOOKUP(A52,'Parameters Summary'!$B$2:$AB$826,17,FALSE)</f>
        <v>WATER9 (U.S. EPA, 2001)</v>
      </c>
      <c r="X52" s="290">
        <v>638.15</v>
      </c>
      <c r="Y52" s="96" t="s">
        <v>2219</v>
      </c>
      <c r="Z52" s="96">
        <v>957.22499999999991</v>
      </c>
      <c r="AA52" s="96" t="s">
        <v>2220</v>
      </c>
      <c r="AB52" s="96" t="s">
        <v>1651</v>
      </c>
      <c r="AC52" s="96"/>
      <c r="AD52" s="93">
        <f>VLOOKUP(A52,'Parameters Summary'!$B$2:$AB$826,20,FALSE)</f>
        <v>130500</v>
      </c>
      <c r="AE52" s="97" t="str">
        <f>VLOOKUP(A52,'Parameters Summary'!$B$2:$AB$826,21,FALSE)</f>
        <v>EPI</v>
      </c>
      <c r="AF52" s="380"/>
      <c r="AG52" s="97"/>
      <c r="AH52" s="92"/>
      <c r="AI52" s="96"/>
      <c r="AJ52" s="330"/>
      <c r="AL52" s="81"/>
    </row>
    <row r="53" spans="1:38" ht="12.75" customHeight="1">
      <c r="A53" s="95" t="s">
        <v>187</v>
      </c>
      <c r="B53" s="96" t="s">
        <v>2234</v>
      </c>
      <c r="C53" s="96" t="str">
        <f t="shared" si="2"/>
        <v>Yes</v>
      </c>
      <c r="D53" s="96" t="str">
        <f>VLOOKUP(A53,'Tox Summary'!$O$3:$R$824,3,FALSE)</f>
        <v>Yes</v>
      </c>
      <c r="E53" s="97">
        <f>VLOOKUP(A53,'Parameters Summary'!$B$2:$AB$826,4,FALSE)</f>
        <v>395.33</v>
      </c>
      <c r="F53" s="97" t="str">
        <f>VLOOKUP(A53,'Parameters Summary'!$B$2:$AB$826,5,FALSE)</f>
        <v>PHYSPROP</v>
      </c>
      <c r="G53" s="93">
        <f>VLOOKUP(A53,'Parameters Summary'!$B$2:$AB$826,9,FALSE)</f>
        <v>4.0500000000000002E-5</v>
      </c>
      <c r="H53" s="93" t="str">
        <f>VLOOKUP(A53,'Parameters Summary'!$B$2:$AB$826,10,FALSE)</f>
        <v>PHYSPROP</v>
      </c>
      <c r="I53" s="93">
        <f>VLOOKUP(A53,'Parameters Summary'!$B$2:$AB$826,24,FALSE)</f>
        <v>1.44E-2</v>
      </c>
      <c r="J53" s="97" t="str">
        <f>VLOOKUP(A53,'Parameters Summary'!$B$2:$AB$826,25,FALSE)</f>
        <v>PHYSPROP</v>
      </c>
      <c r="K53" s="97" t="str">
        <f>VLOOKUP(A53,'Tox Summary'!$O$3:$S$827,2,FALSE)</f>
        <v/>
      </c>
      <c r="L53" s="93">
        <f>VLOOKUP(A53,'Parameters Summary'!$B$2:$AB$826,7,FALSE)</f>
        <v>3.3599999999999998E-4</v>
      </c>
      <c r="M53" s="93" t="str">
        <f>VLOOKUP(A53,'Parameters Summary'!$B$2:$AB$826,8,FALSE)</f>
        <v>PHYSPROP</v>
      </c>
      <c r="N53" s="91">
        <f>VLOOKUP(A53,'Parameters Summary'!$B$2:$AB$826,6,FALSE)</f>
        <v>1.3736699999999999E-2</v>
      </c>
      <c r="O53" s="91" t="str">
        <f t="shared" si="0"/>
        <v/>
      </c>
      <c r="P53" s="91">
        <f t="shared" si="3"/>
        <v>1.3736699999999999E-2</v>
      </c>
      <c r="Q53" s="91" t="str">
        <f t="shared" si="1"/>
        <v/>
      </c>
      <c r="R53" s="91">
        <f t="shared" si="4"/>
        <v>1.3736699999999999E-2</v>
      </c>
      <c r="S53" s="91" t="str">
        <f t="shared" si="5"/>
        <v/>
      </c>
      <c r="T53" s="93">
        <f>VLOOKUP(A53,'Parameters Summary'!$B$2:$AB$826,15,FALSE)</f>
        <v>2.2023899999999999E-2</v>
      </c>
      <c r="U53" s="93" t="str">
        <f>VLOOKUP(A53,'Parameters Summary'!$B$2:$AB$826,17,FALSE)</f>
        <v>WATER9 (U.S. EPA, 2001)</v>
      </c>
      <c r="V53" s="93">
        <f>VLOOKUP(A53,'Parameters Summary'!$B$2:$AB$826,16,FALSE)</f>
        <v>5.6080000000000003E-6</v>
      </c>
      <c r="W53" s="379" t="str">
        <f>VLOOKUP(A53,'Parameters Summary'!$B$2:$AB$826,17,FALSE)</f>
        <v>WATER9 (U.S. EPA, 2001)</v>
      </c>
      <c r="X53" s="290">
        <v>658.15</v>
      </c>
      <c r="Y53" s="96" t="s">
        <v>2219</v>
      </c>
      <c r="Z53" s="96">
        <v>987.22499999999991</v>
      </c>
      <c r="AA53" s="96" t="s">
        <v>2220</v>
      </c>
      <c r="AB53" s="96" t="s">
        <v>1651</v>
      </c>
      <c r="AC53" s="96"/>
      <c r="AD53" s="93">
        <f>VLOOKUP(A53,'Parameters Summary'!$B$2:$AB$826,20,FALSE)</f>
        <v>349700</v>
      </c>
      <c r="AE53" s="97" t="str">
        <f>VLOOKUP(A53,'Parameters Summary'!$B$2:$AB$826,21,FALSE)</f>
        <v>EPI</v>
      </c>
      <c r="AF53" s="380"/>
      <c r="AG53" s="97"/>
      <c r="AH53" s="92"/>
      <c r="AI53" s="94"/>
      <c r="AJ53" s="330"/>
      <c r="AL53" s="81"/>
    </row>
    <row r="54" spans="1:38" ht="12.75" customHeight="1">
      <c r="A54" s="96" t="s">
        <v>2084</v>
      </c>
      <c r="B54" s="96" t="s">
        <v>2347</v>
      </c>
      <c r="C54" s="96" t="str">
        <f t="shared" si="2"/>
        <v>Yes</v>
      </c>
      <c r="D54" s="96" t="str">
        <f>VLOOKUP(A54,'Tox Summary'!$O$3:$R$824,3,FALSE)</f>
        <v>Yes</v>
      </c>
      <c r="E54" s="97">
        <f>VLOOKUP(A54,'Parameters Summary'!$B$2:$AB$826,4,FALSE)</f>
        <v>291.99</v>
      </c>
      <c r="F54" s="97" t="str">
        <f>VLOOKUP(A54,'Parameters Summary'!$B$2:$AB$826,5,FALSE)</f>
        <v>PHYSPROP</v>
      </c>
      <c r="G54" s="93">
        <f>VLOOKUP(A54,'Parameters Summary'!$B$2:$AB$826,9,FALSE)</f>
        <v>8.4500000000000004E-6</v>
      </c>
      <c r="H54" s="93" t="str">
        <f>VLOOKUP(A54,'Parameters Summary'!$B$2:$AB$826,10,FALSE)</f>
        <v>PHYSPROP</v>
      </c>
      <c r="I54" s="93">
        <f>VLOOKUP(A54,'Parameters Summary'!$B$2:$AB$826,24,FALSE)</f>
        <v>5.3199999999999997E-2</v>
      </c>
      <c r="J54" s="97" t="str">
        <f>VLOOKUP(A54,'Parameters Summary'!$B$2:$AB$826,25,FALSE)</f>
        <v>PHYSPROP</v>
      </c>
      <c r="K54" s="97" t="str">
        <f>VLOOKUP(A54,'Tox Summary'!$O$3:$S$827,2,FALSE)</f>
        <v/>
      </c>
      <c r="L54" s="93">
        <f>VLOOKUP(A54,'Parameters Summary'!$B$2:$AB$826,7,FALSE)</f>
        <v>1.25E-4</v>
      </c>
      <c r="M54" s="93" t="str">
        <f>VLOOKUP(A54,'Parameters Summary'!$B$2:$AB$826,8,FALSE)</f>
        <v>PHYSPROP</v>
      </c>
      <c r="N54" s="91">
        <f>VLOOKUP(A54,'Parameters Summary'!$B$2:$AB$826,6,FALSE)</f>
        <v>5.1104000000000002E-3</v>
      </c>
      <c r="O54" s="91" t="str">
        <f t="shared" si="0"/>
        <v/>
      </c>
      <c r="P54" s="91">
        <f t="shared" si="3"/>
        <v>5.1104000000000002E-3</v>
      </c>
      <c r="Q54" s="91" t="str">
        <f t="shared" si="1"/>
        <v/>
      </c>
      <c r="R54" s="91">
        <f t="shared" si="4"/>
        <v>5.1104000000000002E-3</v>
      </c>
      <c r="S54" s="91" t="str">
        <f t="shared" si="5"/>
        <v/>
      </c>
      <c r="T54" s="93">
        <f>VLOOKUP(A54,'Parameters Summary'!$B$2:$AB$826,15,FALSE)</f>
        <v>2.4576500000000001E-2</v>
      </c>
      <c r="U54" s="93" t="str">
        <f>VLOOKUP(A54,'Parameters Summary'!$B$2:$AB$826,17,FALSE)</f>
        <v>WATER9 (U.S. EPA, 2001)</v>
      </c>
      <c r="V54" s="93">
        <f>VLOOKUP(A54,'Parameters Summary'!$B$2:$AB$826,16,FALSE)</f>
        <v>6.3450999999999996E-6</v>
      </c>
      <c r="W54" s="379" t="str">
        <f>VLOOKUP(A54,'Parameters Summary'!$B$2:$AB$826,17,FALSE)</f>
        <v>WATER9 (U.S. EPA, 2001)</v>
      </c>
      <c r="X54" s="347">
        <v>632.51</v>
      </c>
      <c r="Y54" s="96" t="s">
        <v>553</v>
      </c>
      <c r="Z54" s="96" t="s">
        <v>1653</v>
      </c>
      <c r="AA54" s="96"/>
      <c r="AB54" s="96" t="s">
        <v>1651</v>
      </c>
      <c r="AC54" s="96"/>
      <c r="AD54" s="93">
        <f>VLOOKUP(A54,'Parameters Summary'!$B$2:$AB$826,20,FALSE)</f>
        <v>81320</v>
      </c>
      <c r="AE54" s="97" t="str">
        <f>VLOOKUP(A54,'Parameters Summary'!$B$2:$AB$826,21,FALSE)</f>
        <v>EPI</v>
      </c>
      <c r="AF54" s="97"/>
      <c r="AG54" s="94"/>
      <c r="AH54" s="92"/>
      <c r="AI54" s="96"/>
      <c r="AJ54" s="330"/>
      <c r="AL54" s="81"/>
    </row>
    <row r="55" spans="1:38" ht="12.75" customHeight="1">
      <c r="A55" s="96" t="s">
        <v>670</v>
      </c>
      <c r="B55" s="96" t="s">
        <v>991</v>
      </c>
      <c r="C55" s="96" t="str">
        <f t="shared" si="2"/>
        <v>No</v>
      </c>
      <c r="D55" s="96" t="str">
        <f>VLOOKUP(A55,'Tox Summary'!$O$3:$R$824,3,FALSE)</f>
        <v>Yes</v>
      </c>
      <c r="E55" s="97">
        <f>VLOOKUP(A55,'Parameters Summary'!$B$2:$AB$826,4,FALSE)</f>
        <v>74.921999999999997</v>
      </c>
      <c r="F55" s="97" t="str">
        <f>VLOOKUP(A55,'Parameters Summary'!$B$2:$AB$826,5,FALSE)</f>
        <v>CRC89</v>
      </c>
      <c r="G55" s="93" t="s">
        <v>2439</v>
      </c>
      <c r="H55" s="93" t="str">
        <f>VLOOKUP(A55,'Parameters Summary'!$B$2:$AB$826,10,FALSE)</f>
        <v/>
      </c>
      <c r="I55" s="93" t="s">
        <v>2440</v>
      </c>
      <c r="J55" s="97" t="str">
        <f>VLOOKUP(A55,'Parameters Summary'!$B$2:$AB$826,25,FALSE)</f>
        <v/>
      </c>
      <c r="K55" s="97">
        <f>VLOOKUP(A55,'Tox Summary'!$O$3:$S$827,2,FALSE)</f>
        <v>10</v>
      </c>
      <c r="L55" s="93" t="s">
        <v>2298</v>
      </c>
      <c r="M55" s="93" t="str">
        <f>VLOOKUP(A55,'Parameters Summary'!$B$2:$AB$826,8,FALSE)</f>
        <v/>
      </c>
      <c r="N55" s="91" t="str">
        <f>VLOOKUP(A55,'Parameters Summary'!$B$2:$AB$826,6,FALSE)</f>
        <v xml:space="preserve"> </v>
      </c>
      <c r="O55" s="91" t="str">
        <f t="shared" si="0"/>
        <v/>
      </c>
      <c r="P55" s="91" t="str">
        <f t="shared" si="3"/>
        <v xml:space="preserve"> </v>
      </c>
      <c r="Q55" s="91" t="str">
        <f t="shared" si="1"/>
        <v/>
      </c>
      <c r="R55" s="91" t="str">
        <f t="shared" si="4"/>
        <v xml:space="preserve"> </v>
      </c>
      <c r="S55" s="91" t="str">
        <f t="shared" si="5"/>
        <v/>
      </c>
      <c r="T55" s="93" t="str">
        <f>VLOOKUP(A55,'Parameters Summary'!$B$2:$AB$826,15,FALSE)</f>
        <v xml:space="preserve"> </v>
      </c>
      <c r="U55" s="93" t="str">
        <f>VLOOKUP(A55,'Parameters Summary'!$B$2:$AB$826,17,FALSE)</f>
        <v/>
      </c>
      <c r="V55" s="93" t="str">
        <f>VLOOKUP(A55,'Parameters Summary'!$B$2:$AB$826,16,FALSE)</f>
        <v xml:space="preserve"> </v>
      </c>
      <c r="W55" s="379" t="str">
        <f>VLOOKUP(A55,'Parameters Summary'!$B$2:$AB$826,17,FALSE)</f>
        <v/>
      </c>
      <c r="X55" s="290">
        <v>888.15</v>
      </c>
      <c r="Y55" s="96" t="s">
        <v>553</v>
      </c>
      <c r="Z55" s="96">
        <v>1332.2249999999999</v>
      </c>
      <c r="AA55" s="96" t="s">
        <v>2220</v>
      </c>
      <c r="AB55" s="96" t="s">
        <v>1651</v>
      </c>
      <c r="AC55" s="96"/>
      <c r="AD55" s="93" t="str">
        <f>VLOOKUP(A55,'Parameters Summary'!$B$2:$AB$826,20,FALSE)</f>
        <v xml:space="preserve"> </v>
      </c>
      <c r="AE55" s="97" t="str">
        <f>VLOOKUP(A55,'Parameters Summary'!$B$2:$AB$826,21,FALSE)</f>
        <v/>
      </c>
      <c r="AF55" s="97"/>
      <c r="AG55" s="94"/>
      <c r="AH55" s="92"/>
      <c r="AI55" s="94"/>
      <c r="AJ55" s="330"/>
      <c r="AL55" s="81"/>
    </row>
    <row r="56" spans="1:38" ht="12.75" customHeight="1">
      <c r="A56" s="96" t="s">
        <v>671</v>
      </c>
      <c r="B56" s="96" t="s">
        <v>992</v>
      </c>
      <c r="C56" s="96" t="str">
        <f t="shared" si="2"/>
        <v>No</v>
      </c>
      <c r="D56" s="96" t="str">
        <f>VLOOKUP(A56,'Tox Summary'!$O$3:$R$824,3,FALSE)</f>
        <v>No</v>
      </c>
      <c r="E56" s="97">
        <f>VLOOKUP(A56,'Parameters Summary'!$B$2:$AB$826,4,FALSE)</f>
        <v>77.945999999999998</v>
      </c>
      <c r="F56" s="97" t="str">
        <f>VLOOKUP(A56,'Parameters Summary'!$B$2:$AB$826,5,FALSE)</f>
        <v>PHYSPROP</v>
      </c>
      <c r="G56" s="93" t="s">
        <v>2439</v>
      </c>
      <c r="H56" s="93" t="str">
        <f>VLOOKUP(A56,'Parameters Summary'!$B$2:$AB$826,10,FALSE)</f>
        <v/>
      </c>
      <c r="I56" s="93">
        <f>VLOOKUP(A56,'Parameters Summary'!$B$2:$AB$826,24,FALSE)</f>
        <v>200000</v>
      </c>
      <c r="J56" s="97" t="str">
        <f>VLOOKUP(A56,'Parameters Summary'!$B$2:$AB$826,25,FALSE)</f>
        <v>PERRY</v>
      </c>
      <c r="K56" s="97" t="str">
        <f>VLOOKUP(A56,'Tox Summary'!$O$3:$S$827,2,FALSE)</f>
        <v/>
      </c>
      <c r="L56" s="93" t="s">
        <v>2298</v>
      </c>
      <c r="M56" s="93" t="str">
        <f>VLOOKUP(A56,'Parameters Summary'!$B$2:$AB$826,8,FALSE)</f>
        <v/>
      </c>
      <c r="N56" s="91" t="str">
        <f>VLOOKUP(A56,'Parameters Summary'!$B$2:$AB$826,6,FALSE)</f>
        <v xml:space="preserve"> </v>
      </c>
      <c r="O56" s="91"/>
      <c r="P56" s="91"/>
      <c r="Q56" s="91"/>
      <c r="R56" s="91"/>
      <c r="S56" s="91"/>
      <c r="T56" s="93" t="str">
        <f>VLOOKUP(A56,'Parameters Summary'!$B$2:$AB$826,15,FALSE)</f>
        <v xml:space="preserve"> </v>
      </c>
      <c r="U56" s="93" t="str">
        <f>VLOOKUP(A56,'Parameters Summary'!$B$2:$AB$826,17,FALSE)</f>
        <v/>
      </c>
      <c r="V56" s="93" t="str">
        <f>VLOOKUP(A56,'Parameters Summary'!$B$2:$AB$826,16,FALSE)</f>
        <v xml:space="preserve"> </v>
      </c>
      <c r="W56" s="379" t="str">
        <f>VLOOKUP(A56,'Parameters Summary'!$B$2:$AB$826,17,FALSE)</f>
        <v/>
      </c>
      <c r="X56" s="290">
        <v>210.64999999999998</v>
      </c>
      <c r="Y56" s="96" t="s">
        <v>553</v>
      </c>
      <c r="Z56" s="96">
        <v>373.1</v>
      </c>
      <c r="AA56" s="96" t="s">
        <v>2215</v>
      </c>
      <c r="AB56" s="96">
        <v>3940.66</v>
      </c>
      <c r="AC56" s="96" t="s">
        <v>2214</v>
      </c>
      <c r="AD56" s="93" t="str">
        <f>VLOOKUP(A56,'Parameters Summary'!$B$2:$AB$826,20,FALSE)</f>
        <v xml:space="preserve"> </v>
      </c>
      <c r="AE56" s="97" t="str">
        <f>VLOOKUP(A56,'Parameters Summary'!$B$2:$AB$826,21,FALSE)</f>
        <v/>
      </c>
      <c r="AF56" s="97"/>
      <c r="AG56" s="94"/>
      <c r="AH56" s="92"/>
      <c r="AI56" s="94"/>
      <c r="AJ56" s="330"/>
      <c r="AL56" s="81"/>
    </row>
    <row r="57" spans="1:38" ht="12.75" customHeight="1">
      <c r="A57" s="96" t="s">
        <v>673</v>
      </c>
      <c r="B57" s="96" t="s">
        <v>993</v>
      </c>
      <c r="C57" s="96" t="str">
        <f t="shared" si="2"/>
        <v>No</v>
      </c>
      <c r="D57" s="96" t="str">
        <f>VLOOKUP(A57,'Tox Summary'!$O$3:$R$824,3,FALSE)</f>
        <v>No</v>
      </c>
      <c r="E57" s="97">
        <f>VLOOKUP(A57,'Parameters Summary'!$B$2:$AB$826,4,FALSE)</f>
        <v>230.24</v>
      </c>
      <c r="F57" s="97" t="str">
        <f>VLOOKUP(A57,'Parameters Summary'!$B$2:$AB$826,5,FALSE)</f>
        <v>PHYSPROP</v>
      </c>
      <c r="G57" s="93">
        <f>VLOOKUP(A57,'Parameters Summary'!$B$2:$AB$826,9,FALSE)</f>
        <v>1.44E-6</v>
      </c>
      <c r="H57" s="93" t="str">
        <f>VLOOKUP(A57,'Parameters Summary'!$B$2:$AB$826,10,FALSE)</f>
        <v>PHYSPROP</v>
      </c>
      <c r="I57" s="93">
        <f>VLOOKUP(A57,'Parameters Summary'!$B$2:$AB$826,24,FALSE)</f>
        <v>5000</v>
      </c>
      <c r="J57" s="97" t="str">
        <f>VLOOKUP(A57,'Parameters Summary'!$B$2:$AB$826,25,FALSE)</f>
        <v>PHYSPROP</v>
      </c>
      <c r="K57" s="97" t="str">
        <f>VLOOKUP(A57,'Tox Summary'!$O$3:$S$827,2,FALSE)</f>
        <v/>
      </c>
      <c r="L57" s="93">
        <f>VLOOKUP(A57,'Parameters Summary'!$B$2:$AB$826,7,FALSE)</f>
        <v>1.71E-12</v>
      </c>
      <c r="M57" s="93" t="str">
        <f>VLOOKUP(A57,'Parameters Summary'!$B$2:$AB$826,8,FALSE)</f>
        <v>PHYSPROP</v>
      </c>
      <c r="N57" s="91">
        <f>VLOOKUP(A57,'Parameters Summary'!$B$2:$AB$826,6,FALSE)</f>
        <v>6.9909999999999994E-11</v>
      </c>
      <c r="O57" s="91" t="str">
        <f t="shared" si="0"/>
        <v/>
      </c>
      <c r="P57" s="91">
        <f t="shared" si="3"/>
        <v>6.9909999999999994E-11</v>
      </c>
      <c r="Q57" s="91" t="str">
        <f t="shared" si="1"/>
        <v/>
      </c>
      <c r="R57" s="91">
        <f t="shared" si="4"/>
        <v>6.9909999999999994E-11</v>
      </c>
      <c r="S57" s="91" t="str">
        <f t="shared" si="5"/>
        <v/>
      </c>
      <c r="T57" s="93">
        <f>VLOOKUP(A57,'Parameters Summary'!$B$2:$AB$826,15,FALSE)</f>
        <v>5.0578600000000001E-2</v>
      </c>
      <c r="U57" s="93" t="str">
        <f>VLOOKUP(A57,'Parameters Summary'!$B$2:$AB$826,17,FALSE)</f>
        <v>WATER9 (U.S. EPA, 2001)</v>
      </c>
      <c r="V57" s="93">
        <f>VLOOKUP(A57,'Parameters Summary'!$B$2:$AB$826,16,FALSE)</f>
        <v>5.9097000000000004E-6</v>
      </c>
      <c r="W57" s="379" t="str">
        <f>VLOOKUP(A57,'Parameters Summary'!$B$2:$AB$826,17,FALSE)</f>
        <v>WATER9 (U.S. EPA, 2001)</v>
      </c>
      <c r="X57" s="347"/>
      <c r="Y57" s="96"/>
      <c r="Z57" s="96" t="s">
        <v>1653</v>
      </c>
      <c r="AA57" s="96"/>
      <c r="AB57" s="96" t="s">
        <v>1651</v>
      </c>
      <c r="AC57" s="96"/>
      <c r="AD57" s="93">
        <f>VLOOKUP(A57,'Parameters Summary'!$B$2:$AB$826,20,FALSE)</f>
        <v>27.8</v>
      </c>
      <c r="AE57" s="97" t="str">
        <f>VLOOKUP(A57,'Parameters Summary'!$B$2:$AB$826,21,FALSE)</f>
        <v>EPI</v>
      </c>
      <c r="AF57" s="97"/>
      <c r="AG57" s="94"/>
      <c r="AH57" s="92"/>
      <c r="AI57" s="96"/>
      <c r="AJ57" s="330"/>
      <c r="AL57" s="81"/>
    </row>
    <row r="58" spans="1:38" ht="12.75" customHeight="1">
      <c r="A58" s="96" t="s">
        <v>674</v>
      </c>
      <c r="B58" s="96" t="s">
        <v>994</v>
      </c>
      <c r="C58" s="96" t="str">
        <f t="shared" si="2"/>
        <v>No</v>
      </c>
      <c r="D58" s="96" t="str">
        <f>VLOOKUP(A58,'Tox Summary'!$O$3:$R$824,3,FALSE)</f>
        <v>Yes</v>
      </c>
      <c r="E58" s="97">
        <f>VLOOKUP(A58,'Parameters Summary'!$B$2:$AB$826,4,FALSE)</f>
        <v>215.69</v>
      </c>
      <c r="F58" s="97" t="str">
        <f>VLOOKUP(A58,'Parameters Summary'!$B$2:$AB$826,5,FALSE)</f>
        <v>PHYSPROP</v>
      </c>
      <c r="G58" s="93">
        <f>VLOOKUP(A58,'Parameters Summary'!$B$2:$AB$826,9,FALSE)</f>
        <v>2.8900000000000001E-7</v>
      </c>
      <c r="H58" s="93" t="str">
        <f>VLOOKUP(A58,'Parameters Summary'!$B$2:$AB$826,10,FALSE)</f>
        <v>PHYSPROP</v>
      </c>
      <c r="I58" s="93">
        <f>VLOOKUP(A58,'Parameters Summary'!$B$2:$AB$826,24,FALSE)</f>
        <v>34.700000000000003</v>
      </c>
      <c r="J58" s="97" t="str">
        <f>VLOOKUP(A58,'Parameters Summary'!$B$2:$AB$826,25,FALSE)</f>
        <v>PHYSPROP</v>
      </c>
      <c r="K58" s="97">
        <f>VLOOKUP(A58,'Tox Summary'!$O$3:$S$827,2,FALSE)</f>
        <v>3</v>
      </c>
      <c r="L58" s="93">
        <f>VLOOKUP(A58,'Parameters Summary'!$B$2:$AB$826,7,FALSE)</f>
        <v>2.3600000000000001E-9</v>
      </c>
      <c r="M58" s="93" t="str">
        <f>VLOOKUP(A58,'Parameters Summary'!$B$2:$AB$826,8,FALSE)</f>
        <v>EPI</v>
      </c>
      <c r="N58" s="91">
        <f>VLOOKUP(A58,'Parameters Summary'!$B$2:$AB$826,6,FALSE)</f>
        <v>9.6484000000000006E-8</v>
      </c>
      <c r="O58" s="91" t="str">
        <f t="shared" si="0"/>
        <v/>
      </c>
      <c r="P58" s="91">
        <f t="shared" si="3"/>
        <v>9.6484000000000006E-8</v>
      </c>
      <c r="Q58" s="91" t="str">
        <f t="shared" si="1"/>
        <v/>
      </c>
      <c r="R58" s="91">
        <f t="shared" si="4"/>
        <v>9.6484000000000006E-8</v>
      </c>
      <c r="S58" s="91" t="str">
        <f t="shared" si="5"/>
        <v/>
      </c>
      <c r="T58" s="93">
        <f>VLOOKUP(A58,'Parameters Summary'!$B$2:$AB$826,15,FALSE)</f>
        <v>2.6465499999999999E-2</v>
      </c>
      <c r="U58" s="93" t="str">
        <f>VLOOKUP(A58,'Parameters Summary'!$B$2:$AB$826,17,FALSE)</f>
        <v>WATER9 (U.S. EPA, 2001)</v>
      </c>
      <c r="V58" s="93">
        <f>VLOOKUP(A58,'Parameters Summary'!$B$2:$AB$826,16,FALSE)</f>
        <v>6.8378E-6</v>
      </c>
      <c r="W58" s="379" t="str">
        <f>VLOOKUP(A58,'Parameters Summary'!$B$2:$AB$826,17,FALSE)</f>
        <v>WATER9 (U.S. EPA, 2001)</v>
      </c>
      <c r="X58" s="347"/>
      <c r="Y58" s="96"/>
      <c r="Z58" s="96" t="s">
        <v>1653</v>
      </c>
      <c r="AA58" s="96"/>
      <c r="AB58" s="96" t="s">
        <v>1651</v>
      </c>
      <c r="AC58" s="96"/>
      <c r="AD58" s="93">
        <f>VLOOKUP(A58,'Parameters Summary'!$B$2:$AB$826,20,FALSE)</f>
        <v>224.5</v>
      </c>
      <c r="AE58" s="97" t="str">
        <f>VLOOKUP(A58,'Parameters Summary'!$B$2:$AB$826,21,FALSE)</f>
        <v>EPI</v>
      </c>
      <c r="AF58" s="97"/>
      <c r="AG58" s="94"/>
      <c r="AH58" s="92"/>
      <c r="AI58" s="96"/>
      <c r="AJ58" s="330"/>
      <c r="AL58" s="81"/>
    </row>
    <row r="59" spans="1:38" ht="12.75" customHeight="1">
      <c r="A59" s="96" t="s">
        <v>675</v>
      </c>
      <c r="B59" s="96" t="s">
        <v>560</v>
      </c>
      <c r="C59" s="96" t="str">
        <f t="shared" si="2"/>
        <v>No</v>
      </c>
      <c r="D59" s="96" t="str">
        <f>VLOOKUP(A59,'Tox Summary'!$O$3:$R$824,3,FALSE)</f>
        <v>No</v>
      </c>
      <c r="E59" s="97">
        <f>VLOOKUP(A59,'Parameters Summary'!$B$2:$AB$826,4,FALSE)</f>
        <v>267.38</v>
      </c>
      <c r="F59" s="97" t="str">
        <f>VLOOKUP(A59,'Parameters Summary'!$B$2:$AB$826,5,FALSE)</f>
        <v>PHYSPROP</v>
      </c>
      <c r="G59" s="93">
        <f>VLOOKUP(A59,'Parameters Summary'!$B$2:$AB$826,9,FALSE)</f>
        <v>1.2899999999999999E-6</v>
      </c>
      <c r="H59" s="93" t="str">
        <f>VLOOKUP(A59,'Parameters Summary'!$B$2:$AB$826,10,FALSE)</f>
        <v>PHYSPROP</v>
      </c>
      <c r="I59" s="93">
        <f>VLOOKUP(A59,'Parameters Summary'!$B$2:$AB$826,24,FALSE)</f>
        <v>53.54</v>
      </c>
      <c r="J59" s="97" t="str">
        <f>VLOOKUP(A59,'Parameters Summary'!$B$2:$AB$826,25,FALSE)</f>
        <v>PHYSPROP</v>
      </c>
      <c r="K59" s="97" t="str">
        <f>VLOOKUP(A59,'Tox Summary'!$O$3:$S$827,2,FALSE)</f>
        <v/>
      </c>
      <c r="L59" s="93">
        <f>VLOOKUP(A59,'Parameters Summary'!$B$2:$AB$826,7,FALSE)</f>
        <v>3.6399999999999998E-9</v>
      </c>
      <c r="M59" s="93" t="str">
        <f>VLOOKUP(A59,'Parameters Summary'!$B$2:$AB$826,8,FALSE)</f>
        <v>PHYSPROP</v>
      </c>
      <c r="N59" s="91">
        <f>VLOOKUP(A59,'Parameters Summary'!$B$2:$AB$826,6,FALSE)</f>
        <v>1.4880999999999999E-7</v>
      </c>
      <c r="O59" s="91" t="str">
        <f t="shared" si="0"/>
        <v/>
      </c>
      <c r="P59" s="91">
        <f t="shared" si="3"/>
        <v>1.4880999999999999E-7</v>
      </c>
      <c r="Q59" s="91" t="str">
        <f t="shared" si="1"/>
        <v/>
      </c>
      <c r="R59" s="91">
        <f t="shared" si="4"/>
        <v>1.4880999999999999E-7</v>
      </c>
      <c r="S59" s="91" t="str">
        <f t="shared" si="5"/>
        <v/>
      </c>
      <c r="T59" s="93">
        <f>VLOOKUP(A59,'Parameters Summary'!$B$2:$AB$826,15,FALSE)</f>
        <v>4.5779100000000003E-2</v>
      </c>
      <c r="U59" s="93" t="str">
        <f>VLOOKUP(A59,'Parameters Summary'!$B$2:$AB$826,17,FALSE)</f>
        <v>WATER9 (U.S. EPA, 2001)</v>
      </c>
      <c r="V59" s="93">
        <f>VLOOKUP(A59,'Parameters Summary'!$B$2:$AB$826,16,FALSE)</f>
        <v>5.3488999999999997E-6</v>
      </c>
      <c r="W59" s="379" t="str">
        <f>VLOOKUP(A59,'Parameters Summary'!$B$2:$AB$826,17,FALSE)</f>
        <v>WATER9 (U.S. EPA, 2001)</v>
      </c>
      <c r="X59" s="290">
        <v>603.65</v>
      </c>
      <c r="Y59" s="96" t="s">
        <v>553</v>
      </c>
      <c r="Z59" s="96">
        <v>905.47499999999991</v>
      </c>
      <c r="AA59" s="96" t="s">
        <v>2220</v>
      </c>
      <c r="AB59" s="96" t="s">
        <v>1651</v>
      </c>
      <c r="AC59" s="96"/>
      <c r="AD59" s="93">
        <f>VLOOKUP(A59,'Parameters Summary'!$B$2:$AB$826,20,FALSE)</f>
        <v>4456</v>
      </c>
      <c r="AE59" s="97" t="str">
        <f>VLOOKUP(A59,'Parameters Summary'!$B$2:$AB$826,21,FALSE)</f>
        <v>EPI</v>
      </c>
      <c r="AF59" s="97"/>
      <c r="AG59" s="94"/>
      <c r="AH59" s="92"/>
      <c r="AI59" s="94"/>
      <c r="AJ59" s="330"/>
      <c r="AL59" s="81"/>
    </row>
    <row r="60" spans="1:38" ht="12.75" customHeight="1">
      <c r="A60" s="96" t="s">
        <v>676</v>
      </c>
      <c r="B60" s="96" t="s">
        <v>995</v>
      </c>
      <c r="C60" s="96" t="str">
        <f t="shared" si="2"/>
        <v>No</v>
      </c>
      <c r="D60" s="96" t="str">
        <f>VLOOKUP(A60,'Tox Summary'!$O$3:$R$824,3,FALSE)</f>
        <v>Yes</v>
      </c>
      <c r="E60" s="97">
        <f>VLOOKUP(A60,'Parameters Summary'!$B$2:$AB$826,4,FALSE)</f>
        <v>875.12</v>
      </c>
      <c r="F60" s="97" t="str">
        <f>VLOOKUP(A60,'Parameters Summary'!$B$2:$AB$826,5,FALSE)</f>
        <v>PHYSPROP</v>
      </c>
      <c r="G60" s="93">
        <f>VLOOKUP(A60,'Parameters Summary'!$B$2:$AB$826,9,FALSE)</f>
        <v>1.4600000000000001E-30</v>
      </c>
      <c r="H60" s="93" t="str">
        <f>VLOOKUP(A60,'Parameters Summary'!$B$2:$AB$826,10,FALSE)</f>
        <v>PHYSPROP</v>
      </c>
      <c r="I60" s="93">
        <f>VLOOKUP(A60,'Parameters Summary'!$B$2:$AB$826,24,FALSE)</f>
        <v>3.5E-4</v>
      </c>
      <c r="J60" s="97" t="str">
        <f>VLOOKUP(A60,'Parameters Summary'!$B$2:$AB$826,25,FALSE)</f>
        <v>PHYSPROP</v>
      </c>
      <c r="K60" s="97" t="str">
        <f>VLOOKUP(A60,'Tox Summary'!$O$3:$S$827,2,FALSE)</f>
        <v/>
      </c>
      <c r="L60" s="93">
        <f>VLOOKUP(A60,'Parameters Summary'!$B$2:$AB$826,7,FALSE)</f>
        <v>1.3200000000000001E-27</v>
      </c>
      <c r="M60" s="93" t="str">
        <f>VLOOKUP(A60,'Parameters Summary'!$B$2:$AB$826,8,FALSE)</f>
        <v>PHYSPROP</v>
      </c>
      <c r="N60" s="91">
        <f>VLOOKUP(A60,'Parameters Summary'!$B$2:$AB$826,6,FALSE)</f>
        <v>5.3970000000000006E-26</v>
      </c>
      <c r="O60" s="91" t="str">
        <f t="shared" si="0"/>
        <v/>
      </c>
      <c r="P60" s="91">
        <f t="shared" si="3"/>
        <v>5.3970000000000006E-26</v>
      </c>
      <c r="Q60" s="91" t="str">
        <f t="shared" si="1"/>
        <v/>
      </c>
      <c r="R60" s="91">
        <f t="shared" si="4"/>
        <v>5.3970000000000006E-26</v>
      </c>
      <c r="S60" s="91" t="str">
        <f t="shared" si="5"/>
        <v/>
      </c>
      <c r="T60" s="93">
        <f>VLOOKUP(A60,'Parameters Summary'!$B$2:$AB$826,15,FALSE)</f>
        <v>2.07671E-2</v>
      </c>
      <c r="U60" s="93" t="str">
        <f>VLOOKUP(A60,'Parameters Summary'!$B$2:$AB$826,17,FALSE)</f>
        <v>WATER9 (U.S. EPA, 2001)</v>
      </c>
      <c r="V60" s="93">
        <f>VLOOKUP(A60,'Parameters Summary'!$B$2:$AB$826,16,FALSE)</f>
        <v>2.4265E-6</v>
      </c>
      <c r="W60" s="379" t="str">
        <f>VLOOKUP(A60,'Parameters Summary'!$B$2:$AB$826,17,FALSE)</f>
        <v>WATER9 (U.S. EPA, 2001)</v>
      </c>
      <c r="X60" s="347"/>
      <c r="Y60" s="96"/>
      <c r="Z60" s="96" t="s">
        <v>1653</v>
      </c>
      <c r="AA60" s="96"/>
      <c r="AB60" s="96" t="s">
        <v>1651</v>
      </c>
      <c r="AC60" s="96"/>
      <c r="AD60" s="93">
        <f>VLOOKUP(A60,'Parameters Summary'!$B$2:$AB$826,20,FALSE)</f>
        <v>876700</v>
      </c>
      <c r="AE60" s="97" t="str">
        <f>VLOOKUP(A60,'Parameters Summary'!$B$2:$AB$826,21,FALSE)</f>
        <v>EPI</v>
      </c>
      <c r="AF60" s="97"/>
      <c r="AG60" s="94"/>
      <c r="AH60" s="92"/>
      <c r="AI60" s="96"/>
      <c r="AJ60" s="330"/>
      <c r="AL60" s="81"/>
    </row>
    <row r="61" spans="1:38" ht="12.75" customHeight="1">
      <c r="A61" s="96" t="s">
        <v>956</v>
      </c>
      <c r="B61" s="96" t="s">
        <v>2299</v>
      </c>
      <c r="C61" s="96" t="str">
        <f t="shared" si="2"/>
        <v>No</v>
      </c>
      <c r="D61" s="96" t="str">
        <f>VLOOKUP(A61,'Tox Summary'!$O$3:$R$824,3,FALSE)</f>
        <v>Yes</v>
      </c>
      <c r="E61" s="97">
        <f>VLOOKUP(A61,'Parameters Summary'!$B$2:$AB$826,4,FALSE)</f>
        <v>317.33</v>
      </c>
      <c r="F61" s="97" t="str">
        <f>VLOOKUP(A61,'Parameters Summary'!$B$2:$AB$826,5,FALSE)</f>
        <v>PHYSPROP</v>
      </c>
      <c r="G61" s="93">
        <f>VLOOKUP(A61,'Parameters Summary'!$B$2:$AB$826,9,FALSE)</f>
        <v>1.5999999999999999E-6</v>
      </c>
      <c r="H61" s="93" t="str">
        <f>VLOOKUP(A61,'Parameters Summary'!$B$2:$AB$826,10,FALSE)</f>
        <v>PHYSPROP</v>
      </c>
      <c r="I61" s="93">
        <f>VLOOKUP(A61,'Parameters Summary'!$B$2:$AB$826,24,FALSE)</f>
        <v>20.9</v>
      </c>
      <c r="J61" s="97" t="str">
        <f>VLOOKUP(A61,'Parameters Summary'!$B$2:$AB$826,25,FALSE)</f>
        <v>PHYSPROP</v>
      </c>
      <c r="K61" s="97" t="str">
        <f>VLOOKUP(A61,'Tox Summary'!$O$3:$S$827,2,FALSE)</f>
        <v/>
      </c>
      <c r="L61" s="93">
        <f>VLOOKUP(A61,'Parameters Summary'!$B$2:$AB$826,7,FALSE)</f>
        <v>2.3899999999999999E-8</v>
      </c>
      <c r="M61" s="93" t="str">
        <f>VLOOKUP(A61,'Parameters Summary'!$B$2:$AB$826,8,FALSE)</f>
        <v>EPI</v>
      </c>
      <c r="N61" s="91">
        <f>VLOOKUP(A61,'Parameters Summary'!$B$2:$AB$826,6,FALSE)</f>
        <v>9.7710999999999999E-7</v>
      </c>
      <c r="O61" s="91" t="str">
        <f t="shared" si="0"/>
        <v/>
      </c>
      <c r="P61" s="91">
        <f t="shared" si="3"/>
        <v>9.7710999999999999E-7</v>
      </c>
      <c r="Q61" s="91" t="str">
        <f t="shared" si="1"/>
        <v/>
      </c>
      <c r="R61" s="91">
        <f t="shared" si="4"/>
        <v>9.7710999999999999E-7</v>
      </c>
      <c r="S61" s="91" t="str">
        <f t="shared" si="5"/>
        <v/>
      </c>
      <c r="T61" s="93">
        <f>VLOOKUP(A61,'Parameters Summary'!$B$2:$AB$826,15,FALSE)</f>
        <v>2.3316199999999999E-2</v>
      </c>
      <c r="U61" s="93" t="str">
        <f>VLOOKUP(A61,'Parameters Summary'!$B$2:$AB$826,17,FALSE)</f>
        <v>WATER9 (U.S. EPA, 2001)</v>
      </c>
      <c r="V61" s="93">
        <f>VLOOKUP(A61,'Parameters Summary'!$B$2:$AB$826,16,FALSE)</f>
        <v>5.9618999999999996E-6</v>
      </c>
      <c r="W61" s="379" t="str">
        <f>VLOOKUP(A61,'Parameters Summary'!$B$2:$AB$826,17,FALSE)</f>
        <v>WATER9 (U.S. EPA, 2001)</v>
      </c>
      <c r="X61" s="347"/>
      <c r="Y61" s="96"/>
      <c r="Z61" s="96" t="s">
        <v>1653</v>
      </c>
      <c r="AA61" s="96"/>
      <c r="AB61" s="96" t="s">
        <v>1651</v>
      </c>
      <c r="AC61" s="96"/>
      <c r="AD61" s="93">
        <f>VLOOKUP(A61,'Parameters Summary'!$B$2:$AB$826,20,FALSE)</f>
        <v>51.93</v>
      </c>
      <c r="AE61" s="97" t="str">
        <f>VLOOKUP(A61,'Parameters Summary'!$B$2:$AB$826,21,FALSE)</f>
        <v>EPI</v>
      </c>
      <c r="AF61" s="97"/>
      <c r="AG61" s="94"/>
      <c r="AH61" s="92"/>
      <c r="AI61" s="94" t="s">
        <v>2098</v>
      </c>
      <c r="AJ61" s="330"/>
      <c r="AL61" s="81"/>
    </row>
    <row r="62" spans="1:38" ht="12.75" customHeight="1">
      <c r="A62" s="95" t="s">
        <v>677</v>
      </c>
      <c r="B62" s="96" t="s">
        <v>1398</v>
      </c>
      <c r="C62" s="96" t="str">
        <f t="shared" si="2"/>
        <v>Yes</v>
      </c>
      <c r="D62" s="96" t="str">
        <f>VLOOKUP(A62,'Tox Summary'!$O$3:$R$824,3,FALSE)</f>
        <v>Yes</v>
      </c>
      <c r="E62" s="97">
        <f>VLOOKUP(A62,'Parameters Summary'!$B$2:$AB$826,4,FALSE)</f>
        <v>182.23</v>
      </c>
      <c r="F62" s="97" t="str">
        <f>VLOOKUP(A62,'Parameters Summary'!$B$2:$AB$826,5,FALSE)</f>
        <v>PHYSPROP</v>
      </c>
      <c r="G62" s="93">
        <f>VLOOKUP(A62,'Parameters Summary'!$B$2:$AB$826,9,FALSE)</f>
        <v>3.6099999999999999E-4</v>
      </c>
      <c r="H62" s="93" t="str">
        <f>VLOOKUP(A62,'Parameters Summary'!$B$2:$AB$826,10,FALSE)</f>
        <v>PHYSPROP</v>
      </c>
      <c r="I62" s="93">
        <f>VLOOKUP(A62,'Parameters Summary'!$B$2:$AB$826,24,FALSE)</f>
        <v>6.4</v>
      </c>
      <c r="J62" s="97" t="str">
        <f>VLOOKUP(A62,'Parameters Summary'!$B$2:$AB$826,25,FALSE)</f>
        <v>PHYSPROP</v>
      </c>
      <c r="K62" s="97" t="str">
        <f>VLOOKUP(A62,'Tox Summary'!$O$3:$S$827,2,FALSE)</f>
        <v/>
      </c>
      <c r="L62" s="93">
        <f>VLOOKUP(A62,'Parameters Summary'!$B$2:$AB$826,7,FALSE)</f>
        <v>1.3499999999999999E-5</v>
      </c>
      <c r="M62" s="93" t="str">
        <f>VLOOKUP(A62,'Parameters Summary'!$B$2:$AB$826,8,FALSE)</f>
        <v>EPI</v>
      </c>
      <c r="N62" s="91">
        <f>VLOOKUP(A62,'Parameters Summary'!$B$2:$AB$826,6,FALSE)</f>
        <v>5.5190000000000003E-4</v>
      </c>
      <c r="O62" s="91" t="str">
        <f t="shared" si="0"/>
        <v/>
      </c>
      <c r="P62" s="91">
        <f t="shared" si="3"/>
        <v>5.5190000000000003E-4</v>
      </c>
      <c r="Q62" s="91" t="str">
        <f t="shared" si="1"/>
        <v/>
      </c>
      <c r="R62" s="91">
        <f t="shared" si="4"/>
        <v>5.5190000000000003E-4</v>
      </c>
      <c r="S62" s="91" t="str">
        <f t="shared" si="5"/>
        <v/>
      </c>
      <c r="T62" s="93">
        <f>VLOOKUP(A62,'Parameters Summary'!$B$2:$AB$826,15,FALSE)</f>
        <v>3.5908500000000003E-2</v>
      </c>
      <c r="U62" s="93" t="str">
        <f>VLOOKUP(A62,'Parameters Summary'!$B$2:$AB$826,17,FALSE)</f>
        <v>WATER9 (U.S. EPA, 2001)</v>
      </c>
      <c r="V62" s="93">
        <f>VLOOKUP(A62,'Parameters Summary'!$B$2:$AB$826,16,FALSE)</f>
        <v>7.4654999999999999E-6</v>
      </c>
      <c r="W62" s="379" t="str">
        <f>VLOOKUP(A62,'Parameters Summary'!$B$2:$AB$826,17,FALSE)</f>
        <v>WATER9 (U.S. EPA, 2001)</v>
      </c>
      <c r="X62" s="290">
        <v>566</v>
      </c>
      <c r="Y62" s="96" t="s">
        <v>2212</v>
      </c>
      <c r="Z62" s="96">
        <v>849</v>
      </c>
      <c r="AA62" s="96" t="s">
        <v>2220</v>
      </c>
      <c r="AB62" s="96" t="s">
        <v>1651</v>
      </c>
      <c r="AC62" s="96"/>
      <c r="AD62" s="93">
        <f>VLOOKUP(A62,'Parameters Summary'!$B$2:$AB$826,20,FALSE)</f>
        <v>3759</v>
      </c>
      <c r="AE62" s="97" t="str">
        <f>VLOOKUP(A62,'Parameters Summary'!$B$2:$AB$826,21,FALSE)</f>
        <v>EPI</v>
      </c>
      <c r="AF62" s="97"/>
      <c r="AG62" s="97"/>
      <c r="AH62" s="92"/>
      <c r="AI62" s="94" t="s">
        <v>1425</v>
      </c>
      <c r="AJ62" s="330"/>
      <c r="AL62" s="81"/>
    </row>
    <row r="63" spans="1:38" ht="12.75" customHeight="1">
      <c r="A63" s="96" t="s">
        <v>2078</v>
      </c>
      <c r="B63" s="96" t="s">
        <v>2077</v>
      </c>
      <c r="C63" s="96" t="str">
        <f t="shared" si="2"/>
        <v>No</v>
      </c>
      <c r="D63" s="96" t="str">
        <f>VLOOKUP(A63,'Tox Summary'!$O$3:$R$824,3,FALSE)</f>
        <v>Yes</v>
      </c>
      <c r="E63" s="97">
        <f>VLOOKUP(A63,'Parameters Summary'!$B$2:$AB$826,4,FALSE)</f>
        <v>116.08</v>
      </c>
      <c r="F63" s="97" t="str">
        <f>VLOOKUP(A63,'Parameters Summary'!$B$2:$AB$826,5,FALSE)</f>
        <v>PHYSPROP</v>
      </c>
      <c r="G63" s="93">
        <f>VLOOKUP(A63,'Parameters Summary'!$B$2:$AB$826,9,FALSE)</f>
        <v>1.88E-10</v>
      </c>
      <c r="H63" s="93" t="str">
        <f>VLOOKUP(A63,'Parameters Summary'!$B$2:$AB$826,10,FALSE)</f>
        <v>PHYSPROP</v>
      </c>
      <c r="I63" s="93">
        <f>VLOOKUP(A63,'Parameters Summary'!$B$2:$AB$826,24,FALSE)</f>
        <v>35</v>
      </c>
      <c r="J63" s="97" t="str">
        <f>VLOOKUP(A63,'Parameters Summary'!$B$2:$AB$826,25,FALSE)</f>
        <v>PHYSPROP</v>
      </c>
      <c r="K63" s="97" t="str">
        <f>VLOOKUP(A63,'Tox Summary'!$O$3:$S$827,2,FALSE)</f>
        <v/>
      </c>
      <c r="L63" s="93">
        <f>VLOOKUP(A63,'Parameters Summary'!$B$2:$AB$826,7,FALSE)</f>
        <v>8.2000000000000004E-13</v>
      </c>
      <c r="M63" s="93" t="str">
        <f>VLOOKUP(A63,'Parameters Summary'!$B$2:$AB$826,8,FALSE)</f>
        <v>EPI</v>
      </c>
      <c r="N63" s="91">
        <f>VLOOKUP(A63,'Parameters Summary'!$B$2:$AB$826,6,FALSE)</f>
        <v>3.3519999999999998E-11</v>
      </c>
      <c r="O63" s="91" t="str">
        <f t="shared" si="0"/>
        <v/>
      </c>
      <c r="P63" s="91">
        <f t="shared" si="3"/>
        <v>3.3519999999999998E-11</v>
      </c>
      <c r="Q63" s="91" t="str">
        <f t="shared" si="1"/>
        <v/>
      </c>
      <c r="R63" s="91">
        <f t="shared" si="4"/>
        <v>3.3519999999999998E-11</v>
      </c>
      <c r="S63" s="91" t="str">
        <f t="shared" si="5"/>
        <v/>
      </c>
      <c r="T63" s="93">
        <f>VLOOKUP(A63,'Parameters Summary'!$B$2:$AB$826,15,FALSE)</f>
        <v>8.2955600000000004E-2</v>
      </c>
      <c r="U63" s="93" t="str">
        <f>VLOOKUP(A63,'Parameters Summary'!$B$2:$AB$826,17,FALSE)</f>
        <v>WATER9 (U.S. EPA, 2001)</v>
      </c>
      <c r="V63" s="93">
        <f>VLOOKUP(A63,'Parameters Summary'!$B$2:$AB$826,16,FALSE)</f>
        <v>1.1800000000000001E-5</v>
      </c>
      <c r="W63" s="379" t="str">
        <f>VLOOKUP(A63,'Parameters Summary'!$B$2:$AB$826,17,FALSE)</f>
        <v>WATER9 (U.S. EPA, 2001)</v>
      </c>
      <c r="X63" s="347"/>
      <c r="Y63" s="96"/>
      <c r="Z63" s="96" t="s">
        <v>1653</v>
      </c>
      <c r="AA63" s="96"/>
      <c r="AB63" s="96" t="s">
        <v>1651</v>
      </c>
      <c r="AC63" s="96"/>
      <c r="AD63" s="93">
        <f>VLOOKUP(A63,'Parameters Summary'!$B$2:$AB$826,20,FALSE)</f>
        <v>69.58</v>
      </c>
      <c r="AE63" s="97" t="str">
        <f>VLOOKUP(A63,'Parameters Summary'!$B$2:$AB$826,21,FALSE)</f>
        <v>EPI</v>
      </c>
      <c r="AF63" s="97"/>
      <c r="AG63" s="94"/>
      <c r="AH63" s="92"/>
      <c r="AI63" s="94" t="s">
        <v>433</v>
      </c>
      <c r="AJ63" s="330"/>
      <c r="AL63" s="81"/>
    </row>
    <row r="64" spans="1:38" ht="12.75" customHeight="1">
      <c r="A64" s="96" t="s">
        <v>678</v>
      </c>
      <c r="B64" s="96" t="s">
        <v>996</v>
      </c>
      <c r="C64" s="96" t="str">
        <f t="shared" si="2"/>
        <v>No</v>
      </c>
      <c r="D64" s="96" t="str">
        <f>VLOOKUP(A64,'Tox Summary'!$O$3:$R$824,3,FALSE)</f>
        <v>Yes</v>
      </c>
      <c r="E64" s="97">
        <f>VLOOKUP(A64,'Parameters Summary'!$B$2:$AB$826,4,FALSE)</f>
        <v>137.33000000000001</v>
      </c>
      <c r="F64" s="97" t="str">
        <f>VLOOKUP(A64,'Parameters Summary'!$B$2:$AB$826,5,FALSE)</f>
        <v>EPI</v>
      </c>
      <c r="G64" s="93" t="s">
        <v>2439</v>
      </c>
      <c r="H64" s="93" t="str">
        <f>VLOOKUP(A64,'Parameters Summary'!$B$2:$AB$826,10,FALSE)</f>
        <v/>
      </c>
      <c r="I64" s="93" t="s">
        <v>2440</v>
      </c>
      <c r="J64" s="97" t="str">
        <f>VLOOKUP(A64,'Parameters Summary'!$B$2:$AB$826,25,FALSE)</f>
        <v/>
      </c>
      <c r="K64" s="97">
        <f>VLOOKUP(A64,'Tox Summary'!$O$3:$S$827,2,FALSE)</f>
        <v>2000</v>
      </c>
      <c r="L64" s="93" t="s">
        <v>2298</v>
      </c>
      <c r="M64" s="93" t="str">
        <f>VLOOKUP(A64,'Parameters Summary'!$B$2:$AB$826,8,FALSE)</f>
        <v/>
      </c>
      <c r="N64" s="91" t="str">
        <f>VLOOKUP(A64,'Parameters Summary'!$B$2:$AB$826,6,FALSE)</f>
        <v xml:space="preserve"> </v>
      </c>
      <c r="O64" s="91" t="str">
        <f t="shared" si="0"/>
        <v/>
      </c>
      <c r="P64" s="91" t="str">
        <f t="shared" si="3"/>
        <v xml:space="preserve"> </v>
      </c>
      <c r="Q64" s="91" t="str">
        <f t="shared" si="1"/>
        <v/>
      </c>
      <c r="R64" s="91" t="str">
        <f t="shared" si="4"/>
        <v xml:space="preserve"> </v>
      </c>
      <c r="S64" s="91" t="str">
        <f t="shared" si="5"/>
        <v/>
      </c>
      <c r="T64" s="93" t="str">
        <f>VLOOKUP(A64,'Parameters Summary'!$B$2:$AB$826,15,FALSE)</f>
        <v xml:space="preserve"> </v>
      </c>
      <c r="U64" s="93" t="str">
        <f>VLOOKUP(A64,'Parameters Summary'!$B$2:$AB$826,17,FALSE)</f>
        <v/>
      </c>
      <c r="V64" s="93" t="str">
        <f>VLOOKUP(A64,'Parameters Summary'!$B$2:$AB$826,16,FALSE)</f>
        <v xml:space="preserve"> </v>
      </c>
      <c r="W64" s="379" t="str">
        <f>VLOOKUP(A64,'Parameters Summary'!$B$2:$AB$826,17,FALSE)</f>
        <v/>
      </c>
      <c r="X64" s="290">
        <v>1873.15</v>
      </c>
      <c r="Y64" s="96" t="s">
        <v>553</v>
      </c>
      <c r="Z64" s="96">
        <v>2809.7250000000004</v>
      </c>
      <c r="AA64" s="96" t="s">
        <v>2220</v>
      </c>
      <c r="AB64" s="96" t="s">
        <v>1651</v>
      </c>
      <c r="AC64" s="96"/>
      <c r="AD64" s="93" t="str">
        <f>VLOOKUP(A64,'Parameters Summary'!$B$2:$AB$826,20,FALSE)</f>
        <v xml:space="preserve"> </v>
      </c>
      <c r="AE64" s="97" t="str">
        <f>VLOOKUP(A64,'Parameters Summary'!$B$2:$AB$826,21,FALSE)</f>
        <v/>
      </c>
      <c r="AF64" s="97"/>
      <c r="AG64" s="94"/>
      <c r="AH64" s="92"/>
      <c r="AI64" s="94" t="s">
        <v>1803</v>
      </c>
      <c r="AJ64" s="330" t="s">
        <v>1802</v>
      </c>
      <c r="AL64" s="81"/>
    </row>
    <row r="65" spans="1:38" ht="12.75" customHeight="1">
      <c r="A65" s="96" t="s">
        <v>682</v>
      </c>
      <c r="B65" s="96" t="s">
        <v>2300</v>
      </c>
      <c r="C65" s="96" t="str">
        <f t="shared" si="2"/>
        <v>Yes</v>
      </c>
      <c r="D65" s="96" t="str">
        <f>VLOOKUP(A65,'Tox Summary'!$O$3:$R$824,3,FALSE)</f>
        <v>No</v>
      </c>
      <c r="E65" s="97">
        <f>VLOOKUP(A65,'Parameters Summary'!$B$2:$AB$826,4,FALSE)</f>
        <v>335.29</v>
      </c>
      <c r="F65" s="97" t="str">
        <f>VLOOKUP(A65,'Parameters Summary'!$B$2:$AB$826,5,FALSE)</f>
        <v>PHYSPROP</v>
      </c>
      <c r="G65" s="93">
        <f>VLOOKUP(A65,'Parameters Summary'!$B$2:$AB$826,9,FALSE)</f>
        <v>6.5300000000000002E-5</v>
      </c>
      <c r="H65" s="93" t="str">
        <f>VLOOKUP(A65,'Parameters Summary'!$B$2:$AB$826,10,FALSE)</f>
        <v>PHYSPROP</v>
      </c>
      <c r="I65" s="93">
        <f>VLOOKUP(A65,'Parameters Summary'!$B$2:$AB$826,24,FALSE)</f>
        <v>0.1</v>
      </c>
      <c r="J65" s="97" t="str">
        <f>VLOOKUP(A65,'Parameters Summary'!$B$2:$AB$826,25,FALSE)</f>
        <v>PHYSPROP</v>
      </c>
      <c r="K65" s="97" t="str">
        <f>VLOOKUP(A65,'Tox Summary'!$O$3:$S$827,2,FALSE)</f>
        <v/>
      </c>
      <c r="L65" s="93">
        <f>VLOOKUP(A65,'Parameters Summary'!$B$2:$AB$826,7,FALSE)</f>
        <v>2.9100000000000003E-4</v>
      </c>
      <c r="M65" s="93" t="str">
        <f>VLOOKUP(A65,'Parameters Summary'!$B$2:$AB$826,8,FALSE)</f>
        <v>EPI</v>
      </c>
      <c r="N65" s="91">
        <f>VLOOKUP(A65,'Parameters Summary'!$B$2:$AB$826,6,FALSE)</f>
        <v>1.1897E-2</v>
      </c>
      <c r="O65" s="91" t="str">
        <f t="shared" si="0"/>
        <v/>
      </c>
      <c r="P65" s="91">
        <f t="shared" si="3"/>
        <v>1.1897E-2</v>
      </c>
      <c r="Q65" s="91" t="str">
        <f t="shared" si="1"/>
        <v/>
      </c>
      <c r="R65" s="91">
        <f t="shared" si="4"/>
        <v>1.1897E-2</v>
      </c>
      <c r="S65" s="91" t="str">
        <f t="shared" si="5"/>
        <v/>
      </c>
      <c r="T65" s="93">
        <f>VLOOKUP(A65,'Parameters Summary'!$B$2:$AB$826,15,FALSE)</f>
        <v>2.1872300000000001E-2</v>
      </c>
      <c r="U65" s="93" t="str">
        <f>VLOOKUP(A65,'Parameters Summary'!$B$2:$AB$826,17,FALSE)</f>
        <v>WATER9 (U.S. EPA, 2001)</v>
      </c>
      <c r="V65" s="93">
        <f>VLOOKUP(A65,'Parameters Summary'!$B$2:$AB$826,16,FALSE)</f>
        <v>5.5168999999999996E-6</v>
      </c>
      <c r="W65" s="379" t="str">
        <f>VLOOKUP(A65,'Parameters Summary'!$B$2:$AB$826,17,FALSE)</f>
        <v>WATER9 (U.S. EPA, 2001)</v>
      </c>
      <c r="X65" s="290">
        <v>643.15</v>
      </c>
      <c r="Y65" s="96" t="s">
        <v>553</v>
      </c>
      <c r="Z65" s="96">
        <v>964.72499999999991</v>
      </c>
      <c r="AA65" s="96" t="s">
        <v>2220</v>
      </c>
      <c r="AB65" s="96" t="s">
        <v>1651</v>
      </c>
      <c r="AC65" s="96"/>
      <c r="AD65" s="93">
        <f>VLOOKUP(A65,'Parameters Summary'!$B$2:$AB$826,20,FALSE)</f>
        <v>16390</v>
      </c>
      <c r="AE65" s="97" t="str">
        <f>VLOOKUP(A65,'Parameters Summary'!$B$2:$AB$826,21,FALSE)</f>
        <v>EPI</v>
      </c>
      <c r="AF65" s="97"/>
      <c r="AG65" s="94"/>
      <c r="AH65" s="92"/>
      <c r="AI65" s="96" t="s">
        <v>1804</v>
      </c>
      <c r="AJ65" s="330"/>
      <c r="AL65" s="81"/>
    </row>
    <row r="66" spans="1:38" ht="12.75" customHeight="1">
      <c r="A66" s="96" t="s">
        <v>683</v>
      </c>
      <c r="B66" s="96" t="s">
        <v>997</v>
      </c>
      <c r="C66" s="96" t="str">
        <f t="shared" si="2"/>
        <v>No</v>
      </c>
      <c r="D66" s="96" t="str">
        <f>VLOOKUP(A66,'Tox Summary'!$O$3:$R$824,3,FALSE)</f>
        <v>No</v>
      </c>
      <c r="E66" s="97">
        <f>VLOOKUP(A66,'Parameters Summary'!$B$2:$AB$826,4,FALSE)</f>
        <v>290.32</v>
      </c>
      <c r="F66" s="97" t="str">
        <f>VLOOKUP(A66,'Parameters Summary'!$B$2:$AB$826,5,FALSE)</f>
        <v>PHYSPROP</v>
      </c>
      <c r="G66" s="93">
        <f>VLOOKUP(A66,'Parameters Summary'!$B$2:$AB$826,9,FALSE)</f>
        <v>3.7E-9</v>
      </c>
      <c r="H66" s="93" t="str">
        <f>VLOOKUP(A66,'Parameters Summary'!$B$2:$AB$826,10,FALSE)</f>
        <v>PHYSPROP</v>
      </c>
      <c r="I66" s="93">
        <f>VLOOKUP(A66,'Parameters Summary'!$B$2:$AB$826,24,FALSE)</f>
        <v>3.8</v>
      </c>
      <c r="J66" s="97" t="str">
        <f>VLOOKUP(A66,'Parameters Summary'!$B$2:$AB$826,25,FALSE)</f>
        <v>PHYSPROP</v>
      </c>
      <c r="K66" s="97" t="str">
        <f>VLOOKUP(A66,'Tox Summary'!$O$3:$S$827,2,FALSE)</f>
        <v/>
      </c>
      <c r="L66" s="93">
        <f>VLOOKUP(A66,'Parameters Summary'!$B$2:$AB$826,7,FALSE)</f>
        <v>4.9300000000000002E-12</v>
      </c>
      <c r="M66" s="93" t="str">
        <f>VLOOKUP(A66,'Parameters Summary'!$B$2:$AB$826,8,FALSE)</f>
        <v>PHYSPROP</v>
      </c>
      <c r="N66" s="91">
        <f>VLOOKUP(A66,'Parameters Summary'!$B$2:$AB$826,6,FALSE)</f>
        <v>2.0160000000000001E-10</v>
      </c>
      <c r="O66" s="91" t="str">
        <f t="shared" si="0"/>
        <v/>
      </c>
      <c r="P66" s="91">
        <f t="shared" si="3"/>
        <v>2.0160000000000001E-10</v>
      </c>
      <c r="Q66" s="91" t="str">
        <f t="shared" si="1"/>
        <v/>
      </c>
      <c r="R66" s="91">
        <f t="shared" si="4"/>
        <v>2.0160000000000001E-10</v>
      </c>
      <c r="S66" s="91" t="str">
        <f t="shared" si="5"/>
        <v/>
      </c>
      <c r="T66" s="93">
        <f>VLOOKUP(A66,'Parameters Summary'!$B$2:$AB$826,15,FALSE)</f>
        <v>4.3334699999999997E-2</v>
      </c>
      <c r="U66" s="93" t="str">
        <f>VLOOKUP(A66,'Parameters Summary'!$B$2:$AB$826,17,FALSE)</f>
        <v>WATER9 (U.S. EPA, 2001)</v>
      </c>
      <c r="V66" s="93">
        <f>VLOOKUP(A66,'Parameters Summary'!$B$2:$AB$826,16,FALSE)</f>
        <v>5.0633000000000003E-6</v>
      </c>
      <c r="W66" s="379" t="str">
        <f>VLOOKUP(A66,'Parameters Summary'!$B$2:$AB$826,17,FALSE)</f>
        <v>WATER9 (U.S. EPA, 2001)</v>
      </c>
      <c r="X66" s="347"/>
      <c r="Y66" s="96"/>
      <c r="Z66" s="96" t="s">
        <v>1653</v>
      </c>
      <c r="AA66" s="96"/>
      <c r="AB66" s="96" t="s">
        <v>1651</v>
      </c>
      <c r="AC66" s="96"/>
      <c r="AD66" s="93">
        <f>VLOOKUP(A66,'Parameters Summary'!$B$2:$AB$826,20,FALSE)</f>
        <v>336.2</v>
      </c>
      <c r="AE66" s="97" t="str">
        <f>VLOOKUP(A66,'Parameters Summary'!$B$2:$AB$826,21,FALSE)</f>
        <v>EPI</v>
      </c>
      <c r="AF66" s="97"/>
      <c r="AG66" s="94"/>
      <c r="AH66" s="92"/>
      <c r="AI66" s="96" t="s">
        <v>1805</v>
      </c>
      <c r="AJ66" s="330"/>
      <c r="AL66" s="81"/>
    </row>
    <row r="67" spans="1:38" ht="12.75" customHeight="1">
      <c r="A67" s="96" t="s">
        <v>45</v>
      </c>
      <c r="B67" s="96" t="s">
        <v>2301</v>
      </c>
      <c r="C67" s="96" t="str">
        <f t="shared" si="2"/>
        <v>No</v>
      </c>
      <c r="D67" s="96" t="str">
        <f>VLOOKUP(A67,'Tox Summary'!$O$3:$R$824,3,FALSE)</f>
        <v>No</v>
      </c>
      <c r="E67" s="97">
        <f>VLOOKUP(A67,'Parameters Summary'!$B$2:$AB$826,4,FALSE)</f>
        <v>410.41</v>
      </c>
      <c r="F67" s="97" t="str">
        <f>VLOOKUP(A67,'Parameters Summary'!$B$2:$AB$826,5,FALSE)</f>
        <v>PHYSPROP</v>
      </c>
      <c r="G67" s="93">
        <f>VLOOKUP(A67,'Parameters Summary'!$B$2:$AB$826,9,FALSE)</f>
        <v>2.0999999999999999E-14</v>
      </c>
      <c r="H67" s="93" t="str">
        <f>VLOOKUP(A67,'Parameters Summary'!$B$2:$AB$826,10,FALSE)</f>
        <v>PHYSPROP</v>
      </c>
      <c r="I67" s="93">
        <f>VLOOKUP(A67,'Parameters Summary'!$B$2:$AB$826,24,FALSE)</f>
        <v>120</v>
      </c>
      <c r="J67" s="97" t="str">
        <f>VLOOKUP(A67,'Parameters Summary'!$B$2:$AB$826,25,FALSE)</f>
        <v>PHYSPROP</v>
      </c>
      <c r="K67" s="97" t="str">
        <f>VLOOKUP(A67,'Tox Summary'!$O$3:$S$827,2,FALSE)</f>
        <v/>
      </c>
      <c r="L67" s="93">
        <f>VLOOKUP(A67,'Parameters Summary'!$B$2:$AB$826,7,FALSE)</f>
        <v>3.7799999999999999E-15</v>
      </c>
      <c r="M67" s="93" t="str">
        <f>VLOOKUP(A67,'Parameters Summary'!$B$2:$AB$826,8,FALSE)</f>
        <v>EPI</v>
      </c>
      <c r="N67" s="91">
        <f>VLOOKUP(A67,'Parameters Summary'!$B$2:$AB$826,6,FALSE)</f>
        <v>1.545E-13</v>
      </c>
      <c r="O67" s="91" t="str">
        <f t="shared" si="0"/>
        <v/>
      </c>
      <c r="P67" s="91">
        <f t="shared" si="3"/>
        <v>1.545E-13</v>
      </c>
      <c r="Q67" s="91" t="str">
        <f t="shared" si="1"/>
        <v/>
      </c>
      <c r="R67" s="91">
        <f t="shared" si="4"/>
        <v>1.545E-13</v>
      </c>
      <c r="S67" s="91" t="str">
        <f t="shared" si="5"/>
        <v/>
      </c>
      <c r="T67" s="93">
        <f>VLOOKUP(A67,'Parameters Summary'!$B$2:$AB$826,15,FALSE)</f>
        <v>3.4403999999999997E-2</v>
      </c>
      <c r="U67" s="93" t="str">
        <f>VLOOKUP(A67,'Parameters Summary'!$B$2:$AB$826,17,FALSE)</f>
        <v>WATER9 (U.S. EPA, 2001)</v>
      </c>
      <c r="V67" s="93">
        <f>VLOOKUP(A67,'Parameters Summary'!$B$2:$AB$826,16,FALSE)</f>
        <v>4.0198E-6</v>
      </c>
      <c r="W67" s="379" t="str">
        <f>VLOOKUP(A67,'Parameters Summary'!$B$2:$AB$826,17,FALSE)</f>
        <v>WATER9 (U.S. EPA, 2001)</v>
      </c>
      <c r="X67" s="347"/>
      <c r="Y67" s="96"/>
      <c r="Z67" s="96" t="s">
        <v>1653</v>
      </c>
      <c r="AA67" s="96"/>
      <c r="AB67" s="96" t="s">
        <v>1651</v>
      </c>
      <c r="AC67" s="96"/>
      <c r="AD67" s="93">
        <f>VLOOKUP(A67,'Parameters Summary'!$B$2:$AB$826,20,FALSE)</f>
        <v>27.76</v>
      </c>
      <c r="AE67" s="97" t="str">
        <f>VLOOKUP(A67,'Parameters Summary'!$B$2:$AB$826,21,FALSE)</f>
        <v>EPI</v>
      </c>
      <c r="AF67" s="97"/>
      <c r="AG67" s="94"/>
      <c r="AH67" s="92"/>
      <c r="AI67" s="96" t="s">
        <v>1806</v>
      </c>
      <c r="AJ67" s="330"/>
      <c r="AL67" s="81"/>
    </row>
    <row r="68" spans="1:38" ht="12.75" customHeight="1">
      <c r="A68" s="96" t="s">
        <v>684</v>
      </c>
      <c r="B68" s="96" t="s">
        <v>998</v>
      </c>
      <c r="C68" s="96" t="str">
        <f t="shared" si="2"/>
        <v>No</v>
      </c>
      <c r="D68" s="96" t="str">
        <f>VLOOKUP(A68,'Tox Summary'!$O$3:$R$824,3,FALSE)</f>
        <v>No</v>
      </c>
      <c r="E68" s="97">
        <f>VLOOKUP(A68,'Parameters Summary'!$B$2:$AB$826,4,FALSE)</f>
        <v>240.28</v>
      </c>
      <c r="F68" s="97" t="str">
        <f>VLOOKUP(A68,'Parameters Summary'!$B$2:$AB$826,5,FALSE)</f>
        <v>PHYSPROP</v>
      </c>
      <c r="G68" s="93">
        <f>VLOOKUP(A68,'Parameters Summary'!$B$2:$AB$826,9,FALSE)</f>
        <v>3.45E-6</v>
      </c>
      <c r="H68" s="93" t="str">
        <f>VLOOKUP(A68,'Parameters Summary'!$B$2:$AB$826,10,FALSE)</f>
        <v>PHYSPROP</v>
      </c>
      <c r="I68" s="93">
        <f>VLOOKUP(A68,'Parameters Summary'!$B$2:$AB$826,24,FALSE)</f>
        <v>500</v>
      </c>
      <c r="J68" s="97" t="str">
        <f>VLOOKUP(A68,'Parameters Summary'!$B$2:$AB$826,25,FALSE)</f>
        <v>PHYSPROP</v>
      </c>
      <c r="K68" s="97" t="str">
        <f>VLOOKUP(A68,'Tox Summary'!$O$3:$S$827,2,FALSE)</f>
        <v/>
      </c>
      <c r="L68" s="93">
        <f>VLOOKUP(A68,'Parameters Summary'!$B$2:$AB$826,7,FALSE)</f>
        <v>2.1799999999999999E-9</v>
      </c>
      <c r="M68" s="93" t="str">
        <f>VLOOKUP(A68,'Parameters Summary'!$B$2:$AB$826,8,FALSE)</f>
        <v>EPI</v>
      </c>
      <c r="N68" s="91">
        <f>VLOOKUP(A68,'Parameters Summary'!$B$2:$AB$826,6,FALSE)</f>
        <v>8.9124999999999999E-8</v>
      </c>
      <c r="O68" s="91" t="str">
        <f t="shared" si="0"/>
        <v/>
      </c>
      <c r="P68" s="91">
        <f t="shared" si="3"/>
        <v>8.9124999999999999E-8</v>
      </c>
      <c r="Q68" s="91" t="str">
        <f t="shared" si="1"/>
        <v/>
      </c>
      <c r="R68" s="91">
        <f t="shared" si="4"/>
        <v>8.9124999999999999E-8</v>
      </c>
      <c r="S68" s="91" t="str">
        <f t="shared" si="5"/>
        <v/>
      </c>
      <c r="T68" s="93">
        <f>VLOOKUP(A68,'Parameters Summary'!$B$2:$AB$826,15,FALSE)</f>
        <v>4.9159599999999998E-2</v>
      </c>
      <c r="U68" s="93" t="str">
        <f>VLOOKUP(A68,'Parameters Summary'!$B$2:$AB$826,17,FALSE)</f>
        <v>WATER9 (U.S. EPA, 2001)</v>
      </c>
      <c r="V68" s="93">
        <f>VLOOKUP(A68,'Parameters Summary'!$B$2:$AB$826,16,FALSE)</f>
        <v>5.7439000000000002E-6</v>
      </c>
      <c r="W68" s="379" t="str">
        <f>VLOOKUP(A68,'Parameters Summary'!$B$2:$AB$826,17,FALSE)</f>
        <v>WATER9 (U.S. EPA, 2001)</v>
      </c>
      <c r="X68" s="347"/>
      <c r="Y68" s="96"/>
      <c r="Z68" s="96" t="s">
        <v>1653</v>
      </c>
      <c r="AA68" s="96"/>
      <c r="AB68" s="96" t="s">
        <v>1651</v>
      </c>
      <c r="AC68" s="96"/>
      <c r="AD68" s="93">
        <f>VLOOKUP(A68,'Parameters Summary'!$B$2:$AB$826,20,FALSE)</f>
        <v>10</v>
      </c>
      <c r="AE68" s="97" t="str">
        <f>VLOOKUP(A68,'Parameters Summary'!$B$2:$AB$826,21,FALSE)</f>
        <v>EPI</v>
      </c>
      <c r="AF68" s="97"/>
      <c r="AG68" s="94"/>
      <c r="AH68" s="92"/>
      <c r="AI68" s="94" t="s">
        <v>419</v>
      </c>
      <c r="AJ68" s="330"/>
      <c r="AL68" s="81"/>
    </row>
    <row r="69" spans="1:38" ht="12.75" customHeight="1">
      <c r="A69" s="95" t="s">
        <v>203</v>
      </c>
      <c r="B69" s="96" t="s">
        <v>2235</v>
      </c>
      <c r="C69" s="96" t="str">
        <f t="shared" si="2"/>
        <v>Yes</v>
      </c>
      <c r="D69" s="96" t="str">
        <f>VLOOKUP(A69,'Tox Summary'!$O$3:$R$824,3,FALSE)</f>
        <v>No</v>
      </c>
      <c r="E69" s="97">
        <f>VLOOKUP(A69,'Parameters Summary'!$B$2:$AB$826,4,FALSE)</f>
        <v>228.3</v>
      </c>
      <c r="F69" s="97" t="str">
        <f>VLOOKUP(A69,'Parameters Summary'!$B$2:$AB$826,5,FALSE)</f>
        <v>PHYSPROP</v>
      </c>
      <c r="G69" s="93">
        <f>VLOOKUP(A69,'Parameters Summary'!$B$2:$AB$826,9,FALSE)</f>
        <v>2.1E-7</v>
      </c>
      <c r="H69" s="93" t="str">
        <f>VLOOKUP(A69,'Parameters Summary'!$B$2:$AB$826,10,FALSE)</f>
        <v>PHYSPROP</v>
      </c>
      <c r="I69" s="93">
        <f>VLOOKUP(A69,'Parameters Summary'!$B$2:$AB$826,24,FALSE)</f>
        <v>9.4000000000000004E-3</v>
      </c>
      <c r="J69" s="97" t="str">
        <f>VLOOKUP(A69,'Parameters Summary'!$B$2:$AB$826,25,FALSE)</f>
        <v>PHYSPROP</v>
      </c>
      <c r="K69" s="97" t="str">
        <f>VLOOKUP(A69,'Tox Summary'!$O$3:$S$827,2,FALSE)</f>
        <v/>
      </c>
      <c r="L69" s="93">
        <f>VLOOKUP(A69,'Parameters Summary'!$B$2:$AB$826,7,FALSE)</f>
        <v>1.2E-5</v>
      </c>
      <c r="M69" s="93" t="str">
        <f>VLOOKUP(A69,'Parameters Summary'!$B$2:$AB$826,8,FALSE)</f>
        <v>PHYSPROP</v>
      </c>
      <c r="N69" s="91">
        <f>VLOOKUP(A69,'Parameters Summary'!$B$2:$AB$826,6,FALSE)</f>
        <v>4.906E-4</v>
      </c>
      <c r="O69" s="91">
        <f t="shared" ref="O69:O140" si="6">IF(OR(L69="No Hc25",Z69="No Tcrit",AB69="No DHv,b"),"",N69*EXP((-(AB69*((1-(Tgw+273)/Z69)/(1-X69/Z69))^(IF(X69/Z69&lt;0.57,0.3,IF(X69/Z69&gt;0.71,0.41,0.74*(X69/Z69)-0.116))))/1.9872)*(1/(Tgw+273)-1/298)))</f>
        <v>4.906E-4</v>
      </c>
      <c r="P69" s="91">
        <f t="shared" si="3"/>
        <v>4.906E-4</v>
      </c>
      <c r="Q69" s="91">
        <f t="shared" ref="Q69:Q140" si="7">IF(OR(L69="No Hc25",Z69="No Tcrit",AB69="No DHv,b"),"",N69*EXP((-(AB69*((1-(Tgw_GW+273)/Z69)/(1-X69/Z69))^(IF(X69/Z69&lt;0.57,0.3,IF(X69/Z69&gt;0.71,0.41,0.74*(X69/Z69)-0.116))))/1.9872)*(1/(Tgw_GW+273)-1/298)))</f>
        <v>4.906E-4</v>
      </c>
      <c r="R69" s="91">
        <f t="shared" si="4"/>
        <v>4.906E-4</v>
      </c>
      <c r="S69" s="91">
        <f t="shared" si="5"/>
        <v>2.579754610189636</v>
      </c>
      <c r="T69" s="93">
        <f>VLOOKUP(A69,'Parameters Summary'!$B$2:$AB$826,15,FALSE)</f>
        <v>2.61138E-2</v>
      </c>
      <c r="U69" s="93" t="str">
        <f>VLOOKUP(A69,'Parameters Summary'!$B$2:$AB$826,17,FALSE)</f>
        <v>WATER9 (U.S. EPA, 2001)</v>
      </c>
      <c r="V69" s="93">
        <f>VLOOKUP(A69,'Parameters Summary'!$B$2:$AB$826,16,FALSE)</f>
        <v>6.7495000000000003E-6</v>
      </c>
      <c r="W69" s="379" t="str">
        <f>VLOOKUP(A69,'Parameters Summary'!$B$2:$AB$826,17,FALSE)</f>
        <v>WATER9 (U.S. EPA, 2001)</v>
      </c>
      <c r="X69" s="290">
        <v>710.75</v>
      </c>
      <c r="Y69" s="96" t="s">
        <v>553</v>
      </c>
      <c r="Z69" s="96">
        <v>1066.125</v>
      </c>
      <c r="AA69" s="96" t="s">
        <v>2220</v>
      </c>
      <c r="AB69" s="96">
        <v>16000</v>
      </c>
      <c r="AC69" s="96" t="s">
        <v>2227</v>
      </c>
      <c r="AD69" s="93">
        <f>VLOOKUP(A69,'Parameters Summary'!$B$2:$AB$826,20,FALSE)</f>
        <v>176900</v>
      </c>
      <c r="AE69" s="97" t="str">
        <f>VLOOKUP(A69,'Parameters Summary'!$B$2:$AB$826,21,FALSE)</f>
        <v>EPI</v>
      </c>
      <c r="AF69" s="380"/>
      <c r="AG69" s="97"/>
      <c r="AH69" s="92"/>
      <c r="AI69" s="94" t="s">
        <v>423</v>
      </c>
      <c r="AJ69" s="330"/>
      <c r="AL69" s="81"/>
    </row>
    <row r="70" spans="1:38" ht="12.75" customHeight="1">
      <c r="A70" s="95" t="s">
        <v>685</v>
      </c>
      <c r="B70" s="96" t="s">
        <v>1415</v>
      </c>
      <c r="C70" s="96" t="str">
        <f t="shared" ref="C70:C141" si="8">IF((COUNTIF(G70,"&gt;1")+COUNTIF(L70,"&gt;1E-5"))&gt;0,"Yes","No")</f>
        <v>Yes</v>
      </c>
      <c r="D70" s="96" t="str">
        <f>VLOOKUP(A70,'Tox Summary'!$O$3:$R$824,3,FALSE)</f>
        <v>No</v>
      </c>
      <c r="E70" s="97">
        <f>VLOOKUP(A70,'Parameters Summary'!$B$2:$AB$826,4,FALSE)</f>
        <v>106.13</v>
      </c>
      <c r="F70" s="97" t="str">
        <f>VLOOKUP(A70,'Parameters Summary'!$B$2:$AB$826,5,FALSE)</f>
        <v>PHYSPROP</v>
      </c>
      <c r="G70" s="93">
        <f>VLOOKUP(A70,'Parameters Summary'!$B$2:$AB$826,9,FALSE)</f>
        <v>1.27</v>
      </c>
      <c r="H70" s="93" t="str">
        <f>VLOOKUP(A70,'Parameters Summary'!$B$2:$AB$826,10,FALSE)</f>
        <v>PHYSPROP</v>
      </c>
      <c r="I70" s="93">
        <f>VLOOKUP(A70,'Parameters Summary'!$B$2:$AB$826,24,FALSE)</f>
        <v>6950</v>
      </c>
      <c r="J70" s="97" t="str">
        <f>VLOOKUP(A70,'Parameters Summary'!$B$2:$AB$826,25,FALSE)</f>
        <v>PHYSPROP</v>
      </c>
      <c r="K70" s="97" t="str">
        <f>VLOOKUP(A70,'Tox Summary'!$O$3:$S$827,2,FALSE)</f>
        <v/>
      </c>
      <c r="L70" s="93">
        <f>VLOOKUP(A70,'Parameters Summary'!$B$2:$AB$826,7,FALSE)</f>
        <v>2.6699999999999998E-5</v>
      </c>
      <c r="M70" s="93" t="str">
        <f>VLOOKUP(A70,'Parameters Summary'!$B$2:$AB$826,8,FALSE)</f>
        <v>PHYSPROP</v>
      </c>
      <c r="N70" s="91">
        <f>VLOOKUP(A70,'Parameters Summary'!$B$2:$AB$826,6,FALSE)</f>
        <v>1.0916000000000001E-3</v>
      </c>
      <c r="O70" s="91">
        <f t="shared" si="6"/>
        <v>1.0916000000000001E-3</v>
      </c>
      <c r="P70" s="91">
        <f t="shared" ref="P70:P141" si="9">IF(O70="",N70,O70)</f>
        <v>1.0916000000000001E-3</v>
      </c>
      <c r="Q70" s="91">
        <f t="shared" si="7"/>
        <v>1.0916000000000001E-3</v>
      </c>
      <c r="R70" s="91">
        <f t="shared" ref="R70:R141" si="10">IF(Q70="",P70,Q70)</f>
        <v>1.0916000000000001E-3</v>
      </c>
      <c r="S70" s="91">
        <f t="shared" ref="S70:S141" si="11">IF(OR(G70="No VP",Z70="No Tcrit",AB70="No DHv,b",L70="No Hc25"),"",G70*E70*53808.7856452378*O70/N70)</f>
        <v>7252622.5540719405</v>
      </c>
      <c r="T70" s="93">
        <f>VLOOKUP(A70,'Parameters Summary'!$B$2:$AB$826,15,FALSE)</f>
        <v>7.4393000000000001E-2</v>
      </c>
      <c r="U70" s="93" t="str">
        <f>VLOOKUP(A70,'Parameters Summary'!$B$2:$AB$826,17,FALSE)</f>
        <v>WATER9 (U.S. EPA, 2001)</v>
      </c>
      <c r="V70" s="93">
        <f>VLOOKUP(A70,'Parameters Summary'!$B$2:$AB$826,16,FALSE)</f>
        <v>9.4627000000000001E-6</v>
      </c>
      <c r="W70" s="379" t="str">
        <f>VLOOKUP(A70,'Parameters Summary'!$B$2:$AB$826,17,FALSE)</f>
        <v>WATER9 (U.S. EPA, 2001)</v>
      </c>
      <c r="X70" s="290">
        <v>452</v>
      </c>
      <c r="Y70" s="96" t="s">
        <v>553</v>
      </c>
      <c r="Z70" s="96">
        <v>695</v>
      </c>
      <c r="AA70" s="96" t="s">
        <v>2221</v>
      </c>
      <c r="AB70" s="96">
        <v>11657.8</v>
      </c>
      <c r="AC70" s="96" t="s">
        <v>2215</v>
      </c>
      <c r="AD70" s="93">
        <f>VLOOKUP(A70,'Parameters Summary'!$B$2:$AB$826,20,FALSE)</f>
        <v>11.09</v>
      </c>
      <c r="AE70" s="97" t="str">
        <f>VLOOKUP(A70,'Parameters Summary'!$B$2:$AB$826,21,FALSE)</f>
        <v>EPI</v>
      </c>
      <c r="AF70" s="97">
        <v>1.4</v>
      </c>
      <c r="AG70" s="97" t="s">
        <v>522</v>
      </c>
      <c r="AH70" s="92"/>
      <c r="AI70" s="94"/>
      <c r="AJ70" s="330"/>
      <c r="AL70" s="81"/>
    </row>
    <row r="71" spans="1:38" ht="12.75" customHeight="1">
      <c r="A71" s="95" t="s">
        <v>686</v>
      </c>
      <c r="B71" s="96" t="s">
        <v>426</v>
      </c>
      <c r="C71" s="96" t="str">
        <f t="shared" si="8"/>
        <v>Yes</v>
      </c>
      <c r="D71" s="96" t="str">
        <f>VLOOKUP(A71,'Tox Summary'!$O$3:$R$824,3,FALSE)</f>
        <v>Yes</v>
      </c>
      <c r="E71" s="97">
        <f>VLOOKUP(A71,'Parameters Summary'!$B$2:$AB$826,4,FALSE)</f>
        <v>78.114999999999995</v>
      </c>
      <c r="F71" s="97" t="str">
        <f>VLOOKUP(A71,'Parameters Summary'!$B$2:$AB$826,5,FALSE)</f>
        <v>PHYSPROP</v>
      </c>
      <c r="G71" s="93">
        <f>VLOOKUP(A71,'Parameters Summary'!$B$2:$AB$826,9,FALSE)</f>
        <v>94.8</v>
      </c>
      <c r="H71" s="93" t="str">
        <f>VLOOKUP(A71,'Parameters Summary'!$B$2:$AB$826,10,FALSE)</f>
        <v>PHYSPROP</v>
      </c>
      <c r="I71" s="93">
        <f>VLOOKUP(A71,'Parameters Summary'!$B$2:$AB$826,24,FALSE)</f>
        <v>1790</v>
      </c>
      <c r="J71" s="97" t="str">
        <f>VLOOKUP(A71,'Parameters Summary'!$B$2:$AB$826,25,FALSE)</f>
        <v>PHYSPROP</v>
      </c>
      <c r="K71" s="97">
        <f>VLOOKUP(A71,'Tox Summary'!$O$3:$S$827,2,FALSE)</f>
        <v>5</v>
      </c>
      <c r="L71" s="93">
        <f>VLOOKUP(A71,'Parameters Summary'!$B$2:$AB$826,7,FALSE)</f>
        <v>5.5500000000000002E-3</v>
      </c>
      <c r="M71" s="93" t="str">
        <f>VLOOKUP(A71,'Parameters Summary'!$B$2:$AB$826,8,FALSE)</f>
        <v>PHYSPROP</v>
      </c>
      <c r="N71" s="91">
        <f>VLOOKUP(A71,'Parameters Summary'!$B$2:$AB$826,6,FALSE)</f>
        <v>0.22690109999999999</v>
      </c>
      <c r="O71" s="91">
        <f t="shared" si="6"/>
        <v>0.22690109999999999</v>
      </c>
      <c r="P71" s="91">
        <f t="shared" si="9"/>
        <v>0.22690109999999999</v>
      </c>
      <c r="Q71" s="91">
        <f t="shared" si="7"/>
        <v>0.22690109999999999</v>
      </c>
      <c r="R71" s="91">
        <f t="shared" si="10"/>
        <v>0.22690109999999999</v>
      </c>
      <c r="S71" s="91">
        <f t="shared" si="11"/>
        <v>398470307.95625073</v>
      </c>
      <c r="T71" s="93">
        <f>VLOOKUP(A71,'Parameters Summary'!$B$2:$AB$826,15,FALSE)</f>
        <v>8.9534000000000002E-2</v>
      </c>
      <c r="U71" s="93" t="str">
        <f>VLOOKUP(A71,'Parameters Summary'!$B$2:$AB$826,17,FALSE)</f>
        <v>WATER9 (U.S. EPA, 2001)</v>
      </c>
      <c r="V71" s="93">
        <f>VLOOKUP(A71,'Parameters Summary'!$B$2:$AB$826,16,FALSE)</f>
        <v>1.03E-5</v>
      </c>
      <c r="W71" s="379" t="str">
        <f>VLOOKUP(A71,'Parameters Summary'!$B$2:$AB$826,17,FALSE)</f>
        <v>WATER9 (U.S. EPA, 2001)</v>
      </c>
      <c r="X71" s="290">
        <v>353</v>
      </c>
      <c r="Y71" s="96" t="s">
        <v>553</v>
      </c>
      <c r="Z71" s="96">
        <v>562.16</v>
      </c>
      <c r="AA71" s="96" t="s">
        <v>2227</v>
      </c>
      <c r="AB71" s="96">
        <v>7342</v>
      </c>
      <c r="AC71" s="96" t="s">
        <v>2227</v>
      </c>
      <c r="AD71" s="93">
        <f>VLOOKUP(A71,'Parameters Summary'!$B$2:$AB$826,20,FALSE)</f>
        <v>145.80000000000001</v>
      </c>
      <c r="AE71" s="97" t="str">
        <f>VLOOKUP(A71,'Parameters Summary'!$B$2:$AB$826,21,FALSE)</f>
        <v>EPI</v>
      </c>
      <c r="AF71" s="97">
        <v>1.2</v>
      </c>
      <c r="AG71" s="97" t="s">
        <v>302</v>
      </c>
      <c r="AH71" s="92"/>
      <c r="AI71" s="94" t="s">
        <v>416</v>
      </c>
      <c r="AJ71" s="330"/>
      <c r="AL71" s="81"/>
    </row>
    <row r="72" spans="1:38" ht="12.75" customHeight="1">
      <c r="A72" s="96" t="s">
        <v>1560</v>
      </c>
      <c r="B72" s="96" t="s">
        <v>1559</v>
      </c>
      <c r="C72" s="96" t="str">
        <f t="shared" si="8"/>
        <v>No</v>
      </c>
      <c r="D72" s="96" t="str">
        <f>VLOOKUP(A72,'Tox Summary'!$O$3:$R$824,3,FALSE)</f>
        <v>No</v>
      </c>
      <c r="E72" s="97">
        <f>VLOOKUP(A72,'Parameters Summary'!$B$2:$AB$826,4,FALSE)</f>
        <v>220.24</v>
      </c>
      <c r="F72" s="97" t="str">
        <f>VLOOKUP(A72,'Parameters Summary'!$B$2:$AB$826,5,FALSE)</f>
        <v>EPI</v>
      </c>
      <c r="G72" s="93">
        <f>VLOOKUP(A72,'Parameters Summary'!$B$2:$AB$826,9,FALSE)</f>
        <v>2.9000000000000003E-14</v>
      </c>
      <c r="H72" s="93" t="str">
        <f>VLOOKUP(A72,'Parameters Summary'!$B$2:$AB$826,10,FALSE)</f>
        <v>EPI</v>
      </c>
      <c r="I72" s="93">
        <f>VLOOKUP(A72,'Parameters Summary'!$B$2:$AB$826,24,FALSE)</f>
        <v>1000000</v>
      </c>
      <c r="J72" s="97" t="str">
        <f>VLOOKUP(A72,'Parameters Summary'!$B$2:$AB$826,25,FALSE)</f>
        <v>EPI</v>
      </c>
      <c r="K72" s="97" t="str">
        <f>VLOOKUP(A72,'Tox Summary'!$O$3:$S$827,2,FALSE)</f>
        <v/>
      </c>
      <c r="L72" s="93">
        <f>VLOOKUP(A72,'Parameters Summary'!$B$2:$AB$826,7,FALSE)</f>
        <v>2.1700000000000001E-23</v>
      </c>
      <c r="M72" s="93" t="str">
        <f>VLOOKUP(A72,'Parameters Summary'!$B$2:$AB$826,8,FALSE)</f>
        <v>EPI</v>
      </c>
      <c r="N72" s="91">
        <f>VLOOKUP(A72,'Parameters Summary'!$B$2:$AB$826,6,FALSE)</f>
        <v>8.8600000000000003E-22</v>
      </c>
      <c r="O72" s="91" t="str">
        <f t="shared" si="6"/>
        <v/>
      </c>
      <c r="P72" s="91">
        <f t="shared" si="9"/>
        <v>8.8600000000000003E-22</v>
      </c>
      <c r="Q72" s="91" t="str">
        <f t="shared" si="7"/>
        <v/>
      </c>
      <c r="R72" s="91">
        <f t="shared" si="10"/>
        <v>8.8600000000000003E-22</v>
      </c>
      <c r="S72" s="91" t="str">
        <f t="shared" si="11"/>
        <v/>
      </c>
      <c r="T72" s="93">
        <f>VLOOKUP(A72,'Parameters Summary'!$B$2:$AB$826,15,FALSE)</f>
        <v>5.2098199999999997E-2</v>
      </c>
      <c r="U72" s="93" t="str">
        <f>VLOOKUP(A72,'Parameters Summary'!$B$2:$AB$826,17,FALSE)</f>
        <v>WATER9 (U.S. EPA, 2001)</v>
      </c>
      <c r="V72" s="93">
        <f>VLOOKUP(A72,'Parameters Summary'!$B$2:$AB$826,16,FALSE)</f>
        <v>6.0873000000000001E-6</v>
      </c>
      <c r="W72" s="379" t="str">
        <f>VLOOKUP(A72,'Parameters Summary'!$B$2:$AB$826,17,FALSE)</f>
        <v>WATER9 (U.S. EPA, 2001)</v>
      </c>
      <c r="X72" s="347"/>
      <c r="Y72" s="96"/>
      <c r="Z72" s="96" t="s">
        <v>1653</v>
      </c>
      <c r="AA72" s="96"/>
      <c r="AB72" s="96" t="s">
        <v>1651</v>
      </c>
      <c r="AC72" s="96"/>
      <c r="AD72" s="93">
        <f>VLOOKUP(A72,'Parameters Summary'!$B$2:$AB$826,20,FALSE)</f>
        <v>38.380000000000003</v>
      </c>
      <c r="AE72" s="97" t="str">
        <f>VLOOKUP(A72,'Parameters Summary'!$B$2:$AB$826,21,FALSE)</f>
        <v>EPI</v>
      </c>
      <c r="AF72" s="97"/>
      <c r="AG72" s="94"/>
      <c r="AH72" s="92"/>
      <c r="AI72" s="94" t="s">
        <v>420</v>
      </c>
      <c r="AJ72" s="330"/>
      <c r="AL72" s="81"/>
    </row>
    <row r="73" spans="1:38" ht="12.75" customHeight="1">
      <c r="A73" s="95" t="s">
        <v>687</v>
      </c>
      <c r="B73" s="96" t="s">
        <v>999</v>
      </c>
      <c r="C73" s="96" t="str">
        <f t="shared" si="8"/>
        <v>Yes</v>
      </c>
      <c r="D73" s="96" t="str">
        <f>VLOOKUP(A73,'Tox Summary'!$O$3:$R$824,3,FALSE)</f>
        <v>No</v>
      </c>
      <c r="E73" s="97">
        <f>VLOOKUP(A73,'Parameters Summary'!$B$2:$AB$826,4,FALSE)</f>
        <v>110.18</v>
      </c>
      <c r="F73" s="97" t="str">
        <f>VLOOKUP(A73,'Parameters Summary'!$B$2:$AB$826,5,FALSE)</f>
        <v>PHYSPROP</v>
      </c>
      <c r="G73" s="93">
        <f>VLOOKUP(A73,'Parameters Summary'!$B$2:$AB$826,9,FALSE)</f>
        <v>1.93</v>
      </c>
      <c r="H73" s="93" t="str">
        <f>VLOOKUP(A73,'Parameters Summary'!$B$2:$AB$826,10,FALSE)</f>
        <v>PHYSPROP</v>
      </c>
      <c r="I73" s="93">
        <f>VLOOKUP(A73,'Parameters Summary'!$B$2:$AB$826,24,FALSE)</f>
        <v>835</v>
      </c>
      <c r="J73" s="97" t="str">
        <f>VLOOKUP(A73,'Parameters Summary'!$B$2:$AB$826,25,FALSE)</f>
        <v>PHYSPROP</v>
      </c>
      <c r="K73" s="97" t="str">
        <f>VLOOKUP(A73,'Tox Summary'!$O$3:$S$827,2,FALSE)</f>
        <v/>
      </c>
      <c r="L73" s="93">
        <f>VLOOKUP(A73,'Parameters Summary'!$B$2:$AB$826,7,FALSE)</f>
        <v>3.3500000000000001E-4</v>
      </c>
      <c r="M73" s="93" t="str">
        <f>VLOOKUP(A73,'Parameters Summary'!$B$2:$AB$826,8,FALSE)</f>
        <v>EPI</v>
      </c>
      <c r="N73" s="91">
        <f>VLOOKUP(A73,'Parameters Summary'!$B$2:$AB$826,6,FALSE)</f>
        <v>1.3695799999999999E-2</v>
      </c>
      <c r="O73" s="91">
        <f t="shared" si="6"/>
        <v>1.3695799999999999E-2</v>
      </c>
      <c r="P73" s="91">
        <f t="shared" si="9"/>
        <v>1.3695799999999999E-2</v>
      </c>
      <c r="Q73" s="91">
        <f t="shared" si="7"/>
        <v>1.3695799999999999E-2</v>
      </c>
      <c r="R73" s="91">
        <f t="shared" si="10"/>
        <v>1.3695799999999999E-2</v>
      </c>
      <c r="S73" s="91">
        <f t="shared" si="11"/>
        <v>11442298.364617139</v>
      </c>
      <c r="T73" s="93">
        <f>VLOOKUP(A73,'Parameters Summary'!$B$2:$AB$826,15,FALSE)</f>
        <v>7.2856400000000002E-2</v>
      </c>
      <c r="U73" s="93" t="str">
        <f>VLOOKUP(A73,'Parameters Summary'!$B$2:$AB$826,17,FALSE)</f>
        <v>WATER9 (U.S. EPA, 2001)</v>
      </c>
      <c r="V73" s="93">
        <f>VLOOKUP(A73,'Parameters Summary'!$B$2:$AB$826,16,FALSE)</f>
        <v>9.4506000000000006E-6</v>
      </c>
      <c r="W73" s="379" t="str">
        <f>VLOOKUP(A73,'Parameters Summary'!$B$2:$AB$826,17,FALSE)</f>
        <v>WATER9 (U.S. EPA, 2001)</v>
      </c>
      <c r="X73" s="290">
        <v>442.1</v>
      </c>
      <c r="Y73" s="96" t="s">
        <v>2217</v>
      </c>
      <c r="Z73" s="96">
        <v>663.15000000000009</v>
      </c>
      <c r="AA73" s="96" t="s">
        <v>2220</v>
      </c>
      <c r="AB73" s="96">
        <v>11359.51</v>
      </c>
      <c r="AC73" s="96" t="s">
        <v>1649</v>
      </c>
      <c r="AD73" s="93">
        <f>VLOOKUP(A73,'Parameters Summary'!$B$2:$AB$826,20,FALSE)</f>
        <v>233.9</v>
      </c>
      <c r="AE73" s="97" t="str">
        <f>VLOOKUP(A73,'Parameters Summary'!$B$2:$AB$826,21,FALSE)</f>
        <v>EPI</v>
      </c>
      <c r="AF73" s="97"/>
      <c r="AG73" s="97"/>
      <c r="AH73" s="92"/>
      <c r="AI73" s="94" t="s">
        <v>417</v>
      </c>
      <c r="AJ73" s="330"/>
      <c r="AL73" s="81"/>
    </row>
    <row r="74" spans="1:38" ht="12.75" customHeight="1">
      <c r="A74" s="96" t="s">
        <v>688</v>
      </c>
      <c r="B74" s="96" t="s">
        <v>1399</v>
      </c>
      <c r="C74" s="96" t="str">
        <f t="shared" si="8"/>
        <v>No</v>
      </c>
      <c r="D74" s="96" t="str">
        <f>VLOOKUP(A74,'Tox Summary'!$O$3:$R$824,3,FALSE)</f>
        <v>Yes</v>
      </c>
      <c r="E74" s="97">
        <f>VLOOKUP(A74,'Parameters Summary'!$B$2:$AB$826,4,FALSE)</f>
        <v>184.24</v>
      </c>
      <c r="F74" s="97" t="str">
        <f>VLOOKUP(A74,'Parameters Summary'!$B$2:$AB$826,5,FALSE)</f>
        <v>PHYSPROP</v>
      </c>
      <c r="G74" s="93">
        <f>VLOOKUP(A74,'Parameters Summary'!$B$2:$AB$826,9,FALSE)</f>
        <v>8.9800000000000002E-7</v>
      </c>
      <c r="H74" s="93" t="str">
        <f>VLOOKUP(A74,'Parameters Summary'!$B$2:$AB$826,10,FALSE)</f>
        <v>PHYSPROP</v>
      </c>
      <c r="I74" s="93">
        <f>VLOOKUP(A74,'Parameters Summary'!$B$2:$AB$826,24,FALSE)</f>
        <v>322</v>
      </c>
      <c r="J74" s="97" t="str">
        <f>VLOOKUP(A74,'Parameters Summary'!$B$2:$AB$826,25,FALSE)</f>
        <v>PHYSPROP</v>
      </c>
      <c r="K74" s="97" t="str">
        <f>VLOOKUP(A74,'Tox Summary'!$O$3:$S$827,2,FALSE)</f>
        <v/>
      </c>
      <c r="L74" s="93">
        <f>VLOOKUP(A74,'Parameters Summary'!$B$2:$AB$826,7,FALSE)</f>
        <v>5.17E-11</v>
      </c>
      <c r="M74" s="93" t="str">
        <f>VLOOKUP(A74,'Parameters Summary'!$B$2:$AB$826,8,FALSE)</f>
        <v>PHYSPROP</v>
      </c>
      <c r="N74" s="91">
        <f>VLOOKUP(A74,'Parameters Summary'!$B$2:$AB$826,6,FALSE)</f>
        <v>2.1136999999999998E-9</v>
      </c>
      <c r="O74" s="91" t="str">
        <f t="shared" si="6"/>
        <v/>
      </c>
      <c r="P74" s="91">
        <f t="shared" si="9"/>
        <v>2.1136999999999998E-9</v>
      </c>
      <c r="Q74" s="91" t="str">
        <f t="shared" si="7"/>
        <v/>
      </c>
      <c r="R74" s="91">
        <f t="shared" si="10"/>
        <v>2.1136999999999998E-9</v>
      </c>
      <c r="S74" s="91" t="str">
        <f t="shared" si="11"/>
        <v/>
      </c>
      <c r="T74" s="93">
        <f>VLOOKUP(A74,'Parameters Summary'!$B$2:$AB$826,15,FALSE)</f>
        <v>3.51273E-2</v>
      </c>
      <c r="U74" s="93" t="str">
        <f>VLOOKUP(A74,'Parameters Summary'!$B$2:$AB$826,17,FALSE)</f>
        <v>WATER9 (U.S. EPA, 2001)</v>
      </c>
      <c r="V74" s="93">
        <f>VLOOKUP(A74,'Parameters Summary'!$B$2:$AB$826,16,FALSE)</f>
        <v>7.4756000000000001E-6</v>
      </c>
      <c r="W74" s="379" t="str">
        <f>VLOOKUP(A74,'Parameters Summary'!$B$2:$AB$826,17,FALSE)</f>
        <v>WATER9 (U.S. EPA, 2001)</v>
      </c>
      <c r="X74" s="290">
        <v>674.15</v>
      </c>
      <c r="Y74" s="96" t="s">
        <v>553</v>
      </c>
      <c r="Z74" s="96">
        <v>1011.2249999999999</v>
      </c>
      <c r="AA74" s="96" t="s">
        <v>2220</v>
      </c>
      <c r="AB74" s="96" t="s">
        <v>1651</v>
      </c>
      <c r="AC74" s="96"/>
      <c r="AD74" s="93">
        <f>VLOOKUP(A74,'Parameters Summary'!$B$2:$AB$826,20,FALSE)</f>
        <v>1190</v>
      </c>
      <c r="AE74" s="97" t="str">
        <f>VLOOKUP(A74,'Parameters Summary'!$B$2:$AB$826,21,FALSE)</f>
        <v>EPI</v>
      </c>
      <c r="AF74" s="97"/>
      <c r="AG74" s="94"/>
      <c r="AH74" s="92"/>
      <c r="AI74" s="94" t="s">
        <v>421</v>
      </c>
      <c r="AJ74" s="330"/>
      <c r="AL74" s="81"/>
    </row>
    <row r="75" spans="1:38" ht="12.75" customHeight="1">
      <c r="A75" s="96" t="s">
        <v>204</v>
      </c>
      <c r="B75" s="96" t="s">
        <v>2348</v>
      </c>
      <c r="C75" s="96" t="str">
        <f t="shared" si="8"/>
        <v>No</v>
      </c>
      <c r="D75" s="96" t="str">
        <f>VLOOKUP(A75,'Tox Summary'!$O$3:$R$824,3,FALSE)</f>
        <v>No</v>
      </c>
      <c r="E75" s="97">
        <f>VLOOKUP(A75,'Parameters Summary'!$B$2:$AB$826,4,FALSE)</f>
        <v>252.32</v>
      </c>
      <c r="F75" s="97" t="str">
        <f>VLOOKUP(A75,'Parameters Summary'!$B$2:$AB$826,5,FALSE)</f>
        <v>PHYSPROP</v>
      </c>
      <c r="G75" s="93">
        <f>VLOOKUP(A75,'Parameters Summary'!$B$2:$AB$826,9,FALSE)</f>
        <v>2.62E-8</v>
      </c>
      <c r="H75" s="93" t="str">
        <f>VLOOKUP(A75,'Parameters Summary'!$B$2:$AB$826,10,FALSE)</f>
        <v>PHYSPROP</v>
      </c>
      <c r="I75" s="93">
        <f>VLOOKUP(A75,'Parameters Summary'!$B$2:$AB$826,24,FALSE)</f>
        <v>2.5000000000000001E-3</v>
      </c>
      <c r="J75" s="97" t="str">
        <f>VLOOKUP(A75,'Parameters Summary'!$B$2:$AB$826,25,FALSE)</f>
        <v>PHYSPROP</v>
      </c>
      <c r="K75" s="97" t="str">
        <f>VLOOKUP(A75,'Tox Summary'!$O$3:$S$827,2,FALSE)</f>
        <v/>
      </c>
      <c r="L75" s="93">
        <f>VLOOKUP(A75,'Parameters Summary'!$B$2:$AB$826,7,FALSE)</f>
        <v>2.03E-7</v>
      </c>
      <c r="M75" s="93" t="str">
        <f>VLOOKUP(A75,'Parameters Summary'!$B$2:$AB$826,8,FALSE)</f>
        <v>PHYSPROP</v>
      </c>
      <c r="N75" s="91">
        <f>VLOOKUP(A75,'Parameters Summary'!$B$2:$AB$826,6,FALSE)</f>
        <v>8.2993000000000003E-6</v>
      </c>
      <c r="O75" s="91" t="str">
        <f t="shared" si="6"/>
        <v/>
      </c>
      <c r="P75" s="91">
        <f t="shared" si="9"/>
        <v>8.2993000000000003E-6</v>
      </c>
      <c r="Q75" s="91" t="str">
        <f t="shared" si="7"/>
        <v/>
      </c>
      <c r="R75" s="91">
        <f t="shared" si="10"/>
        <v>8.2993000000000003E-6</v>
      </c>
      <c r="S75" s="91" t="str">
        <f t="shared" si="11"/>
        <v/>
      </c>
      <c r="T75" s="93">
        <f>VLOOKUP(A75,'Parameters Summary'!$B$2:$AB$826,15,FALSE)</f>
        <v>4.7583100000000003E-2</v>
      </c>
      <c r="U75" s="93" t="str">
        <f>VLOOKUP(A75,'Parameters Summary'!$B$2:$AB$826,17,FALSE)</f>
        <v>WATER9 (U.S. EPA, 2001)</v>
      </c>
      <c r="V75" s="93">
        <f>VLOOKUP(A75,'Parameters Summary'!$B$2:$AB$826,16,FALSE)</f>
        <v>5.5597000000000003E-6</v>
      </c>
      <c r="W75" s="379" t="str">
        <f>VLOOKUP(A75,'Parameters Summary'!$B$2:$AB$826,17,FALSE)</f>
        <v>WATER9 (U.S. EPA, 2001)</v>
      </c>
      <c r="X75" s="347"/>
      <c r="Y75" s="96"/>
      <c r="Z75" s="96" t="s">
        <v>1653</v>
      </c>
      <c r="AA75" s="96"/>
      <c r="AB75" s="96" t="s">
        <v>1651</v>
      </c>
      <c r="AC75" s="96"/>
      <c r="AD75" s="93">
        <f>VLOOKUP(A75,'Parameters Summary'!$B$2:$AB$826,20,FALSE)</f>
        <v>599400</v>
      </c>
      <c r="AE75" s="97" t="str">
        <f>VLOOKUP(A75,'Parameters Summary'!$B$2:$AB$826,21,FALSE)</f>
        <v>EPI</v>
      </c>
      <c r="AF75" s="97"/>
      <c r="AG75" s="94"/>
      <c r="AH75" s="92"/>
      <c r="AI75" s="94" t="s">
        <v>422</v>
      </c>
      <c r="AJ75" s="330"/>
      <c r="AL75" s="81"/>
    </row>
    <row r="76" spans="1:38" ht="12.75" customHeight="1">
      <c r="A76" s="96" t="s">
        <v>205</v>
      </c>
      <c r="B76" s="96" t="s">
        <v>2349</v>
      </c>
      <c r="C76" s="96" t="str">
        <f t="shared" si="8"/>
        <v>No</v>
      </c>
      <c r="D76" s="96" t="str">
        <f>VLOOKUP(A76,'Tox Summary'!$O$3:$R$824,3,FALSE)</f>
        <v>Yes</v>
      </c>
      <c r="E76" s="97">
        <f>VLOOKUP(A76,'Parameters Summary'!$B$2:$AB$826,4,FALSE)</f>
        <v>252.32</v>
      </c>
      <c r="F76" s="97" t="str">
        <f>VLOOKUP(A76,'Parameters Summary'!$B$2:$AB$826,5,FALSE)</f>
        <v>PHYSPROP</v>
      </c>
      <c r="G76" s="93">
        <f>VLOOKUP(A76,'Parameters Summary'!$B$2:$AB$826,9,FALSE)</f>
        <v>5.4899999999999999E-9</v>
      </c>
      <c r="H76" s="93" t="str">
        <f>VLOOKUP(A76,'Parameters Summary'!$B$2:$AB$826,10,FALSE)</f>
        <v>EPI</v>
      </c>
      <c r="I76" s="93">
        <f>VLOOKUP(A76,'Parameters Summary'!$B$2:$AB$826,24,FALSE)</f>
        <v>1.6199999999999999E-3</v>
      </c>
      <c r="J76" s="97" t="str">
        <f>VLOOKUP(A76,'Parameters Summary'!$B$2:$AB$826,25,FALSE)</f>
        <v>PHYSPROP</v>
      </c>
      <c r="K76" s="97">
        <f>VLOOKUP(A76,'Tox Summary'!$O$3:$S$827,2,FALSE)</f>
        <v>0.2</v>
      </c>
      <c r="L76" s="93">
        <f>VLOOKUP(A76,'Parameters Summary'!$B$2:$AB$826,7,FALSE)</f>
        <v>4.5699999999999998E-7</v>
      </c>
      <c r="M76" s="93" t="str">
        <f>VLOOKUP(A76,'Parameters Summary'!$B$2:$AB$826,8,FALSE)</f>
        <v>PHYSPROP</v>
      </c>
      <c r="N76" s="91">
        <f>VLOOKUP(A76,'Parameters Summary'!$B$2:$AB$826,6,FALSE)</f>
        <v>1.8700000000000001E-5</v>
      </c>
      <c r="O76" s="91" t="str">
        <f t="shared" si="6"/>
        <v/>
      </c>
      <c r="P76" s="91">
        <f t="shared" si="9"/>
        <v>1.8700000000000001E-5</v>
      </c>
      <c r="Q76" s="91" t="str">
        <f t="shared" si="7"/>
        <v/>
      </c>
      <c r="R76" s="91">
        <f t="shared" si="10"/>
        <v>1.8700000000000001E-5</v>
      </c>
      <c r="S76" s="91" t="str">
        <f t="shared" si="11"/>
        <v/>
      </c>
      <c r="T76" s="93">
        <f>VLOOKUP(A76,'Parameters Summary'!$B$2:$AB$826,15,FALSE)</f>
        <v>4.7583100000000003E-2</v>
      </c>
      <c r="U76" s="93" t="str">
        <f>VLOOKUP(A76,'Parameters Summary'!$B$2:$AB$826,17,FALSE)</f>
        <v>WATER9 (U.S. EPA, 2001)</v>
      </c>
      <c r="V76" s="93">
        <f>VLOOKUP(A76,'Parameters Summary'!$B$2:$AB$826,16,FALSE)</f>
        <v>5.5597000000000003E-6</v>
      </c>
      <c r="W76" s="379" t="str">
        <f>VLOOKUP(A76,'Parameters Summary'!$B$2:$AB$826,17,FALSE)</f>
        <v>WATER9 (U.S. EPA, 2001)</v>
      </c>
      <c r="X76" s="290">
        <v>768.15</v>
      </c>
      <c r="Y76" s="96" t="s">
        <v>553</v>
      </c>
      <c r="Z76" s="96" t="s">
        <v>1653</v>
      </c>
      <c r="AA76" s="96"/>
      <c r="AB76" s="96" t="s">
        <v>1651</v>
      </c>
      <c r="AC76" s="96"/>
      <c r="AD76" s="93">
        <f>VLOOKUP(A76,'Parameters Summary'!$B$2:$AB$826,20,FALSE)</f>
        <v>587400</v>
      </c>
      <c r="AE76" s="97" t="str">
        <f>VLOOKUP(A76,'Parameters Summary'!$B$2:$AB$826,21,FALSE)</f>
        <v>EPI</v>
      </c>
      <c r="AF76" s="97"/>
      <c r="AG76" s="94"/>
      <c r="AH76" s="92"/>
      <c r="AI76" s="96"/>
      <c r="AJ76" s="330"/>
      <c r="AL76" s="81"/>
    </row>
    <row r="77" spans="1:38" ht="12.75" customHeight="1">
      <c r="A77" s="96" t="s">
        <v>206</v>
      </c>
      <c r="B77" s="96" t="s">
        <v>2350</v>
      </c>
      <c r="C77" s="96" t="str">
        <f t="shared" si="8"/>
        <v>No</v>
      </c>
      <c r="D77" s="96" t="str">
        <f>VLOOKUP(A77,'Tox Summary'!$O$3:$R$824,3,FALSE)</f>
        <v>Yes</v>
      </c>
      <c r="E77" s="97">
        <f>VLOOKUP(A77,'Parameters Summary'!$B$2:$AB$826,4,FALSE)</f>
        <v>252.32</v>
      </c>
      <c r="F77" s="97" t="str">
        <f>VLOOKUP(A77,'Parameters Summary'!$B$2:$AB$826,5,FALSE)</f>
        <v>PHYSPROP</v>
      </c>
      <c r="G77" s="93">
        <f>VLOOKUP(A77,'Parameters Summary'!$B$2:$AB$826,9,FALSE)</f>
        <v>4.9999999999999998E-7</v>
      </c>
      <c r="H77" s="93" t="str">
        <f>VLOOKUP(A77,'Parameters Summary'!$B$2:$AB$826,10,FALSE)</f>
        <v>PHYSPROP</v>
      </c>
      <c r="I77" s="93">
        <f>VLOOKUP(A77,'Parameters Summary'!$B$2:$AB$826,24,FALSE)</f>
        <v>1.5E-3</v>
      </c>
      <c r="J77" s="97" t="str">
        <f>VLOOKUP(A77,'Parameters Summary'!$B$2:$AB$826,25,FALSE)</f>
        <v>PHYSPROP</v>
      </c>
      <c r="K77" s="97" t="str">
        <f>VLOOKUP(A77,'Tox Summary'!$O$3:$S$827,2,FALSE)</f>
        <v/>
      </c>
      <c r="L77" s="93">
        <f>VLOOKUP(A77,'Parameters Summary'!$B$2:$AB$826,7,FALSE)</f>
        <v>6.5700000000000002E-7</v>
      </c>
      <c r="M77" s="93" t="str">
        <f>VLOOKUP(A77,'Parameters Summary'!$B$2:$AB$826,8,FALSE)</f>
        <v>PHYSPROP</v>
      </c>
      <c r="N77" s="91">
        <f>VLOOKUP(A77,'Parameters Summary'!$B$2:$AB$826,6,FALSE)</f>
        <v>2.69E-5</v>
      </c>
      <c r="O77" s="91" t="str">
        <f t="shared" si="6"/>
        <v/>
      </c>
      <c r="P77" s="91">
        <f t="shared" si="9"/>
        <v>2.69E-5</v>
      </c>
      <c r="Q77" s="91" t="str">
        <f t="shared" si="7"/>
        <v/>
      </c>
      <c r="R77" s="91">
        <f t="shared" si="10"/>
        <v>2.69E-5</v>
      </c>
      <c r="S77" s="91" t="str">
        <f t="shared" si="11"/>
        <v/>
      </c>
      <c r="T77" s="93">
        <f>VLOOKUP(A77,'Parameters Summary'!$B$2:$AB$826,15,FALSE)</f>
        <v>4.7583100000000003E-2</v>
      </c>
      <c r="U77" s="93" t="str">
        <f>VLOOKUP(A77,'Parameters Summary'!$B$2:$AB$826,17,FALSE)</f>
        <v>WATER9 (U.S. EPA, 2001)</v>
      </c>
      <c r="V77" s="93">
        <f>VLOOKUP(A77,'Parameters Summary'!$B$2:$AB$826,16,FALSE)</f>
        <v>5.5597000000000003E-6</v>
      </c>
      <c r="W77" s="379" t="str">
        <f>VLOOKUP(A77,'Parameters Summary'!$B$2:$AB$826,17,FALSE)</f>
        <v>WATER9 (U.S. EPA, 2001)</v>
      </c>
      <c r="X77" s="347"/>
      <c r="Y77" s="96"/>
      <c r="Z77" s="96" t="s">
        <v>1653</v>
      </c>
      <c r="AA77" s="96"/>
      <c r="AB77" s="96" t="s">
        <v>1651</v>
      </c>
      <c r="AC77" s="96"/>
      <c r="AD77" s="93">
        <f>VLOOKUP(A77,'Parameters Summary'!$B$2:$AB$826,20,FALSE)</f>
        <v>599400</v>
      </c>
      <c r="AE77" s="97" t="str">
        <f>VLOOKUP(A77,'Parameters Summary'!$B$2:$AB$826,21,FALSE)</f>
        <v>EPI</v>
      </c>
      <c r="AF77" s="97"/>
      <c r="AG77" s="94"/>
      <c r="AH77" s="92"/>
      <c r="AI77" s="94"/>
      <c r="AJ77" s="330"/>
      <c r="AL77" s="81"/>
    </row>
    <row r="78" spans="1:38" ht="12.75" customHeight="1">
      <c r="A78" s="96" t="s">
        <v>207</v>
      </c>
      <c r="B78" s="96" t="s">
        <v>2351</v>
      </c>
      <c r="C78" s="96" t="str">
        <f t="shared" si="8"/>
        <v>No</v>
      </c>
      <c r="D78" s="96" t="str">
        <f>VLOOKUP(A78,'Tox Summary'!$O$3:$R$824,3,FALSE)</f>
        <v>No</v>
      </c>
      <c r="E78" s="97">
        <f>VLOOKUP(A78,'Parameters Summary'!$B$2:$AB$826,4,FALSE)</f>
        <v>252.32</v>
      </c>
      <c r="F78" s="97" t="str">
        <f>VLOOKUP(A78,'Parameters Summary'!$B$2:$AB$826,5,FALSE)</f>
        <v>PHYSPROP</v>
      </c>
      <c r="G78" s="93">
        <f>VLOOKUP(A78,'Parameters Summary'!$B$2:$AB$826,9,FALSE)</f>
        <v>9.6500000000000008E-10</v>
      </c>
      <c r="H78" s="93" t="str">
        <f>VLOOKUP(A78,'Parameters Summary'!$B$2:$AB$826,10,FALSE)</f>
        <v>EPI</v>
      </c>
      <c r="I78" s="93">
        <f>VLOOKUP(A78,'Parameters Summary'!$B$2:$AB$826,24,FALSE)</f>
        <v>8.0000000000000004E-4</v>
      </c>
      <c r="J78" s="97" t="str">
        <f>VLOOKUP(A78,'Parameters Summary'!$B$2:$AB$826,25,FALSE)</f>
        <v>PHYSPROP</v>
      </c>
      <c r="K78" s="97" t="str">
        <f>VLOOKUP(A78,'Tox Summary'!$O$3:$S$827,2,FALSE)</f>
        <v/>
      </c>
      <c r="L78" s="93">
        <f>VLOOKUP(A78,'Parameters Summary'!$B$2:$AB$826,7,FALSE)</f>
        <v>5.8400000000000004E-7</v>
      </c>
      <c r="M78" s="93" t="str">
        <f>VLOOKUP(A78,'Parameters Summary'!$B$2:$AB$826,8,FALSE)</f>
        <v>PHYSPROP</v>
      </c>
      <c r="N78" s="91">
        <f>VLOOKUP(A78,'Parameters Summary'!$B$2:$AB$826,6,FALSE)</f>
        <v>2.3900000000000002E-5</v>
      </c>
      <c r="O78" s="91" t="str">
        <f t="shared" si="6"/>
        <v/>
      </c>
      <c r="P78" s="91">
        <f t="shared" si="9"/>
        <v>2.3900000000000002E-5</v>
      </c>
      <c r="Q78" s="91" t="str">
        <f t="shared" si="7"/>
        <v/>
      </c>
      <c r="R78" s="91">
        <f t="shared" si="10"/>
        <v>2.3900000000000002E-5</v>
      </c>
      <c r="S78" s="91" t="str">
        <f t="shared" si="11"/>
        <v/>
      </c>
      <c r="T78" s="93">
        <f>VLOOKUP(A78,'Parameters Summary'!$B$2:$AB$826,15,FALSE)</f>
        <v>4.7583100000000003E-2</v>
      </c>
      <c r="U78" s="93" t="str">
        <f>VLOOKUP(A78,'Parameters Summary'!$B$2:$AB$826,17,FALSE)</f>
        <v>WATER9 (U.S. EPA, 2001)</v>
      </c>
      <c r="V78" s="93">
        <f>VLOOKUP(A78,'Parameters Summary'!$B$2:$AB$826,16,FALSE)</f>
        <v>5.5597000000000003E-6</v>
      </c>
      <c r="W78" s="379" t="str">
        <f>VLOOKUP(A78,'Parameters Summary'!$B$2:$AB$826,17,FALSE)</f>
        <v>WATER9 (U.S. EPA, 2001)</v>
      </c>
      <c r="X78" s="290">
        <v>753.15</v>
      </c>
      <c r="Y78" s="96" t="s">
        <v>553</v>
      </c>
      <c r="Z78" s="96" t="s">
        <v>1653</v>
      </c>
      <c r="AA78" s="96"/>
      <c r="AB78" s="96" t="s">
        <v>1651</v>
      </c>
      <c r="AC78" s="96"/>
      <c r="AD78" s="93">
        <f>VLOOKUP(A78,'Parameters Summary'!$B$2:$AB$826,20,FALSE)</f>
        <v>587400</v>
      </c>
      <c r="AE78" s="97" t="str">
        <f>VLOOKUP(A78,'Parameters Summary'!$B$2:$AB$826,21,FALSE)</f>
        <v>EPI</v>
      </c>
      <c r="AF78" s="97"/>
      <c r="AG78" s="94"/>
      <c r="AH78" s="92"/>
      <c r="AI78" s="96" t="s">
        <v>1807</v>
      </c>
      <c r="AJ78" s="330"/>
      <c r="AL78" s="81"/>
    </row>
    <row r="79" spans="1:38" ht="12.75" customHeight="1">
      <c r="A79" s="96" t="s">
        <v>689</v>
      </c>
      <c r="B79" s="96" t="s">
        <v>427</v>
      </c>
      <c r="C79" s="96" t="str">
        <f t="shared" si="8"/>
        <v>No</v>
      </c>
      <c r="D79" s="96" t="str">
        <f>VLOOKUP(A79,'Tox Summary'!$O$3:$R$824,3,FALSE)</f>
        <v>No</v>
      </c>
      <c r="E79" s="97">
        <f>VLOOKUP(A79,'Parameters Summary'!$B$2:$AB$826,4,FALSE)</f>
        <v>122.12</v>
      </c>
      <c r="F79" s="97" t="str">
        <f>VLOOKUP(A79,'Parameters Summary'!$B$2:$AB$826,5,FALSE)</f>
        <v>PHYSPROP</v>
      </c>
      <c r="G79" s="93">
        <f>VLOOKUP(A79,'Parameters Summary'!$B$2:$AB$826,9,FALSE)</f>
        <v>6.9999999999999999E-4</v>
      </c>
      <c r="H79" s="93" t="str">
        <f>VLOOKUP(A79,'Parameters Summary'!$B$2:$AB$826,10,FALSE)</f>
        <v>PHYSPROP</v>
      </c>
      <c r="I79" s="93">
        <f>VLOOKUP(A79,'Parameters Summary'!$B$2:$AB$826,24,FALSE)</f>
        <v>3400</v>
      </c>
      <c r="J79" s="97" t="str">
        <f>VLOOKUP(A79,'Parameters Summary'!$B$2:$AB$826,25,FALSE)</f>
        <v>PHYSPROP</v>
      </c>
      <c r="K79" s="97" t="str">
        <f>VLOOKUP(A79,'Tox Summary'!$O$3:$S$827,2,FALSE)</f>
        <v/>
      </c>
      <c r="L79" s="93">
        <f>VLOOKUP(A79,'Parameters Summary'!$B$2:$AB$826,7,FALSE)</f>
        <v>3.8099999999999997E-8</v>
      </c>
      <c r="M79" s="93" t="str">
        <f>VLOOKUP(A79,'Parameters Summary'!$B$2:$AB$826,8,FALSE)</f>
        <v>EPI</v>
      </c>
      <c r="N79" s="91">
        <f>VLOOKUP(A79,'Parameters Summary'!$B$2:$AB$826,6,FALSE)</f>
        <v>1.5575999999999999E-6</v>
      </c>
      <c r="O79" s="91" t="str">
        <f t="shared" si="6"/>
        <v/>
      </c>
      <c r="P79" s="91">
        <f t="shared" si="9"/>
        <v>1.5575999999999999E-6</v>
      </c>
      <c r="Q79" s="91" t="str">
        <f t="shared" si="7"/>
        <v/>
      </c>
      <c r="R79" s="91">
        <f t="shared" si="10"/>
        <v>1.5575999999999999E-6</v>
      </c>
      <c r="S79" s="91" t="str">
        <f t="shared" si="11"/>
        <v/>
      </c>
      <c r="T79" s="93">
        <f>VLOOKUP(A79,'Parameters Summary'!$B$2:$AB$826,15,FALSE)</f>
        <v>7.0193900000000004E-2</v>
      </c>
      <c r="U79" s="93" t="str">
        <f>VLOOKUP(A79,'Parameters Summary'!$B$2:$AB$826,17,FALSE)</f>
        <v>WATER9 (U.S. EPA, 2001)</v>
      </c>
      <c r="V79" s="93">
        <f>VLOOKUP(A79,'Parameters Summary'!$B$2:$AB$826,16,FALSE)</f>
        <v>9.7867999999999992E-6</v>
      </c>
      <c r="W79" s="379" t="str">
        <f>VLOOKUP(A79,'Parameters Summary'!$B$2:$AB$826,17,FALSE)</f>
        <v>WATER9 (U.S. EPA, 2001)</v>
      </c>
      <c r="X79" s="290">
        <v>522.34999999999991</v>
      </c>
      <c r="Y79" s="96" t="s">
        <v>553</v>
      </c>
      <c r="Z79" s="96">
        <v>783.52499999999986</v>
      </c>
      <c r="AA79" s="96" t="s">
        <v>2220</v>
      </c>
      <c r="AB79" s="96" t="s">
        <v>1651</v>
      </c>
      <c r="AC79" s="96"/>
      <c r="AD79" s="93">
        <f>VLOOKUP(A79,'Parameters Summary'!$B$2:$AB$826,20,FALSE)</f>
        <v>0.6</v>
      </c>
      <c r="AE79" s="97" t="str">
        <f>VLOOKUP(A79,'Parameters Summary'!$B$2:$AB$826,21,FALSE)</f>
        <v>SSL</v>
      </c>
      <c r="AF79" s="97"/>
      <c r="AG79" s="94"/>
      <c r="AH79" s="92"/>
      <c r="AI79" s="96"/>
      <c r="AJ79" s="330"/>
      <c r="AL79" s="81"/>
    </row>
    <row r="80" spans="1:38" ht="12.75" customHeight="1">
      <c r="A80" s="95" t="s">
        <v>690</v>
      </c>
      <c r="B80" s="96" t="s">
        <v>1000</v>
      </c>
      <c r="C80" s="96" t="str">
        <f t="shared" si="8"/>
        <v>Yes</v>
      </c>
      <c r="D80" s="96" t="str">
        <f>VLOOKUP(A80,'Tox Summary'!$O$3:$R$824,3,FALSE)</f>
        <v>No</v>
      </c>
      <c r="E80" s="97">
        <f>VLOOKUP(A80,'Parameters Summary'!$B$2:$AB$826,4,FALSE)</f>
        <v>195.48</v>
      </c>
      <c r="F80" s="97" t="str">
        <f>VLOOKUP(A80,'Parameters Summary'!$B$2:$AB$826,5,FALSE)</f>
        <v>PHYSPROP</v>
      </c>
      <c r="G80" s="93">
        <f>VLOOKUP(A80,'Parameters Summary'!$B$2:$AB$826,9,FALSE)</f>
        <v>0.41399999999999998</v>
      </c>
      <c r="H80" s="93" t="str">
        <f>VLOOKUP(A80,'Parameters Summary'!$B$2:$AB$826,10,FALSE)</f>
        <v>EPI</v>
      </c>
      <c r="I80" s="93">
        <f>VLOOKUP(A80,'Parameters Summary'!$B$2:$AB$826,24,FALSE)</f>
        <v>53</v>
      </c>
      <c r="J80" s="97" t="str">
        <f>VLOOKUP(A80,'Parameters Summary'!$B$2:$AB$826,25,FALSE)</f>
        <v>PHYSPROP</v>
      </c>
      <c r="K80" s="97" t="str">
        <f>VLOOKUP(A80,'Tox Summary'!$O$3:$S$827,2,FALSE)</f>
        <v/>
      </c>
      <c r="L80" s="93">
        <f>VLOOKUP(A80,'Parameters Summary'!$B$2:$AB$826,7,FALSE)</f>
        <v>2.5999999999999998E-4</v>
      </c>
      <c r="M80" s="93" t="str">
        <f>VLOOKUP(A80,'Parameters Summary'!$B$2:$AB$826,8,FALSE)</f>
        <v>PHYSPROP</v>
      </c>
      <c r="N80" s="91">
        <f>VLOOKUP(A80,'Parameters Summary'!$B$2:$AB$826,6,FALSE)</f>
        <v>1.0629599999999999E-2</v>
      </c>
      <c r="O80" s="91" t="str">
        <f t="shared" si="6"/>
        <v/>
      </c>
      <c r="P80" s="91">
        <f t="shared" si="9"/>
        <v>1.0629599999999999E-2</v>
      </c>
      <c r="Q80" s="91" t="str">
        <f t="shared" si="7"/>
        <v/>
      </c>
      <c r="R80" s="91">
        <f t="shared" si="10"/>
        <v>1.0629599999999999E-2</v>
      </c>
      <c r="S80" s="91" t="str">
        <f t="shared" si="11"/>
        <v/>
      </c>
      <c r="T80" s="93">
        <f>VLOOKUP(A80,'Parameters Summary'!$B$2:$AB$826,15,FALSE)</f>
        <v>3.1255499999999999E-2</v>
      </c>
      <c r="U80" s="93" t="str">
        <f>VLOOKUP(A80,'Parameters Summary'!$B$2:$AB$826,17,FALSE)</f>
        <v>WATER9 (U.S. EPA, 2001)</v>
      </c>
      <c r="V80" s="93">
        <f>VLOOKUP(A80,'Parameters Summary'!$B$2:$AB$826,16,FALSE)</f>
        <v>7.746E-6</v>
      </c>
      <c r="W80" s="379" t="str">
        <f>VLOOKUP(A80,'Parameters Summary'!$B$2:$AB$826,17,FALSE)</f>
        <v>WATER9 (U.S. EPA, 2001)</v>
      </c>
      <c r="X80" s="290">
        <v>494</v>
      </c>
      <c r="Y80" s="96" t="s">
        <v>2217</v>
      </c>
      <c r="Z80" s="96">
        <v>741</v>
      </c>
      <c r="AA80" s="96" t="s">
        <v>2220</v>
      </c>
      <c r="AB80" s="96" t="s">
        <v>1651</v>
      </c>
      <c r="AC80" s="96"/>
      <c r="AD80" s="93">
        <f>VLOOKUP(A80,'Parameters Summary'!$B$2:$AB$826,20,FALSE)</f>
        <v>1001</v>
      </c>
      <c r="AE80" s="97" t="str">
        <f>VLOOKUP(A80,'Parameters Summary'!$B$2:$AB$826,21,FALSE)</f>
        <v>EPI</v>
      </c>
      <c r="AF80" s="97"/>
      <c r="AG80" s="97"/>
      <c r="AH80" s="92"/>
      <c r="AI80" s="96"/>
      <c r="AJ80" s="330"/>
      <c r="AL80" s="81"/>
    </row>
    <row r="81" spans="1:38" ht="12.75" customHeight="1">
      <c r="A81" s="96" t="s">
        <v>691</v>
      </c>
      <c r="B81" s="96" t="s">
        <v>1001</v>
      </c>
      <c r="C81" s="96" t="str">
        <f t="shared" si="8"/>
        <v>No</v>
      </c>
      <c r="D81" s="96" t="str">
        <f>VLOOKUP(A81,'Tox Summary'!$O$3:$R$824,3,FALSE)</f>
        <v>No</v>
      </c>
      <c r="E81" s="97">
        <f>VLOOKUP(A81,'Parameters Summary'!$B$2:$AB$826,4,FALSE)</f>
        <v>108.14</v>
      </c>
      <c r="F81" s="97" t="str">
        <f>VLOOKUP(A81,'Parameters Summary'!$B$2:$AB$826,5,FALSE)</f>
        <v>PHYSPROP</v>
      </c>
      <c r="G81" s="93">
        <f>VLOOKUP(A81,'Parameters Summary'!$B$2:$AB$826,9,FALSE)</f>
        <v>9.4E-2</v>
      </c>
      <c r="H81" s="93" t="str">
        <f>VLOOKUP(A81,'Parameters Summary'!$B$2:$AB$826,10,FALSE)</f>
        <v>PHYSPROP</v>
      </c>
      <c r="I81" s="93">
        <f>VLOOKUP(A81,'Parameters Summary'!$B$2:$AB$826,24,FALSE)</f>
        <v>42900</v>
      </c>
      <c r="J81" s="97" t="str">
        <f>VLOOKUP(A81,'Parameters Summary'!$B$2:$AB$826,25,FALSE)</f>
        <v>PHYSPROP</v>
      </c>
      <c r="K81" s="97" t="str">
        <f>VLOOKUP(A81,'Tox Summary'!$O$3:$S$827,2,FALSE)</f>
        <v/>
      </c>
      <c r="L81" s="93">
        <f>VLOOKUP(A81,'Parameters Summary'!$B$2:$AB$826,7,FALSE)</f>
        <v>3.3700000000000001E-7</v>
      </c>
      <c r="M81" s="93" t="str">
        <f>VLOOKUP(A81,'Parameters Summary'!$B$2:$AB$826,8,FALSE)</f>
        <v>PHYSPROP</v>
      </c>
      <c r="N81" s="91">
        <f>VLOOKUP(A81,'Parameters Summary'!$B$2:$AB$826,6,FALSE)</f>
        <v>1.38E-5</v>
      </c>
      <c r="O81" s="91" t="str">
        <f t="shared" si="6"/>
        <v/>
      </c>
      <c r="P81" s="91">
        <f t="shared" si="9"/>
        <v>1.38E-5</v>
      </c>
      <c r="Q81" s="91" t="str">
        <f t="shared" si="7"/>
        <v/>
      </c>
      <c r="R81" s="91">
        <f t="shared" si="10"/>
        <v>1.38E-5</v>
      </c>
      <c r="S81" s="91" t="str">
        <f t="shared" si="11"/>
        <v/>
      </c>
      <c r="T81" s="93">
        <f>VLOOKUP(A81,'Parameters Summary'!$B$2:$AB$826,15,FALSE)</f>
        <v>7.3118600000000006E-2</v>
      </c>
      <c r="U81" s="93" t="str">
        <f>VLOOKUP(A81,'Parameters Summary'!$B$2:$AB$826,17,FALSE)</f>
        <v>WATER9 (U.S. EPA, 2001)</v>
      </c>
      <c r="V81" s="93">
        <f>VLOOKUP(A81,'Parameters Summary'!$B$2:$AB$826,16,FALSE)</f>
        <v>9.3664999999999992E-6</v>
      </c>
      <c r="W81" s="379" t="str">
        <f>VLOOKUP(A81,'Parameters Summary'!$B$2:$AB$826,17,FALSE)</f>
        <v>WATER9 (U.S. EPA, 2001)</v>
      </c>
      <c r="X81" s="290">
        <v>478.45</v>
      </c>
      <c r="Y81" s="96" t="s">
        <v>553</v>
      </c>
      <c r="Z81" s="96">
        <v>717.67499999999995</v>
      </c>
      <c r="AA81" s="96" t="s">
        <v>2220</v>
      </c>
      <c r="AB81" s="96" t="s">
        <v>1651</v>
      </c>
      <c r="AC81" s="96"/>
      <c r="AD81" s="93">
        <f>VLOOKUP(A81,'Parameters Summary'!$B$2:$AB$826,20,FALSE)</f>
        <v>21.46</v>
      </c>
      <c r="AE81" s="97" t="str">
        <f>VLOOKUP(A81,'Parameters Summary'!$B$2:$AB$826,21,FALSE)</f>
        <v>EPI</v>
      </c>
      <c r="AF81" s="97"/>
      <c r="AG81" s="94"/>
      <c r="AH81" s="92"/>
      <c r="AI81" s="94"/>
      <c r="AJ81" s="330"/>
      <c r="AL81" s="81"/>
    </row>
    <row r="82" spans="1:38" ht="12.75" customHeight="1">
      <c r="A82" s="95" t="s">
        <v>692</v>
      </c>
      <c r="B82" s="96" t="s">
        <v>1002</v>
      </c>
      <c r="C82" s="96" t="str">
        <f t="shared" si="8"/>
        <v>Yes</v>
      </c>
      <c r="D82" s="96" t="str">
        <f>VLOOKUP(A82,'Tox Summary'!$O$3:$R$824,3,FALSE)</f>
        <v>Yes</v>
      </c>
      <c r="E82" s="97">
        <f>VLOOKUP(A82,'Parameters Summary'!$B$2:$AB$826,4,FALSE)</f>
        <v>126.59</v>
      </c>
      <c r="F82" s="97" t="str">
        <f>VLOOKUP(A82,'Parameters Summary'!$B$2:$AB$826,5,FALSE)</f>
        <v>PHYSPROP</v>
      </c>
      <c r="G82" s="93">
        <f>VLOOKUP(A82,'Parameters Summary'!$B$2:$AB$826,9,FALSE)</f>
        <v>1.23</v>
      </c>
      <c r="H82" s="93" t="str">
        <f>VLOOKUP(A82,'Parameters Summary'!$B$2:$AB$826,10,FALSE)</f>
        <v>PHYSPROP</v>
      </c>
      <c r="I82" s="93">
        <f>VLOOKUP(A82,'Parameters Summary'!$B$2:$AB$826,24,FALSE)</f>
        <v>525</v>
      </c>
      <c r="J82" s="97" t="str">
        <f>VLOOKUP(A82,'Parameters Summary'!$B$2:$AB$826,25,FALSE)</f>
        <v>PHYSPROP</v>
      </c>
      <c r="K82" s="97" t="str">
        <f>VLOOKUP(A82,'Tox Summary'!$O$3:$S$827,2,FALSE)</f>
        <v/>
      </c>
      <c r="L82" s="93">
        <f>VLOOKUP(A82,'Parameters Summary'!$B$2:$AB$826,7,FALSE)</f>
        <v>4.1199999999999999E-4</v>
      </c>
      <c r="M82" s="93" t="str">
        <f>VLOOKUP(A82,'Parameters Summary'!$B$2:$AB$826,8,FALSE)</f>
        <v>EPI</v>
      </c>
      <c r="N82" s="91">
        <f>VLOOKUP(A82,'Parameters Summary'!$B$2:$AB$826,6,FALSE)</f>
        <v>1.6843799999999999E-2</v>
      </c>
      <c r="O82" s="91">
        <f t="shared" si="6"/>
        <v>1.6843799999999999E-2</v>
      </c>
      <c r="P82" s="91">
        <f t="shared" si="9"/>
        <v>1.6843799999999999E-2</v>
      </c>
      <c r="Q82" s="91">
        <f t="shared" si="7"/>
        <v>1.6843799999999999E-2</v>
      </c>
      <c r="R82" s="91">
        <f t="shared" si="10"/>
        <v>1.6843799999999999E-2</v>
      </c>
      <c r="S82" s="91">
        <f t="shared" si="11"/>
        <v>8378334.6350417025</v>
      </c>
      <c r="T82" s="93">
        <f>VLOOKUP(A82,'Parameters Summary'!$B$2:$AB$826,15,FALSE)</f>
        <v>6.3361799999999996E-2</v>
      </c>
      <c r="U82" s="93" t="str">
        <f>VLOOKUP(A82,'Parameters Summary'!$B$2:$AB$826,17,FALSE)</f>
        <v>WATER9 (U.S. EPA, 2001)</v>
      </c>
      <c r="V82" s="93">
        <f>VLOOKUP(A82,'Parameters Summary'!$B$2:$AB$826,16,FALSE)</f>
        <v>8.8056999999999994E-6</v>
      </c>
      <c r="W82" s="379" t="str">
        <f>VLOOKUP(A82,'Parameters Summary'!$B$2:$AB$826,17,FALSE)</f>
        <v>WATER9 (U.S. EPA, 2001)</v>
      </c>
      <c r="X82" s="290">
        <v>452</v>
      </c>
      <c r="Y82" s="96" t="s">
        <v>553</v>
      </c>
      <c r="Z82" s="96">
        <v>685</v>
      </c>
      <c r="AA82" s="96" t="s">
        <v>2225</v>
      </c>
      <c r="AB82" s="96">
        <v>8773.2597999999998</v>
      </c>
      <c r="AC82" s="96" t="s">
        <v>2215</v>
      </c>
      <c r="AD82" s="93">
        <f>VLOOKUP(A82,'Parameters Summary'!$B$2:$AB$826,20,FALSE)</f>
        <v>446.1</v>
      </c>
      <c r="AE82" s="97" t="str">
        <f>VLOOKUP(A82,'Parameters Summary'!$B$2:$AB$826,21,FALSE)</f>
        <v>EPI</v>
      </c>
      <c r="AF82" s="97">
        <v>1.1000000000000001</v>
      </c>
      <c r="AG82" s="97" t="s">
        <v>302</v>
      </c>
      <c r="AH82" s="92"/>
      <c r="AI82" s="94" t="s">
        <v>2099</v>
      </c>
      <c r="AJ82" s="330"/>
      <c r="AL82" s="81"/>
    </row>
    <row r="83" spans="1:38" ht="12.75" customHeight="1">
      <c r="A83" s="96" t="s">
        <v>693</v>
      </c>
      <c r="B83" s="96" t="s">
        <v>1003</v>
      </c>
      <c r="C83" s="96" t="str">
        <f t="shared" si="8"/>
        <v>No</v>
      </c>
      <c r="D83" s="96" t="str">
        <f>VLOOKUP(A83,'Tox Summary'!$O$3:$R$824,3,FALSE)</f>
        <v>Yes</v>
      </c>
      <c r="E83" s="97">
        <f>VLOOKUP(A83,'Parameters Summary'!$B$2:$AB$826,4,FALSE)</f>
        <v>9.01</v>
      </c>
      <c r="F83" s="97" t="str">
        <f>VLOOKUP(A83,'Parameters Summary'!$B$2:$AB$826,5,FALSE)</f>
        <v>EPI</v>
      </c>
      <c r="G83" s="93">
        <f>VLOOKUP(A83,'Parameters Summary'!$B$2:$AB$826,9,FALSE)</f>
        <v>0</v>
      </c>
      <c r="H83" s="93" t="str">
        <f>VLOOKUP(A83,'Parameters Summary'!$B$2:$AB$826,10,FALSE)</f>
        <v>NIOSH</v>
      </c>
      <c r="I83" s="93" t="s">
        <v>2440</v>
      </c>
      <c r="J83" s="97" t="str">
        <f>VLOOKUP(A83,'Parameters Summary'!$B$2:$AB$826,25,FALSE)</f>
        <v/>
      </c>
      <c r="K83" s="97">
        <f>VLOOKUP(A83,'Tox Summary'!$O$3:$S$827,2,FALSE)</f>
        <v>4</v>
      </c>
      <c r="L83" s="93" t="str">
        <f>VLOOKUP(A83,'Parameters Summary'!$B$2:$AB$826,7,FALSE)</f>
        <v xml:space="preserve"> </v>
      </c>
      <c r="M83" s="93" t="str">
        <f>VLOOKUP(A83,'Parameters Summary'!$B$2:$AB$826,8,FALSE)</f>
        <v/>
      </c>
      <c r="N83" s="91" t="str">
        <f>VLOOKUP(A83,'Parameters Summary'!$B$2:$AB$826,6,FALSE)</f>
        <v xml:space="preserve"> </v>
      </c>
      <c r="O83" s="91" t="str">
        <f t="shared" si="6"/>
        <v/>
      </c>
      <c r="P83" s="91" t="str">
        <f t="shared" si="9"/>
        <v xml:space="preserve"> </v>
      </c>
      <c r="Q83" s="91" t="str">
        <f t="shared" si="7"/>
        <v/>
      </c>
      <c r="R83" s="91" t="str">
        <f t="shared" si="10"/>
        <v xml:space="preserve"> </v>
      </c>
      <c r="S83" s="91" t="str">
        <f t="shared" si="11"/>
        <v/>
      </c>
      <c r="T83" s="93" t="str">
        <f>VLOOKUP(A83,'Parameters Summary'!$B$2:$AB$826,15,FALSE)</f>
        <v xml:space="preserve"> </v>
      </c>
      <c r="U83" s="93" t="str">
        <f>VLOOKUP(A83,'Parameters Summary'!$B$2:$AB$826,17,FALSE)</f>
        <v/>
      </c>
      <c r="V83" s="93" t="str">
        <f>VLOOKUP(A83,'Parameters Summary'!$B$2:$AB$826,16,FALSE)</f>
        <v xml:space="preserve"> </v>
      </c>
      <c r="W83" s="379" t="str">
        <f>VLOOKUP(A83,'Parameters Summary'!$B$2:$AB$826,17,FALSE)</f>
        <v/>
      </c>
      <c r="X83" s="347"/>
      <c r="Y83" s="96"/>
      <c r="Z83" s="96" t="s">
        <v>1653</v>
      </c>
      <c r="AA83" s="96"/>
      <c r="AB83" s="96" t="s">
        <v>1651</v>
      </c>
      <c r="AC83" s="96"/>
      <c r="AD83" s="93" t="str">
        <f>VLOOKUP(A83,'Parameters Summary'!$B$2:$AB$826,20,FALSE)</f>
        <v xml:space="preserve"> </v>
      </c>
      <c r="AE83" s="97" t="str">
        <f>VLOOKUP(A83,'Parameters Summary'!$B$2:$AB$826,21,FALSE)</f>
        <v/>
      </c>
      <c r="AF83" s="97"/>
      <c r="AG83" s="94"/>
      <c r="AH83" s="92"/>
      <c r="AI83" s="94" t="s">
        <v>2100</v>
      </c>
      <c r="AJ83" s="330"/>
      <c r="AL83" s="81"/>
    </row>
    <row r="84" spans="1:38" ht="12.75" customHeight="1">
      <c r="A84" s="96" t="s">
        <v>695</v>
      </c>
      <c r="B84" s="96" t="s">
        <v>1004</v>
      </c>
      <c r="C84" s="96" t="str">
        <f t="shared" si="8"/>
        <v>No</v>
      </c>
      <c r="D84" s="96" t="str">
        <f>VLOOKUP(A84,'Tox Summary'!$O$3:$R$824,3,FALSE)</f>
        <v>No</v>
      </c>
      <c r="E84" s="97">
        <f>VLOOKUP(A84,'Parameters Summary'!$B$2:$AB$826,4,FALSE)</f>
        <v>342.14</v>
      </c>
      <c r="F84" s="97" t="str">
        <f>VLOOKUP(A84,'Parameters Summary'!$B$2:$AB$826,5,FALSE)</f>
        <v>PHYSPROP</v>
      </c>
      <c r="G84" s="93">
        <f>VLOOKUP(A84,'Parameters Summary'!$B$2:$AB$826,9,FALSE)</f>
        <v>9.9999999999999995E-8</v>
      </c>
      <c r="H84" s="93" t="str">
        <f>VLOOKUP(A84,'Parameters Summary'!$B$2:$AB$826,10,FALSE)</f>
        <v>PHYSPROP</v>
      </c>
      <c r="I84" s="93">
        <f>VLOOKUP(A84,'Parameters Summary'!$B$2:$AB$826,24,FALSE)</f>
        <v>0.39800000000000002</v>
      </c>
      <c r="J84" s="97" t="str">
        <f>VLOOKUP(A84,'Parameters Summary'!$B$2:$AB$826,25,FALSE)</f>
        <v>PHYSPROP</v>
      </c>
      <c r="K84" s="97" t="str">
        <f>VLOOKUP(A84,'Tox Summary'!$O$3:$S$827,2,FALSE)</f>
        <v/>
      </c>
      <c r="L84" s="93">
        <f>VLOOKUP(A84,'Parameters Summary'!$B$2:$AB$826,7,FALSE)</f>
        <v>1.08E-7</v>
      </c>
      <c r="M84" s="93" t="str">
        <f>VLOOKUP(A84,'Parameters Summary'!$B$2:$AB$826,8,FALSE)</f>
        <v>EPI</v>
      </c>
      <c r="N84" s="91">
        <f>VLOOKUP(A84,'Parameters Summary'!$B$2:$AB$826,6,FALSE)</f>
        <v>4.4154000000000001E-6</v>
      </c>
      <c r="O84" s="91" t="str">
        <f t="shared" si="6"/>
        <v/>
      </c>
      <c r="P84" s="91">
        <f t="shared" si="9"/>
        <v>4.4154000000000001E-6</v>
      </c>
      <c r="Q84" s="91" t="str">
        <f t="shared" si="7"/>
        <v/>
      </c>
      <c r="R84" s="91">
        <f t="shared" si="10"/>
        <v>4.4154000000000001E-6</v>
      </c>
      <c r="S84" s="91" t="str">
        <f t="shared" si="11"/>
        <v/>
      </c>
      <c r="T84" s="93">
        <f>VLOOKUP(A84,'Parameters Summary'!$B$2:$AB$826,15,FALSE)</f>
        <v>2.01637E-2</v>
      </c>
      <c r="U84" s="93" t="str">
        <f>VLOOKUP(A84,'Parameters Summary'!$B$2:$AB$826,17,FALSE)</f>
        <v>WATER9 (U.S. EPA, 2001)</v>
      </c>
      <c r="V84" s="93">
        <f>VLOOKUP(A84,'Parameters Summary'!$B$2:$AB$826,16,FALSE)</f>
        <v>4.9922999999999996E-6</v>
      </c>
      <c r="W84" s="379" t="str">
        <f>VLOOKUP(A84,'Parameters Summary'!$B$2:$AB$826,17,FALSE)</f>
        <v>WATER9 (U.S. EPA, 2001)</v>
      </c>
      <c r="X84" s="347"/>
      <c r="Y84" s="96"/>
      <c r="Z84" s="96" t="s">
        <v>1653</v>
      </c>
      <c r="AA84" s="96"/>
      <c r="AB84" s="96" t="s">
        <v>1651</v>
      </c>
      <c r="AC84" s="96"/>
      <c r="AD84" s="93">
        <f>VLOOKUP(A84,'Parameters Summary'!$B$2:$AB$826,20,FALSE)</f>
        <v>3679</v>
      </c>
      <c r="AE84" s="97" t="str">
        <f>VLOOKUP(A84,'Parameters Summary'!$B$2:$AB$826,21,FALSE)</f>
        <v>EPI</v>
      </c>
      <c r="AF84" s="97"/>
      <c r="AG84" s="94"/>
      <c r="AH84" s="92"/>
      <c r="AI84" s="96"/>
      <c r="AJ84" s="330"/>
      <c r="AL84" s="81"/>
    </row>
    <row r="85" spans="1:38" ht="12.75" customHeight="1">
      <c r="A85" s="96" t="s">
        <v>696</v>
      </c>
      <c r="B85" s="96" t="s">
        <v>1005</v>
      </c>
      <c r="C85" s="96" t="str">
        <f t="shared" si="8"/>
        <v>No</v>
      </c>
      <c r="D85" s="96" t="str">
        <f>VLOOKUP(A85,'Tox Summary'!$O$3:$R$824,3,FALSE)</f>
        <v>No</v>
      </c>
      <c r="E85" s="97">
        <f>VLOOKUP(A85,'Parameters Summary'!$B$2:$AB$826,4,FALSE)</f>
        <v>422.88</v>
      </c>
      <c r="F85" s="97" t="str">
        <f>VLOOKUP(A85,'Parameters Summary'!$B$2:$AB$826,5,FALSE)</f>
        <v>PHYSPROP</v>
      </c>
      <c r="G85" s="93">
        <f>VLOOKUP(A85,'Parameters Summary'!$B$2:$AB$826,9,FALSE)</f>
        <v>1.8E-7</v>
      </c>
      <c r="H85" s="93" t="str">
        <f>VLOOKUP(A85,'Parameters Summary'!$B$2:$AB$826,10,FALSE)</f>
        <v>PHYSPROP</v>
      </c>
      <c r="I85" s="93">
        <f>VLOOKUP(A85,'Parameters Summary'!$B$2:$AB$826,24,FALSE)</f>
        <v>1E-3</v>
      </c>
      <c r="J85" s="97" t="str">
        <f>VLOOKUP(A85,'Parameters Summary'!$B$2:$AB$826,25,FALSE)</f>
        <v>PHYSPROP</v>
      </c>
      <c r="K85" s="97" t="str">
        <f>VLOOKUP(A85,'Tox Summary'!$O$3:$S$827,2,FALSE)</f>
        <v/>
      </c>
      <c r="L85" s="93">
        <f>VLOOKUP(A85,'Parameters Summary'!$B$2:$AB$826,7,FALSE)</f>
        <v>9.9999999999999995E-7</v>
      </c>
      <c r="M85" s="93" t="str">
        <f>VLOOKUP(A85,'Parameters Summary'!$B$2:$AB$826,8,FALSE)</f>
        <v>EPI</v>
      </c>
      <c r="N85" s="91">
        <f>VLOOKUP(A85,'Parameters Summary'!$B$2:$AB$826,6,FALSE)</f>
        <v>4.0899999999999998E-5</v>
      </c>
      <c r="O85" s="91" t="str">
        <f t="shared" si="6"/>
        <v/>
      </c>
      <c r="P85" s="91">
        <f t="shared" si="9"/>
        <v>4.0899999999999998E-5</v>
      </c>
      <c r="Q85" s="91" t="str">
        <f t="shared" si="7"/>
        <v/>
      </c>
      <c r="R85" s="91">
        <f t="shared" si="10"/>
        <v>4.0899999999999998E-5</v>
      </c>
      <c r="S85" s="91" t="str">
        <f t="shared" si="11"/>
        <v/>
      </c>
      <c r="T85" s="93">
        <f>VLOOKUP(A85,'Parameters Summary'!$B$2:$AB$826,15,FALSE)</f>
        <v>1.8375499999999999E-2</v>
      </c>
      <c r="U85" s="93" t="str">
        <f>VLOOKUP(A85,'Parameters Summary'!$B$2:$AB$826,17,FALSE)</f>
        <v>WATER9 (U.S. EPA, 2001)</v>
      </c>
      <c r="V85" s="93">
        <f>VLOOKUP(A85,'Parameters Summary'!$B$2:$AB$826,16,FALSE)</f>
        <v>4.4982999999999998E-6</v>
      </c>
      <c r="W85" s="379" t="str">
        <f>VLOOKUP(A85,'Parameters Summary'!$B$2:$AB$826,17,FALSE)</f>
        <v>WATER9 (U.S. EPA, 2001)</v>
      </c>
      <c r="X85" s="347"/>
      <c r="Y85" s="96"/>
      <c r="Z85" s="96" t="s">
        <v>1653</v>
      </c>
      <c r="AA85" s="96"/>
      <c r="AB85" s="96" t="s">
        <v>1651</v>
      </c>
      <c r="AC85" s="96"/>
      <c r="AD85" s="93">
        <f>VLOOKUP(A85,'Parameters Summary'!$B$2:$AB$826,20,FALSE)</f>
        <v>2272000</v>
      </c>
      <c r="AE85" s="97" t="str">
        <f>VLOOKUP(A85,'Parameters Summary'!$B$2:$AB$826,21,FALSE)</f>
        <v>EPI</v>
      </c>
      <c r="AF85" s="97"/>
      <c r="AG85" s="94"/>
      <c r="AH85" s="92"/>
      <c r="AI85" s="94" t="s">
        <v>2101</v>
      </c>
      <c r="AJ85" s="330"/>
      <c r="AL85" s="81"/>
    </row>
    <row r="86" spans="1:38" ht="12.75" customHeight="1">
      <c r="A86" s="95" t="s">
        <v>374</v>
      </c>
      <c r="B86" s="96" t="s">
        <v>1006</v>
      </c>
      <c r="C86" s="96" t="str">
        <f t="shared" si="8"/>
        <v>Yes</v>
      </c>
      <c r="D86" s="96" t="str">
        <f>VLOOKUP(A86,'Tox Summary'!$O$3:$R$824,3,FALSE)</f>
        <v>Yes</v>
      </c>
      <c r="E86" s="97">
        <f>VLOOKUP(A86,'Parameters Summary'!$B$2:$AB$826,4,FALSE)</f>
        <v>154.21</v>
      </c>
      <c r="F86" s="97" t="str">
        <f>VLOOKUP(A86,'Parameters Summary'!$B$2:$AB$826,5,FALSE)</f>
        <v>PHYSPROP</v>
      </c>
      <c r="G86" s="93">
        <f>VLOOKUP(A86,'Parameters Summary'!$B$2:$AB$826,9,FALSE)</f>
        <v>8.9300000000000004E-3</v>
      </c>
      <c r="H86" s="93" t="str">
        <f>VLOOKUP(A86,'Parameters Summary'!$B$2:$AB$826,10,FALSE)</f>
        <v>PHYSPROP</v>
      </c>
      <c r="I86" s="93">
        <f>VLOOKUP(A86,'Parameters Summary'!$B$2:$AB$826,24,FALSE)</f>
        <v>7.48</v>
      </c>
      <c r="J86" s="97" t="str">
        <f>VLOOKUP(A86,'Parameters Summary'!$B$2:$AB$826,25,FALSE)</f>
        <v>PHYSPROP</v>
      </c>
      <c r="K86" s="97" t="str">
        <f>VLOOKUP(A86,'Tox Summary'!$O$3:$S$827,2,FALSE)</f>
        <v/>
      </c>
      <c r="L86" s="93">
        <f>VLOOKUP(A86,'Parameters Summary'!$B$2:$AB$826,7,FALSE)</f>
        <v>3.0800000000000001E-4</v>
      </c>
      <c r="M86" s="93" t="str">
        <f>VLOOKUP(A86,'Parameters Summary'!$B$2:$AB$826,8,FALSE)</f>
        <v>PHYSPROP</v>
      </c>
      <c r="N86" s="91">
        <f>VLOOKUP(A86,'Parameters Summary'!$B$2:$AB$826,6,FALSE)</f>
        <v>1.2592000000000001E-2</v>
      </c>
      <c r="O86" s="91">
        <f t="shared" si="6"/>
        <v>1.2592000000000001E-2</v>
      </c>
      <c r="P86" s="91">
        <f t="shared" si="9"/>
        <v>1.2592000000000001E-2</v>
      </c>
      <c r="Q86" s="91">
        <f t="shared" si="7"/>
        <v>1.2592000000000001E-2</v>
      </c>
      <c r="R86" s="91">
        <f t="shared" si="10"/>
        <v>1.2592000000000001E-2</v>
      </c>
      <c r="S86" s="91">
        <f t="shared" si="11"/>
        <v>74099.825810764451</v>
      </c>
      <c r="T86" s="93">
        <f>VLOOKUP(A86,'Parameters Summary'!$B$2:$AB$826,15,FALSE)</f>
        <v>4.7059200000000002E-2</v>
      </c>
      <c r="U86" s="93" t="str">
        <f>VLOOKUP(A86,'Parameters Summary'!$B$2:$AB$826,17,FALSE)</f>
        <v>WATER9 (U.S. EPA, 2001)</v>
      </c>
      <c r="V86" s="93">
        <f>VLOOKUP(A86,'Parameters Summary'!$B$2:$AB$826,16,FALSE)</f>
        <v>7.5618000000000002E-6</v>
      </c>
      <c r="W86" s="379" t="str">
        <f>VLOOKUP(A86,'Parameters Summary'!$B$2:$AB$826,17,FALSE)</f>
        <v>WATER9 (U.S. EPA, 2001)</v>
      </c>
      <c r="X86" s="290">
        <v>529.1</v>
      </c>
      <c r="Y86" s="96" t="s">
        <v>553</v>
      </c>
      <c r="Z86" s="96">
        <v>789</v>
      </c>
      <c r="AA86" s="96" t="s">
        <v>2221</v>
      </c>
      <c r="AB86" s="96">
        <v>10890</v>
      </c>
      <c r="AC86" s="96" t="s">
        <v>2225</v>
      </c>
      <c r="AD86" s="93">
        <f>VLOOKUP(A86,'Parameters Summary'!$B$2:$AB$826,20,FALSE)</f>
        <v>5129</v>
      </c>
      <c r="AE86" s="97" t="str">
        <f>VLOOKUP(A86,'Parameters Summary'!$B$2:$AB$826,21,FALSE)</f>
        <v>EPI</v>
      </c>
      <c r="AF86" s="97">
        <v>0.6</v>
      </c>
      <c r="AG86" s="97" t="s">
        <v>302</v>
      </c>
      <c r="AH86" s="92"/>
      <c r="AI86" s="94"/>
      <c r="AJ86" s="330"/>
      <c r="AL86" s="81"/>
    </row>
    <row r="87" spans="1:38" ht="12.75" customHeight="1">
      <c r="A87" s="95" t="s">
        <v>375</v>
      </c>
      <c r="B87" s="96" t="s">
        <v>1008</v>
      </c>
      <c r="C87" s="96" t="str">
        <f t="shared" si="8"/>
        <v>Yes</v>
      </c>
      <c r="D87" s="96" t="str">
        <f>VLOOKUP(A87,'Tox Summary'!$O$3:$R$824,3,FALSE)</f>
        <v>No</v>
      </c>
      <c r="E87" s="97">
        <f>VLOOKUP(A87,'Parameters Summary'!$B$2:$AB$826,4,FALSE)</f>
        <v>171.07</v>
      </c>
      <c r="F87" s="97" t="str">
        <f>VLOOKUP(A87,'Parameters Summary'!$B$2:$AB$826,5,FALSE)</f>
        <v>PHYSPROP</v>
      </c>
      <c r="G87" s="93">
        <f>VLOOKUP(A87,'Parameters Summary'!$B$2:$AB$826,9,FALSE)</f>
        <v>0.56000000000000005</v>
      </c>
      <c r="H87" s="93" t="str">
        <f>VLOOKUP(A87,'Parameters Summary'!$B$2:$AB$826,10,FALSE)</f>
        <v>PHYSPROP</v>
      </c>
      <c r="I87" s="93">
        <f>VLOOKUP(A87,'Parameters Summary'!$B$2:$AB$826,24,FALSE)</f>
        <v>1700</v>
      </c>
      <c r="J87" s="97" t="str">
        <f>VLOOKUP(A87,'Parameters Summary'!$B$2:$AB$826,25,FALSE)</f>
        <v>PHYSPROP</v>
      </c>
      <c r="K87" s="97" t="str">
        <f>VLOOKUP(A87,'Tox Summary'!$O$3:$S$827,2,FALSE)</f>
        <v/>
      </c>
      <c r="L87" s="93">
        <f>VLOOKUP(A87,'Parameters Summary'!$B$2:$AB$826,7,FALSE)</f>
        <v>7.4200000000000001E-5</v>
      </c>
      <c r="M87" s="93" t="str">
        <f>VLOOKUP(A87,'Parameters Summary'!$B$2:$AB$826,8,FALSE)</f>
        <v>EPI</v>
      </c>
      <c r="N87" s="91">
        <f>VLOOKUP(A87,'Parameters Summary'!$B$2:$AB$826,6,FALSE)</f>
        <v>3.0335000000000002E-3</v>
      </c>
      <c r="O87" s="91">
        <f t="shared" si="6"/>
        <v>3.0335000000000002E-3</v>
      </c>
      <c r="P87" s="91">
        <f t="shared" si="9"/>
        <v>3.0335000000000002E-3</v>
      </c>
      <c r="Q87" s="91">
        <f t="shared" si="7"/>
        <v>3.0335000000000002E-3</v>
      </c>
      <c r="R87" s="91">
        <f t="shared" si="10"/>
        <v>3.0335000000000002E-3</v>
      </c>
      <c r="S87" s="91">
        <f t="shared" si="11"/>
        <v>5154838.6177852647</v>
      </c>
      <c r="T87" s="93">
        <f>VLOOKUP(A87,'Parameters Summary'!$B$2:$AB$826,15,FALSE)</f>
        <v>3.9889099999999997E-2</v>
      </c>
      <c r="U87" s="93" t="str">
        <f>VLOOKUP(A87,'Parameters Summary'!$B$2:$AB$826,17,FALSE)</f>
        <v>WATER9 (U.S. EPA, 2001)</v>
      </c>
      <c r="V87" s="93">
        <f>VLOOKUP(A87,'Parameters Summary'!$B$2:$AB$826,16,FALSE)</f>
        <v>7.3606000000000003E-6</v>
      </c>
      <c r="W87" s="379" t="str">
        <f>VLOOKUP(A87,'Parameters Summary'!$B$2:$AB$826,17,FALSE)</f>
        <v>WATER9 (U.S. EPA, 2001)</v>
      </c>
      <c r="X87" s="290">
        <v>460</v>
      </c>
      <c r="Y87" s="96" t="s">
        <v>553</v>
      </c>
      <c r="Z87" s="96">
        <v>690</v>
      </c>
      <c r="AA87" s="96" t="s">
        <v>2220</v>
      </c>
      <c r="AB87" s="96">
        <v>9694.9215000000004</v>
      </c>
      <c r="AC87" s="96" t="s">
        <v>2222</v>
      </c>
      <c r="AD87" s="93">
        <f>VLOOKUP(A87,'Parameters Summary'!$B$2:$AB$826,20,FALSE)</f>
        <v>82.92</v>
      </c>
      <c r="AE87" s="97" t="str">
        <f>VLOOKUP(A87,'Parameters Summary'!$B$2:$AB$826,21,FALSE)</f>
        <v>EPI</v>
      </c>
      <c r="AF87" s="97"/>
      <c r="AG87" s="97"/>
      <c r="AH87" s="92"/>
      <c r="AI87" s="96" t="s">
        <v>1808</v>
      </c>
      <c r="AJ87" s="330"/>
      <c r="AL87" s="81"/>
    </row>
    <row r="88" spans="1:38" ht="12.75" customHeight="1">
      <c r="A88" s="96" t="s">
        <v>697</v>
      </c>
      <c r="B88" s="96" t="s">
        <v>1007</v>
      </c>
      <c r="C88" s="96" t="str">
        <f t="shared" si="8"/>
        <v>No</v>
      </c>
      <c r="D88" s="96" t="str">
        <f>VLOOKUP(A88,'Tox Summary'!$O$3:$R$824,3,FALSE)</f>
        <v>No</v>
      </c>
      <c r="E88" s="97">
        <f>VLOOKUP(A88,'Parameters Summary'!$B$2:$AB$826,4,FALSE)</f>
        <v>173.04</v>
      </c>
      <c r="F88" s="97" t="str">
        <f>VLOOKUP(A88,'Parameters Summary'!$B$2:$AB$826,5,FALSE)</f>
        <v>PHYSPROP</v>
      </c>
      <c r="G88" s="93">
        <f>VLOOKUP(A88,'Parameters Summary'!$B$2:$AB$826,9,FALSE)</f>
        <v>0.13200000000000001</v>
      </c>
      <c r="H88" s="93" t="str">
        <f>VLOOKUP(A88,'Parameters Summary'!$B$2:$AB$826,10,FALSE)</f>
        <v>EPI</v>
      </c>
      <c r="I88" s="93">
        <f>VLOOKUP(A88,'Parameters Summary'!$B$2:$AB$826,24,FALSE)</f>
        <v>7800</v>
      </c>
      <c r="J88" s="97" t="str">
        <f>VLOOKUP(A88,'Parameters Summary'!$B$2:$AB$826,25,FALSE)</f>
        <v>PHYSPROP</v>
      </c>
      <c r="K88" s="97" t="str">
        <f>VLOOKUP(A88,'Tox Summary'!$O$3:$S$827,2,FALSE)</f>
        <v/>
      </c>
      <c r="L88" s="93">
        <f>VLOOKUP(A88,'Parameters Summary'!$B$2:$AB$826,7,FALSE)</f>
        <v>3.8500000000000004E-6</v>
      </c>
      <c r="M88" s="93" t="str">
        <f>VLOOKUP(A88,'Parameters Summary'!$B$2:$AB$826,8,FALSE)</f>
        <v>EPI</v>
      </c>
      <c r="N88" s="91">
        <f>VLOOKUP(A88,'Parameters Summary'!$B$2:$AB$826,6,FALSE)</f>
        <v>1.574E-4</v>
      </c>
      <c r="O88" s="91" t="str">
        <f t="shared" si="6"/>
        <v/>
      </c>
      <c r="P88" s="91">
        <f t="shared" si="9"/>
        <v>1.574E-4</v>
      </c>
      <c r="Q88" s="91" t="str">
        <f t="shared" si="7"/>
        <v/>
      </c>
      <c r="R88" s="91">
        <f t="shared" si="10"/>
        <v>1.574E-4</v>
      </c>
      <c r="S88" s="91" t="str">
        <f t="shared" si="11"/>
        <v/>
      </c>
      <c r="T88" s="93">
        <f>VLOOKUP(A88,'Parameters Summary'!$B$2:$AB$826,15,FALSE)</f>
        <v>6.1186499999999998E-2</v>
      </c>
      <c r="U88" s="93" t="str">
        <f>VLOOKUP(A88,'Parameters Summary'!$B$2:$AB$826,17,FALSE)</f>
        <v>WATER9 (U.S. EPA, 2001)</v>
      </c>
      <c r="V88" s="93">
        <f>VLOOKUP(A88,'Parameters Summary'!$B$2:$AB$826,16,FALSE)</f>
        <v>7.1492000000000001E-6</v>
      </c>
      <c r="W88" s="379" t="str">
        <f>VLOOKUP(A88,'Parameters Summary'!$B$2:$AB$826,17,FALSE)</f>
        <v>WATER9 (U.S. EPA, 2001)</v>
      </c>
      <c r="X88" s="290">
        <v>491.15</v>
      </c>
      <c r="Y88" s="96" t="s">
        <v>553</v>
      </c>
      <c r="Z88" s="96">
        <v>736.72499999999991</v>
      </c>
      <c r="AA88" s="96" t="s">
        <v>2220</v>
      </c>
      <c r="AB88" s="96" t="s">
        <v>1651</v>
      </c>
      <c r="AC88" s="96"/>
      <c r="AD88" s="93">
        <f>VLOOKUP(A88,'Parameters Summary'!$B$2:$AB$826,20,FALSE)</f>
        <v>14.38</v>
      </c>
      <c r="AE88" s="97" t="str">
        <f>VLOOKUP(A88,'Parameters Summary'!$B$2:$AB$826,21,FALSE)</f>
        <v>EPI</v>
      </c>
      <c r="AF88" s="97"/>
      <c r="AG88" s="94"/>
      <c r="AH88" s="92"/>
      <c r="AI88" s="94" t="s">
        <v>2102</v>
      </c>
      <c r="AJ88" s="330"/>
      <c r="AL88" s="81"/>
    </row>
    <row r="89" spans="1:38" ht="12.75" customHeight="1">
      <c r="A89" s="95" t="s">
        <v>698</v>
      </c>
      <c r="B89" s="96" t="s">
        <v>428</v>
      </c>
      <c r="C89" s="96" t="str">
        <f t="shared" si="8"/>
        <v>Yes</v>
      </c>
      <c r="D89" s="96" t="str">
        <f>VLOOKUP(A89,'Tox Summary'!$O$3:$R$824,3,FALSE)</f>
        <v>Yes</v>
      </c>
      <c r="E89" s="97">
        <f>VLOOKUP(A89,'Parameters Summary'!$B$2:$AB$826,4,FALSE)</f>
        <v>143.01</v>
      </c>
      <c r="F89" s="97" t="str">
        <f>VLOOKUP(A89,'Parameters Summary'!$B$2:$AB$826,5,FALSE)</f>
        <v>PHYSPROP</v>
      </c>
      <c r="G89" s="93">
        <f>VLOOKUP(A89,'Parameters Summary'!$B$2:$AB$826,9,FALSE)</f>
        <v>1.55</v>
      </c>
      <c r="H89" s="93" t="str">
        <f>VLOOKUP(A89,'Parameters Summary'!$B$2:$AB$826,10,FALSE)</f>
        <v>PHYSPROP</v>
      </c>
      <c r="I89" s="93">
        <f>VLOOKUP(A89,'Parameters Summary'!$B$2:$AB$826,24,FALSE)</f>
        <v>17200</v>
      </c>
      <c r="J89" s="97" t="str">
        <f>VLOOKUP(A89,'Parameters Summary'!$B$2:$AB$826,25,FALSE)</f>
        <v>PHYSPROP</v>
      </c>
      <c r="K89" s="97" t="str">
        <f>VLOOKUP(A89,'Tox Summary'!$O$3:$S$827,2,FALSE)</f>
        <v/>
      </c>
      <c r="L89" s="93">
        <f>VLOOKUP(A89,'Parameters Summary'!$B$2:$AB$826,7,FALSE)</f>
        <v>1.7E-5</v>
      </c>
      <c r="M89" s="93" t="str">
        <f>VLOOKUP(A89,'Parameters Summary'!$B$2:$AB$826,8,FALSE)</f>
        <v>EPI</v>
      </c>
      <c r="N89" s="91">
        <f>VLOOKUP(A89,'Parameters Summary'!$B$2:$AB$826,6,FALSE)</f>
        <v>6.9499999999999998E-4</v>
      </c>
      <c r="O89" s="91">
        <f t="shared" si="6"/>
        <v>6.9499999999999998E-4</v>
      </c>
      <c r="P89" s="91">
        <f t="shared" si="9"/>
        <v>6.9499999999999998E-4</v>
      </c>
      <c r="Q89" s="91">
        <f t="shared" si="7"/>
        <v>6.9499999999999998E-4</v>
      </c>
      <c r="R89" s="91">
        <f t="shared" si="10"/>
        <v>6.9499999999999998E-4</v>
      </c>
      <c r="S89" s="91">
        <f t="shared" si="11"/>
        <v>11927551.374444455</v>
      </c>
      <c r="T89" s="93">
        <f>VLOOKUP(A89,'Parameters Summary'!$B$2:$AB$826,15,FALSE)</f>
        <v>5.6719199999999997E-2</v>
      </c>
      <c r="U89" s="93" t="str">
        <f>VLOOKUP(A89,'Parameters Summary'!$B$2:$AB$826,17,FALSE)</f>
        <v>WATER9 (U.S. EPA, 2001)</v>
      </c>
      <c r="V89" s="93">
        <f>VLOOKUP(A89,'Parameters Summary'!$B$2:$AB$826,16,FALSE)</f>
        <v>8.7069999999999998E-6</v>
      </c>
      <c r="W89" s="379" t="str">
        <f>VLOOKUP(A89,'Parameters Summary'!$B$2:$AB$826,17,FALSE)</f>
        <v>WATER9 (U.S. EPA, 2001)</v>
      </c>
      <c r="X89" s="290">
        <v>451.5</v>
      </c>
      <c r="Y89" s="96" t="s">
        <v>553</v>
      </c>
      <c r="Z89" s="96">
        <v>659.79</v>
      </c>
      <c r="AA89" s="96" t="s">
        <v>2227</v>
      </c>
      <c r="AB89" s="96">
        <v>10803</v>
      </c>
      <c r="AC89" s="96" t="s">
        <v>2227</v>
      </c>
      <c r="AD89" s="93">
        <f>VLOOKUP(A89,'Parameters Summary'!$B$2:$AB$826,20,FALSE)</f>
        <v>32.21</v>
      </c>
      <c r="AE89" s="97" t="str">
        <f>VLOOKUP(A89,'Parameters Summary'!$B$2:$AB$826,21,FALSE)</f>
        <v>EPI</v>
      </c>
      <c r="AF89" s="97">
        <v>2.7</v>
      </c>
      <c r="AG89" s="97" t="s">
        <v>302</v>
      </c>
      <c r="AH89" s="92"/>
      <c r="AI89" s="94" t="s">
        <v>2103</v>
      </c>
      <c r="AJ89" s="330"/>
      <c r="AL89" s="81"/>
    </row>
    <row r="90" spans="1:38" ht="12.75" customHeight="1">
      <c r="A90" s="96" t="s">
        <v>699</v>
      </c>
      <c r="B90" s="96" t="s">
        <v>2340</v>
      </c>
      <c r="C90" s="96" t="str">
        <f t="shared" si="8"/>
        <v>No</v>
      </c>
      <c r="D90" s="96" t="str">
        <f>VLOOKUP(A90,'Tox Summary'!$O$3:$R$824,3,FALSE)</f>
        <v>Yes</v>
      </c>
      <c r="E90" s="97">
        <f>VLOOKUP(A90,'Parameters Summary'!$B$2:$AB$826,4,FALSE)</f>
        <v>390.57</v>
      </c>
      <c r="F90" s="97" t="str">
        <f>VLOOKUP(A90,'Parameters Summary'!$B$2:$AB$826,5,FALSE)</f>
        <v>PHYSPROP</v>
      </c>
      <c r="G90" s="93">
        <f>VLOOKUP(A90,'Parameters Summary'!$B$2:$AB$826,9,FALSE)</f>
        <v>1.42E-7</v>
      </c>
      <c r="H90" s="93" t="str">
        <f>VLOOKUP(A90,'Parameters Summary'!$B$2:$AB$826,10,FALSE)</f>
        <v>PHYSPROP</v>
      </c>
      <c r="I90" s="93">
        <f>VLOOKUP(A90,'Parameters Summary'!$B$2:$AB$826,24,FALSE)</f>
        <v>0.27</v>
      </c>
      <c r="J90" s="97" t="str">
        <f>VLOOKUP(A90,'Parameters Summary'!$B$2:$AB$826,25,FALSE)</f>
        <v>PHYSPROP</v>
      </c>
      <c r="K90" s="97">
        <f>VLOOKUP(A90,'Tox Summary'!$O$3:$S$827,2,FALSE)</f>
        <v>6</v>
      </c>
      <c r="L90" s="93">
        <f>VLOOKUP(A90,'Parameters Summary'!$B$2:$AB$826,7,FALSE)</f>
        <v>2.7000000000000001E-7</v>
      </c>
      <c r="M90" s="93" t="str">
        <f>VLOOKUP(A90,'Parameters Summary'!$B$2:$AB$826,8,FALSE)</f>
        <v>EPI</v>
      </c>
      <c r="N90" s="91">
        <f>VLOOKUP(A90,'Parameters Summary'!$B$2:$AB$826,6,FALSE)</f>
        <v>1.1E-5</v>
      </c>
      <c r="O90" s="91" t="str">
        <f t="shared" si="6"/>
        <v/>
      </c>
      <c r="P90" s="91">
        <f t="shared" si="9"/>
        <v>1.1E-5</v>
      </c>
      <c r="Q90" s="91" t="str">
        <f t="shared" si="7"/>
        <v/>
      </c>
      <c r="R90" s="91">
        <f t="shared" si="10"/>
        <v>1.1E-5</v>
      </c>
      <c r="S90" s="91" t="str">
        <f t="shared" si="11"/>
        <v/>
      </c>
      <c r="T90" s="93">
        <f>VLOOKUP(A90,'Parameters Summary'!$B$2:$AB$826,15,FALSE)</f>
        <v>1.7340299999999999E-2</v>
      </c>
      <c r="U90" s="93" t="str">
        <f>VLOOKUP(A90,'Parameters Summary'!$B$2:$AB$826,17,FALSE)</f>
        <v>WATER9 (U.S. EPA, 2001)</v>
      </c>
      <c r="V90" s="93">
        <f>VLOOKUP(A90,'Parameters Summary'!$B$2:$AB$826,16,FALSE)</f>
        <v>4.1806999999999996E-6</v>
      </c>
      <c r="W90" s="379" t="str">
        <f>VLOOKUP(A90,'Parameters Summary'!$B$2:$AB$826,17,FALSE)</f>
        <v>WATER9 (U.S. EPA, 2001)</v>
      </c>
      <c r="X90" s="290">
        <v>657.15</v>
      </c>
      <c r="Y90" s="96" t="s">
        <v>553</v>
      </c>
      <c r="Z90" s="96" t="s">
        <v>1653</v>
      </c>
      <c r="AA90" s="96"/>
      <c r="AB90" s="96" t="s">
        <v>1651</v>
      </c>
      <c r="AC90" s="96"/>
      <c r="AD90" s="93">
        <f>VLOOKUP(A90,'Parameters Summary'!$B$2:$AB$826,20,FALSE)</f>
        <v>119600</v>
      </c>
      <c r="AE90" s="97" t="str">
        <f>VLOOKUP(A90,'Parameters Summary'!$B$2:$AB$826,21,FALSE)</f>
        <v>EPI</v>
      </c>
      <c r="AF90" s="97"/>
      <c r="AG90" s="94"/>
      <c r="AH90" s="92"/>
      <c r="AI90" s="94" t="s">
        <v>1418</v>
      </c>
      <c r="AJ90" s="330"/>
      <c r="AL90" s="81"/>
    </row>
    <row r="91" spans="1:38" ht="12.75" customHeight="1">
      <c r="A91" s="95" t="s">
        <v>700</v>
      </c>
      <c r="B91" s="96" t="s">
        <v>1435</v>
      </c>
      <c r="C91" s="96" t="str">
        <f t="shared" si="8"/>
        <v>Yes</v>
      </c>
      <c r="D91" s="96" t="str">
        <f>VLOOKUP(A91,'Tox Summary'!$O$3:$R$824,3,FALSE)</f>
        <v>Yes</v>
      </c>
      <c r="E91" s="97">
        <f>VLOOKUP(A91,'Parameters Summary'!$B$2:$AB$826,4,FALSE)</f>
        <v>114.96</v>
      </c>
      <c r="F91" s="97" t="str">
        <f>VLOOKUP(A91,'Parameters Summary'!$B$2:$AB$826,5,FALSE)</f>
        <v>PHYSPROP</v>
      </c>
      <c r="G91" s="93">
        <f>VLOOKUP(A91,'Parameters Summary'!$B$2:$AB$826,9,FALSE)</f>
        <v>29.4</v>
      </c>
      <c r="H91" s="93" t="str">
        <f>VLOOKUP(A91,'Parameters Summary'!$B$2:$AB$826,10,FALSE)</f>
        <v>PHYSPROP</v>
      </c>
      <c r="I91" s="93">
        <f>VLOOKUP(A91,'Parameters Summary'!$B$2:$AB$826,24,FALSE)</f>
        <v>22000</v>
      </c>
      <c r="J91" s="97" t="str">
        <f>VLOOKUP(A91,'Parameters Summary'!$B$2:$AB$826,25,FALSE)</f>
        <v>PHYSPROP</v>
      </c>
      <c r="K91" s="97" t="str">
        <f>VLOOKUP(A91,'Tox Summary'!$O$3:$S$827,2,FALSE)</f>
        <v/>
      </c>
      <c r="L91" s="93">
        <f>VLOOKUP(A91,'Parameters Summary'!$B$2:$AB$826,7,FALSE)</f>
        <v>4.3600000000000002E-3</v>
      </c>
      <c r="M91" s="93" t="str">
        <f>VLOOKUP(A91,'Parameters Summary'!$B$2:$AB$826,8,FALSE)</f>
        <v>EPI</v>
      </c>
      <c r="N91" s="91">
        <f>VLOOKUP(A91,'Parameters Summary'!$B$2:$AB$826,6,FALSE)</f>
        <v>0.1782502</v>
      </c>
      <c r="O91" s="91" t="str">
        <f t="shared" si="6"/>
        <v/>
      </c>
      <c r="P91" s="91">
        <f t="shared" si="9"/>
        <v>0.1782502</v>
      </c>
      <c r="Q91" s="91" t="str">
        <f t="shared" si="7"/>
        <v/>
      </c>
      <c r="R91" s="91">
        <f t="shared" si="10"/>
        <v>0.1782502</v>
      </c>
      <c r="S91" s="91" t="str">
        <f t="shared" si="11"/>
        <v/>
      </c>
      <c r="T91" s="93">
        <f>VLOOKUP(A91,'Parameters Summary'!$B$2:$AB$826,15,FALSE)</f>
        <v>7.6300099999999996E-2</v>
      </c>
      <c r="U91" s="93" t="str">
        <f>VLOOKUP(A91,'Parameters Summary'!$B$2:$AB$826,17,FALSE)</f>
        <v>WATER9 (U.S. EPA, 2001)</v>
      </c>
      <c r="V91" s="93">
        <f>VLOOKUP(A91,'Parameters Summary'!$B$2:$AB$826,16,FALSE)</f>
        <v>1.04E-5</v>
      </c>
      <c r="W91" s="379" t="str">
        <f>VLOOKUP(A91,'Parameters Summary'!$B$2:$AB$826,17,FALSE)</f>
        <v>WATER9 (U.S. EPA, 2001)</v>
      </c>
      <c r="X91" s="290">
        <v>379</v>
      </c>
      <c r="Y91" s="96" t="s">
        <v>553</v>
      </c>
      <c r="Z91" s="96">
        <v>568.5</v>
      </c>
      <c r="AA91" s="96" t="s">
        <v>2220</v>
      </c>
      <c r="AB91" s="96" t="s">
        <v>1651</v>
      </c>
      <c r="AC91" s="96"/>
      <c r="AD91" s="93">
        <f>VLOOKUP(A91,'Parameters Summary'!$B$2:$AB$826,20,FALSE)</f>
        <v>9.6989999999999998</v>
      </c>
      <c r="AE91" s="97" t="str">
        <f>VLOOKUP(A91,'Parameters Summary'!$B$2:$AB$826,21,FALSE)</f>
        <v>EPI</v>
      </c>
      <c r="AF91" s="97"/>
      <c r="AG91" s="97"/>
      <c r="AH91" s="92"/>
      <c r="AI91" s="94" t="s">
        <v>1801</v>
      </c>
      <c r="AJ91" s="330"/>
      <c r="AL91" s="81"/>
    </row>
    <row r="92" spans="1:38" ht="12.75" customHeight="1">
      <c r="A92" s="96" t="s">
        <v>701</v>
      </c>
      <c r="B92" s="96" t="s">
        <v>1009</v>
      </c>
      <c r="C92" s="96" t="str">
        <f t="shared" si="8"/>
        <v>No</v>
      </c>
      <c r="D92" s="96" t="str">
        <f>VLOOKUP(A92,'Tox Summary'!$O$3:$R$824,3,FALSE)</f>
        <v>No</v>
      </c>
      <c r="E92" s="97">
        <f>VLOOKUP(A92,'Parameters Summary'!$B$2:$AB$826,4,FALSE)</f>
        <v>228.29</v>
      </c>
      <c r="F92" s="97" t="str">
        <f>VLOOKUP(A92,'Parameters Summary'!$B$2:$AB$826,5,FALSE)</f>
        <v>PHYSPROP</v>
      </c>
      <c r="G92" s="93">
        <f>VLOOKUP(A92,'Parameters Summary'!$B$2:$AB$826,9,FALSE)</f>
        <v>3.9099999999999999E-7</v>
      </c>
      <c r="H92" s="93" t="str">
        <f>VLOOKUP(A92,'Parameters Summary'!$B$2:$AB$826,10,FALSE)</f>
        <v>PHYSPROP</v>
      </c>
      <c r="I92" s="93">
        <f>VLOOKUP(A92,'Parameters Summary'!$B$2:$AB$826,24,FALSE)</f>
        <v>120</v>
      </c>
      <c r="J92" s="97" t="str">
        <f>VLOOKUP(A92,'Parameters Summary'!$B$2:$AB$826,25,FALSE)</f>
        <v>PHYSPROP</v>
      </c>
      <c r="K92" s="97" t="str">
        <f>VLOOKUP(A92,'Tox Summary'!$O$3:$S$827,2,FALSE)</f>
        <v/>
      </c>
      <c r="L92" s="93">
        <f>VLOOKUP(A92,'Parameters Summary'!$B$2:$AB$826,7,FALSE)</f>
        <v>9.9999999999999994E-12</v>
      </c>
      <c r="M92" s="93" t="str">
        <f>VLOOKUP(A92,'Parameters Summary'!$B$2:$AB$826,8,FALSE)</f>
        <v>PHYSPROP</v>
      </c>
      <c r="N92" s="91">
        <f>VLOOKUP(A92,'Parameters Summary'!$B$2:$AB$826,6,FALSE)</f>
        <v>4.0880000000000003E-10</v>
      </c>
      <c r="O92" s="91" t="str">
        <f t="shared" si="6"/>
        <v/>
      </c>
      <c r="P92" s="91">
        <f t="shared" si="9"/>
        <v>4.0880000000000003E-10</v>
      </c>
      <c r="Q92" s="91" t="str">
        <f t="shared" si="7"/>
        <v/>
      </c>
      <c r="R92" s="91">
        <f t="shared" si="10"/>
        <v>4.0880000000000003E-10</v>
      </c>
      <c r="S92" s="91" t="str">
        <f t="shared" si="11"/>
        <v/>
      </c>
      <c r="T92" s="93">
        <f>VLOOKUP(A92,'Parameters Summary'!$B$2:$AB$826,15,FALSE)</f>
        <v>2.5346899999999999E-2</v>
      </c>
      <c r="U92" s="93" t="str">
        <f>VLOOKUP(A92,'Parameters Summary'!$B$2:$AB$826,17,FALSE)</f>
        <v>WATER9 (U.S. EPA, 2001)</v>
      </c>
      <c r="V92" s="93">
        <f>VLOOKUP(A92,'Parameters Summary'!$B$2:$AB$826,16,FALSE)</f>
        <v>6.4953000000000003E-6</v>
      </c>
      <c r="W92" s="379" t="str">
        <f>VLOOKUP(A92,'Parameters Summary'!$B$2:$AB$826,17,FALSE)</f>
        <v>WATER9 (U.S. EPA, 2001)</v>
      </c>
      <c r="X92" s="290">
        <v>493.15</v>
      </c>
      <c r="Y92" s="96" t="s">
        <v>553</v>
      </c>
      <c r="Z92" s="96">
        <v>739.72499999999991</v>
      </c>
      <c r="AA92" s="96" t="s">
        <v>2220</v>
      </c>
      <c r="AB92" s="96" t="s">
        <v>1651</v>
      </c>
      <c r="AC92" s="96"/>
      <c r="AD92" s="93">
        <f>VLOOKUP(A92,'Parameters Summary'!$B$2:$AB$826,20,FALSE)</f>
        <v>37670</v>
      </c>
      <c r="AE92" s="97" t="str">
        <f>VLOOKUP(A92,'Parameters Summary'!$B$2:$AB$826,21,FALSE)</f>
        <v>EPI</v>
      </c>
      <c r="AF92" s="97"/>
      <c r="AG92" s="94"/>
      <c r="AH92" s="92"/>
      <c r="AI92" s="94" t="s">
        <v>1419</v>
      </c>
      <c r="AJ92" s="330"/>
      <c r="AL92" s="81"/>
    </row>
    <row r="93" spans="1:38" ht="12.75" customHeight="1">
      <c r="A93" s="96" t="s">
        <v>702</v>
      </c>
      <c r="B93" s="96" t="s">
        <v>1010</v>
      </c>
      <c r="C93" s="96" t="str">
        <f t="shared" si="8"/>
        <v>No</v>
      </c>
      <c r="D93" s="96" t="str">
        <f>VLOOKUP(A93,'Tox Summary'!$O$3:$R$824,3,FALSE)</f>
        <v>Yes</v>
      </c>
      <c r="E93" s="97">
        <f>VLOOKUP(A93,'Parameters Summary'!$B$2:$AB$826,4,FALSE)</f>
        <v>13.84</v>
      </c>
      <c r="F93" s="97" t="str">
        <f>VLOOKUP(A93,'Parameters Summary'!$B$2:$AB$826,5,FALSE)</f>
        <v>EPI</v>
      </c>
      <c r="G93" s="93" t="s">
        <v>2439</v>
      </c>
      <c r="H93" s="93" t="str">
        <f>VLOOKUP(A93,'Parameters Summary'!$B$2:$AB$826,10,FALSE)</f>
        <v/>
      </c>
      <c r="I93" s="93" t="s">
        <v>2440</v>
      </c>
      <c r="J93" s="97" t="str">
        <f>VLOOKUP(A93,'Parameters Summary'!$B$2:$AB$826,25,FALSE)</f>
        <v/>
      </c>
      <c r="K93" s="97" t="str">
        <f>VLOOKUP(A93,'Tox Summary'!$O$3:$S$827,2,FALSE)</f>
        <v/>
      </c>
      <c r="L93" s="93" t="s">
        <v>2298</v>
      </c>
      <c r="M93" s="93" t="str">
        <f>VLOOKUP(A93,'Parameters Summary'!$B$2:$AB$826,8,FALSE)</f>
        <v/>
      </c>
      <c r="N93" s="91" t="str">
        <f>VLOOKUP(A93,'Parameters Summary'!$B$2:$AB$826,6,FALSE)</f>
        <v xml:space="preserve"> </v>
      </c>
      <c r="O93" s="91" t="str">
        <f t="shared" si="6"/>
        <v/>
      </c>
      <c r="P93" s="91" t="str">
        <f t="shared" si="9"/>
        <v xml:space="preserve"> </v>
      </c>
      <c r="Q93" s="91" t="str">
        <f t="shared" si="7"/>
        <v/>
      </c>
      <c r="R93" s="91" t="str">
        <f t="shared" si="10"/>
        <v xml:space="preserve"> </v>
      </c>
      <c r="S93" s="91" t="str">
        <f t="shared" si="11"/>
        <v/>
      </c>
      <c r="T93" s="93" t="str">
        <f>VLOOKUP(A93,'Parameters Summary'!$B$2:$AB$826,15,FALSE)</f>
        <v xml:space="preserve"> </v>
      </c>
      <c r="U93" s="93" t="str">
        <f>VLOOKUP(A93,'Parameters Summary'!$B$2:$AB$826,17,FALSE)</f>
        <v/>
      </c>
      <c r="V93" s="93" t="str">
        <f>VLOOKUP(A93,'Parameters Summary'!$B$2:$AB$826,16,FALSE)</f>
        <v xml:space="preserve"> </v>
      </c>
      <c r="W93" s="379" t="str">
        <f>VLOOKUP(A93,'Parameters Summary'!$B$2:$AB$826,17,FALSE)</f>
        <v/>
      </c>
      <c r="X93" s="347"/>
      <c r="Y93" s="96"/>
      <c r="Z93" s="96" t="s">
        <v>1653</v>
      </c>
      <c r="AA93" s="96"/>
      <c r="AB93" s="96">
        <v>1021271.51</v>
      </c>
      <c r="AC93" s="96" t="s">
        <v>2214</v>
      </c>
      <c r="AD93" s="93" t="str">
        <f>VLOOKUP(A93,'Parameters Summary'!$B$2:$AB$826,20,FALSE)</f>
        <v xml:space="preserve"> </v>
      </c>
      <c r="AE93" s="97" t="str">
        <f>VLOOKUP(A93,'Parameters Summary'!$B$2:$AB$826,21,FALSE)</f>
        <v/>
      </c>
      <c r="AF93" s="97"/>
      <c r="AG93" s="94"/>
      <c r="AH93" s="92"/>
      <c r="AI93" s="94"/>
      <c r="AJ93" s="330"/>
      <c r="AL93" s="81"/>
    </row>
    <row r="94" spans="1:38" ht="12.75" customHeight="1">
      <c r="A94" s="95" t="s">
        <v>1997</v>
      </c>
      <c r="B94" s="96" t="s">
        <v>1996</v>
      </c>
      <c r="C94" s="96" t="str">
        <f t="shared" si="8"/>
        <v>Yes</v>
      </c>
      <c r="D94" s="96" t="str">
        <f>VLOOKUP(A94,'Tox Summary'!$O$3:$R$824,3,FALSE)</f>
        <v>Yes</v>
      </c>
      <c r="E94" s="97">
        <f>VLOOKUP(A94,'Parameters Summary'!$B$2:$AB$826,4,FALSE)</f>
        <v>117.17</v>
      </c>
      <c r="F94" s="97" t="str">
        <f>VLOOKUP(A94,'Parameters Summary'!$B$2:$AB$826,5,FALSE)</f>
        <v>PHYSPROP</v>
      </c>
      <c r="G94" s="93">
        <f>VLOOKUP(A94,'Parameters Summary'!$B$2:$AB$826,9,FALSE)</f>
        <v>1</v>
      </c>
      <c r="H94" s="93" t="str">
        <f>VLOOKUP(A94,'Parameters Summary'!$B$2:$AB$826,10,FALSE)</f>
        <v>PHYSPROP</v>
      </c>
      <c r="I94" s="93" t="s">
        <v>2440</v>
      </c>
      <c r="J94" s="97" t="str">
        <f>VLOOKUP(A94,'Parameters Summary'!$B$2:$AB$826,25,FALSE)</f>
        <v/>
      </c>
      <c r="K94" s="97" t="str">
        <f>VLOOKUP(A94,'Tox Summary'!$O$3:$S$827,2,FALSE)</f>
        <v/>
      </c>
      <c r="L94" s="93">
        <f>VLOOKUP(A94,'Parameters Summary'!$B$2:$AB$826,7,FALSE)</f>
        <v>1.83E-2</v>
      </c>
      <c r="M94" s="93" t="str">
        <f>VLOOKUP(A94,'Parameters Summary'!$B$2:$AB$826,8,FALSE)</f>
        <v>PHYSPROP</v>
      </c>
      <c r="N94" s="91">
        <f>VLOOKUP(A94,'Parameters Summary'!$B$2:$AB$826,6,FALSE)</f>
        <v>0.748</v>
      </c>
      <c r="O94" s="91">
        <f t="shared" si="6"/>
        <v>0.748</v>
      </c>
      <c r="P94" s="91">
        <f t="shared" si="9"/>
        <v>0.748</v>
      </c>
      <c r="Q94" s="91">
        <f t="shared" si="7"/>
        <v>0.748</v>
      </c>
      <c r="R94" s="91">
        <f t="shared" si="10"/>
        <v>0.748</v>
      </c>
      <c r="S94" s="91">
        <f t="shared" si="11"/>
        <v>6304775.4140525125</v>
      </c>
      <c r="T94" s="93">
        <f>VLOOKUP(A94,'Parameters Summary'!$B$2:$AB$826,15,FALSE)</f>
        <v>0.12454469999999999</v>
      </c>
      <c r="U94" s="93" t="str">
        <f>VLOOKUP(A94,'Parameters Summary'!$B$2:$AB$826,17,FALSE)</f>
        <v>WATER9 (U.S. EPA, 2001)</v>
      </c>
      <c r="V94" s="93">
        <f>VLOOKUP(A94,'Parameters Summary'!$B$2:$AB$826,16,FALSE)</f>
        <v>2.23E-5</v>
      </c>
      <c r="W94" s="379" t="str">
        <f>VLOOKUP(A94,'Parameters Summary'!$B$2:$AB$826,17,FALSE)</f>
        <v>WATER9 (U.S. EPA, 2001)</v>
      </c>
      <c r="X94" s="290">
        <v>285.64999999999998</v>
      </c>
      <c r="Y94" s="96" t="s">
        <v>553</v>
      </c>
      <c r="Z94" s="96">
        <v>455</v>
      </c>
      <c r="AA94" s="96" t="s">
        <v>2215</v>
      </c>
      <c r="AB94" s="96">
        <v>5677.36942</v>
      </c>
      <c r="AC94" s="96" t="s">
        <v>2218</v>
      </c>
      <c r="AD94" s="93" t="str">
        <f>VLOOKUP(A94,'Parameters Summary'!$B$2:$AB$826,20,FALSE)</f>
        <v xml:space="preserve"> </v>
      </c>
      <c r="AE94" s="97" t="str">
        <f>VLOOKUP(A94,'Parameters Summary'!$B$2:$AB$826,21,FALSE)</f>
        <v/>
      </c>
      <c r="AF94" s="380"/>
      <c r="AG94" s="97"/>
      <c r="AH94" s="92"/>
      <c r="AI94" s="94"/>
      <c r="AJ94" s="330"/>
      <c r="AL94" s="81"/>
    </row>
    <row r="95" spans="1:38" ht="12.75" customHeight="1">
      <c r="A95" s="95" t="s">
        <v>703</v>
      </c>
      <c r="B95" s="96" t="s">
        <v>1011</v>
      </c>
      <c r="C95" s="96" t="str">
        <f t="shared" si="8"/>
        <v>Yes</v>
      </c>
      <c r="D95" s="96" t="str">
        <f>VLOOKUP(A95,'Tox Summary'!$O$3:$R$824,3,FALSE)</f>
        <v>Yes</v>
      </c>
      <c r="E95" s="97">
        <f>VLOOKUP(A95,'Parameters Summary'!$B$2:$AB$826,4,FALSE)</f>
        <v>67.805999999999997</v>
      </c>
      <c r="F95" s="97" t="str">
        <f>VLOOKUP(A95,'Parameters Summary'!$B$2:$AB$826,5,FALSE)</f>
        <v>PHYSPROP</v>
      </c>
      <c r="G95" s="93">
        <f>VLOOKUP(A95,'Parameters Summary'!$B$2:$AB$826,9,FALSE)</f>
        <v>36555</v>
      </c>
      <c r="H95" s="93" t="str">
        <f>VLOOKUP(A95,'Parameters Summary'!$B$2:$AB$826,10,FALSE)</f>
        <v>PHYSPROP</v>
      </c>
      <c r="I95" s="93">
        <f>VLOOKUP(A95,'Parameters Summary'!$B$2:$AB$826,24,FALSE)</f>
        <v>3320000</v>
      </c>
      <c r="J95" s="97" t="str">
        <f>VLOOKUP(A95,'Parameters Summary'!$B$2:$AB$826,25,FALSE)</f>
        <v>PHYSPROP</v>
      </c>
      <c r="K95" s="97" t="str">
        <f>VLOOKUP(A95,'Tox Summary'!$O$3:$S$827,2,FALSE)</f>
        <v/>
      </c>
      <c r="L95" s="93" t="s">
        <v>2298</v>
      </c>
      <c r="M95" s="93" t="str">
        <f>VLOOKUP(A95,'Parameters Summary'!$B$2:$AB$826,8,FALSE)</f>
        <v/>
      </c>
      <c r="N95" s="91" t="s">
        <v>2210</v>
      </c>
      <c r="O95" s="91"/>
      <c r="P95" s="91" t="str">
        <f t="shared" si="9"/>
        <v>No HLC</v>
      </c>
      <c r="Q95" s="91" t="str">
        <f t="shared" si="7"/>
        <v/>
      </c>
      <c r="R95" s="91" t="str">
        <f t="shared" si="10"/>
        <v>No HLC</v>
      </c>
      <c r="S95" s="91" t="str">
        <f t="shared" si="11"/>
        <v/>
      </c>
      <c r="T95" s="93">
        <f>VLOOKUP(A95,'Parameters Summary'!$B$2:$AB$826,15,FALSE)</f>
        <v>0.1563359</v>
      </c>
      <c r="U95" s="93" t="str">
        <f>VLOOKUP(A95,'Parameters Summary'!$B$2:$AB$826,17,FALSE)</f>
        <v>WATER9 (U.S. EPA, 2001)</v>
      </c>
      <c r="V95" s="93">
        <f>VLOOKUP(A95,'Parameters Summary'!$B$2:$AB$826,16,FALSE)</f>
        <v>2.23E-5</v>
      </c>
      <c r="W95" s="379" t="str">
        <f>VLOOKUP(A95,'Parameters Summary'!$B$2:$AB$826,17,FALSE)</f>
        <v>WATER9 (U.S. EPA, 2001)</v>
      </c>
      <c r="X95" s="290">
        <v>146.04999999999998</v>
      </c>
      <c r="Y95" s="96" t="s">
        <v>553</v>
      </c>
      <c r="Z95" s="96">
        <v>260.8</v>
      </c>
      <c r="AA95" s="96" t="s">
        <v>2215</v>
      </c>
      <c r="AB95" s="96">
        <v>4616.89318</v>
      </c>
      <c r="AC95" s="96" t="s">
        <v>2218</v>
      </c>
      <c r="AD95" s="93" t="s">
        <v>2538</v>
      </c>
      <c r="AE95" s="97" t="str">
        <f>VLOOKUP(A95,'Parameters Summary'!$B$2:$AB$826,21,FALSE)</f>
        <v/>
      </c>
      <c r="AF95" s="380"/>
      <c r="AG95" s="97"/>
      <c r="AH95" s="92"/>
      <c r="AI95" s="94"/>
      <c r="AJ95" s="330"/>
      <c r="AL95" s="81"/>
    </row>
    <row r="96" spans="1:38" ht="12.75" customHeight="1">
      <c r="A96" s="96" t="s">
        <v>704</v>
      </c>
      <c r="B96" s="96" t="s">
        <v>1012</v>
      </c>
      <c r="C96" s="96" t="str">
        <f t="shared" si="8"/>
        <v>No</v>
      </c>
      <c r="D96" s="96" t="str">
        <f>VLOOKUP(A96,'Tox Summary'!$O$3:$R$824,3,FALSE)</f>
        <v>No</v>
      </c>
      <c r="E96" s="97">
        <f>VLOOKUP(A96,'Parameters Summary'!$B$2:$AB$826,4,FALSE)</f>
        <v>79.900000000000006</v>
      </c>
      <c r="F96" s="97" t="str">
        <f>VLOOKUP(A96,'Parameters Summary'!$B$2:$AB$826,5,FALSE)</f>
        <v>EPI</v>
      </c>
      <c r="G96" s="93" t="s">
        <v>2439</v>
      </c>
      <c r="H96" s="93" t="str">
        <f>VLOOKUP(A96,'Parameters Summary'!$B$2:$AB$826,10,FALSE)</f>
        <v/>
      </c>
      <c r="I96" s="93" t="s">
        <v>2440</v>
      </c>
      <c r="J96" s="97" t="str">
        <f>VLOOKUP(A96,'Parameters Summary'!$B$2:$AB$826,25,FALSE)</f>
        <v/>
      </c>
      <c r="K96" s="97">
        <f>VLOOKUP(A96,'Tox Summary'!$O$3:$S$827,2,FALSE)</f>
        <v>10</v>
      </c>
      <c r="L96" s="93" t="s">
        <v>2298</v>
      </c>
      <c r="M96" s="93" t="str">
        <f>VLOOKUP(A96,'Parameters Summary'!$B$2:$AB$826,8,FALSE)</f>
        <v/>
      </c>
      <c r="N96" s="91" t="str">
        <f>VLOOKUP(A96,'Parameters Summary'!$B$2:$AB$826,6,FALSE)</f>
        <v xml:space="preserve"> </v>
      </c>
      <c r="O96" s="91" t="str">
        <f t="shared" si="6"/>
        <v/>
      </c>
      <c r="P96" s="91" t="str">
        <f t="shared" si="9"/>
        <v xml:space="preserve"> </v>
      </c>
      <c r="Q96" s="91" t="str">
        <f t="shared" si="7"/>
        <v/>
      </c>
      <c r="R96" s="91" t="str">
        <f t="shared" si="10"/>
        <v xml:space="preserve"> </v>
      </c>
      <c r="S96" s="91" t="str">
        <f t="shared" si="11"/>
        <v/>
      </c>
      <c r="T96" s="93" t="str">
        <f>VLOOKUP(A96,'Parameters Summary'!$B$2:$AB$826,15,FALSE)</f>
        <v xml:space="preserve"> </v>
      </c>
      <c r="U96" s="93" t="str">
        <f>VLOOKUP(A96,'Parameters Summary'!$B$2:$AB$826,17,FALSE)</f>
        <v/>
      </c>
      <c r="V96" s="93" t="str">
        <f>VLOOKUP(A96,'Parameters Summary'!$B$2:$AB$826,16,FALSE)</f>
        <v xml:space="preserve"> </v>
      </c>
      <c r="W96" s="379" t="str">
        <f>VLOOKUP(A96,'Parameters Summary'!$B$2:$AB$826,17,FALSE)</f>
        <v/>
      </c>
      <c r="X96" s="347"/>
      <c r="Y96" s="96"/>
      <c r="Z96" s="96" t="s">
        <v>1653</v>
      </c>
      <c r="AA96" s="96"/>
      <c r="AB96" s="96" t="s">
        <v>1651</v>
      </c>
      <c r="AC96" s="96"/>
      <c r="AD96" s="93" t="str">
        <f>VLOOKUP(A96,'Parameters Summary'!$B$2:$AB$826,20,FALSE)</f>
        <v xml:space="preserve"> </v>
      </c>
      <c r="AE96" s="97" t="str">
        <f>VLOOKUP(A96,'Parameters Summary'!$B$2:$AB$826,21,FALSE)</f>
        <v/>
      </c>
      <c r="AF96" s="97"/>
      <c r="AG96" s="94"/>
      <c r="AH96" s="92"/>
      <c r="AI96" s="94"/>
      <c r="AJ96" s="330"/>
      <c r="AL96" s="81"/>
    </row>
    <row r="97" spans="1:38" ht="12.75" customHeight="1">
      <c r="A97" s="95" t="s">
        <v>705</v>
      </c>
      <c r="B97" s="96" t="s">
        <v>561</v>
      </c>
      <c r="C97" s="96" t="str">
        <f t="shared" si="8"/>
        <v>Yes</v>
      </c>
      <c r="D97" s="96" t="str">
        <f>VLOOKUP(A97,'Tox Summary'!$O$3:$R$824,3,FALSE)</f>
        <v>Yes</v>
      </c>
      <c r="E97" s="97">
        <f>VLOOKUP(A97,'Parameters Summary'!$B$2:$AB$826,4,FALSE)</f>
        <v>143.41</v>
      </c>
      <c r="F97" s="97" t="str">
        <f>VLOOKUP(A97,'Parameters Summary'!$B$2:$AB$826,5,FALSE)</f>
        <v>PHYSPROP</v>
      </c>
      <c r="G97" s="93">
        <f>VLOOKUP(A97,'Parameters Summary'!$B$2:$AB$826,9,FALSE)</f>
        <v>33.1</v>
      </c>
      <c r="H97" s="93" t="str">
        <f>VLOOKUP(A97,'Parameters Summary'!$B$2:$AB$826,10,FALSE)</f>
        <v>PHYSPROP</v>
      </c>
      <c r="I97" s="93">
        <f>VLOOKUP(A97,'Parameters Summary'!$B$2:$AB$826,24,FALSE)</f>
        <v>6900</v>
      </c>
      <c r="J97" s="97" t="str">
        <f>VLOOKUP(A97,'Parameters Summary'!$B$2:$AB$826,25,FALSE)</f>
        <v>PHYSPROP</v>
      </c>
      <c r="K97" s="97" t="str">
        <f>VLOOKUP(A97,'Tox Summary'!$O$3:$S$827,2,FALSE)</f>
        <v/>
      </c>
      <c r="L97" s="93">
        <f>VLOOKUP(A97,'Parameters Summary'!$B$2:$AB$826,7,FALSE)</f>
        <v>9.0899999999999998E-4</v>
      </c>
      <c r="M97" s="93" t="str">
        <f>VLOOKUP(A97,'Parameters Summary'!$B$2:$AB$826,8,FALSE)</f>
        <v>PHYSPROP</v>
      </c>
      <c r="N97" s="91">
        <f>VLOOKUP(A97,'Parameters Summary'!$B$2:$AB$826,6,FALSE)</f>
        <v>3.71627E-2</v>
      </c>
      <c r="O97" s="91">
        <f t="shared" si="6"/>
        <v>3.71627E-2</v>
      </c>
      <c r="P97" s="91">
        <f t="shared" si="9"/>
        <v>3.71627E-2</v>
      </c>
      <c r="Q97" s="91">
        <f t="shared" si="7"/>
        <v>3.71627E-2</v>
      </c>
      <c r="R97" s="91">
        <f t="shared" si="10"/>
        <v>3.71627E-2</v>
      </c>
      <c r="S97" s="91">
        <f t="shared" si="11"/>
        <v>255423364.12459558</v>
      </c>
      <c r="T97" s="93">
        <f>VLOOKUP(A97,'Parameters Summary'!$B$2:$AB$826,15,FALSE)</f>
        <v>6.5924800000000006E-2</v>
      </c>
      <c r="U97" s="93" t="str">
        <f>VLOOKUP(A97,'Parameters Summary'!$B$2:$AB$826,17,FALSE)</f>
        <v>WATER9 (U.S. EPA, 2001)</v>
      </c>
      <c r="V97" s="93">
        <f>VLOOKUP(A97,'Parameters Summary'!$B$2:$AB$826,16,FALSE)</f>
        <v>1.08E-5</v>
      </c>
      <c r="W97" s="379" t="str">
        <f>VLOOKUP(A97,'Parameters Summary'!$B$2:$AB$826,17,FALSE)</f>
        <v>WATER9 (U.S. EPA, 2001)</v>
      </c>
      <c r="X97" s="290">
        <v>380</v>
      </c>
      <c r="Y97" s="96" t="s">
        <v>2217</v>
      </c>
      <c r="Z97" s="96">
        <v>570</v>
      </c>
      <c r="AA97" s="96" t="s">
        <v>2220</v>
      </c>
      <c r="AB97" s="96">
        <v>9107.19</v>
      </c>
      <c r="AC97" s="96" t="s">
        <v>1649</v>
      </c>
      <c r="AD97" s="93">
        <f>VLOOKUP(A97,'Parameters Summary'!$B$2:$AB$826,20,FALSE)</f>
        <v>39.6</v>
      </c>
      <c r="AE97" s="97" t="str">
        <f>VLOOKUP(A97,'Parameters Summary'!$B$2:$AB$826,21,FALSE)</f>
        <v>EPI</v>
      </c>
      <c r="AF97" s="380"/>
      <c r="AG97" s="97"/>
      <c r="AH97" s="92"/>
      <c r="AI97" s="94"/>
      <c r="AJ97" s="330"/>
      <c r="AL97" s="81"/>
    </row>
    <row r="98" spans="1:38" ht="12.75" customHeight="1">
      <c r="A98" s="95" t="s">
        <v>706</v>
      </c>
      <c r="B98" s="96" t="s">
        <v>523</v>
      </c>
      <c r="C98" s="96" t="str">
        <f t="shared" si="8"/>
        <v>Yes</v>
      </c>
      <c r="D98" s="96" t="str">
        <f>VLOOKUP(A98,'Tox Summary'!$O$3:$R$824,3,FALSE)</f>
        <v>Yes</v>
      </c>
      <c r="E98" s="97">
        <f>VLOOKUP(A98,'Parameters Summary'!$B$2:$AB$826,4,FALSE)</f>
        <v>157.01</v>
      </c>
      <c r="F98" s="97" t="str">
        <f>VLOOKUP(A98,'Parameters Summary'!$B$2:$AB$826,5,FALSE)</f>
        <v>PHYSPROP</v>
      </c>
      <c r="G98" s="93">
        <f>VLOOKUP(A98,'Parameters Summary'!$B$2:$AB$826,9,FALSE)</f>
        <v>4.1820000000000004</v>
      </c>
      <c r="H98" s="93" t="str">
        <f>VLOOKUP(A98,'Parameters Summary'!$B$2:$AB$826,10,FALSE)</f>
        <v>PHYSPROP</v>
      </c>
      <c r="I98" s="93">
        <f>VLOOKUP(A98,'Parameters Summary'!$B$2:$AB$826,24,FALSE)</f>
        <v>446</v>
      </c>
      <c r="J98" s="97" t="str">
        <f>VLOOKUP(A98,'Parameters Summary'!$B$2:$AB$826,25,FALSE)</f>
        <v>PHYSPROP</v>
      </c>
      <c r="K98" s="97" t="str">
        <f>VLOOKUP(A98,'Tox Summary'!$O$3:$S$827,2,FALSE)</f>
        <v/>
      </c>
      <c r="L98" s="93">
        <f>VLOOKUP(A98,'Parameters Summary'!$B$2:$AB$826,7,FALSE)</f>
        <v>2.47E-3</v>
      </c>
      <c r="M98" s="93" t="str">
        <f>VLOOKUP(A98,'Parameters Summary'!$B$2:$AB$826,8,FALSE)</f>
        <v>PHYSPROP</v>
      </c>
      <c r="N98" s="91">
        <f>VLOOKUP(A98,'Parameters Summary'!$B$2:$AB$826,6,FALSE)</f>
        <v>0.10098119999999999</v>
      </c>
      <c r="O98" s="91">
        <f t="shared" si="6"/>
        <v>0.10098119999999999</v>
      </c>
      <c r="P98" s="91">
        <f t="shared" si="9"/>
        <v>0.10098119999999999</v>
      </c>
      <c r="Q98" s="91">
        <f t="shared" si="7"/>
        <v>0.10098119999999999</v>
      </c>
      <c r="R98" s="91">
        <f t="shared" si="10"/>
        <v>0.10098119999999999</v>
      </c>
      <c r="S98" s="91">
        <f t="shared" si="11"/>
        <v>35331699.909652047</v>
      </c>
      <c r="T98" s="93">
        <f>VLOOKUP(A98,'Parameters Summary'!$B$2:$AB$826,15,FALSE)</f>
        <v>5.3713200000000003E-2</v>
      </c>
      <c r="U98" s="93" t="str">
        <f>VLOOKUP(A98,'Parameters Summary'!$B$2:$AB$826,17,FALSE)</f>
        <v>WATER9 (U.S. EPA, 2001)</v>
      </c>
      <c r="V98" s="93">
        <f>VLOOKUP(A98,'Parameters Summary'!$B$2:$AB$826,16,FALSE)</f>
        <v>9.3003999999999999E-6</v>
      </c>
      <c r="W98" s="379" t="str">
        <f>VLOOKUP(A98,'Parameters Summary'!$B$2:$AB$826,17,FALSE)</f>
        <v>WATER9 (U.S. EPA, 2001)</v>
      </c>
      <c r="X98" s="290">
        <v>429</v>
      </c>
      <c r="Y98" s="96" t="s">
        <v>2217</v>
      </c>
      <c r="Z98" s="96">
        <v>670</v>
      </c>
      <c r="AA98" s="96" t="s">
        <v>2218</v>
      </c>
      <c r="AB98" s="96">
        <v>10628.64</v>
      </c>
      <c r="AC98" s="96" t="s">
        <v>2218</v>
      </c>
      <c r="AD98" s="93">
        <f>VLOOKUP(A98,'Parameters Summary'!$B$2:$AB$826,20,FALSE)</f>
        <v>233.9</v>
      </c>
      <c r="AE98" s="97" t="str">
        <f>VLOOKUP(A98,'Parameters Summary'!$B$2:$AB$826,21,FALSE)</f>
        <v>EPI</v>
      </c>
      <c r="AF98" s="380"/>
      <c r="AG98" s="97"/>
      <c r="AH98" s="92"/>
      <c r="AI98" s="94"/>
      <c r="AJ98" s="330"/>
      <c r="AL98" s="81"/>
    </row>
    <row r="99" spans="1:38" ht="12.75" customHeight="1">
      <c r="A99" s="95" t="s">
        <v>1562</v>
      </c>
      <c r="B99" s="96" t="s">
        <v>1561</v>
      </c>
      <c r="C99" s="96" t="str">
        <f t="shared" si="8"/>
        <v>Yes</v>
      </c>
      <c r="D99" s="96" t="str">
        <f>VLOOKUP(A99,'Tox Summary'!$O$3:$R$824,3,FALSE)</f>
        <v>Yes</v>
      </c>
      <c r="E99" s="97">
        <f>VLOOKUP(A99,'Parameters Summary'!$B$2:$AB$826,4,FALSE)</f>
        <v>129.38</v>
      </c>
      <c r="F99" s="97" t="str">
        <f>VLOOKUP(A99,'Parameters Summary'!$B$2:$AB$826,5,FALSE)</f>
        <v>PHYSPROP</v>
      </c>
      <c r="G99" s="93">
        <f>VLOOKUP(A99,'Parameters Summary'!$B$2:$AB$826,9,FALSE)</f>
        <v>142.5</v>
      </c>
      <c r="H99" s="93" t="str">
        <f>VLOOKUP(A99,'Parameters Summary'!$B$2:$AB$826,10,FALSE)</f>
        <v>PHYSPROP</v>
      </c>
      <c r="I99" s="93">
        <f>VLOOKUP(A99,'Parameters Summary'!$B$2:$AB$826,24,FALSE)</f>
        <v>16700</v>
      </c>
      <c r="J99" s="97" t="str">
        <f>VLOOKUP(A99,'Parameters Summary'!$B$2:$AB$826,25,FALSE)</f>
        <v>PHYSPROP</v>
      </c>
      <c r="K99" s="97" t="str">
        <f>VLOOKUP(A99,'Tox Summary'!$O$3:$S$827,2,FALSE)</f>
        <v/>
      </c>
      <c r="L99" s="93">
        <f>VLOOKUP(A99,'Parameters Summary'!$B$2:$AB$826,7,FALSE)</f>
        <v>1.4599999999999999E-3</v>
      </c>
      <c r="M99" s="93" t="str">
        <f>VLOOKUP(A99,'Parameters Summary'!$B$2:$AB$826,8,FALSE)</f>
        <v>EPI</v>
      </c>
      <c r="N99" s="91">
        <f>VLOOKUP(A99,'Parameters Summary'!$B$2:$AB$826,6,FALSE)</f>
        <v>5.9689300000000001E-2</v>
      </c>
      <c r="O99" s="91">
        <f t="shared" si="6"/>
        <v>5.9689300000000001E-2</v>
      </c>
      <c r="P99" s="91">
        <f t="shared" si="9"/>
        <v>5.9689300000000001E-2</v>
      </c>
      <c r="Q99" s="91">
        <f t="shared" si="7"/>
        <v>5.9689300000000001E-2</v>
      </c>
      <c r="R99" s="91">
        <f t="shared" si="10"/>
        <v>5.9689300000000001E-2</v>
      </c>
      <c r="S99" s="91">
        <f t="shared" si="11"/>
        <v>992053747.86627328</v>
      </c>
      <c r="T99" s="93">
        <f>VLOOKUP(A99,'Parameters Summary'!$B$2:$AB$826,15,FALSE)</f>
        <v>7.8691999999999998E-2</v>
      </c>
      <c r="U99" s="93" t="str">
        <f>VLOOKUP(A99,'Parameters Summary'!$B$2:$AB$826,17,FALSE)</f>
        <v>WATER9 (U.S. EPA, 2001)</v>
      </c>
      <c r="V99" s="93">
        <f>VLOOKUP(A99,'Parameters Summary'!$B$2:$AB$826,16,FALSE)</f>
        <v>1.22E-5</v>
      </c>
      <c r="W99" s="379" t="str">
        <f>VLOOKUP(A99,'Parameters Summary'!$B$2:$AB$826,17,FALSE)</f>
        <v>WATER9 (U.S. EPA, 2001)</v>
      </c>
      <c r="X99" s="290">
        <v>341</v>
      </c>
      <c r="Y99" s="96" t="s">
        <v>2217</v>
      </c>
      <c r="Z99" s="96">
        <v>511.5</v>
      </c>
      <c r="AA99" s="96" t="s">
        <v>2220</v>
      </c>
      <c r="AB99" s="96">
        <v>7167.65</v>
      </c>
      <c r="AC99" s="96" t="s">
        <v>2218</v>
      </c>
      <c r="AD99" s="93">
        <f>VLOOKUP(A99,'Parameters Summary'!$B$2:$AB$826,20,FALSE)</f>
        <v>21.73</v>
      </c>
      <c r="AE99" s="97" t="str">
        <f>VLOOKUP(A99,'Parameters Summary'!$B$2:$AB$826,21,FALSE)</f>
        <v>EPI</v>
      </c>
      <c r="AF99" s="380"/>
      <c r="AG99" s="97"/>
      <c r="AH99" s="92"/>
      <c r="AI99" s="94"/>
      <c r="AJ99" s="330"/>
      <c r="AL99" s="81"/>
    </row>
    <row r="100" spans="1:38" ht="12.75" customHeight="1">
      <c r="A100" s="95" t="s">
        <v>707</v>
      </c>
      <c r="B100" s="96" t="s">
        <v>429</v>
      </c>
      <c r="C100" s="96" t="str">
        <f t="shared" si="8"/>
        <v>Yes</v>
      </c>
      <c r="D100" s="96" t="str">
        <f>VLOOKUP(A100,'Tox Summary'!$O$3:$R$824,3,FALSE)</f>
        <v>Yes</v>
      </c>
      <c r="E100" s="97">
        <f>VLOOKUP(A100,'Parameters Summary'!$B$2:$AB$826,4,FALSE)</f>
        <v>163.83000000000001</v>
      </c>
      <c r="F100" s="97" t="str">
        <f>VLOOKUP(A100,'Parameters Summary'!$B$2:$AB$826,5,FALSE)</f>
        <v>PHYSPROP</v>
      </c>
      <c r="G100" s="93">
        <f>VLOOKUP(A100,'Parameters Summary'!$B$2:$AB$826,9,FALSE)</f>
        <v>50</v>
      </c>
      <c r="H100" s="93" t="str">
        <f>VLOOKUP(A100,'Parameters Summary'!$B$2:$AB$826,10,FALSE)</f>
        <v>PHYSPROP</v>
      </c>
      <c r="I100" s="93">
        <f>VLOOKUP(A100,'Parameters Summary'!$B$2:$AB$826,24,FALSE)</f>
        <v>3032</v>
      </c>
      <c r="J100" s="97" t="str">
        <f>VLOOKUP(A100,'Parameters Summary'!$B$2:$AB$826,25,FALSE)</f>
        <v>PHYSPROP</v>
      </c>
      <c r="K100" s="97" t="str">
        <f>VLOOKUP(A100,'Tox Summary'!$O$3:$S$827,2,FALSE)</f>
        <v>8.0E+01(F)</v>
      </c>
      <c r="L100" s="93">
        <f>VLOOKUP(A100,'Parameters Summary'!$B$2:$AB$826,7,FALSE)</f>
        <v>2.1199999999999999E-3</v>
      </c>
      <c r="M100" s="93" t="str">
        <f>VLOOKUP(A100,'Parameters Summary'!$B$2:$AB$826,8,FALSE)</f>
        <v>PHYSPROP</v>
      </c>
      <c r="N100" s="91">
        <f>VLOOKUP(A100,'Parameters Summary'!$B$2:$AB$826,6,FALSE)</f>
        <v>8.6672100000000002E-2</v>
      </c>
      <c r="O100" s="91">
        <f t="shared" si="6"/>
        <v>8.6672100000000002E-2</v>
      </c>
      <c r="P100" s="91">
        <f t="shared" si="9"/>
        <v>8.6672100000000002E-2</v>
      </c>
      <c r="Q100" s="91">
        <f t="shared" si="7"/>
        <v>8.6672100000000002E-2</v>
      </c>
      <c r="R100" s="91">
        <f t="shared" si="10"/>
        <v>8.6672100000000002E-2</v>
      </c>
      <c r="S100" s="91">
        <f t="shared" si="11"/>
        <v>440774667.61296546</v>
      </c>
      <c r="T100" s="93">
        <f>VLOOKUP(A100,'Parameters Summary'!$B$2:$AB$826,15,FALSE)</f>
        <v>5.6262899999999998E-2</v>
      </c>
      <c r="U100" s="93" t="str">
        <f>VLOOKUP(A100,'Parameters Summary'!$B$2:$AB$826,17,FALSE)</f>
        <v>WATER9 (U.S. EPA, 2001)</v>
      </c>
      <c r="V100" s="93">
        <f>VLOOKUP(A100,'Parameters Summary'!$B$2:$AB$826,16,FALSE)</f>
        <v>1.0699999999999999E-5</v>
      </c>
      <c r="W100" s="379" t="str">
        <f>VLOOKUP(A100,'Parameters Summary'!$B$2:$AB$826,17,FALSE)</f>
        <v>WATER9 (U.S. EPA, 2001)</v>
      </c>
      <c r="X100" s="290">
        <v>363</v>
      </c>
      <c r="Y100" s="96" t="s">
        <v>553</v>
      </c>
      <c r="Z100" s="96">
        <v>585.85</v>
      </c>
      <c r="AA100" s="96" t="s">
        <v>2227</v>
      </c>
      <c r="AB100" s="96">
        <v>7800</v>
      </c>
      <c r="AC100" s="96" t="s">
        <v>2227</v>
      </c>
      <c r="AD100" s="93">
        <f>VLOOKUP(A100,'Parameters Summary'!$B$2:$AB$826,20,FALSE)</f>
        <v>31.82</v>
      </c>
      <c r="AE100" s="97" t="str">
        <f>VLOOKUP(A100,'Parameters Summary'!$B$2:$AB$826,21,FALSE)</f>
        <v>EPI</v>
      </c>
      <c r="AF100" s="380"/>
      <c r="AG100" s="97"/>
      <c r="AH100" s="92"/>
      <c r="AI100" s="94"/>
      <c r="AJ100" s="330"/>
      <c r="AL100" s="81"/>
    </row>
    <row r="101" spans="1:38" ht="12.75" customHeight="1">
      <c r="A101" s="95" t="s">
        <v>708</v>
      </c>
      <c r="B101" s="96" t="s">
        <v>430</v>
      </c>
      <c r="C101" s="96" t="str">
        <f t="shared" si="8"/>
        <v>Yes</v>
      </c>
      <c r="D101" s="96" t="str">
        <f>VLOOKUP(A101,'Tox Summary'!$O$3:$R$824,3,FALSE)</f>
        <v>No</v>
      </c>
      <c r="E101" s="97">
        <f>VLOOKUP(A101,'Parameters Summary'!$B$2:$AB$826,4,FALSE)</f>
        <v>252.73</v>
      </c>
      <c r="F101" s="97" t="str">
        <f>VLOOKUP(A101,'Parameters Summary'!$B$2:$AB$826,5,FALSE)</f>
        <v>PHYSPROP</v>
      </c>
      <c r="G101" s="93">
        <f>VLOOKUP(A101,'Parameters Summary'!$B$2:$AB$826,9,FALSE)</f>
        <v>5.4</v>
      </c>
      <c r="H101" s="93" t="str">
        <f>VLOOKUP(A101,'Parameters Summary'!$B$2:$AB$826,10,FALSE)</f>
        <v>EPI</v>
      </c>
      <c r="I101" s="93">
        <f>VLOOKUP(A101,'Parameters Summary'!$B$2:$AB$826,24,FALSE)</f>
        <v>3100</v>
      </c>
      <c r="J101" s="97" t="str">
        <f>VLOOKUP(A101,'Parameters Summary'!$B$2:$AB$826,25,FALSE)</f>
        <v>PHYSPROP</v>
      </c>
      <c r="K101" s="97" t="str">
        <f>VLOOKUP(A101,'Tox Summary'!$O$3:$S$827,2,FALSE)</f>
        <v>8.0E+01(F)</v>
      </c>
      <c r="L101" s="93">
        <f>VLOOKUP(A101,'Parameters Summary'!$B$2:$AB$826,7,FALSE)</f>
        <v>5.3499999999999999E-4</v>
      </c>
      <c r="M101" s="93" t="str">
        <f>VLOOKUP(A101,'Parameters Summary'!$B$2:$AB$826,8,FALSE)</f>
        <v>PHYSPROP</v>
      </c>
      <c r="N101" s="91">
        <f>VLOOKUP(A101,'Parameters Summary'!$B$2:$AB$826,6,FALSE)</f>
        <v>2.18724E-2</v>
      </c>
      <c r="O101" s="91">
        <f t="shared" si="6"/>
        <v>2.18724E-2</v>
      </c>
      <c r="P101" s="91">
        <f t="shared" si="9"/>
        <v>2.18724E-2</v>
      </c>
      <c r="Q101" s="91">
        <f t="shared" si="7"/>
        <v>2.18724E-2</v>
      </c>
      <c r="R101" s="91">
        <f t="shared" si="10"/>
        <v>2.18724E-2</v>
      </c>
      <c r="S101" s="91">
        <f t="shared" si="11"/>
        <v>73435109.739053115</v>
      </c>
      <c r="T101" s="93">
        <f>VLOOKUP(A101,'Parameters Summary'!$B$2:$AB$826,15,FALSE)</f>
        <v>3.5732399999999997E-2</v>
      </c>
      <c r="U101" s="93" t="str">
        <f>VLOOKUP(A101,'Parameters Summary'!$B$2:$AB$826,17,FALSE)</f>
        <v>WATER9 (U.S. EPA, 2001)</v>
      </c>
      <c r="V101" s="93">
        <f>VLOOKUP(A101,'Parameters Summary'!$B$2:$AB$826,16,FALSE)</f>
        <v>1.04E-5</v>
      </c>
      <c r="W101" s="379" t="str">
        <f>VLOOKUP(A101,'Parameters Summary'!$B$2:$AB$826,17,FALSE)</f>
        <v>WATER9 (U.S. EPA, 2001)</v>
      </c>
      <c r="X101" s="290">
        <v>422.25</v>
      </c>
      <c r="Y101" s="96" t="s">
        <v>553</v>
      </c>
      <c r="Z101" s="96">
        <v>633.375</v>
      </c>
      <c r="AA101" s="96" t="s">
        <v>2220</v>
      </c>
      <c r="AB101" s="96">
        <v>9472.6323599999996</v>
      </c>
      <c r="AC101" s="96" t="s">
        <v>2218</v>
      </c>
      <c r="AD101" s="93">
        <f>VLOOKUP(A101,'Parameters Summary'!$B$2:$AB$826,20,FALSE)</f>
        <v>31.82</v>
      </c>
      <c r="AE101" s="97" t="str">
        <f>VLOOKUP(A101,'Parameters Summary'!$B$2:$AB$826,21,FALSE)</f>
        <v>EPI</v>
      </c>
      <c r="AF101" s="380"/>
      <c r="AG101" s="97"/>
      <c r="AH101" s="92"/>
      <c r="AI101" s="94"/>
      <c r="AJ101" s="330"/>
      <c r="AL101" s="81"/>
    </row>
    <row r="102" spans="1:38" ht="12.75" customHeight="1">
      <c r="A102" s="95" t="s">
        <v>709</v>
      </c>
      <c r="B102" s="96" t="s">
        <v>1013</v>
      </c>
      <c r="C102" s="96" t="str">
        <f t="shared" si="8"/>
        <v>Yes</v>
      </c>
      <c r="D102" s="96" t="str">
        <f>VLOOKUP(A102,'Tox Summary'!$O$3:$R$824,3,FALSE)</f>
        <v>No</v>
      </c>
      <c r="E102" s="97">
        <f>VLOOKUP(A102,'Parameters Summary'!$B$2:$AB$826,4,FALSE)</f>
        <v>94.938999999999993</v>
      </c>
      <c r="F102" s="97" t="str">
        <f>VLOOKUP(A102,'Parameters Summary'!$B$2:$AB$826,5,FALSE)</f>
        <v>PHYSPROP</v>
      </c>
      <c r="G102" s="93">
        <f>VLOOKUP(A102,'Parameters Summary'!$B$2:$AB$826,9,FALSE)</f>
        <v>1616</v>
      </c>
      <c r="H102" s="93" t="str">
        <f>VLOOKUP(A102,'Parameters Summary'!$B$2:$AB$826,10,FALSE)</f>
        <v>PHYSPROP</v>
      </c>
      <c r="I102" s="93">
        <f>VLOOKUP(A102,'Parameters Summary'!$B$2:$AB$826,24,FALSE)</f>
        <v>15200</v>
      </c>
      <c r="J102" s="97" t="str">
        <f>VLOOKUP(A102,'Parameters Summary'!$B$2:$AB$826,25,FALSE)</f>
        <v>PHYSPROP</v>
      </c>
      <c r="K102" s="97" t="str">
        <f>VLOOKUP(A102,'Tox Summary'!$O$3:$S$827,2,FALSE)</f>
        <v/>
      </c>
      <c r="L102" s="93">
        <f>VLOOKUP(A102,'Parameters Summary'!$B$2:$AB$826,7,FALSE)</f>
        <v>7.3400000000000002E-3</v>
      </c>
      <c r="M102" s="93" t="str">
        <f>VLOOKUP(A102,'Parameters Summary'!$B$2:$AB$826,8,FALSE)</f>
        <v>PHYSPROP</v>
      </c>
      <c r="N102" s="91">
        <f>VLOOKUP(A102,'Parameters Summary'!$B$2:$AB$826,6,FALSE)</f>
        <v>0.30008180000000001</v>
      </c>
      <c r="O102" s="91">
        <f t="shared" si="6"/>
        <v>0.30008180000000001</v>
      </c>
      <c r="P102" s="91">
        <f t="shared" si="9"/>
        <v>0.30008180000000001</v>
      </c>
      <c r="Q102" s="91">
        <f t="shared" si="7"/>
        <v>0.30008180000000001</v>
      </c>
      <c r="R102" s="91">
        <f t="shared" si="10"/>
        <v>0.30008180000000001</v>
      </c>
      <c r="S102" s="91">
        <f t="shared" si="11"/>
        <v>8255420517.403141</v>
      </c>
      <c r="T102" s="93">
        <f>VLOOKUP(A102,'Parameters Summary'!$B$2:$AB$826,15,FALSE)</f>
        <v>0.10049760000000001</v>
      </c>
      <c r="U102" s="93" t="str">
        <f>VLOOKUP(A102,'Parameters Summary'!$B$2:$AB$826,17,FALSE)</f>
        <v>WATER9 (U.S. EPA, 2001)</v>
      </c>
      <c r="V102" s="93">
        <f>VLOOKUP(A102,'Parameters Summary'!$B$2:$AB$826,16,FALSE)</f>
        <v>1.3499999999999999E-5</v>
      </c>
      <c r="W102" s="379" t="str">
        <f>VLOOKUP(A102,'Parameters Summary'!$B$2:$AB$826,17,FALSE)</f>
        <v>WATER9 (U.S. EPA, 2001)</v>
      </c>
      <c r="X102" s="290">
        <v>276.5</v>
      </c>
      <c r="Y102" s="96" t="s">
        <v>553</v>
      </c>
      <c r="Z102" s="96">
        <v>467</v>
      </c>
      <c r="AA102" s="96" t="s">
        <v>2227</v>
      </c>
      <c r="AB102" s="96">
        <v>5714</v>
      </c>
      <c r="AC102" s="96" t="s">
        <v>2227</v>
      </c>
      <c r="AD102" s="93">
        <f>VLOOKUP(A102,'Parameters Summary'!$B$2:$AB$826,20,FALSE)</f>
        <v>13.22</v>
      </c>
      <c r="AE102" s="97" t="str">
        <f>VLOOKUP(A102,'Parameters Summary'!$B$2:$AB$826,21,FALSE)</f>
        <v>EPI</v>
      </c>
      <c r="AF102" s="380">
        <v>10</v>
      </c>
      <c r="AG102" s="97" t="s">
        <v>302</v>
      </c>
      <c r="AH102" s="92"/>
      <c r="AI102" s="94"/>
      <c r="AJ102" s="330"/>
      <c r="AL102" s="81"/>
    </row>
    <row r="103" spans="1:38" ht="12.75" customHeight="1">
      <c r="A103" s="96" t="s">
        <v>710</v>
      </c>
      <c r="B103" s="96" t="s">
        <v>1014</v>
      </c>
      <c r="C103" s="96" t="str">
        <f t="shared" si="8"/>
        <v>Yes</v>
      </c>
      <c r="D103" s="96" t="str">
        <f>VLOOKUP(A103,'Tox Summary'!$O$3:$R$824,3,FALSE)</f>
        <v>No</v>
      </c>
      <c r="E103" s="97">
        <f>VLOOKUP(A103,'Parameters Summary'!$B$2:$AB$826,4,FALSE)</f>
        <v>366</v>
      </c>
      <c r="F103" s="97" t="str">
        <f>VLOOKUP(A103,'Parameters Summary'!$B$2:$AB$826,5,FALSE)</f>
        <v>PHYSPROP</v>
      </c>
      <c r="G103" s="93">
        <f>VLOOKUP(A103,'Parameters Summary'!$B$2:$AB$826,9,FALSE)</f>
        <v>1.2750000000000001E-4</v>
      </c>
      <c r="H103" s="93" t="str">
        <f>VLOOKUP(A103,'Parameters Summary'!$B$2:$AB$826,10,FALSE)</f>
        <v>PHYSPROP</v>
      </c>
      <c r="I103" s="93">
        <f>VLOOKUP(A103,'Parameters Summary'!$B$2:$AB$826,24,FALSE)</f>
        <v>0.3</v>
      </c>
      <c r="J103" s="97" t="str">
        <f>VLOOKUP(A103,'Parameters Summary'!$B$2:$AB$826,25,FALSE)</f>
        <v>PHYSPROP</v>
      </c>
      <c r="K103" s="97" t="str">
        <f>VLOOKUP(A103,'Tox Summary'!$O$3:$S$827,2,FALSE)</f>
        <v/>
      </c>
      <c r="L103" s="93">
        <f>VLOOKUP(A103,'Parameters Summary'!$B$2:$AB$826,7,FALSE)</f>
        <v>2.05E-4</v>
      </c>
      <c r="M103" s="93" t="str">
        <f>VLOOKUP(A103,'Parameters Summary'!$B$2:$AB$826,8,FALSE)</f>
        <v>EPI</v>
      </c>
      <c r="N103" s="91">
        <f>VLOOKUP(A103,'Parameters Summary'!$B$2:$AB$826,6,FALSE)</f>
        <v>8.3809999999999996E-3</v>
      </c>
      <c r="O103" s="91" t="str">
        <f t="shared" si="6"/>
        <v/>
      </c>
      <c r="P103" s="91">
        <f t="shared" si="9"/>
        <v>8.3809999999999996E-3</v>
      </c>
      <c r="Q103" s="91" t="str">
        <f t="shared" si="7"/>
        <v/>
      </c>
      <c r="R103" s="91">
        <f t="shared" si="10"/>
        <v>8.3809999999999996E-3</v>
      </c>
      <c r="S103" s="91" t="str">
        <f t="shared" si="11"/>
        <v/>
      </c>
      <c r="T103" s="93">
        <f>VLOOKUP(A103,'Parameters Summary'!$B$2:$AB$826,15,FALSE)</f>
        <v>2.3467600000000002E-2</v>
      </c>
      <c r="U103" s="93" t="str">
        <f>VLOOKUP(A103,'Parameters Summary'!$B$2:$AB$826,17,FALSE)</f>
        <v>WATER9 (U.S. EPA, 2001)</v>
      </c>
      <c r="V103" s="93">
        <f>VLOOKUP(A103,'Parameters Summary'!$B$2:$AB$826,16,FALSE)</f>
        <v>6.0542999999999998E-6</v>
      </c>
      <c r="W103" s="379" t="str">
        <f>VLOOKUP(A103,'Parameters Summary'!$B$2:$AB$826,17,FALSE)</f>
        <v>WATER9 (U.S. EPA, 2001)</v>
      </c>
      <c r="X103" s="290">
        <v>414.15</v>
      </c>
      <c r="Y103" s="96" t="s">
        <v>553</v>
      </c>
      <c r="Z103" s="96">
        <v>621.22499999999991</v>
      </c>
      <c r="AA103" s="96" t="s">
        <v>2220</v>
      </c>
      <c r="AB103" s="96" t="s">
        <v>1651</v>
      </c>
      <c r="AC103" s="96"/>
      <c r="AD103" s="93">
        <f>VLOOKUP(A103,'Parameters Summary'!$B$2:$AB$826,20,FALSE)</f>
        <v>2019</v>
      </c>
      <c r="AE103" s="97" t="str">
        <f>VLOOKUP(A103,'Parameters Summary'!$B$2:$AB$826,21,FALSE)</f>
        <v>EPI</v>
      </c>
      <c r="AF103" s="97"/>
      <c r="AG103" s="94"/>
      <c r="AH103" s="92"/>
      <c r="AI103" s="94"/>
      <c r="AJ103" s="330"/>
      <c r="AL103" s="81"/>
    </row>
    <row r="104" spans="1:38" ht="12.75" customHeight="1">
      <c r="A104" s="96" t="s">
        <v>711</v>
      </c>
      <c r="B104" s="96" t="s">
        <v>1015</v>
      </c>
      <c r="C104" s="96" t="str">
        <f t="shared" si="8"/>
        <v>No</v>
      </c>
      <c r="D104" s="96" t="str">
        <f>VLOOKUP(A104,'Tox Summary'!$O$3:$R$824,3,FALSE)</f>
        <v>No</v>
      </c>
      <c r="E104" s="97">
        <f>VLOOKUP(A104,'Parameters Summary'!$B$2:$AB$826,4,FALSE)</f>
        <v>276.92</v>
      </c>
      <c r="F104" s="97" t="str">
        <f>VLOOKUP(A104,'Parameters Summary'!$B$2:$AB$826,5,FALSE)</f>
        <v>PHYSPROP</v>
      </c>
      <c r="G104" s="93">
        <f>VLOOKUP(A104,'Parameters Summary'!$B$2:$AB$826,9,FALSE)</f>
        <v>4.7199999999999999E-8</v>
      </c>
      <c r="H104" s="93" t="str">
        <f>VLOOKUP(A104,'Parameters Summary'!$B$2:$AB$826,10,FALSE)</f>
        <v>PHYSPROP</v>
      </c>
      <c r="I104" s="93">
        <f>VLOOKUP(A104,'Parameters Summary'!$B$2:$AB$826,24,FALSE)</f>
        <v>130</v>
      </c>
      <c r="J104" s="97" t="str">
        <f>VLOOKUP(A104,'Parameters Summary'!$B$2:$AB$826,25,FALSE)</f>
        <v>PHYSPROP</v>
      </c>
      <c r="K104" s="97" t="str">
        <f>VLOOKUP(A104,'Tox Summary'!$O$3:$S$827,2,FALSE)</f>
        <v/>
      </c>
      <c r="L104" s="93">
        <f>VLOOKUP(A104,'Parameters Summary'!$B$2:$AB$826,7,FALSE)</f>
        <v>1.3200000000000001E-10</v>
      </c>
      <c r="M104" s="93" t="str">
        <f>VLOOKUP(A104,'Parameters Summary'!$B$2:$AB$826,8,FALSE)</f>
        <v>EPI</v>
      </c>
      <c r="N104" s="91">
        <f>VLOOKUP(A104,'Parameters Summary'!$B$2:$AB$826,6,FALSE)</f>
        <v>5.3966000000000002E-9</v>
      </c>
      <c r="O104" s="91" t="str">
        <f t="shared" si="6"/>
        <v/>
      </c>
      <c r="P104" s="91">
        <f t="shared" si="9"/>
        <v>5.3966000000000002E-9</v>
      </c>
      <c r="Q104" s="91" t="str">
        <f t="shared" si="7"/>
        <v/>
      </c>
      <c r="R104" s="91">
        <f t="shared" si="10"/>
        <v>5.3966000000000002E-9</v>
      </c>
      <c r="S104" s="91" t="str">
        <f t="shared" si="11"/>
        <v/>
      </c>
      <c r="T104" s="93">
        <f>VLOOKUP(A104,'Parameters Summary'!$B$2:$AB$826,15,FALSE)</f>
        <v>4.47216E-2</v>
      </c>
      <c r="U104" s="93" t="str">
        <f>VLOOKUP(A104,'Parameters Summary'!$B$2:$AB$826,17,FALSE)</f>
        <v>WATER9 (U.S. EPA, 2001)</v>
      </c>
      <c r="V104" s="93">
        <f>VLOOKUP(A104,'Parameters Summary'!$B$2:$AB$826,16,FALSE)</f>
        <v>5.2254E-6</v>
      </c>
      <c r="W104" s="379" t="str">
        <f>VLOOKUP(A104,'Parameters Summary'!$B$2:$AB$826,17,FALSE)</f>
        <v>WATER9 (U.S. EPA, 2001)</v>
      </c>
      <c r="X104" s="347"/>
      <c r="Y104" s="96"/>
      <c r="Z104" s="96" t="s">
        <v>1653</v>
      </c>
      <c r="AA104" s="96"/>
      <c r="AB104" s="96" t="s">
        <v>1651</v>
      </c>
      <c r="AC104" s="96"/>
      <c r="AD104" s="93">
        <f>VLOOKUP(A104,'Parameters Summary'!$B$2:$AB$826,20,FALSE)</f>
        <v>330.1</v>
      </c>
      <c r="AE104" s="97" t="str">
        <f>VLOOKUP(A104,'Parameters Summary'!$B$2:$AB$826,21,FALSE)</f>
        <v>EPI</v>
      </c>
      <c r="AF104" s="97"/>
      <c r="AG104" s="94"/>
      <c r="AH104" s="92"/>
      <c r="AI104" s="94"/>
      <c r="AJ104" s="330"/>
      <c r="AL104" s="81"/>
    </row>
    <row r="105" spans="1:38" ht="12.75" customHeight="1">
      <c r="A105" s="96" t="s">
        <v>712</v>
      </c>
      <c r="B105" s="96" t="s">
        <v>1016</v>
      </c>
      <c r="C105" s="96" t="str">
        <f t="shared" si="8"/>
        <v>Yes</v>
      </c>
      <c r="D105" s="96" t="str">
        <f>VLOOKUP(A105,'Tox Summary'!$O$3:$R$824,3,FALSE)</f>
        <v>No</v>
      </c>
      <c r="E105" s="97">
        <f>VLOOKUP(A105,'Parameters Summary'!$B$2:$AB$826,4,FALSE)</f>
        <v>403.12</v>
      </c>
      <c r="F105" s="97" t="str">
        <f>VLOOKUP(A105,'Parameters Summary'!$B$2:$AB$826,5,FALSE)</f>
        <v>PHYSPROP</v>
      </c>
      <c r="G105" s="93">
        <f>VLOOKUP(A105,'Parameters Summary'!$B$2:$AB$826,9,FALSE)</f>
        <v>4.7999999999999998E-6</v>
      </c>
      <c r="H105" s="93" t="str">
        <f>VLOOKUP(A105,'Parameters Summary'!$B$2:$AB$826,10,FALSE)</f>
        <v>PHYSPROP</v>
      </c>
      <c r="I105" s="93">
        <f>VLOOKUP(A105,'Parameters Summary'!$B$2:$AB$826,24,FALSE)</f>
        <v>0.08</v>
      </c>
      <c r="J105" s="97" t="str">
        <f>VLOOKUP(A105,'Parameters Summary'!$B$2:$AB$826,25,FALSE)</f>
        <v>PHYSPROP</v>
      </c>
      <c r="K105" s="97" t="str">
        <f>VLOOKUP(A105,'Tox Summary'!$O$3:$S$827,2,FALSE)</f>
        <v/>
      </c>
      <c r="L105" s="93">
        <f>VLOOKUP(A105,'Parameters Summary'!$B$2:$AB$826,7,FALSE)</f>
        <v>3.1900000000000003E-5</v>
      </c>
      <c r="M105" s="93" t="str">
        <f>VLOOKUP(A105,'Parameters Summary'!$B$2:$AB$826,8,FALSE)</f>
        <v>EPI</v>
      </c>
      <c r="N105" s="91">
        <f>VLOOKUP(A105,'Parameters Summary'!$B$2:$AB$826,6,FALSE)</f>
        <v>1.3041999999999999E-3</v>
      </c>
      <c r="O105" s="91" t="str">
        <f t="shared" si="6"/>
        <v/>
      </c>
      <c r="P105" s="91">
        <f t="shared" si="9"/>
        <v>1.3041999999999999E-3</v>
      </c>
      <c r="Q105" s="91" t="str">
        <f t="shared" si="7"/>
        <v/>
      </c>
      <c r="R105" s="91">
        <f t="shared" si="10"/>
        <v>1.3041999999999999E-3</v>
      </c>
      <c r="S105" s="91" t="str">
        <f t="shared" si="11"/>
        <v/>
      </c>
      <c r="T105" s="93">
        <f>VLOOKUP(A105,'Parameters Summary'!$B$2:$AB$826,15,FALSE)</f>
        <v>2.12801E-2</v>
      </c>
      <c r="U105" s="93" t="str">
        <f>VLOOKUP(A105,'Parameters Summary'!$B$2:$AB$826,17,FALSE)</f>
        <v>WATER9 (U.S. EPA, 2001)</v>
      </c>
      <c r="V105" s="93">
        <f>VLOOKUP(A105,'Parameters Summary'!$B$2:$AB$826,16,FALSE)</f>
        <v>5.3767999999999999E-6</v>
      </c>
      <c r="W105" s="379" t="str">
        <f>VLOOKUP(A105,'Parameters Summary'!$B$2:$AB$826,17,FALSE)</f>
        <v>WATER9 (U.S. EPA, 2001)</v>
      </c>
      <c r="X105" s="347">
        <v>689.69</v>
      </c>
      <c r="Y105" s="96" t="s">
        <v>553</v>
      </c>
      <c r="Z105" s="96">
        <v>1034.5350000000001</v>
      </c>
      <c r="AA105" s="96" t="s">
        <v>2220</v>
      </c>
      <c r="AB105" s="96" t="s">
        <v>1651</v>
      </c>
      <c r="AC105" s="96"/>
      <c r="AD105" s="93">
        <f>VLOOKUP(A105,'Parameters Summary'!$B$2:$AB$826,20,FALSE)</f>
        <v>4252</v>
      </c>
      <c r="AE105" s="97" t="str">
        <f>VLOOKUP(A105,'Parameters Summary'!$B$2:$AB$826,21,FALSE)</f>
        <v>EPI</v>
      </c>
      <c r="AF105" s="97"/>
      <c r="AG105" s="94"/>
      <c r="AH105" s="92"/>
      <c r="AI105" s="94"/>
      <c r="AJ105" s="330"/>
      <c r="AL105" s="81"/>
    </row>
    <row r="106" spans="1:38" ht="12.75" customHeight="1">
      <c r="A106" s="95" t="s">
        <v>713</v>
      </c>
      <c r="B106" s="96" t="s">
        <v>1017</v>
      </c>
      <c r="C106" s="96" t="str">
        <f t="shared" si="8"/>
        <v>Yes</v>
      </c>
      <c r="D106" s="96" t="str">
        <f>VLOOKUP(A106,'Tox Summary'!$O$3:$R$824,3,FALSE)</f>
        <v>Yes</v>
      </c>
      <c r="E106" s="97">
        <f>VLOOKUP(A106,'Parameters Summary'!$B$2:$AB$826,4,FALSE)</f>
        <v>54.091999999999999</v>
      </c>
      <c r="F106" s="97" t="str">
        <f>VLOOKUP(A106,'Parameters Summary'!$B$2:$AB$826,5,FALSE)</f>
        <v>PHYSPROP</v>
      </c>
      <c r="G106" s="93">
        <f>VLOOKUP(A106,'Parameters Summary'!$B$2:$AB$826,9,FALSE)</f>
        <v>2107</v>
      </c>
      <c r="H106" s="93" t="str">
        <f>VLOOKUP(A106,'Parameters Summary'!$B$2:$AB$826,10,FALSE)</f>
        <v>PHYSPROP</v>
      </c>
      <c r="I106" s="93">
        <f>VLOOKUP(A106,'Parameters Summary'!$B$2:$AB$826,24,FALSE)</f>
        <v>735</v>
      </c>
      <c r="J106" s="97" t="str">
        <f>VLOOKUP(A106,'Parameters Summary'!$B$2:$AB$826,25,FALSE)</f>
        <v>PHYSPROP</v>
      </c>
      <c r="K106" s="97" t="str">
        <f>VLOOKUP(A106,'Tox Summary'!$O$3:$S$827,2,FALSE)</f>
        <v/>
      </c>
      <c r="L106" s="93">
        <f>VLOOKUP(A106,'Parameters Summary'!$B$2:$AB$826,7,FALSE)</f>
        <v>7.3599999999999999E-2</v>
      </c>
      <c r="M106" s="93" t="str">
        <f>VLOOKUP(A106,'Parameters Summary'!$B$2:$AB$826,8,FALSE)</f>
        <v>EPI</v>
      </c>
      <c r="N106" s="91">
        <f>VLOOKUP(A106,'Parameters Summary'!$B$2:$AB$826,6,FALSE)</f>
        <v>3.0089942999999999</v>
      </c>
      <c r="O106" s="91">
        <f t="shared" si="6"/>
        <v>3.0089942999999999</v>
      </c>
      <c r="P106" s="91">
        <f t="shared" si="9"/>
        <v>3.0089942999999999</v>
      </c>
      <c r="Q106" s="91">
        <f t="shared" si="7"/>
        <v>3.0089942999999999</v>
      </c>
      <c r="R106" s="91">
        <f t="shared" si="10"/>
        <v>3.0089942999999999</v>
      </c>
      <c r="S106" s="91">
        <f t="shared" si="11"/>
        <v>6132686523.3884811</v>
      </c>
      <c r="T106" s="93">
        <f>VLOOKUP(A106,'Parameters Summary'!$B$2:$AB$826,15,FALSE)</f>
        <v>0.1003488</v>
      </c>
      <c r="U106" s="93" t="str">
        <f>VLOOKUP(A106,'Parameters Summary'!$B$2:$AB$826,17,FALSE)</f>
        <v>WATER9 (U.S. EPA, 2001)</v>
      </c>
      <c r="V106" s="93">
        <f>VLOOKUP(A106,'Parameters Summary'!$B$2:$AB$826,16,FALSE)</f>
        <v>1.03E-5</v>
      </c>
      <c r="W106" s="379" t="str">
        <f>VLOOKUP(A106,'Parameters Summary'!$B$2:$AB$826,17,FALSE)</f>
        <v>WATER9 (U.S. EPA, 2001)</v>
      </c>
      <c r="X106" s="290">
        <v>268.60000000000002</v>
      </c>
      <c r="Y106" s="96" t="s">
        <v>553</v>
      </c>
      <c r="Z106" s="96">
        <v>425</v>
      </c>
      <c r="AA106" s="96" t="s">
        <v>2221</v>
      </c>
      <c r="AB106" s="96">
        <v>5370.33</v>
      </c>
      <c r="AC106" s="96" t="s">
        <v>2221</v>
      </c>
      <c r="AD106" s="93">
        <f>VLOOKUP(A106,'Parameters Summary'!$B$2:$AB$826,20,FALSE)</f>
        <v>39.6</v>
      </c>
      <c r="AE106" s="97" t="str">
        <f>VLOOKUP(A106,'Parameters Summary'!$B$2:$AB$826,21,FALSE)</f>
        <v>EPI</v>
      </c>
      <c r="AF106" s="380">
        <v>2</v>
      </c>
      <c r="AG106" s="97" t="s">
        <v>302</v>
      </c>
      <c r="AH106" s="92"/>
      <c r="AI106" s="94"/>
      <c r="AJ106" s="330"/>
      <c r="AL106" s="81"/>
    </row>
    <row r="107" spans="1:38" ht="12.75" customHeight="1">
      <c r="A107" s="96" t="s">
        <v>714</v>
      </c>
      <c r="B107" s="96" t="s">
        <v>1018</v>
      </c>
      <c r="C107" s="96" t="str">
        <f t="shared" si="8"/>
        <v>Yes</v>
      </c>
      <c r="D107" s="96" t="str">
        <f>VLOOKUP(A107,'Tox Summary'!$O$3:$R$824,3,FALSE)</f>
        <v>Yes</v>
      </c>
      <c r="E107" s="97">
        <f>VLOOKUP(A107,'Parameters Summary'!$B$2:$AB$826,4,FALSE)</f>
        <v>74.123999999999995</v>
      </c>
      <c r="F107" s="97" t="str">
        <f>VLOOKUP(A107,'Parameters Summary'!$B$2:$AB$826,5,FALSE)</f>
        <v>PHYSPROP</v>
      </c>
      <c r="G107" s="93">
        <f>VLOOKUP(A107,'Parameters Summary'!$B$2:$AB$826,9,FALSE)</f>
        <v>6.7</v>
      </c>
      <c r="H107" s="93" t="str">
        <f>VLOOKUP(A107,'Parameters Summary'!$B$2:$AB$826,10,FALSE)</f>
        <v>PHYSPROP</v>
      </c>
      <c r="I107" s="93">
        <f>VLOOKUP(A107,'Parameters Summary'!$B$2:$AB$826,24,FALSE)</f>
        <v>63200</v>
      </c>
      <c r="J107" s="97" t="str">
        <f>VLOOKUP(A107,'Parameters Summary'!$B$2:$AB$826,25,FALSE)</f>
        <v>PHYSPROP</v>
      </c>
      <c r="K107" s="97" t="str">
        <f>VLOOKUP(A107,'Tox Summary'!$O$3:$S$827,2,FALSE)</f>
        <v/>
      </c>
      <c r="L107" s="93">
        <f>VLOOKUP(A107,'Parameters Summary'!$B$2:$AB$826,7,FALSE)</f>
        <v>8.8100000000000004E-6</v>
      </c>
      <c r="M107" s="93" t="str">
        <f>VLOOKUP(A107,'Parameters Summary'!$B$2:$AB$826,8,FALSE)</f>
        <v>PHYSPROP</v>
      </c>
      <c r="N107" s="91">
        <f>VLOOKUP(A107,'Parameters Summary'!$B$2:$AB$826,6,FALSE)</f>
        <v>3.6019999999999997E-4</v>
      </c>
      <c r="O107" s="91">
        <f t="shared" si="6"/>
        <v>3.6019999999999997E-4</v>
      </c>
      <c r="P107" s="91">
        <f t="shared" si="9"/>
        <v>3.6019999999999997E-4</v>
      </c>
      <c r="Q107" s="91">
        <f t="shared" si="7"/>
        <v>3.6019999999999997E-4</v>
      </c>
      <c r="R107" s="91">
        <f t="shared" si="10"/>
        <v>3.6019999999999997E-4</v>
      </c>
      <c r="S107" s="91">
        <f t="shared" si="11"/>
        <v>26723100.262022961</v>
      </c>
      <c r="T107" s="93">
        <f>VLOOKUP(A107,'Parameters Summary'!$B$2:$AB$826,15,FALSE)</f>
        <v>9.0038699999999999E-2</v>
      </c>
      <c r="U107" s="93" t="str">
        <f>VLOOKUP(A107,'Parameters Summary'!$B$2:$AB$826,17,FALSE)</f>
        <v>WATER9 (U.S. EPA, 2001)</v>
      </c>
      <c r="V107" s="93">
        <f>VLOOKUP(A107,'Parameters Summary'!$B$2:$AB$826,16,FALSE)</f>
        <v>1.01E-5</v>
      </c>
      <c r="W107" s="379" t="str">
        <f>VLOOKUP(A107,'Parameters Summary'!$B$2:$AB$826,17,FALSE)</f>
        <v>WATER9 (U.S. EPA, 2001)</v>
      </c>
      <c r="X107" s="290">
        <v>390.84999999999997</v>
      </c>
      <c r="Y107" s="96" t="s">
        <v>553</v>
      </c>
      <c r="Z107" s="96">
        <v>586.27499999999998</v>
      </c>
      <c r="AA107" s="96" t="s">
        <v>2220</v>
      </c>
      <c r="AB107" s="96">
        <v>134572.18</v>
      </c>
      <c r="AC107" s="96" t="s">
        <v>2214</v>
      </c>
      <c r="AD107" s="93">
        <f>VLOOKUP(A107,'Parameters Summary'!$B$2:$AB$826,20,FALSE)</f>
        <v>3.4710000000000001</v>
      </c>
      <c r="AE107" s="97" t="str">
        <f>VLOOKUP(A107,'Parameters Summary'!$B$2:$AB$826,21,FALSE)</f>
        <v>EPI</v>
      </c>
      <c r="AF107" s="97"/>
      <c r="AG107" s="94"/>
      <c r="AH107" s="92"/>
      <c r="AI107" s="94"/>
      <c r="AJ107" s="330"/>
      <c r="AL107" s="81"/>
    </row>
    <row r="108" spans="1:38" ht="12.75" customHeight="1">
      <c r="A108" s="95" t="s">
        <v>716</v>
      </c>
      <c r="B108" s="96" t="s">
        <v>562</v>
      </c>
      <c r="C108" s="96" t="str">
        <f t="shared" si="8"/>
        <v>Yes</v>
      </c>
      <c r="D108" s="96" t="str">
        <f>VLOOKUP(A108,'Tox Summary'!$O$3:$R$824,3,FALSE)</f>
        <v>No</v>
      </c>
      <c r="E108" s="97">
        <f>VLOOKUP(A108,'Parameters Summary'!$B$2:$AB$826,4,FALSE)</f>
        <v>74.123999999999995</v>
      </c>
      <c r="F108" s="97" t="str">
        <f>VLOOKUP(A108,'Parameters Summary'!$B$2:$AB$826,5,FALSE)</f>
        <v>PHYSPROP</v>
      </c>
      <c r="G108" s="93">
        <f>VLOOKUP(A108,'Parameters Summary'!$B$2:$AB$826,9,FALSE)</f>
        <v>18.329999999999998</v>
      </c>
      <c r="H108" s="93" t="str">
        <f>VLOOKUP(A108,'Parameters Summary'!$B$2:$AB$826,10,FALSE)</f>
        <v>PHYSPROP</v>
      </c>
      <c r="I108" s="93">
        <f>VLOOKUP(A108,'Parameters Summary'!$B$2:$AB$826,24,FALSE)</f>
        <v>181000</v>
      </c>
      <c r="J108" s="97" t="str">
        <f>VLOOKUP(A108,'Parameters Summary'!$B$2:$AB$826,25,FALSE)</f>
        <v>PHYSPROP</v>
      </c>
      <c r="K108" s="97" t="str">
        <f>VLOOKUP(A108,'Tox Summary'!$O$3:$S$827,2,FALSE)</f>
        <v/>
      </c>
      <c r="L108" s="93">
        <f>VLOOKUP(A108,'Parameters Summary'!$B$2:$AB$826,7,FALSE)</f>
        <v>9.0599999999999997E-6</v>
      </c>
      <c r="M108" s="93" t="str">
        <f>VLOOKUP(A108,'Parameters Summary'!$B$2:$AB$826,8,FALSE)</f>
        <v>PHYSPROP</v>
      </c>
      <c r="N108" s="91">
        <f>VLOOKUP(A108,'Parameters Summary'!$B$2:$AB$826,6,FALSE)</f>
        <v>3.704E-4</v>
      </c>
      <c r="O108" s="91">
        <f t="shared" si="6"/>
        <v>3.704E-4</v>
      </c>
      <c r="P108" s="91">
        <f t="shared" si="9"/>
        <v>3.704E-4</v>
      </c>
      <c r="Q108" s="91">
        <f t="shared" si="7"/>
        <v>3.704E-4</v>
      </c>
      <c r="R108" s="91">
        <f t="shared" si="10"/>
        <v>3.704E-4</v>
      </c>
      <c r="S108" s="91">
        <f t="shared" si="11"/>
        <v>73109616.089982212</v>
      </c>
      <c r="T108" s="93">
        <f>VLOOKUP(A108,'Parameters Summary'!$B$2:$AB$826,15,FALSE)</f>
        <v>8.9884800000000001E-2</v>
      </c>
      <c r="U108" s="93" t="str">
        <f>VLOOKUP(A108,'Parameters Summary'!$B$2:$AB$826,17,FALSE)</f>
        <v>WATER9 (U.S. EPA, 2001)</v>
      </c>
      <c r="V108" s="93">
        <f>VLOOKUP(A108,'Parameters Summary'!$B$2:$AB$826,16,FALSE)</f>
        <v>1.01E-5</v>
      </c>
      <c r="W108" s="379" t="str">
        <f>VLOOKUP(A108,'Parameters Summary'!$B$2:$AB$826,17,FALSE)</f>
        <v>WATER9 (U.S. EPA, 2001)</v>
      </c>
      <c r="X108" s="290">
        <v>372.65</v>
      </c>
      <c r="Y108" s="96" t="s">
        <v>553</v>
      </c>
      <c r="Z108" s="96">
        <v>536.20000000000005</v>
      </c>
      <c r="AA108" s="96" t="s">
        <v>2215</v>
      </c>
      <c r="AB108" s="96">
        <v>11875.423119999999</v>
      </c>
      <c r="AC108" s="96" t="s">
        <v>2218</v>
      </c>
      <c r="AD108" s="93">
        <f>VLOOKUP(A108,'Parameters Summary'!$B$2:$AB$826,20,FALSE)</f>
        <v>2.919</v>
      </c>
      <c r="AE108" s="97" t="str">
        <f>VLOOKUP(A108,'Parameters Summary'!$B$2:$AB$826,21,FALSE)</f>
        <v>EPI</v>
      </c>
      <c r="AF108" s="380">
        <v>1.7</v>
      </c>
      <c r="AG108" s="97" t="s">
        <v>302</v>
      </c>
      <c r="AH108" s="92"/>
      <c r="AI108" s="94"/>
      <c r="AJ108" s="330"/>
      <c r="AL108" s="81"/>
    </row>
    <row r="109" spans="1:38" ht="12.75" customHeight="1">
      <c r="A109" s="96" t="s">
        <v>715</v>
      </c>
      <c r="B109" s="96" t="s">
        <v>2302</v>
      </c>
      <c r="C109" s="96" t="str">
        <f t="shared" si="8"/>
        <v>No</v>
      </c>
      <c r="D109" s="96" t="str">
        <f>VLOOKUP(A109,'Tox Summary'!$O$3:$R$824,3,FALSE)</f>
        <v>No</v>
      </c>
      <c r="E109" s="97">
        <f>VLOOKUP(A109,'Parameters Summary'!$B$2:$AB$826,4,FALSE)</f>
        <v>312.37</v>
      </c>
      <c r="F109" s="97" t="str">
        <f>VLOOKUP(A109,'Parameters Summary'!$B$2:$AB$826,5,FALSE)</f>
        <v>PHYSPROP</v>
      </c>
      <c r="G109" s="93">
        <f>VLOOKUP(A109,'Parameters Summary'!$B$2:$AB$826,9,FALSE)</f>
        <v>8.2500000000000006E-6</v>
      </c>
      <c r="H109" s="93" t="str">
        <f>VLOOKUP(A109,'Parameters Summary'!$B$2:$AB$826,10,FALSE)</f>
        <v>PHYSPROP</v>
      </c>
      <c r="I109" s="93">
        <f>VLOOKUP(A109,'Parameters Summary'!$B$2:$AB$826,24,FALSE)</f>
        <v>2.69</v>
      </c>
      <c r="J109" s="97" t="str">
        <f>VLOOKUP(A109,'Parameters Summary'!$B$2:$AB$826,25,FALSE)</f>
        <v>PHYSPROP</v>
      </c>
      <c r="K109" s="97" t="str">
        <f>VLOOKUP(A109,'Tox Summary'!$O$3:$S$827,2,FALSE)</f>
        <v/>
      </c>
      <c r="L109" s="93">
        <f>VLOOKUP(A109,'Parameters Summary'!$B$2:$AB$826,7,FALSE)</f>
        <v>1.26E-6</v>
      </c>
      <c r="M109" s="93" t="str">
        <f>VLOOKUP(A109,'Parameters Summary'!$B$2:$AB$826,8,FALSE)</f>
        <v>EPI</v>
      </c>
      <c r="N109" s="91">
        <f>VLOOKUP(A109,'Parameters Summary'!$B$2:$AB$826,6,FALSE)</f>
        <v>5.1499999999999998E-5</v>
      </c>
      <c r="O109" s="91" t="str">
        <f t="shared" si="6"/>
        <v/>
      </c>
      <c r="P109" s="91">
        <f t="shared" si="9"/>
        <v>5.1499999999999998E-5</v>
      </c>
      <c r="Q109" s="91" t="str">
        <f t="shared" si="7"/>
        <v/>
      </c>
      <c r="R109" s="91">
        <f t="shared" si="10"/>
        <v>5.1499999999999998E-5</v>
      </c>
      <c r="S109" s="91" t="str">
        <f t="shared" si="11"/>
        <v/>
      </c>
      <c r="T109" s="93">
        <f>VLOOKUP(A109,'Parameters Summary'!$B$2:$AB$826,15,FALSE)</f>
        <v>2.08319E-2</v>
      </c>
      <c r="U109" s="93" t="str">
        <f>VLOOKUP(A109,'Parameters Summary'!$B$2:$AB$826,17,FALSE)</f>
        <v>WATER9 (U.S. EPA, 2001)</v>
      </c>
      <c r="V109" s="93">
        <f>VLOOKUP(A109,'Parameters Summary'!$B$2:$AB$826,16,FALSE)</f>
        <v>5.1733000000000001E-6</v>
      </c>
      <c r="W109" s="379" t="str">
        <f>VLOOKUP(A109,'Parameters Summary'!$B$2:$AB$826,17,FALSE)</f>
        <v>WATER9 (U.S. EPA, 2001)</v>
      </c>
      <c r="X109" s="290">
        <v>643.15</v>
      </c>
      <c r="Y109" s="96" t="s">
        <v>553</v>
      </c>
      <c r="Z109" s="96">
        <v>964.72499999999991</v>
      </c>
      <c r="AA109" s="96" t="s">
        <v>2220</v>
      </c>
      <c r="AB109" s="96" t="s">
        <v>1651</v>
      </c>
      <c r="AC109" s="96"/>
      <c r="AD109" s="93">
        <f>VLOOKUP(A109,'Parameters Summary'!$B$2:$AB$826,20,FALSE)</f>
        <v>7155</v>
      </c>
      <c r="AE109" s="97" t="str">
        <f>VLOOKUP(A109,'Parameters Summary'!$B$2:$AB$826,21,FALSE)</f>
        <v>EPI</v>
      </c>
      <c r="AF109" s="97"/>
      <c r="AG109" s="94"/>
      <c r="AH109" s="92"/>
      <c r="AI109" s="94"/>
      <c r="AJ109" s="330"/>
      <c r="AL109" s="81"/>
    </row>
    <row r="110" spans="1:38" ht="12.75" customHeight="1">
      <c r="A110" s="96" t="s">
        <v>717</v>
      </c>
      <c r="B110" s="96" t="s">
        <v>1019</v>
      </c>
      <c r="C110" s="96" t="str">
        <f t="shared" si="8"/>
        <v>Yes</v>
      </c>
      <c r="D110" s="96" t="str">
        <f>VLOOKUP(A110,'Tox Summary'!$O$3:$R$824,3,FALSE)</f>
        <v>No</v>
      </c>
      <c r="E110" s="97">
        <f>VLOOKUP(A110,'Parameters Summary'!$B$2:$AB$826,4,FALSE)</f>
        <v>217.38</v>
      </c>
      <c r="F110" s="97" t="str">
        <f>VLOOKUP(A110,'Parameters Summary'!$B$2:$AB$826,5,FALSE)</f>
        <v>PHYSPROP</v>
      </c>
      <c r="G110" s="93">
        <f>VLOOKUP(A110,'Parameters Summary'!$B$2:$AB$826,9,FALSE)</f>
        <v>1.2999999999999999E-2</v>
      </c>
      <c r="H110" s="93" t="str">
        <f>VLOOKUP(A110,'Parameters Summary'!$B$2:$AB$826,10,FALSE)</f>
        <v>PHYSPROP</v>
      </c>
      <c r="I110" s="93">
        <f>VLOOKUP(A110,'Parameters Summary'!$B$2:$AB$826,24,FALSE)</f>
        <v>45</v>
      </c>
      <c r="J110" s="97" t="str">
        <f>VLOOKUP(A110,'Parameters Summary'!$B$2:$AB$826,25,FALSE)</f>
        <v>PHYSPROP</v>
      </c>
      <c r="K110" s="97" t="str">
        <f>VLOOKUP(A110,'Tox Summary'!$O$3:$S$827,2,FALSE)</f>
        <v/>
      </c>
      <c r="L110" s="93">
        <f>VLOOKUP(A110,'Parameters Summary'!$B$2:$AB$826,7,FALSE)</f>
        <v>8.4499999999999994E-5</v>
      </c>
      <c r="M110" s="93" t="str">
        <f>VLOOKUP(A110,'Parameters Summary'!$B$2:$AB$826,8,FALSE)</f>
        <v>EPI</v>
      </c>
      <c r="N110" s="91">
        <f>VLOOKUP(A110,'Parameters Summary'!$B$2:$AB$826,6,FALSE)</f>
        <v>3.4545999999999999E-3</v>
      </c>
      <c r="O110" s="91" t="str">
        <f t="shared" si="6"/>
        <v/>
      </c>
      <c r="P110" s="91">
        <f t="shared" si="9"/>
        <v>3.4545999999999999E-3</v>
      </c>
      <c r="Q110" s="91" t="str">
        <f t="shared" si="7"/>
        <v/>
      </c>
      <c r="R110" s="91">
        <f t="shared" si="10"/>
        <v>3.4545999999999999E-3</v>
      </c>
      <c r="S110" s="91" t="str">
        <f t="shared" si="11"/>
        <v/>
      </c>
      <c r="T110" s="93">
        <f>VLOOKUP(A110,'Parameters Summary'!$B$2:$AB$826,15,FALSE)</f>
        <v>2.3230600000000001E-2</v>
      </c>
      <c r="U110" s="93" t="str">
        <f>VLOOKUP(A110,'Parameters Summary'!$B$2:$AB$826,17,FALSE)</f>
        <v>WATER9 (U.S. EPA, 2001)</v>
      </c>
      <c r="V110" s="93">
        <f>VLOOKUP(A110,'Parameters Summary'!$B$2:$AB$826,16,FALSE)</f>
        <v>5.7926000000000002E-6</v>
      </c>
      <c r="W110" s="379" t="str">
        <f>VLOOKUP(A110,'Parameters Summary'!$B$2:$AB$826,17,FALSE)</f>
        <v>WATER9 (U.S. EPA, 2001)</v>
      </c>
      <c r="X110" s="290">
        <v>411.15</v>
      </c>
      <c r="Y110" s="96" t="s">
        <v>553</v>
      </c>
      <c r="Z110" s="96">
        <v>616.72499999999991</v>
      </c>
      <c r="AA110" s="96" t="s">
        <v>2220</v>
      </c>
      <c r="AB110" s="96" t="s">
        <v>1651</v>
      </c>
      <c r="AC110" s="96"/>
      <c r="AD110" s="93">
        <f>VLOOKUP(A110,'Parameters Summary'!$B$2:$AB$826,20,FALSE)</f>
        <v>385.7</v>
      </c>
      <c r="AE110" s="97" t="str">
        <f>VLOOKUP(A110,'Parameters Summary'!$B$2:$AB$826,21,FALSE)</f>
        <v>EPI</v>
      </c>
      <c r="AF110" s="97"/>
      <c r="AG110" s="94"/>
      <c r="AH110" s="92"/>
      <c r="AI110" s="94"/>
      <c r="AJ110" s="330"/>
      <c r="AL110" s="81"/>
    </row>
    <row r="111" spans="1:38" ht="12.75" customHeight="1">
      <c r="A111" s="96" t="s">
        <v>718</v>
      </c>
      <c r="B111" s="96" t="s">
        <v>563</v>
      </c>
      <c r="C111" s="96" t="str">
        <f t="shared" si="8"/>
        <v>No</v>
      </c>
      <c r="D111" s="96" t="str">
        <f>VLOOKUP(A111,'Tox Summary'!$O$3:$R$824,3,FALSE)</f>
        <v>No</v>
      </c>
      <c r="E111" s="97">
        <f>VLOOKUP(A111,'Parameters Summary'!$B$2:$AB$826,4,FALSE)</f>
        <v>360.5</v>
      </c>
      <c r="F111" s="97" t="str">
        <f>VLOOKUP(A111,'Parameters Summary'!$B$2:$AB$826,5,FALSE)</f>
        <v>PHYSPROP</v>
      </c>
      <c r="G111" s="93">
        <f>VLOOKUP(A111,'Parameters Summary'!$B$2:$AB$826,9,FALSE)</f>
        <v>2.48E-3</v>
      </c>
      <c r="H111" s="93" t="str">
        <f>VLOOKUP(A111,'Parameters Summary'!$B$2:$AB$826,10,FALSE)</f>
        <v>PHYSPROP</v>
      </c>
      <c r="I111" s="93">
        <f>VLOOKUP(A111,'Parameters Summary'!$B$2:$AB$826,24,FALSE)</f>
        <v>212.8</v>
      </c>
      <c r="J111" s="97" t="str">
        <f>VLOOKUP(A111,'Parameters Summary'!$B$2:$AB$826,25,FALSE)</f>
        <v>PHYSPROP</v>
      </c>
      <c r="K111" s="97" t="str">
        <f>VLOOKUP(A111,'Tox Summary'!$O$3:$S$827,2,FALSE)</f>
        <v/>
      </c>
      <c r="L111" s="93">
        <f>VLOOKUP(A111,'Parameters Summary'!$B$2:$AB$826,7,FALSE)</f>
        <v>1.17E-6</v>
      </c>
      <c r="M111" s="93" t="str">
        <f>VLOOKUP(A111,'Parameters Summary'!$B$2:$AB$826,8,FALSE)</f>
        <v>PHYSPROP</v>
      </c>
      <c r="N111" s="91">
        <f>VLOOKUP(A111,'Parameters Summary'!$B$2:$AB$826,6,FALSE)</f>
        <v>4.7800000000000003E-5</v>
      </c>
      <c r="O111" s="91" t="str">
        <f t="shared" si="6"/>
        <v/>
      </c>
      <c r="P111" s="91">
        <f t="shared" si="9"/>
        <v>4.7800000000000003E-5</v>
      </c>
      <c r="Q111" s="91" t="str">
        <f t="shared" si="7"/>
        <v/>
      </c>
      <c r="R111" s="91">
        <f t="shared" si="10"/>
        <v>4.7800000000000003E-5</v>
      </c>
      <c r="S111" s="91" t="str">
        <f t="shared" si="11"/>
        <v/>
      </c>
      <c r="T111" s="93">
        <f>VLOOKUP(A111,'Parameters Summary'!$B$2:$AB$826,15,FALSE)</f>
        <v>3.7510300000000003E-2</v>
      </c>
      <c r="U111" s="93" t="str">
        <f>VLOOKUP(A111,'Parameters Summary'!$B$2:$AB$826,17,FALSE)</f>
        <v>WATER9 (U.S. EPA, 2001)</v>
      </c>
      <c r="V111" s="93">
        <f>VLOOKUP(A111,'Parameters Summary'!$B$2:$AB$826,16,FALSE)</f>
        <v>4.3827999999999998E-6</v>
      </c>
      <c r="W111" s="379" t="str">
        <f>VLOOKUP(A111,'Parameters Summary'!$B$2:$AB$826,17,FALSE)</f>
        <v>WATER9 (U.S. EPA, 2001)</v>
      </c>
      <c r="X111" s="290">
        <v>541.15</v>
      </c>
      <c r="Y111" s="96" t="s">
        <v>553</v>
      </c>
      <c r="Z111" s="96">
        <v>811.72499999999991</v>
      </c>
      <c r="AA111" s="96" t="s">
        <v>2220</v>
      </c>
      <c r="AB111" s="96" t="s">
        <v>1651</v>
      </c>
      <c r="AC111" s="96"/>
      <c r="AD111" s="93">
        <f>VLOOKUP(A111,'Parameters Summary'!$B$2:$AB$826,20,FALSE)</f>
        <v>840.7</v>
      </c>
      <c r="AE111" s="97" t="str">
        <f>VLOOKUP(A111,'Parameters Summary'!$B$2:$AB$826,21,FALSE)</f>
        <v>EPI</v>
      </c>
      <c r="AF111" s="97"/>
      <c r="AG111" s="94"/>
      <c r="AH111" s="92"/>
      <c r="AI111" s="96" t="s">
        <v>1794</v>
      </c>
      <c r="AJ111" s="330"/>
      <c r="AL111" s="81"/>
    </row>
    <row r="112" spans="1:38" ht="12.75" customHeight="1">
      <c r="A112" s="96" t="s">
        <v>2043</v>
      </c>
      <c r="B112" s="96" t="s">
        <v>2042</v>
      </c>
      <c r="C112" s="96" t="str">
        <f t="shared" si="8"/>
        <v>No</v>
      </c>
      <c r="D112" s="96" t="str">
        <f>VLOOKUP(A112,'Tox Summary'!$O$3:$R$824,3,FALSE)</f>
        <v>No</v>
      </c>
      <c r="E112" s="97">
        <f>VLOOKUP(A112,'Parameters Summary'!$B$2:$AB$826,4,FALSE)</f>
        <v>220.36</v>
      </c>
      <c r="F112" s="97" t="str">
        <f>VLOOKUP(A112,'Parameters Summary'!$B$2:$AB$826,5,FALSE)</f>
        <v>PHYSPROP</v>
      </c>
      <c r="G112" s="93">
        <f>VLOOKUP(A112,'Parameters Summary'!$B$2:$AB$826,9,FALSE)</f>
        <v>5.1599999999999997E-3</v>
      </c>
      <c r="H112" s="93" t="str">
        <f>VLOOKUP(A112,'Parameters Summary'!$B$2:$AB$826,10,FALSE)</f>
        <v>EPI</v>
      </c>
      <c r="I112" s="93">
        <f>VLOOKUP(A112,'Parameters Summary'!$B$2:$AB$826,24,FALSE)</f>
        <v>0.6</v>
      </c>
      <c r="J112" s="97" t="str">
        <f>VLOOKUP(A112,'Parameters Summary'!$B$2:$AB$826,25,FALSE)</f>
        <v>PHYSPROP</v>
      </c>
      <c r="K112" s="97" t="str">
        <f>VLOOKUP(A112,'Tox Summary'!$O$3:$S$827,2,FALSE)</f>
        <v/>
      </c>
      <c r="L112" s="93">
        <f>VLOOKUP(A112,'Parameters Summary'!$B$2:$AB$826,7,FALSE)</f>
        <v>4.1200000000000004E-6</v>
      </c>
      <c r="M112" s="93" t="str">
        <f>VLOOKUP(A112,'Parameters Summary'!$B$2:$AB$826,8,FALSE)</f>
        <v>PHYSPROP</v>
      </c>
      <c r="N112" s="91">
        <f>VLOOKUP(A112,'Parameters Summary'!$B$2:$AB$826,6,FALSE)</f>
        <v>1.684E-4</v>
      </c>
      <c r="O112" s="91" t="str">
        <f t="shared" si="6"/>
        <v/>
      </c>
      <c r="P112" s="91">
        <f t="shared" si="9"/>
        <v>1.684E-4</v>
      </c>
      <c r="Q112" s="91" t="str">
        <f t="shared" si="7"/>
        <v/>
      </c>
      <c r="R112" s="91">
        <f t="shared" si="10"/>
        <v>1.684E-4</v>
      </c>
      <c r="S112" s="91" t="str">
        <f t="shared" si="11"/>
        <v/>
      </c>
      <c r="T112" s="93">
        <f>VLOOKUP(A112,'Parameters Summary'!$B$2:$AB$826,15,FALSE)</f>
        <v>2.2509399999999999E-2</v>
      </c>
      <c r="U112" s="93" t="str">
        <f>VLOOKUP(A112,'Parameters Summary'!$B$2:$AB$826,17,FALSE)</f>
        <v>WATER9 (U.S. EPA, 2001)</v>
      </c>
      <c r="V112" s="93">
        <f>VLOOKUP(A112,'Parameters Summary'!$B$2:$AB$826,16,FALSE)</f>
        <v>5.5732000000000003E-6</v>
      </c>
      <c r="W112" s="379" t="str">
        <f>VLOOKUP(A112,'Parameters Summary'!$B$2:$AB$826,17,FALSE)</f>
        <v>WATER9 (U.S. EPA, 2001)</v>
      </c>
      <c r="X112" s="290">
        <v>538.15</v>
      </c>
      <c r="Y112" s="96" t="s">
        <v>553</v>
      </c>
      <c r="Z112" s="96">
        <v>807.22499999999991</v>
      </c>
      <c r="AA112" s="96" t="s">
        <v>2220</v>
      </c>
      <c r="AB112" s="96" t="s">
        <v>1651</v>
      </c>
      <c r="AC112" s="96"/>
      <c r="AD112" s="93">
        <f>VLOOKUP(A112,'Parameters Summary'!$B$2:$AB$826,20,FALSE)</f>
        <v>14750</v>
      </c>
      <c r="AE112" s="97" t="str">
        <f>VLOOKUP(A112,'Parameters Summary'!$B$2:$AB$826,21,FALSE)</f>
        <v>EPI</v>
      </c>
      <c r="AF112" s="97"/>
      <c r="AG112" s="94"/>
      <c r="AH112" s="92"/>
      <c r="AI112" s="94" t="s">
        <v>1440</v>
      </c>
      <c r="AJ112" s="330"/>
      <c r="AL112" s="81"/>
    </row>
    <row r="113" spans="1:38" ht="12.75" customHeight="1">
      <c r="A113" s="95" t="s">
        <v>1564</v>
      </c>
      <c r="B113" s="96" t="s">
        <v>1563</v>
      </c>
      <c r="C113" s="96" t="str">
        <f t="shared" si="8"/>
        <v>Yes</v>
      </c>
      <c r="D113" s="96" t="str">
        <f>VLOOKUP(A113,'Tox Summary'!$O$3:$R$824,3,FALSE)</f>
        <v>No</v>
      </c>
      <c r="E113" s="97">
        <f>VLOOKUP(A113,'Parameters Summary'!$B$2:$AB$826,4,FALSE)</f>
        <v>134.22</v>
      </c>
      <c r="F113" s="97" t="str">
        <f>VLOOKUP(A113,'Parameters Summary'!$B$2:$AB$826,5,FALSE)</f>
        <v>PHYSPROP</v>
      </c>
      <c r="G113" s="93">
        <f>VLOOKUP(A113,'Parameters Summary'!$B$2:$AB$826,9,FALSE)</f>
        <v>1.0641</v>
      </c>
      <c r="H113" s="93" t="str">
        <f>VLOOKUP(A113,'Parameters Summary'!$B$2:$AB$826,10,FALSE)</f>
        <v>PHYSPROP</v>
      </c>
      <c r="I113" s="93">
        <f>VLOOKUP(A113,'Parameters Summary'!$B$2:$AB$826,24,FALSE)</f>
        <v>11.8</v>
      </c>
      <c r="J113" s="97" t="str">
        <f>VLOOKUP(A113,'Parameters Summary'!$B$2:$AB$826,25,FALSE)</f>
        <v>PHYSPROP</v>
      </c>
      <c r="K113" s="97" t="str">
        <f>VLOOKUP(A113,'Tox Summary'!$O$3:$S$827,2,FALSE)</f>
        <v/>
      </c>
      <c r="L113" s="93">
        <f>VLOOKUP(A113,'Parameters Summary'!$B$2:$AB$826,7,FALSE)</f>
        <v>1.5900000000000001E-2</v>
      </c>
      <c r="M113" s="93" t="str">
        <f>VLOOKUP(A113,'Parameters Summary'!$B$2:$AB$826,8,FALSE)</f>
        <v>EPI</v>
      </c>
      <c r="N113" s="91">
        <f>VLOOKUP(A113,'Parameters Summary'!$B$2:$AB$826,6,FALSE)</f>
        <v>0.65004090000000003</v>
      </c>
      <c r="O113" s="91">
        <f t="shared" si="6"/>
        <v>0.65004090000000003</v>
      </c>
      <c r="P113" s="91">
        <f t="shared" si="9"/>
        <v>0.65004090000000003</v>
      </c>
      <c r="Q113" s="91">
        <f t="shared" si="7"/>
        <v>0.65004090000000003</v>
      </c>
      <c r="R113" s="91">
        <f t="shared" si="10"/>
        <v>0.65004090000000003</v>
      </c>
      <c r="S113" s="91">
        <f t="shared" si="11"/>
        <v>7685159.2042201925</v>
      </c>
      <c r="T113" s="93">
        <f>VLOOKUP(A113,'Parameters Summary'!$B$2:$AB$826,15,FALSE)</f>
        <v>5.2773199999999999E-2</v>
      </c>
      <c r="U113" s="93" t="str">
        <f>VLOOKUP(A113,'Parameters Summary'!$B$2:$AB$826,17,FALSE)</f>
        <v>WATER9 (U.S. EPA, 2001)</v>
      </c>
      <c r="V113" s="93">
        <f>VLOOKUP(A113,'Parameters Summary'!$B$2:$AB$826,16,FALSE)</f>
        <v>7.3335000000000002E-6</v>
      </c>
      <c r="W113" s="379" t="str">
        <f>VLOOKUP(A113,'Parameters Summary'!$B$2:$AB$826,17,FALSE)</f>
        <v>WATER9 (U.S. EPA, 2001)</v>
      </c>
      <c r="X113" s="290">
        <v>456.3</v>
      </c>
      <c r="Y113" s="96" t="s">
        <v>2217</v>
      </c>
      <c r="Z113" s="96">
        <v>720</v>
      </c>
      <c r="AA113" s="96" t="s">
        <v>2215</v>
      </c>
      <c r="AB113" s="96">
        <v>12267.12</v>
      </c>
      <c r="AC113" s="96" t="s">
        <v>2218</v>
      </c>
      <c r="AD113" s="93">
        <f>VLOOKUP(A113,'Parameters Summary'!$B$2:$AB$826,20,FALSE)</f>
        <v>1482</v>
      </c>
      <c r="AE113" s="97" t="str">
        <f>VLOOKUP(A113,'Parameters Summary'!$B$2:$AB$826,21,FALSE)</f>
        <v>EPI</v>
      </c>
      <c r="AF113" s="380"/>
      <c r="AG113" s="97"/>
      <c r="AH113" s="92"/>
      <c r="AI113" s="96" t="s">
        <v>1793</v>
      </c>
      <c r="AJ113" s="330"/>
      <c r="AL113" s="81"/>
    </row>
    <row r="114" spans="1:38" ht="12.75" customHeight="1">
      <c r="A114" s="95" t="s">
        <v>2028</v>
      </c>
      <c r="B114" s="96" t="s">
        <v>2027</v>
      </c>
      <c r="C114" s="96" t="str">
        <f t="shared" si="8"/>
        <v>Yes</v>
      </c>
      <c r="D114" s="96" t="str">
        <f>VLOOKUP(A114,'Tox Summary'!$O$3:$R$824,3,FALSE)</f>
        <v>Yes</v>
      </c>
      <c r="E114" s="97">
        <f>VLOOKUP(A114,'Parameters Summary'!$B$2:$AB$826,4,FALSE)</f>
        <v>134.22</v>
      </c>
      <c r="F114" s="97" t="str">
        <f>VLOOKUP(A114,'Parameters Summary'!$B$2:$AB$826,5,FALSE)</f>
        <v>PHYSPROP</v>
      </c>
      <c r="G114" s="93">
        <f>VLOOKUP(A114,'Parameters Summary'!$B$2:$AB$826,9,FALSE)</f>
        <v>1.752</v>
      </c>
      <c r="H114" s="93" t="str">
        <f>VLOOKUP(A114,'Parameters Summary'!$B$2:$AB$826,10,FALSE)</f>
        <v>PHYSPROP</v>
      </c>
      <c r="I114" s="93">
        <f>VLOOKUP(A114,'Parameters Summary'!$B$2:$AB$826,24,FALSE)</f>
        <v>17.600000000000001</v>
      </c>
      <c r="J114" s="97" t="str">
        <f>VLOOKUP(A114,'Parameters Summary'!$B$2:$AB$826,25,FALSE)</f>
        <v>PHYSPROP</v>
      </c>
      <c r="K114" s="97" t="str">
        <f>VLOOKUP(A114,'Tox Summary'!$O$3:$S$827,2,FALSE)</f>
        <v/>
      </c>
      <c r="L114" s="93">
        <f>VLOOKUP(A114,'Parameters Summary'!$B$2:$AB$826,7,FALSE)</f>
        <v>1.7600000000000001E-2</v>
      </c>
      <c r="M114" s="93" t="str">
        <f>VLOOKUP(A114,'Parameters Summary'!$B$2:$AB$826,8,FALSE)</f>
        <v>EPI</v>
      </c>
      <c r="N114" s="91">
        <f>VLOOKUP(A114,'Parameters Summary'!$B$2:$AB$826,6,FALSE)</f>
        <v>0.71954209999999996</v>
      </c>
      <c r="O114" s="91">
        <f t="shared" si="6"/>
        <v>0.71954209999999996</v>
      </c>
      <c r="P114" s="91">
        <f t="shared" si="9"/>
        <v>0.71954209999999996</v>
      </c>
      <c r="Q114" s="91">
        <f t="shared" si="7"/>
        <v>0.71954209999999996</v>
      </c>
      <c r="R114" s="91">
        <f t="shared" si="10"/>
        <v>0.71954209999999996</v>
      </c>
      <c r="S114" s="91">
        <f t="shared" si="11"/>
        <v>12653321.046700288</v>
      </c>
      <c r="T114" s="93">
        <f>VLOOKUP(A114,'Parameters Summary'!$B$2:$AB$826,15,FALSE)</f>
        <v>5.2792800000000001E-2</v>
      </c>
      <c r="U114" s="93" t="str">
        <f>VLOOKUP(A114,'Parameters Summary'!$B$2:$AB$826,17,FALSE)</f>
        <v>WATER9 (U.S. EPA, 2001)</v>
      </c>
      <c r="V114" s="93">
        <f>VLOOKUP(A114,'Parameters Summary'!$B$2:$AB$826,16,FALSE)</f>
        <v>7.3370999999999996E-6</v>
      </c>
      <c r="W114" s="379" t="str">
        <f>VLOOKUP(A114,'Parameters Summary'!$B$2:$AB$826,17,FALSE)</f>
        <v>WATER9 (U.S. EPA, 2001)</v>
      </c>
      <c r="X114" s="290">
        <v>451.5</v>
      </c>
      <c r="Y114" s="96" t="s">
        <v>553</v>
      </c>
      <c r="Z114" s="96">
        <v>677.25</v>
      </c>
      <c r="AA114" s="96" t="s">
        <v>2220</v>
      </c>
      <c r="AB114" s="96">
        <v>11467.5</v>
      </c>
      <c r="AC114" s="96" t="s">
        <v>2218</v>
      </c>
      <c r="AD114" s="93">
        <f>VLOOKUP(A114,'Parameters Summary'!$B$2:$AB$826,20,FALSE)</f>
        <v>1331</v>
      </c>
      <c r="AE114" s="97" t="str">
        <f>VLOOKUP(A114,'Parameters Summary'!$B$2:$AB$826,21,FALSE)</f>
        <v>EPI</v>
      </c>
      <c r="AF114" s="380"/>
      <c r="AG114" s="97"/>
      <c r="AH114" s="92"/>
      <c r="AI114" s="94"/>
      <c r="AJ114" s="330"/>
      <c r="AL114" s="81"/>
    </row>
    <row r="115" spans="1:38" ht="12.75" customHeight="1">
      <c r="A115" s="95" t="s">
        <v>2030</v>
      </c>
      <c r="B115" s="96" t="s">
        <v>2029</v>
      </c>
      <c r="C115" s="96" t="str">
        <f t="shared" si="8"/>
        <v>Yes</v>
      </c>
      <c r="D115" s="96" t="str">
        <f>VLOOKUP(A115,'Tox Summary'!$O$3:$R$824,3,FALSE)</f>
        <v>Yes</v>
      </c>
      <c r="E115" s="97">
        <f>VLOOKUP(A115,'Parameters Summary'!$B$2:$AB$826,4,FALSE)</f>
        <v>134.22</v>
      </c>
      <c r="F115" s="97" t="str">
        <f>VLOOKUP(A115,'Parameters Summary'!$B$2:$AB$826,5,FALSE)</f>
        <v>PHYSPROP</v>
      </c>
      <c r="G115" s="93">
        <f>VLOOKUP(A115,'Parameters Summary'!$B$2:$AB$826,9,FALSE)</f>
        <v>2.2044000000000001</v>
      </c>
      <c r="H115" s="93" t="str">
        <f>VLOOKUP(A115,'Parameters Summary'!$B$2:$AB$826,10,FALSE)</f>
        <v>PHYSPROP</v>
      </c>
      <c r="I115" s="93">
        <f>VLOOKUP(A115,'Parameters Summary'!$B$2:$AB$826,24,FALSE)</f>
        <v>29.5</v>
      </c>
      <c r="J115" s="97" t="str">
        <f>VLOOKUP(A115,'Parameters Summary'!$B$2:$AB$826,25,FALSE)</f>
        <v>PHYSPROP</v>
      </c>
      <c r="K115" s="97" t="str">
        <f>VLOOKUP(A115,'Tox Summary'!$O$3:$S$827,2,FALSE)</f>
        <v/>
      </c>
      <c r="L115" s="93">
        <f>VLOOKUP(A115,'Parameters Summary'!$B$2:$AB$826,7,FALSE)</f>
        <v>1.32E-2</v>
      </c>
      <c r="M115" s="93" t="str">
        <f>VLOOKUP(A115,'Parameters Summary'!$B$2:$AB$826,8,FALSE)</f>
        <v>EPI</v>
      </c>
      <c r="N115" s="91">
        <f>VLOOKUP(A115,'Parameters Summary'!$B$2:$AB$826,6,FALSE)</f>
        <v>0.53965660000000004</v>
      </c>
      <c r="O115" s="91">
        <f t="shared" si="6"/>
        <v>0.53965660000000004</v>
      </c>
      <c r="P115" s="91">
        <f t="shared" si="9"/>
        <v>0.53965660000000004</v>
      </c>
      <c r="Q115" s="91">
        <f t="shared" si="7"/>
        <v>0.53965660000000004</v>
      </c>
      <c r="R115" s="91">
        <f t="shared" si="10"/>
        <v>0.53965660000000004</v>
      </c>
      <c r="S115" s="91">
        <f t="shared" si="11"/>
        <v>15920651.207389336</v>
      </c>
      <c r="T115" s="93">
        <f>VLOOKUP(A115,'Parameters Summary'!$B$2:$AB$826,15,FALSE)</f>
        <v>5.29525E-2</v>
      </c>
      <c r="U115" s="93" t="str">
        <f>VLOOKUP(A115,'Parameters Summary'!$B$2:$AB$826,17,FALSE)</f>
        <v>WATER9 (U.S. EPA, 2001)</v>
      </c>
      <c r="V115" s="93">
        <f>VLOOKUP(A115,'Parameters Summary'!$B$2:$AB$826,16,FALSE)</f>
        <v>7.3661999999999999E-6</v>
      </c>
      <c r="W115" s="379" t="str">
        <f>VLOOKUP(A115,'Parameters Summary'!$B$2:$AB$826,17,FALSE)</f>
        <v>WATER9 (U.S. EPA, 2001)</v>
      </c>
      <c r="X115" s="290">
        <v>443.15</v>
      </c>
      <c r="Y115" s="96" t="s">
        <v>553</v>
      </c>
      <c r="Z115" s="96">
        <v>664.72499999999991</v>
      </c>
      <c r="AA115" s="96" t="s">
        <v>2220</v>
      </c>
      <c r="AB115" s="96">
        <v>11405.35</v>
      </c>
      <c r="AC115" s="96" t="s">
        <v>2226</v>
      </c>
      <c r="AD115" s="93">
        <f>VLOOKUP(A115,'Parameters Summary'!$B$2:$AB$826,20,FALSE)</f>
        <v>1001</v>
      </c>
      <c r="AE115" s="97" t="str">
        <f>VLOOKUP(A115,'Parameters Summary'!$B$2:$AB$826,21,FALSE)</f>
        <v>EPI</v>
      </c>
      <c r="AF115" s="380"/>
      <c r="AG115" s="97"/>
      <c r="AH115" s="92"/>
      <c r="AI115" s="94"/>
      <c r="AJ115" s="330"/>
      <c r="AL115" s="81"/>
    </row>
    <row r="116" spans="1:38" ht="12.75" customHeight="1">
      <c r="A116" s="96" t="s">
        <v>719</v>
      </c>
      <c r="B116" s="96" t="s">
        <v>2341</v>
      </c>
      <c r="C116" s="96" t="str">
        <f t="shared" si="8"/>
        <v>No</v>
      </c>
      <c r="D116" s="96" t="str">
        <f>VLOOKUP(A116,'Tox Summary'!$O$3:$R$824,3,FALSE)</f>
        <v>Yes</v>
      </c>
      <c r="E116" s="97">
        <f>VLOOKUP(A116,'Parameters Summary'!$B$2:$AB$826,4,FALSE)</f>
        <v>336.39</v>
      </c>
      <c r="F116" s="97" t="str">
        <f>VLOOKUP(A116,'Parameters Summary'!$B$2:$AB$826,5,FALSE)</f>
        <v>PHYSPROP</v>
      </c>
      <c r="G116" s="93">
        <f>VLOOKUP(A116,'Parameters Summary'!$B$2:$AB$826,9,FALSE)</f>
        <v>7.0700000000000001E-6</v>
      </c>
      <c r="H116" s="93" t="str">
        <f>VLOOKUP(A116,'Parameters Summary'!$B$2:$AB$826,10,FALSE)</f>
        <v>PHYSPROP</v>
      </c>
      <c r="I116" s="93">
        <f>VLOOKUP(A116,'Parameters Summary'!$B$2:$AB$826,24,FALSE)</f>
        <v>8.8000000000000007</v>
      </c>
      <c r="J116" s="97" t="str">
        <f>VLOOKUP(A116,'Parameters Summary'!$B$2:$AB$826,25,FALSE)</f>
        <v>PHYSPROP</v>
      </c>
      <c r="K116" s="97" t="str">
        <f>VLOOKUP(A116,'Tox Summary'!$O$3:$S$827,2,FALSE)</f>
        <v/>
      </c>
      <c r="L116" s="93">
        <f>VLOOKUP(A116,'Parameters Summary'!$B$2:$AB$826,7,FALSE)</f>
        <v>2.0599999999999999E-8</v>
      </c>
      <c r="M116" s="93" t="str">
        <f>VLOOKUP(A116,'Parameters Summary'!$B$2:$AB$826,8,FALSE)</f>
        <v>PHYSPROP</v>
      </c>
      <c r="N116" s="91">
        <f>VLOOKUP(A116,'Parameters Summary'!$B$2:$AB$826,6,FALSE)</f>
        <v>8.4219E-7</v>
      </c>
      <c r="O116" s="91" t="str">
        <f t="shared" si="6"/>
        <v/>
      </c>
      <c r="P116" s="91">
        <f t="shared" si="9"/>
        <v>8.4219E-7</v>
      </c>
      <c r="Q116" s="91" t="str">
        <f t="shared" si="7"/>
        <v/>
      </c>
      <c r="R116" s="91">
        <f t="shared" si="10"/>
        <v>8.4219E-7</v>
      </c>
      <c r="S116" s="91" t="str">
        <f t="shared" si="11"/>
        <v/>
      </c>
      <c r="T116" s="93">
        <f>VLOOKUP(A116,'Parameters Summary'!$B$2:$AB$826,15,FALSE)</f>
        <v>1.98663E-2</v>
      </c>
      <c r="U116" s="93" t="str">
        <f>VLOOKUP(A116,'Parameters Summary'!$B$2:$AB$826,17,FALSE)</f>
        <v>WATER9 (U.S. EPA, 2001)</v>
      </c>
      <c r="V116" s="93">
        <f>VLOOKUP(A116,'Parameters Summary'!$B$2:$AB$826,16,FALSE)</f>
        <v>4.8977999999999999E-6</v>
      </c>
      <c r="W116" s="379" t="str">
        <f>VLOOKUP(A116,'Parameters Summary'!$B$2:$AB$826,17,FALSE)</f>
        <v>WATER9 (U.S. EPA, 2001)</v>
      </c>
      <c r="X116" s="290">
        <v>492.15</v>
      </c>
      <c r="Y116" s="96" t="s">
        <v>553</v>
      </c>
      <c r="Z116" s="96" t="s">
        <v>1653</v>
      </c>
      <c r="AA116" s="96"/>
      <c r="AB116" s="96" t="s">
        <v>1651</v>
      </c>
      <c r="AC116" s="96"/>
      <c r="AD116" s="93">
        <f>VLOOKUP(A116,'Parameters Summary'!$B$2:$AB$826,20,FALSE)</f>
        <v>11240</v>
      </c>
      <c r="AE116" s="97" t="str">
        <f>VLOOKUP(A116,'Parameters Summary'!$B$2:$AB$826,21,FALSE)</f>
        <v>EPI</v>
      </c>
      <c r="AF116" s="97"/>
      <c r="AG116" s="94"/>
      <c r="AH116" s="92"/>
      <c r="AI116" s="94"/>
      <c r="AJ116" s="330"/>
      <c r="AL116" s="81"/>
    </row>
    <row r="117" spans="1:38" ht="12.75" customHeight="1">
      <c r="A117" s="96" t="s">
        <v>720</v>
      </c>
      <c r="B117" s="96" t="s">
        <v>1020</v>
      </c>
      <c r="C117" s="96" t="str">
        <f t="shared" si="8"/>
        <v>No</v>
      </c>
      <c r="D117" s="96" t="str">
        <f>VLOOKUP(A117,'Tox Summary'!$O$3:$R$824,3,FALSE)</f>
        <v>Yes</v>
      </c>
      <c r="E117" s="97">
        <f>VLOOKUP(A117,'Parameters Summary'!$B$2:$AB$826,4,FALSE)</f>
        <v>138</v>
      </c>
      <c r="F117" s="97" t="str">
        <f>VLOOKUP(A117,'Parameters Summary'!$B$2:$AB$826,5,FALSE)</f>
        <v>PHYSPROP</v>
      </c>
      <c r="G117" s="93">
        <f>VLOOKUP(A117,'Parameters Summary'!$B$2:$AB$826,9,FALSE)</f>
        <v>9.9999999999999995E-8</v>
      </c>
      <c r="H117" s="93" t="str">
        <f>VLOOKUP(A117,'Parameters Summary'!$B$2:$AB$826,10,FALSE)</f>
        <v>PHYSPROP</v>
      </c>
      <c r="I117" s="93">
        <f>VLOOKUP(A117,'Parameters Summary'!$B$2:$AB$826,24,FALSE)</f>
        <v>2000000</v>
      </c>
      <c r="J117" s="97" t="str">
        <f>VLOOKUP(A117,'Parameters Summary'!$B$2:$AB$826,25,FALSE)</f>
        <v>PHYSPROP</v>
      </c>
      <c r="K117" s="97" t="str">
        <f>VLOOKUP(A117,'Tox Summary'!$O$3:$S$827,2,FALSE)</f>
        <v/>
      </c>
      <c r="L117" s="93">
        <f>VLOOKUP(A117,'Parameters Summary'!$B$2:$AB$826,7,FALSE)</f>
        <v>1.7999999999999999E-14</v>
      </c>
      <c r="M117" s="93" t="str">
        <f>VLOOKUP(A117,'Parameters Summary'!$B$2:$AB$826,8,FALSE)</f>
        <v>PHYSPROP</v>
      </c>
      <c r="N117" s="91">
        <f>VLOOKUP(A117,'Parameters Summary'!$B$2:$AB$826,6,FALSE)</f>
        <v>7.3590000000000002E-13</v>
      </c>
      <c r="O117" s="91" t="str">
        <f t="shared" si="6"/>
        <v/>
      </c>
      <c r="P117" s="91">
        <f t="shared" si="9"/>
        <v>7.3590000000000002E-13</v>
      </c>
      <c r="Q117" s="91" t="str">
        <f t="shared" si="7"/>
        <v/>
      </c>
      <c r="R117" s="91">
        <f t="shared" si="10"/>
        <v>7.3590000000000002E-13</v>
      </c>
      <c r="S117" s="91" t="str">
        <f t="shared" si="11"/>
        <v/>
      </c>
      <c r="T117" s="93">
        <f>VLOOKUP(A117,'Parameters Summary'!$B$2:$AB$826,15,FALSE)</f>
        <v>7.1148799999999998E-2</v>
      </c>
      <c r="U117" s="93" t="str">
        <f>VLOOKUP(A117,'Parameters Summary'!$B$2:$AB$826,17,FALSE)</f>
        <v>WATER9 (U.S. EPA, 2001)</v>
      </c>
      <c r="V117" s="93">
        <f>VLOOKUP(A117,'Parameters Summary'!$B$2:$AB$826,16,FALSE)</f>
        <v>8.3132000000000003E-6</v>
      </c>
      <c r="W117" s="379" t="str">
        <f>VLOOKUP(A117,'Parameters Summary'!$B$2:$AB$826,17,FALSE)</f>
        <v>WATER9 (U.S. EPA, 2001)</v>
      </c>
      <c r="X117" s="290">
        <v>473.15</v>
      </c>
      <c r="Y117" s="96" t="s">
        <v>553</v>
      </c>
      <c r="Z117" s="96">
        <v>709.72499999999991</v>
      </c>
      <c r="AA117" s="96" t="s">
        <v>2220</v>
      </c>
      <c r="AB117" s="96" t="s">
        <v>1651</v>
      </c>
      <c r="AC117" s="96"/>
      <c r="AD117" s="93">
        <f>VLOOKUP(A117,'Parameters Summary'!$B$2:$AB$826,20,FALSE)</f>
        <v>43.89</v>
      </c>
      <c r="AE117" s="97" t="str">
        <f>VLOOKUP(A117,'Parameters Summary'!$B$2:$AB$826,21,FALSE)</f>
        <v>EPI</v>
      </c>
      <c r="AF117" s="97"/>
      <c r="AG117" s="94"/>
      <c r="AH117" s="92"/>
      <c r="AI117" s="94"/>
      <c r="AJ117" s="330"/>
      <c r="AL117" s="81"/>
    </row>
    <row r="118" spans="1:38" ht="12.75" customHeight="1">
      <c r="A118" s="96" t="s">
        <v>721</v>
      </c>
      <c r="B118" s="96" t="s">
        <v>554</v>
      </c>
      <c r="C118" s="96" t="str">
        <f t="shared" si="8"/>
        <v>No</v>
      </c>
      <c r="D118" s="96" t="str">
        <f>VLOOKUP(A118,'Tox Summary'!$O$3:$R$824,3,FALSE)</f>
        <v>Yes</v>
      </c>
      <c r="E118" s="97">
        <f>VLOOKUP(A118,'Parameters Summary'!$B$2:$AB$826,4,FALSE)</f>
        <v>112.4</v>
      </c>
      <c r="F118" s="97" t="str">
        <f>VLOOKUP(A118,'Parameters Summary'!$B$2:$AB$826,5,FALSE)</f>
        <v>PHYSPROP</v>
      </c>
      <c r="G118" s="93">
        <f>VLOOKUP(A118,'Parameters Summary'!$B$2:$AB$826,9,FALSE)</f>
        <v>0</v>
      </c>
      <c r="H118" s="93" t="str">
        <f>VLOOKUP(A118,'Parameters Summary'!$B$2:$AB$826,10,FALSE)</f>
        <v>NIOSH</v>
      </c>
      <c r="I118" s="93" t="s">
        <v>2440</v>
      </c>
      <c r="J118" s="97" t="str">
        <f>VLOOKUP(A118,'Parameters Summary'!$B$2:$AB$826,25,FALSE)</f>
        <v/>
      </c>
      <c r="K118" s="97" t="str">
        <f>VLOOKUP(A118,'Tox Summary'!$O$3:$S$827,2,FALSE)</f>
        <v/>
      </c>
      <c r="L118" s="93" t="str">
        <f>VLOOKUP(A118,'Parameters Summary'!$B$2:$AB$826,7,FALSE)</f>
        <v xml:space="preserve"> </v>
      </c>
      <c r="M118" s="93" t="str">
        <f>VLOOKUP(A118,'Parameters Summary'!$B$2:$AB$826,8,FALSE)</f>
        <v/>
      </c>
      <c r="N118" s="91" t="str">
        <f>VLOOKUP(A118,'Parameters Summary'!$B$2:$AB$826,6,FALSE)</f>
        <v xml:space="preserve"> </v>
      </c>
      <c r="O118" s="91" t="str">
        <f t="shared" si="6"/>
        <v/>
      </c>
      <c r="P118" s="91" t="str">
        <f t="shared" si="9"/>
        <v xml:space="preserve"> </v>
      </c>
      <c r="Q118" s="91" t="str">
        <f t="shared" si="7"/>
        <v/>
      </c>
      <c r="R118" s="91" t="str">
        <f t="shared" si="10"/>
        <v xml:space="preserve"> </v>
      </c>
      <c r="S118" s="91" t="str">
        <f t="shared" si="11"/>
        <v/>
      </c>
      <c r="T118" s="93" t="str">
        <f>VLOOKUP(A118,'Parameters Summary'!$B$2:$AB$826,15,FALSE)</f>
        <v xml:space="preserve"> </v>
      </c>
      <c r="U118" s="93" t="str">
        <f>VLOOKUP(A118,'Parameters Summary'!$B$2:$AB$826,17,FALSE)</f>
        <v/>
      </c>
      <c r="V118" s="93" t="str">
        <f>VLOOKUP(A118,'Parameters Summary'!$B$2:$AB$826,16,FALSE)</f>
        <v xml:space="preserve"> </v>
      </c>
      <c r="W118" s="379" t="str">
        <f>VLOOKUP(A118,'Parameters Summary'!$B$2:$AB$826,17,FALSE)</f>
        <v/>
      </c>
      <c r="X118" s="290">
        <v>1038.1500000000001</v>
      </c>
      <c r="Y118" s="96" t="s">
        <v>553</v>
      </c>
      <c r="Z118" s="96">
        <v>1557.2250000000001</v>
      </c>
      <c r="AA118" s="96" t="s">
        <v>2220</v>
      </c>
      <c r="AB118" s="96" t="s">
        <v>1651</v>
      </c>
      <c r="AC118" s="96"/>
      <c r="AD118" s="93" t="str">
        <f>VLOOKUP(A118,'Parameters Summary'!$B$2:$AB$826,20,FALSE)</f>
        <v xml:space="preserve"> </v>
      </c>
      <c r="AE118" s="97" t="str">
        <f>VLOOKUP(A118,'Parameters Summary'!$B$2:$AB$826,21,FALSE)</f>
        <v/>
      </c>
      <c r="AF118" s="97"/>
      <c r="AG118" s="94"/>
      <c r="AH118" s="92"/>
      <c r="AI118" s="94"/>
      <c r="AJ118" s="330"/>
      <c r="AL118" s="81"/>
    </row>
    <row r="119" spans="1:38" ht="12.75" customHeight="1">
      <c r="A119" s="96" t="s">
        <v>721</v>
      </c>
      <c r="B119" s="96" t="s">
        <v>554</v>
      </c>
      <c r="C119" s="96" t="str">
        <f t="shared" si="8"/>
        <v>No</v>
      </c>
      <c r="D119" s="96" t="str">
        <f>VLOOKUP(A119,'Tox Summary'!$O$3:$R$824,3,FALSE)</f>
        <v>Yes</v>
      </c>
      <c r="E119" s="97">
        <f>VLOOKUP(A119,'Parameters Summary'!$B$2:$AB$826,4,FALSE)</f>
        <v>112.4</v>
      </c>
      <c r="F119" s="97" t="str">
        <f>VLOOKUP(A119,'Parameters Summary'!$B$2:$AB$826,5,FALSE)</f>
        <v>PHYSPROP</v>
      </c>
      <c r="G119" s="93">
        <f>VLOOKUP(A119,'Parameters Summary'!$B$2:$AB$826,9,FALSE)</f>
        <v>0</v>
      </c>
      <c r="H119" s="93" t="str">
        <f>VLOOKUP(A119,'Parameters Summary'!$B$2:$AB$826,10,FALSE)</f>
        <v>NIOSH</v>
      </c>
      <c r="I119" s="93" t="s">
        <v>2440</v>
      </c>
      <c r="J119" s="97" t="str">
        <f>VLOOKUP(A119,'Parameters Summary'!$B$2:$AB$826,25,FALSE)</f>
        <v/>
      </c>
      <c r="K119" s="97" t="str">
        <f>VLOOKUP(A119,'Tox Summary'!$O$3:$S$827,2,FALSE)</f>
        <v/>
      </c>
      <c r="L119" s="93" t="str">
        <f>VLOOKUP(A119,'Parameters Summary'!$B$2:$AB$826,7,FALSE)</f>
        <v xml:space="preserve"> </v>
      </c>
      <c r="M119" s="93" t="str">
        <f>VLOOKUP(A119,'Parameters Summary'!$B$2:$AB$826,8,FALSE)</f>
        <v/>
      </c>
      <c r="N119" s="91" t="str">
        <f>VLOOKUP(A119,'Parameters Summary'!$B$2:$AB$826,6,FALSE)</f>
        <v xml:space="preserve"> </v>
      </c>
      <c r="O119" s="91" t="str">
        <f t="shared" si="6"/>
        <v/>
      </c>
      <c r="P119" s="91" t="str">
        <f t="shared" si="9"/>
        <v xml:space="preserve"> </v>
      </c>
      <c r="Q119" s="91" t="str">
        <f t="shared" si="7"/>
        <v/>
      </c>
      <c r="R119" s="91" t="str">
        <f t="shared" si="10"/>
        <v xml:space="preserve"> </v>
      </c>
      <c r="S119" s="91" t="str">
        <f t="shared" si="11"/>
        <v/>
      </c>
      <c r="T119" s="93" t="str">
        <f>VLOOKUP(A119,'Parameters Summary'!$B$2:$AB$826,15,FALSE)</f>
        <v xml:space="preserve"> </v>
      </c>
      <c r="U119" s="93" t="str">
        <f>VLOOKUP(A119,'Parameters Summary'!$B$2:$AB$826,17,FALSE)</f>
        <v/>
      </c>
      <c r="V119" s="93" t="str">
        <f>VLOOKUP(A119,'Parameters Summary'!$B$2:$AB$826,16,FALSE)</f>
        <v xml:space="preserve"> </v>
      </c>
      <c r="W119" s="379" t="str">
        <f>VLOOKUP(A119,'Parameters Summary'!$B$2:$AB$826,17,FALSE)</f>
        <v/>
      </c>
      <c r="X119" s="290">
        <v>1038.1500000000001</v>
      </c>
      <c r="Y119" s="96" t="s">
        <v>553</v>
      </c>
      <c r="Z119" s="96">
        <v>1557.2250000000001</v>
      </c>
      <c r="AA119" s="96" t="s">
        <v>2220</v>
      </c>
      <c r="AB119" s="96" t="s">
        <v>1651</v>
      </c>
      <c r="AC119" s="96"/>
      <c r="AD119" s="93" t="str">
        <f>VLOOKUP(A119,'Parameters Summary'!$B$2:$AB$826,20,FALSE)</f>
        <v xml:space="preserve"> </v>
      </c>
      <c r="AE119" s="97" t="str">
        <f>VLOOKUP(A119,'Parameters Summary'!$B$2:$AB$826,21,FALSE)</f>
        <v/>
      </c>
      <c r="AF119" s="97"/>
      <c r="AG119" s="94"/>
      <c r="AH119" s="92"/>
      <c r="AI119" s="94" t="s">
        <v>2104</v>
      </c>
      <c r="AJ119" s="330"/>
      <c r="AL119" s="81"/>
    </row>
    <row r="120" spans="1:38" ht="12.75" customHeight="1">
      <c r="A120" s="96" t="s">
        <v>788</v>
      </c>
      <c r="B120" s="96" t="s">
        <v>2363</v>
      </c>
      <c r="C120" s="96" t="str">
        <f t="shared" si="8"/>
        <v>No</v>
      </c>
      <c r="D120" s="96" t="str">
        <f>VLOOKUP(A120,'Tox Summary'!$O$3:$R$824,3,FALSE)</f>
        <v>No</v>
      </c>
      <c r="E120" s="97">
        <f>VLOOKUP(A120,'Parameters Summary'!$B$2:$AB$826,4,FALSE)</f>
        <v>92.116</v>
      </c>
      <c r="F120" s="97" t="str">
        <f>VLOOKUP(A120,'Parameters Summary'!$B$2:$AB$826,5,FALSE)</f>
        <v>PHYSPROP</v>
      </c>
      <c r="G120" s="93" t="s">
        <v>2439</v>
      </c>
      <c r="H120" s="93" t="str">
        <f>VLOOKUP(A120,'Parameters Summary'!$B$2:$AB$826,10,FALSE)</f>
        <v/>
      </c>
      <c r="I120" s="93" t="s">
        <v>2440</v>
      </c>
      <c r="J120" s="97" t="str">
        <f>VLOOKUP(A120,'Parameters Summary'!$B$2:$AB$826,25,FALSE)</f>
        <v/>
      </c>
      <c r="K120" s="97" t="str">
        <f>VLOOKUP(A120,'Tox Summary'!$O$3:$S$827,2,FALSE)</f>
        <v/>
      </c>
      <c r="L120" s="93" t="s">
        <v>2298</v>
      </c>
      <c r="M120" s="93" t="str">
        <f>VLOOKUP(A120,'Parameters Summary'!$B$2:$AB$826,8,FALSE)</f>
        <v/>
      </c>
      <c r="N120" s="91" t="str">
        <f>VLOOKUP(A120,'Parameters Summary'!$B$2:$AB$826,6,FALSE)</f>
        <v xml:space="preserve"> </v>
      </c>
      <c r="O120" s="91" t="str">
        <f t="shared" si="6"/>
        <v/>
      </c>
      <c r="P120" s="91" t="str">
        <f t="shared" si="9"/>
        <v xml:space="preserve"> </v>
      </c>
      <c r="Q120" s="91" t="str">
        <f t="shared" si="7"/>
        <v/>
      </c>
      <c r="R120" s="91" t="str">
        <f t="shared" si="10"/>
        <v xml:space="preserve"> </v>
      </c>
      <c r="S120" s="91" t="str">
        <f t="shared" si="11"/>
        <v/>
      </c>
      <c r="T120" s="93" t="str">
        <f>VLOOKUP(A120,'Parameters Summary'!$B$2:$AB$826,15,FALSE)</f>
        <v xml:space="preserve"> </v>
      </c>
      <c r="U120" s="93" t="str">
        <f>VLOOKUP(A120,'Parameters Summary'!$B$2:$AB$826,17,FALSE)</f>
        <v/>
      </c>
      <c r="V120" s="93" t="str">
        <f>VLOOKUP(A120,'Parameters Summary'!$B$2:$AB$826,16,FALSE)</f>
        <v xml:space="preserve"> </v>
      </c>
      <c r="W120" s="379" t="str">
        <f>VLOOKUP(A120,'Parameters Summary'!$B$2:$AB$826,17,FALSE)</f>
        <v/>
      </c>
      <c r="X120" s="347"/>
      <c r="Y120" s="96"/>
      <c r="Z120" s="96" t="s">
        <v>1653</v>
      </c>
      <c r="AA120" s="96"/>
      <c r="AB120" s="96" t="s">
        <v>1651</v>
      </c>
      <c r="AC120" s="96"/>
      <c r="AD120" s="93" t="str">
        <f>VLOOKUP(A120,'Parameters Summary'!$B$2:$AB$826,20,FALSE)</f>
        <v xml:space="preserve"> </v>
      </c>
      <c r="AE120" s="97" t="str">
        <f>VLOOKUP(A120,'Parameters Summary'!$B$2:$AB$826,21,FALSE)</f>
        <v/>
      </c>
      <c r="AF120" s="97"/>
      <c r="AG120" s="94"/>
      <c r="AH120" s="92"/>
      <c r="AI120" s="94"/>
      <c r="AJ120" s="330"/>
      <c r="AL120" s="81"/>
    </row>
    <row r="121" spans="1:38" ht="12.75" customHeight="1">
      <c r="A121" s="96" t="s">
        <v>1583</v>
      </c>
      <c r="B121" s="96" t="s">
        <v>2383</v>
      </c>
      <c r="C121" s="96" t="str">
        <f t="shared" si="8"/>
        <v>No</v>
      </c>
      <c r="D121" s="96" t="str">
        <f>VLOOKUP(A121,'Tox Summary'!$O$3:$R$824,3,FALSE)</f>
        <v>No</v>
      </c>
      <c r="E121" s="97">
        <f>VLOOKUP(A121,'Parameters Summary'!$B$2:$AB$826,4,FALSE)</f>
        <v>254.1</v>
      </c>
      <c r="F121" s="97" t="str">
        <f>VLOOKUP(A121,'Parameters Summary'!$B$2:$AB$826,5,FALSE)</f>
        <v>CRC89</v>
      </c>
      <c r="G121" s="93" t="s">
        <v>2439</v>
      </c>
      <c r="H121" s="93" t="str">
        <f>VLOOKUP(A121,'Parameters Summary'!$B$2:$AB$826,10,FALSE)</f>
        <v/>
      </c>
      <c r="I121" s="93" t="s">
        <v>2440</v>
      </c>
      <c r="J121" s="97" t="str">
        <f>VLOOKUP(A121,'Parameters Summary'!$B$2:$AB$826,25,FALSE)</f>
        <v/>
      </c>
      <c r="K121" s="97" t="str">
        <f>VLOOKUP(A121,'Tox Summary'!$O$3:$S$827,2,FALSE)</f>
        <v/>
      </c>
      <c r="L121" s="93" t="s">
        <v>2298</v>
      </c>
      <c r="M121" s="93" t="str">
        <f>VLOOKUP(A121,'Parameters Summary'!$B$2:$AB$826,8,FALSE)</f>
        <v/>
      </c>
      <c r="N121" s="91" t="str">
        <f>VLOOKUP(A121,'Parameters Summary'!$B$2:$AB$826,6,FALSE)</f>
        <v xml:space="preserve"> </v>
      </c>
      <c r="O121" s="91" t="str">
        <f t="shared" si="6"/>
        <v/>
      </c>
      <c r="P121" s="91" t="str">
        <f t="shared" si="9"/>
        <v xml:space="preserve"> </v>
      </c>
      <c r="Q121" s="91" t="str">
        <f t="shared" si="7"/>
        <v/>
      </c>
      <c r="R121" s="91" t="str">
        <f t="shared" si="10"/>
        <v xml:space="preserve"> </v>
      </c>
      <c r="S121" s="91" t="str">
        <f t="shared" si="11"/>
        <v/>
      </c>
      <c r="T121" s="93" t="str">
        <f>VLOOKUP(A121,'Parameters Summary'!$B$2:$AB$826,15,FALSE)</f>
        <v xml:space="preserve"> </v>
      </c>
      <c r="U121" s="93" t="str">
        <f>VLOOKUP(A121,'Parameters Summary'!$B$2:$AB$826,17,FALSE)</f>
        <v/>
      </c>
      <c r="V121" s="93" t="str">
        <f>VLOOKUP(A121,'Parameters Summary'!$B$2:$AB$826,16,FALSE)</f>
        <v xml:space="preserve"> </v>
      </c>
      <c r="W121" s="379" t="str">
        <f>VLOOKUP(A121,'Parameters Summary'!$B$2:$AB$826,17,FALSE)</f>
        <v/>
      </c>
      <c r="X121" s="347"/>
      <c r="Y121" s="96"/>
      <c r="Z121" s="96" t="s">
        <v>1653</v>
      </c>
      <c r="AA121" s="96"/>
      <c r="AB121" s="96" t="s">
        <v>1651</v>
      </c>
      <c r="AC121" s="96"/>
      <c r="AD121" s="93" t="str">
        <f>VLOOKUP(A121,'Parameters Summary'!$B$2:$AB$826,20,FALSE)</f>
        <v xml:space="preserve"> </v>
      </c>
      <c r="AE121" s="97" t="str">
        <f>VLOOKUP(A121,'Parameters Summary'!$B$2:$AB$826,21,FALSE)</f>
        <v/>
      </c>
      <c r="AF121" s="97"/>
      <c r="AG121" s="94"/>
      <c r="AH121" s="92"/>
      <c r="AI121" s="94" t="s">
        <v>1791</v>
      </c>
      <c r="AJ121" s="330"/>
      <c r="AL121" s="81"/>
    </row>
    <row r="122" spans="1:38" ht="12.75" customHeight="1">
      <c r="A122" s="96" t="s">
        <v>722</v>
      </c>
      <c r="B122" s="96" t="s">
        <v>1022</v>
      </c>
      <c r="C122" s="96" t="str">
        <f t="shared" si="8"/>
        <v>No</v>
      </c>
      <c r="D122" s="96" t="str">
        <f>VLOOKUP(A122,'Tox Summary'!$O$3:$R$824,3,FALSE)</f>
        <v>Yes</v>
      </c>
      <c r="E122" s="97">
        <f>VLOOKUP(A122,'Parameters Summary'!$B$2:$AB$826,4,FALSE)</f>
        <v>113.16</v>
      </c>
      <c r="F122" s="97" t="str">
        <f>VLOOKUP(A122,'Parameters Summary'!$B$2:$AB$826,5,FALSE)</f>
        <v>PHYSPROP</v>
      </c>
      <c r="G122" s="93">
        <f>VLOOKUP(A122,'Parameters Summary'!$B$2:$AB$826,9,FALSE)</f>
        <v>1.6000000000000001E-3</v>
      </c>
      <c r="H122" s="93" t="str">
        <f>VLOOKUP(A122,'Parameters Summary'!$B$2:$AB$826,10,FALSE)</f>
        <v>EPI</v>
      </c>
      <c r="I122" s="93">
        <f>VLOOKUP(A122,'Parameters Summary'!$B$2:$AB$826,24,FALSE)</f>
        <v>772000</v>
      </c>
      <c r="J122" s="97" t="str">
        <f>VLOOKUP(A122,'Parameters Summary'!$B$2:$AB$826,25,FALSE)</f>
        <v>PHYSPROP</v>
      </c>
      <c r="K122" s="97" t="str">
        <f>VLOOKUP(A122,'Tox Summary'!$O$3:$S$827,2,FALSE)</f>
        <v/>
      </c>
      <c r="L122" s="93">
        <f>VLOOKUP(A122,'Parameters Summary'!$B$2:$AB$826,7,FALSE)</f>
        <v>2.5300000000000002E-8</v>
      </c>
      <c r="M122" s="93" t="str">
        <f>VLOOKUP(A122,'Parameters Summary'!$B$2:$AB$826,8,FALSE)</f>
        <v>PHYSPROP</v>
      </c>
      <c r="N122" s="91">
        <f>VLOOKUP(A122,'Parameters Summary'!$B$2:$AB$826,6,FALSE)</f>
        <v>1.0343E-6</v>
      </c>
      <c r="O122" s="91" t="str">
        <f t="shared" si="6"/>
        <v/>
      </c>
      <c r="P122" s="91">
        <f t="shared" si="9"/>
        <v>1.0343E-6</v>
      </c>
      <c r="Q122" s="91" t="str">
        <f t="shared" si="7"/>
        <v/>
      </c>
      <c r="R122" s="91">
        <f t="shared" si="10"/>
        <v>1.0343E-6</v>
      </c>
      <c r="S122" s="91" t="str">
        <f t="shared" si="11"/>
        <v/>
      </c>
      <c r="T122" s="93">
        <f>VLOOKUP(A122,'Parameters Summary'!$B$2:$AB$826,15,FALSE)</f>
        <v>6.9242200000000004E-2</v>
      </c>
      <c r="U122" s="93" t="str">
        <f>VLOOKUP(A122,'Parameters Summary'!$B$2:$AB$826,17,FALSE)</f>
        <v>WATER9 (U.S. EPA, 2001)</v>
      </c>
      <c r="V122" s="93">
        <f>VLOOKUP(A122,'Parameters Summary'!$B$2:$AB$826,16,FALSE)</f>
        <v>8.9995000000000008E-6</v>
      </c>
      <c r="W122" s="379" t="str">
        <f>VLOOKUP(A122,'Parameters Summary'!$B$2:$AB$826,17,FALSE)</f>
        <v>WATER9 (U.S. EPA, 2001)</v>
      </c>
      <c r="X122" s="290">
        <v>543.15</v>
      </c>
      <c r="Y122" s="96" t="s">
        <v>553</v>
      </c>
      <c r="Z122" s="96">
        <v>814.72499999999991</v>
      </c>
      <c r="AA122" s="96" t="s">
        <v>2220</v>
      </c>
      <c r="AB122" s="96" t="s">
        <v>1651</v>
      </c>
      <c r="AC122" s="96"/>
      <c r="AD122" s="93">
        <f>VLOOKUP(A122,'Parameters Summary'!$B$2:$AB$826,20,FALSE)</f>
        <v>24.5</v>
      </c>
      <c r="AE122" s="97" t="str">
        <f>VLOOKUP(A122,'Parameters Summary'!$B$2:$AB$826,21,FALSE)</f>
        <v>EPI</v>
      </c>
      <c r="AF122" s="97"/>
      <c r="AG122" s="94"/>
      <c r="AH122" s="92"/>
      <c r="AI122" s="94"/>
      <c r="AJ122" s="330"/>
      <c r="AL122" s="81"/>
    </row>
    <row r="123" spans="1:38" ht="12.75" customHeight="1">
      <c r="A123" s="96" t="s">
        <v>723</v>
      </c>
      <c r="B123" s="96" t="s">
        <v>1400</v>
      </c>
      <c r="C123" s="96" t="str">
        <f t="shared" si="8"/>
        <v>No</v>
      </c>
      <c r="D123" s="96" t="str">
        <f>VLOOKUP(A123,'Tox Summary'!$O$3:$R$824,3,FALSE)</f>
        <v>No</v>
      </c>
      <c r="E123" s="97">
        <f>VLOOKUP(A123,'Parameters Summary'!$B$2:$AB$826,4,FALSE)</f>
        <v>349.06</v>
      </c>
      <c r="F123" s="97" t="str">
        <f>VLOOKUP(A123,'Parameters Summary'!$B$2:$AB$826,5,FALSE)</f>
        <v>PHYSPROP</v>
      </c>
      <c r="G123" s="93">
        <f>VLOOKUP(A123,'Parameters Summary'!$B$2:$AB$826,9,FALSE)</f>
        <v>1.4999999999999999E-8</v>
      </c>
      <c r="H123" s="93" t="str">
        <f>VLOOKUP(A123,'Parameters Summary'!$B$2:$AB$826,10,FALSE)</f>
        <v>EPI</v>
      </c>
      <c r="I123" s="93">
        <f>VLOOKUP(A123,'Parameters Summary'!$B$2:$AB$826,24,FALSE)</f>
        <v>1.4</v>
      </c>
      <c r="J123" s="97" t="str">
        <f>VLOOKUP(A123,'Parameters Summary'!$B$2:$AB$826,25,FALSE)</f>
        <v>PHYSPROP</v>
      </c>
      <c r="K123" s="97" t="str">
        <f>VLOOKUP(A123,'Tox Summary'!$O$3:$S$827,2,FALSE)</f>
        <v/>
      </c>
      <c r="L123" s="93">
        <f>VLOOKUP(A123,'Parameters Summary'!$B$2:$AB$826,7,FALSE)</f>
        <v>4.9200000000000004E-9</v>
      </c>
      <c r="M123" s="93" t="str">
        <f>VLOOKUP(A123,'Parameters Summary'!$B$2:$AB$826,8,FALSE)</f>
        <v>EPI</v>
      </c>
      <c r="N123" s="91">
        <f>VLOOKUP(A123,'Parameters Summary'!$B$2:$AB$826,6,FALSE)</f>
        <v>2.0114000000000001E-7</v>
      </c>
      <c r="O123" s="91" t="str">
        <f t="shared" si="6"/>
        <v/>
      </c>
      <c r="P123" s="91">
        <f t="shared" si="9"/>
        <v>2.0114000000000001E-7</v>
      </c>
      <c r="Q123" s="91" t="str">
        <f t="shared" si="7"/>
        <v/>
      </c>
      <c r="R123" s="91">
        <f t="shared" si="10"/>
        <v>2.0114000000000001E-7</v>
      </c>
      <c r="S123" s="91" t="str">
        <f t="shared" si="11"/>
        <v/>
      </c>
      <c r="T123" s="93">
        <f>VLOOKUP(A123,'Parameters Summary'!$B$2:$AB$826,15,FALSE)</f>
        <v>3.8325400000000003E-2</v>
      </c>
      <c r="U123" s="93" t="str">
        <f>VLOOKUP(A123,'Parameters Summary'!$B$2:$AB$826,17,FALSE)</f>
        <v>WATER9 (U.S. EPA, 2001)</v>
      </c>
      <c r="V123" s="93">
        <f>VLOOKUP(A123,'Parameters Summary'!$B$2:$AB$826,16,FALSE)</f>
        <v>4.4780000000000002E-6</v>
      </c>
      <c r="W123" s="379" t="str">
        <f>VLOOKUP(A123,'Parameters Summary'!$B$2:$AB$826,17,FALSE)</f>
        <v>WATER9 (U.S. EPA, 2001)</v>
      </c>
      <c r="X123" s="347"/>
      <c r="Y123" s="96"/>
      <c r="Z123" s="96" t="s">
        <v>1653</v>
      </c>
      <c r="AA123" s="96"/>
      <c r="AB123" s="96" t="s">
        <v>1651</v>
      </c>
      <c r="AC123" s="96"/>
      <c r="AD123" s="93">
        <f>VLOOKUP(A123,'Parameters Summary'!$B$2:$AB$826,20,FALSE)</f>
        <v>782.7</v>
      </c>
      <c r="AE123" s="97" t="str">
        <f>VLOOKUP(A123,'Parameters Summary'!$B$2:$AB$826,21,FALSE)</f>
        <v>EPI</v>
      </c>
      <c r="AF123" s="97"/>
      <c r="AG123" s="94"/>
      <c r="AH123" s="92"/>
      <c r="AI123" s="94" t="s">
        <v>1790</v>
      </c>
      <c r="AJ123" s="330"/>
      <c r="AL123" s="81"/>
    </row>
    <row r="124" spans="1:38" ht="12.75" customHeight="1">
      <c r="A124" s="96" t="s">
        <v>724</v>
      </c>
      <c r="B124" s="96" t="s">
        <v>1401</v>
      </c>
      <c r="C124" s="96" t="str">
        <f t="shared" si="8"/>
        <v>No</v>
      </c>
      <c r="D124" s="96" t="str">
        <f>VLOOKUP(A124,'Tox Summary'!$O$3:$R$824,3,FALSE)</f>
        <v>No</v>
      </c>
      <c r="E124" s="97">
        <f>VLOOKUP(A124,'Parameters Summary'!$B$2:$AB$826,4,FALSE)</f>
        <v>300.58999999999997</v>
      </c>
      <c r="F124" s="97" t="str">
        <f>VLOOKUP(A124,'Parameters Summary'!$B$2:$AB$826,5,FALSE)</f>
        <v>PHYSPROP</v>
      </c>
      <c r="G124" s="93">
        <f>VLOOKUP(A124,'Parameters Summary'!$B$2:$AB$826,9,FALSE)</f>
        <v>8.9999999999999999E-8</v>
      </c>
      <c r="H124" s="93" t="str">
        <f>VLOOKUP(A124,'Parameters Summary'!$B$2:$AB$826,10,FALSE)</f>
        <v>PHYSPROP</v>
      </c>
      <c r="I124" s="93">
        <f>VLOOKUP(A124,'Parameters Summary'!$B$2:$AB$826,24,FALSE)</f>
        <v>5.0999999999999996</v>
      </c>
      <c r="J124" s="97" t="str">
        <f>VLOOKUP(A124,'Parameters Summary'!$B$2:$AB$826,25,FALSE)</f>
        <v>PHYSPROP</v>
      </c>
      <c r="K124" s="97" t="str">
        <f>VLOOKUP(A124,'Tox Summary'!$O$3:$S$827,2,FALSE)</f>
        <v/>
      </c>
      <c r="L124" s="93">
        <f>VLOOKUP(A124,'Parameters Summary'!$B$2:$AB$826,7,FALSE)</f>
        <v>6.9999999999999998E-9</v>
      </c>
      <c r="M124" s="93" t="str">
        <f>VLOOKUP(A124,'Parameters Summary'!$B$2:$AB$826,8,FALSE)</f>
        <v>EPI</v>
      </c>
      <c r="N124" s="91">
        <f>VLOOKUP(A124,'Parameters Summary'!$B$2:$AB$826,6,FALSE)</f>
        <v>2.8617999999999999E-7</v>
      </c>
      <c r="O124" s="91" t="str">
        <f t="shared" si="6"/>
        <v/>
      </c>
      <c r="P124" s="91">
        <f t="shared" si="9"/>
        <v>2.8617999999999999E-7</v>
      </c>
      <c r="Q124" s="91" t="str">
        <f t="shared" si="7"/>
        <v/>
      </c>
      <c r="R124" s="91">
        <f t="shared" si="10"/>
        <v>2.8617999999999999E-7</v>
      </c>
      <c r="S124" s="91" t="str">
        <f t="shared" si="11"/>
        <v/>
      </c>
      <c r="T124" s="93">
        <f>VLOOKUP(A124,'Parameters Summary'!$B$2:$AB$826,15,FALSE)</f>
        <v>2.6194100000000001E-2</v>
      </c>
      <c r="U124" s="93" t="str">
        <f>VLOOKUP(A124,'Parameters Summary'!$B$2:$AB$826,17,FALSE)</f>
        <v>WATER9 (U.S. EPA, 2001)</v>
      </c>
      <c r="V124" s="93">
        <f>VLOOKUP(A124,'Parameters Summary'!$B$2:$AB$826,16,FALSE)</f>
        <v>6.8994999999999998E-6</v>
      </c>
      <c r="W124" s="379" t="str">
        <f>VLOOKUP(A124,'Parameters Summary'!$B$2:$AB$826,17,FALSE)</f>
        <v>WATER9 (U.S. EPA, 2001)</v>
      </c>
      <c r="X124" s="347"/>
      <c r="Y124" s="96"/>
      <c r="Z124" s="96" t="s">
        <v>1653</v>
      </c>
      <c r="AA124" s="96"/>
      <c r="AB124" s="96" t="s">
        <v>1651</v>
      </c>
      <c r="AC124" s="96"/>
      <c r="AD124" s="93">
        <f>VLOOKUP(A124,'Parameters Summary'!$B$2:$AB$826,20,FALSE)</f>
        <v>252.2</v>
      </c>
      <c r="AE124" s="97" t="str">
        <f>VLOOKUP(A124,'Parameters Summary'!$B$2:$AB$826,21,FALSE)</f>
        <v>EPI</v>
      </c>
      <c r="AF124" s="97"/>
      <c r="AG124" s="94"/>
      <c r="AH124" s="92"/>
      <c r="AI124" s="94"/>
      <c r="AJ124" s="330"/>
      <c r="AL124" s="81"/>
    </row>
    <row r="125" spans="1:38" ht="12.75" customHeight="1">
      <c r="A125" s="96" t="s">
        <v>725</v>
      </c>
      <c r="B125" s="96" t="s">
        <v>1023</v>
      </c>
      <c r="C125" s="96" t="str">
        <f t="shared" si="8"/>
        <v>No</v>
      </c>
      <c r="D125" s="96" t="str">
        <f>VLOOKUP(A125,'Tox Summary'!$O$3:$R$824,3,FALSE)</f>
        <v>Yes</v>
      </c>
      <c r="E125" s="97">
        <f>VLOOKUP(A125,'Parameters Summary'!$B$2:$AB$826,4,FALSE)</f>
        <v>201.23</v>
      </c>
      <c r="F125" s="97" t="str">
        <f>VLOOKUP(A125,'Parameters Summary'!$B$2:$AB$826,5,FALSE)</f>
        <v>PHYSPROP</v>
      </c>
      <c r="G125" s="93">
        <f>VLOOKUP(A125,'Parameters Summary'!$B$2:$AB$826,9,FALSE)</f>
        <v>1.3599999999999999E-6</v>
      </c>
      <c r="H125" s="93" t="str">
        <f>VLOOKUP(A125,'Parameters Summary'!$B$2:$AB$826,10,FALSE)</f>
        <v>PHYSPROP</v>
      </c>
      <c r="I125" s="93">
        <f>VLOOKUP(A125,'Parameters Summary'!$B$2:$AB$826,24,FALSE)</f>
        <v>110</v>
      </c>
      <c r="J125" s="97" t="str">
        <f>VLOOKUP(A125,'Parameters Summary'!$B$2:$AB$826,25,FALSE)</f>
        <v>PHYSPROP</v>
      </c>
      <c r="K125" s="97" t="str">
        <f>VLOOKUP(A125,'Tox Summary'!$O$3:$S$827,2,FALSE)</f>
        <v/>
      </c>
      <c r="L125" s="93">
        <f>VLOOKUP(A125,'Parameters Summary'!$B$2:$AB$826,7,FALSE)</f>
        <v>3.2700000000000001E-9</v>
      </c>
      <c r="M125" s="93" t="str">
        <f>VLOOKUP(A125,'Parameters Summary'!$B$2:$AB$826,8,FALSE)</f>
        <v>EPI</v>
      </c>
      <c r="N125" s="91">
        <f>VLOOKUP(A125,'Parameters Summary'!$B$2:$AB$826,6,FALSE)</f>
        <v>1.3369E-7</v>
      </c>
      <c r="O125" s="91" t="str">
        <f t="shared" si="6"/>
        <v/>
      </c>
      <c r="P125" s="91">
        <f t="shared" si="9"/>
        <v>1.3369E-7</v>
      </c>
      <c r="Q125" s="91" t="str">
        <f t="shared" si="7"/>
        <v/>
      </c>
      <c r="R125" s="91">
        <f t="shared" si="10"/>
        <v>1.3369E-7</v>
      </c>
      <c r="S125" s="91" t="str">
        <f t="shared" si="11"/>
        <v/>
      </c>
      <c r="T125" s="93">
        <f>VLOOKUP(A125,'Parameters Summary'!$B$2:$AB$826,15,FALSE)</f>
        <v>2.7424400000000002E-2</v>
      </c>
      <c r="U125" s="93" t="str">
        <f>VLOOKUP(A125,'Parameters Summary'!$B$2:$AB$826,17,FALSE)</f>
        <v>WATER9 (U.S. EPA, 2001)</v>
      </c>
      <c r="V125" s="93">
        <f>VLOOKUP(A125,'Parameters Summary'!$B$2:$AB$826,16,FALSE)</f>
        <v>7.1215999999999997E-6</v>
      </c>
      <c r="W125" s="379" t="str">
        <f>VLOOKUP(A125,'Parameters Summary'!$B$2:$AB$826,17,FALSE)</f>
        <v>WATER9 (U.S. EPA, 2001)</v>
      </c>
      <c r="X125" s="290">
        <v>588.15</v>
      </c>
      <c r="Y125" s="96" t="s">
        <v>553</v>
      </c>
      <c r="Z125" s="96">
        <v>882.22499999999991</v>
      </c>
      <c r="AA125" s="96" t="s">
        <v>2220</v>
      </c>
      <c r="AB125" s="96" t="s">
        <v>1651</v>
      </c>
      <c r="AC125" s="96"/>
      <c r="AD125" s="93">
        <f>VLOOKUP(A125,'Parameters Summary'!$B$2:$AB$826,20,FALSE)</f>
        <v>354.8</v>
      </c>
      <c r="AE125" s="97" t="str">
        <f>VLOOKUP(A125,'Parameters Summary'!$B$2:$AB$826,21,FALSE)</f>
        <v>EPI</v>
      </c>
      <c r="AF125" s="97"/>
      <c r="AG125" s="94"/>
      <c r="AH125" s="92"/>
      <c r="AI125" s="94" t="s">
        <v>376</v>
      </c>
      <c r="AJ125" s="330"/>
      <c r="AL125" s="81"/>
    </row>
    <row r="126" spans="1:38" ht="12.75" customHeight="1">
      <c r="A126" s="96" t="s">
        <v>726</v>
      </c>
      <c r="B126" s="96" t="s">
        <v>1024</v>
      </c>
      <c r="C126" s="96" t="str">
        <f t="shared" si="8"/>
        <v>No</v>
      </c>
      <c r="D126" s="96" t="str">
        <f>VLOOKUP(A126,'Tox Summary'!$O$3:$R$824,3,FALSE)</f>
        <v>Yes</v>
      </c>
      <c r="E126" s="97">
        <f>VLOOKUP(A126,'Parameters Summary'!$B$2:$AB$826,4,FALSE)</f>
        <v>221.26</v>
      </c>
      <c r="F126" s="97" t="str">
        <f>VLOOKUP(A126,'Parameters Summary'!$B$2:$AB$826,5,FALSE)</f>
        <v>PHYSPROP</v>
      </c>
      <c r="G126" s="93">
        <f>VLOOKUP(A126,'Parameters Summary'!$B$2:$AB$826,9,FALSE)</f>
        <v>4.8500000000000002E-6</v>
      </c>
      <c r="H126" s="93" t="str">
        <f>VLOOKUP(A126,'Parameters Summary'!$B$2:$AB$826,10,FALSE)</f>
        <v>PHYSPROP</v>
      </c>
      <c r="I126" s="93">
        <f>VLOOKUP(A126,'Parameters Summary'!$B$2:$AB$826,24,FALSE)</f>
        <v>320</v>
      </c>
      <c r="J126" s="97" t="str">
        <f>VLOOKUP(A126,'Parameters Summary'!$B$2:$AB$826,25,FALSE)</f>
        <v>PHYSPROP</v>
      </c>
      <c r="K126" s="97">
        <f>VLOOKUP(A126,'Tox Summary'!$O$3:$S$827,2,FALSE)</f>
        <v>40</v>
      </c>
      <c r="L126" s="93">
        <f>VLOOKUP(A126,'Parameters Summary'!$B$2:$AB$826,7,FALSE)</f>
        <v>3.0899999999999999E-9</v>
      </c>
      <c r="M126" s="93" t="str">
        <f>VLOOKUP(A126,'Parameters Summary'!$B$2:$AB$826,8,FALSE)</f>
        <v>EPI</v>
      </c>
      <c r="N126" s="91">
        <f>VLOOKUP(A126,'Parameters Summary'!$B$2:$AB$826,6,FALSE)</f>
        <v>1.2632999999999999E-7</v>
      </c>
      <c r="O126" s="91" t="str">
        <f t="shared" si="6"/>
        <v/>
      </c>
      <c r="P126" s="91">
        <f t="shared" si="9"/>
        <v>1.2632999999999999E-7</v>
      </c>
      <c r="Q126" s="91" t="str">
        <f t="shared" si="7"/>
        <v/>
      </c>
      <c r="R126" s="91">
        <f t="shared" si="10"/>
        <v>1.2632999999999999E-7</v>
      </c>
      <c r="S126" s="91" t="str">
        <f t="shared" si="11"/>
        <v/>
      </c>
      <c r="T126" s="93">
        <f>VLOOKUP(A126,'Parameters Summary'!$B$2:$AB$826,15,FALSE)</f>
        <v>2.5614899999999999E-2</v>
      </c>
      <c r="U126" s="93" t="str">
        <f>VLOOKUP(A126,'Parameters Summary'!$B$2:$AB$826,17,FALSE)</f>
        <v>WATER9 (U.S. EPA, 2001)</v>
      </c>
      <c r="V126" s="93">
        <f>VLOOKUP(A126,'Parameters Summary'!$B$2:$AB$826,16,FALSE)</f>
        <v>6.5683999999999997E-6</v>
      </c>
      <c r="W126" s="379" t="str">
        <f>VLOOKUP(A126,'Parameters Summary'!$B$2:$AB$826,17,FALSE)</f>
        <v>WATER9 (U.S. EPA, 2001)</v>
      </c>
      <c r="X126" s="347"/>
      <c r="Y126" s="96"/>
      <c r="Z126" s="96" t="s">
        <v>1653</v>
      </c>
      <c r="AA126" s="96"/>
      <c r="AB126" s="96" t="s">
        <v>1651</v>
      </c>
      <c r="AC126" s="96"/>
      <c r="AD126" s="93">
        <f>VLOOKUP(A126,'Parameters Summary'!$B$2:$AB$826,20,FALSE)</f>
        <v>95.25</v>
      </c>
      <c r="AE126" s="97" t="str">
        <f>VLOOKUP(A126,'Parameters Summary'!$B$2:$AB$826,21,FALSE)</f>
        <v>EPI</v>
      </c>
      <c r="AF126" s="97"/>
      <c r="AG126" s="94"/>
      <c r="AH126" s="92"/>
      <c r="AI126" s="96"/>
      <c r="AJ126" s="330"/>
      <c r="AL126" s="81"/>
    </row>
    <row r="127" spans="1:38" ht="12.75" customHeight="1">
      <c r="A127" s="96" t="s">
        <v>2492</v>
      </c>
      <c r="B127" s="96" t="s">
        <v>2491</v>
      </c>
      <c r="C127" s="96" t="str">
        <f t="shared" si="8"/>
        <v>Yes</v>
      </c>
      <c r="D127" s="96" t="str">
        <f>VLOOKUP(A127,'Tox Summary'!$O$3:$R$824,3,FALSE)</f>
        <v>Yes</v>
      </c>
      <c r="E127" s="97">
        <f>VLOOKUP(A127,'Parameters Summary'!$B$2:$AB$826,4,FALSE)</f>
        <v>175</v>
      </c>
      <c r="F127" s="97" t="str">
        <f>VLOOKUP(A127,'Parameters Summary'!$B$2:$AB$826,5,FALSE)</f>
        <v>PHYSPROP</v>
      </c>
      <c r="G127" s="93">
        <f>VLOOKUP(A127,'Parameters Summary'!$B$2:$AB$826,9,FALSE)</f>
        <v>2.84</v>
      </c>
      <c r="H127" s="93" t="str">
        <f>VLOOKUP(A127,'Parameters Summary'!$B$2:$AB$826,10,FALSE)</f>
        <v>PHYSPROP</v>
      </c>
      <c r="I127" s="93">
        <f>VLOOKUP(A127,'Parameters Summary'!$B$2:$AB$826,24,FALSE)</f>
        <v>378</v>
      </c>
      <c r="J127" s="97" t="str">
        <f>VLOOKUP(A127,'Parameters Summary'!$B$2:$AB$826,25,FALSE)</f>
        <v>PHYSPROP</v>
      </c>
      <c r="K127" s="97" t="str">
        <f>VLOOKUP(A127,'Tox Summary'!$O$3:$S$827,2,FALSE)</f>
        <v/>
      </c>
      <c r="L127" s="93">
        <f>VLOOKUP(A127,'Parameters Summary'!$B$2:$AB$826,7,FALSE)</f>
        <v>2.5000000000000001E-3</v>
      </c>
      <c r="M127" s="93" t="str">
        <f>VLOOKUP(A127,'Parameters Summary'!$B$2:$AB$826,8,FALSE)</f>
        <v>PHYSPROP</v>
      </c>
      <c r="N127" s="91">
        <f>VLOOKUP(A127,'Parameters Summary'!$B$2:$AB$826,6,FALSE)</f>
        <v>0.1022077</v>
      </c>
      <c r="O127" s="91" t="str">
        <f t="shared" si="6"/>
        <v/>
      </c>
      <c r="P127" s="91">
        <f t="shared" si="9"/>
        <v>0.1022077</v>
      </c>
      <c r="Q127" s="91" t="str">
        <f t="shared" si="7"/>
        <v/>
      </c>
      <c r="R127" s="91">
        <f t="shared" si="10"/>
        <v>0.1022077</v>
      </c>
      <c r="S127" s="91" t="str">
        <f t="shared" si="11"/>
        <v/>
      </c>
      <c r="T127" s="93">
        <f>VLOOKUP(A127,'Parameters Summary'!$B$2:$AB$826,15,FALSE)</f>
        <v>4.6200699999999997E-2</v>
      </c>
      <c r="U127" s="93" t="str">
        <f>VLOOKUP(A127,'Parameters Summary'!$B$2:$AB$826,17,FALSE)</f>
        <v>WATER9 (U.S. EPA, 2001)</v>
      </c>
      <c r="V127" s="93">
        <f>VLOOKUP(A127,'Parameters Summary'!$B$2:$AB$826,16,FALSE)</f>
        <v>9.4397000000000004E-6</v>
      </c>
      <c r="W127" s="379" t="str">
        <f>VLOOKUP(A127,'Parameters Summary'!$B$2:$AB$826,17,FALSE)</f>
        <v>WATER9 (U.S. EPA, 2001)</v>
      </c>
      <c r="X127" s="347"/>
      <c r="Y127" s="96"/>
      <c r="Z127" s="96" t="s">
        <v>1653</v>
      </c>
      <c r="AA127" s="96"/>
      <c r="AB127" s="96" t="s">
        <v>1651</v>
      </c>
      <c r="AC127" s="96"/>
      <c r="AD127" s="93">
        <f>VLOOKUP(A127,'Parameters Summary'!$B$2:$AB$826,20,FALSE)</f>
        <v>375.3</v>
      </c>
      <c r="AE127" s="97" t="str">
        <f>VLOOKUP(A127,'Parameters Summary'!$B$2:$AB$826,21,FALSE)</f>
        <v>EPI</v>
      </c>
      <c r="AF127" s="97"/>
      <c r="AG127" s="94"/>
      <c r="AH127" s="92"/>
      <c r="AI127" s="96"/>
      <c r="AJ127" s="330"/>
      <c r="AL127" s="81"/>
    </row>
    <row r="128" spans="1:38" ht="12.75" customHeight="1">
      <c r="A128" s="96" t="s">
        <v>2494</v>
      </c>
      <c r="B128" s="96" t="s">
        <v>2493</v>
      </c>
      <c r="C128" s="96" t="str">
        <f t="shared" si="8"/>
        <v>Yes</v>
      </c>
      <c r="D128" s="96" t="str">
        <f>VLOOKUP(A128,'Tox Summary'!$O$3:$R$824,3,FALSE)</f>
        <v>Yes</v>
      </c>
      <c r="E128" s="97">
        <f>VLOOKUP(A128,'Parameters Summary'!$B$2:$AB$826,4,FALSE)</f>
        <v>175</v>
      </c>
      <c r="F128" s="97" t="str">
        <f>VLOOKUP(A128,'Parameters Summary'!$B$2:$AB$826,5,FALSE)</f>
        <v>PHYSPROP</v>
      </c>
      <c r="G128" s="93">
        <f>VLOOKUP(A128,'Parameters Summary'!$B$2:$AB$826,9,FALSE)</f>
        <v>2.84</v>
      </c>
      <c r="H128" s="93" t="str">
        <f>VLOOKUP(A128,'Parameters Summary'!$B$2:$AB$826,10,FALSE)</f>
        <v>PHYSPROP</v>
      </c>
      <c r="I128" s="93">
        <f>VLOOKUP(A128,'Parameters Summary'!$B$2:$AB$826,24,FALSE)</f>
        <v>136.4</v>
      </c>
      <c r="J128" s="97" t="str">
        <f>VLOOKUP(A128,'Parameters Summary'!$B$2:$AB$826,25,FALSE)</f>
        <v>PHYSPROP</v>
      </c>
      <c r="K128" s="97" t="str">
        <f>VLOOKUP(A128,'Tox Summary'!$O$3:$S$827,2,FALSE)</f>
        <v/>
      </c>
      <c r="L128" s="93">
        <f>VLOOKUP(A128,'Parameters Summary'!$B$2:$AB$826,7,FALSE)</f>
        <v>2.5000000000000001E-3</v>
      </c>
      <c r="M128" s="93" t="str">
        <f>VLOOKUP(A128,'Parameters Summary'!$B$2:$AB$826,8,FALSE)</f>
        <v>PHYSPROP</v>
      </c>
      <c r="N128" s="91">
        <f>VLOOKUP(A128,'Parameters Summary'!$B$2:$AB$826,6,FALSE)</f>
        <v>0.1022077</v>
      </c>
      <c r="O128" s="91" t="str">
        <f t="shared" si="6"/>
        <v/>
      </c>
      <c r="P128" s="91">
        <f t="shared" si="9"/>
        <v>0.1022077</v>
      </c>
      <c r="Q128" s="91" t="str">
        <f t="shared" si="7"/>
        <v/>
      </c>
      <c r="R128" s="91">
        <f t="shared" si="10"/>
        <v>0.1022077</v>
      </c>
      <c r="S128" s="91" t="str">
        <f t="shared" si="11"/>
        <v/>
      </c>
      <c r="T128" s="93">
        <f>VLOOKUP(A128,'Parameters Summary'!$B$2:$AB$826,15,FALSE)</f>
        <v>4.4806899999999997E-2</v>
      </c>
      <c r="U128" s="93" t="str">
        <f>VLOOKUP(A128,'Parameters Summary'!$B$2:$AB$826,17,FALSE)</f>
        <v>WATER9 (U.S. EPA, 2001)</v>
      </c>
      <c r="V128" s="93">
        <f>VLOOKUP(A128,'Parameters Summary'!$B$2:$AB$826,16,FALSE)</f>
        <v>9.0527000000000006E-6</v>
      </c>
      <c r="W128" s="379" t="str">
        <f>VLOOKUP(A128,'Parameters Summary'!$B$2:$AB$826,17,FALSE)</f>
        <v>WATER9 (U.S. EPA, 2001)</v>
      </c>
      <c r="X128" s="347"/>
      <c r="Y128" s="96"/>
      <c r="Z128" s="96" t="s">
        <v>1653</v>
      </c>
      <c r="AA128" s="96"/>
      <c r="AB128" s="96" t="s">
        <v>1651</v>
      </c>
      <c r="AC128" s="96"/>
      <c r="AD128" s="93">
        <f>VLOOKUP(A128,'Parameters Summary'!$B$2:$AB$826,20,FALSE)</f>
        <v>375.3</v>
      </c>
      <c r="AE128" s="97" t="str">
        <f>VLOOKUP(A128,'Parameters Summary'!$B$2:$AB$826,21,FALSE)</f>
        <v>EPI</v>
      </c>
      <c r="AF128" s="97"/>
      <c r="AG128" s="94"/>
      <c r="AH128" s="92"/>
      <c r="AI128" s="96"/>
      <c r="AJ128" s="330"/>
      <c r="AL128" s="81"/>
    </row>
    <row r="129" spans="1:38" ht="12.75" customHeight="1">
      <c r="A129" s="96" t="s">
        <v>2496</v>
      </c>
      <c r="B129" s="96" t="s">
        <v>2495</v>
      </c>
      <c r="C129" s="96" t="str">
        <f t="shared" si="8"/>
        <v>Yes</v>
      </c>
      <c r="D129" s="96" t="str">
        <f>VLOOKUP(A129,'Tox Summary'!$O$3:$R$824,3,FALSE)</f>
        <v>Yes</v>
      </c>
      <c r="E129" s="97">
        <f>VLOOKUP(A129,'Parameters Summary'!$B$2:$AB$826,4,FALSE)</f>
        <v>122.99</v>
      </c>
      <c r="F129" s="97" t="str">
        <f>VLOOKUP(A129,'Parameters Summary'!$B$2:$AB$826,5,FALSE)</f>
        <v>EPI</v>
      </c>
      <c r="G129" s="93">
        <f>VLOOKUP(A129,'Parameters Summary'!$B$2:$AB$826,9,FALSE)</f>
        <v>110.8</v>
      </c>
      <c r="H129" s="93" t="str">
        <f>VLOOKUP(A129,'Parameters Summary'!$B$2:$AB$826,10,FALSE)</f>
        <v>EPI</v>
      </c>
      <c r="I129" s="93">
        <f>VLOOKUP(A129,'Parameters Summary'!$B$2:$AB$826,24,FALSE)</f>
        <v>2450</v>
      </c>
      <c r="J129" s="97" t="str">
        <f>VLOOKUP(A129,'Parameters Summary'!$B$2:$AB$826,25,FALSE)</f>
        <v>EPI</v>
      </c>
      <c r="K129" s="97" t="str">
        <f>VLOOKUP(A129,'Tox Summary'!$O$3:$S$827,2,FALSE)</f>
        <v/>
      </c>
      <c r="L129" s="93">
        <f>VLOOKUP(A129,'Parameters Summary'!$B$2:$AB$826,7,FALSE)</f>
        <v>7.3200000000000001E-3</v>
      </c>
      <c r="M129" s="93" t="str">
        <f>VLOOKUP(A129,'Parameters Summary'!$B$2:$AB$826,8,FALSE)</f>
        <v>EPI</v>
      </c>
      <c r="N129" s="91">
        <f>VLOOKUP(A129,'Parameters Summary'!$B$2:$AB$826,6,FALSE)</f>
        <v>0.29926000000000003</v>
      </c>
      <c r="O129" s="91" t="str">
        <f t="shared" si="6"/>
        <v/>
      </c>
      <c r="P129" s="91">
        <f t="shared" si="9"/>
        <v>0.29926000000000003</v>
      </c>
      <c r="Q129" s="91" t="str">
        <f t="shared" si="7"/>
        <v/>
      </c>
      <c r="R129" s="91">
        <f t="shared" si="10"/>
        <v>0.29926000000000003</v>
      </c>
      <c r="S129" s="91" t="str">
        <f t="shared" si="11"/>
        <v/>
      </c>
      <c r="T129" s="93">
        <f>VLOOKUP(A129,'Parameters Summary'!$B$2:$AB$826,15,FALSE)</f>
        <v>7.1693400000000004E-2</v>
      </c>
      <c r="U129" s="93" t="str">
        <f>VLOOKUP(A129,'Parameters Summary'!$B$2:$AB$826,17,FALSE)</f>
        <v>WATER9 (U.S. EPA, 2001)</v>
      </c>
      <c r="V129" s="93">
        <f>VLOOKUP(A129,'Parameters Summary'!$B$2:$AB$826,16,FALSE)</f>
        <v>1.01E-5</v>
      </c>
      <c r="W129" s="379" t="str">
        <f>VLOOKUP(A129,'Parameters Summary'!$B$2:$AB$826,17,FALSE)</f>
        <v>WATER9 (U.S. EPA, 2001)</v>
      </c>
      <c r="X129" s="347"/>
      <c r="Y129" s="96"/>
      <c r="Z129" s="96" t="s">
        <v>1653</v>
      </c>
      <c r="AA129" s="96"/>
      <c r="AB129" s="96" t="s">
        <v>1651</v>
      </c>
      <c r="AC129" s="96"/>
      <c r="AD129" s="93">
        <f>VLOOKUP(A129,'Parameters Summary'!$B$2:$AB$826,20,FALSE)</f>
        <v>39.6</v>
      </c>
      <c r="AE129" s="97" t="str">
        <f>VLOOKUP(A129,'Parameters Summary'!$B$2:$AB$826,21,FALSE)</f>
        <v>EPI</v>
      </c>
      <c r="AF129" s="97"/>
      <c r="AG129" s="94"/>
      <c r="AH129" s="92"/>
      <c r="AI129" s="96"/>
      <c r="AJ129" s="330"/>
      <c r="AL129" s="81"/>
    </row>
    <row r="130" spans="1:38" ht="12.75" customHeight="1">
      <c r="A130" s="96" t="s">
        <v>2499</v>
      </c>
      <c r="B130" s="96" t="s">
        <v>2498</v>
      </c>
      <c r="C130" s="96" t="str">
        <f t="shared" si="8"/>
        <v>Yes</v>
      </c>
      <c r="D130" s="96" t="str">
        <f>VLOOKUP(A130,'Tox Summary'!$O$3:$R$824,3,FALSE)</f>
        <v>No</v>
      </c>
      <c r="E130" s="97">
        <f>VLOOKUP(A130,'Parameters Summary'!$B$2:$AB$826,4,FALSE)</f>
        <v>80.078000000000003</v>
      </c>
      <c r="F130" s="97" t="str">
        <f>VLOOKUP(A130,'Parameters Summary'!$B$2:$AB$826,5,FALSE)</f>
        <v>PHYSPROP</v>
      </c>
      <c r="G130" s="93">
        <f>VLOOKUP(A130,'Parameters Summary'!$B$2:$AB$826,9,FALSE)</f>
        <v>1800</v>
      </c>
      <c r="H130" s="93" t="str">
        <f>VLOOKUP(A130,'Parameters Summary'!$B$2:$AB$826,10,FALSE)</f>
        <v>PHYSPROP</v>
      </c>
      <c r="I130" s="93">
        <f>VLOOKUP(A130,'Parameters Summary'!$B$2:$AB$826,24,FALSE)</f>
        <v>159.19999999999999</v>
      </c>
      <c r="J130" s="97" t="str">
        <f>VLOOKUP(A130,'Parameters Summary'!$B$2:$AB$826,25,FALSE)</f>
        <v>PHYSPROP</v>
      </c>
      <c r="K130" s="97" t="str">
        <f>VLOOKUP(A130,'Tox Summary'!$O$3:$S$827,2,FALSE)</f>
        <v/>
      </c>
      <c r="L130" s="93">
        <f>VLOOKUP(A130,'Parameters Summary'!$B$2:$AB$826,7,FALSE)</f>
        <v>0.51400000000000001</v>
      </c>
      <c r="M130" s="93" t="str">
        <f>VLOOKUP(A130,'Parameters Summary'!$B$2:$AB$826,8,FALSE)</f>
        <v>PHYSPROP</v>
      </c>
      <c r="N130" s="91">
        <f>VLOOKUP(A130,'Parameters Summary'!$B$2:$AB$826,6,FALSE)</f>
        <v>21.0139</v>
      </c>
      <c r="O130" s="91" t="str">
        <f t="shared" si="6"/>
        <v/>
      </c>
      <c r="P130" s="91">
        <f t="shared" si="9"/>
        <v>21.0139</v>
      </c>
      <c r="Q130" s="91" t="str">
        <f t="shared" si="7"/>
        <v/>
      </c>
      <c r="R130" s="91">
        <f t="shared" si="10"/>
        <v>21.0139</v>
      </c>
      <c r="S130" s="91" t="str">
        <f t="shared" si="11"/>
        <v/>
      </c>
      <c r="T130" s="93">
        <f>VLOOKUP(A130,'Parameters Summary'!$B$2:$AB$826,15,FALSE)</f>
        <v>8.9702400000000002E-2</v>
      </c>
      <c r="U130" s="93" t="str">
        <f>VLOOKUP(A130,'Parameters Summary'!$B$2:$AB$826,17,FALSE)</f>
        <v>WATER9 (U.S. EPA, 2001)</v>
      </c>
      <c r="V130" s="93">
        <f>VLOOKUP(A130,'Parameters Summary'!$B$2:$AB$826,16,FALSE)</f>
        <v>1.04E-5</v>
      </c>
      <c r="W130" s="379" t="str">
        <f>VLOOKUP(A130,'Parameters Summary'!$B$2:$AB$826,17,FALSE)</f>
        <v>WATER9 (U.S. EPA, 2001)</v>
      </c>
      <c r="X130" s="347"/>
      <c r="Y130" s="96"/>
      <c r="Z130" s="96" t="s">
        <v>1653</v>
      </c>
      <c r="AA130" s="96"/>
      <c r="AB130" s="96" t="s">
        <v>1651</v>
      </c>
      <c r="AC130" s="96"/>
      <c r="AD130" s="93">
        <f>VLOOKUP(A130,'Parameters Summary'!$B$2:$AB$826,20,FALSE)</f>
        <v>43.89</v>
      </c>
      <c r="AE130" s="97" t="str">
        <f>VLOOKUP(A130,'Parameters Summary'!$B$2:$AB$826,21,FALSE)</f>
        <v>EPI</v>
      </c>
      <c r="AF130" s="97"/>
      <c r="AG130" s="94"/>
      <c r="AH130" s="92"/>
      <c r="AI130" s="96"/>
      <c r="AJ130" s="330"/>
      <c r="AL130" s="81"/>
    </row>
    <row r="131" spans="1:38" ht="12.75" customHeight="1">
      <c r="A131" s="96" t="s">
        <v>2501</v>
      </c>
      <c r="B131" s="96" t="s">
        <v>2500</v>
      </c>
      <c r="C131" s="96" t="str">
        <f t="shared" si="8"/>
        <v>Yes</v>
      </c>
      <c r="D131" s="96" t="str">
        <f>VLOOKUP(A131,'Tox Summary'!$O$3:$R$824,3,FALSE)</f>
        <v>No</v>
      </c>
      <c r="E131" s="97">
        <f>VLOOKUP(A131,'Parameters Summary'!$B$2:$AB$826,4,FALSE)</f>
        <v>170.21</v>
      </c>
      <c r="F131" s="97" t="str">
        <f>VLOOKUP(A131,'Parameters Summary'!$B$2:$AB$826,5,FALSE)</f>
        <v>EPI</v>
      </c>
      <c r="G131" s="93">
        <f>VLOOKUP(A131,'Parameters Summary'!$B$2:$AB$826,9,FALSE)</f>
        <v>2.2499999999999999E-2</v>
      </c>
      <c r="H131" s="93" t="str">
        <f>VLOOKUP(A131,'Parameters Summary'!$B$2:$AB$826,10,FALSE)</f>
        <v>EPI</v>
      </c>
      <c r="I131" s="93">
        <f>VLOOKUP(A131,'Parameters Summary'!$B$2:$AB$826,24,FALSE)</f>
        <v>18</v>
      </c>
      <c r="J131" s="97" t="str">
        <f>VLOOKUP(A131,'Parameters Summary'!$B$2:$AB$826,25,FALSE)</f>
        <v>EPI</v>
      </c>
      <c r="K131" s="97" t="str">
        <f>VLOOKUP(A131,'Tox Summary'!$O$3:$S$827,2,FALSE)</f>
        <v/>
      </c>
      <c r="L131" s="93">
        <f>VLOOKUP(A131,'Parameters Summary'!$B$2:$AB$826,7,FALSE)</f>
        <v>2.7900000000000001E-4</v>
      </c>
      <c r="M131" s="93" t="str">
        <f>VLOOKUP(A131,'Parameters Summary'!$B$2:$AB$826,8,FALSE)</f>
        <v>EPI</v>
      </c>
      <c r="N131" s="91">
        <f>VLOOKUP(A131,'Parameters Summary'!$B$2:$AB$826,6,FALSE)</f>
        <v>1.1406400000000001E-2</v>
      </c>
      <c r="O131" s="91" t="str">
        <f t="shared" si="6"/>
        <v/>
      </c>
      <c r="P131" s="91">
        <f t="shared" si="9"/>
        <v>1.1406400000000001E-2</v>
      </c>
      <c r="Q131" s="91" t="str">
        <f t="shared" si="7"/>
        <v/>
      </c>
      <c r="R131" s="91">
        <f t="shared" si="10"/>
        <v>1.1406400000000001E-2</v>
      </c>
      <c r="S131" s="91" t="str">
        <f t="shared" si="11"/>
        <v/>
      </c>
      <c r="T131" s="93">
        <f>VLOOKUP(A131,'Parameters Summary'!$B$2:$AB$826,15,FALSE)</f>
        <v>3.9686300000000001E-2</v>
      </c>
      <c r="U131" s="93" t="str">
        <f>VLOOKUP(A131,'Parameters Summary'!$B$2:$AB$826,17,FALSE)</f>
        <v>WATER9 (U.S. EPA, 2001)</v>
      </c>
      <c r="V131" s="93">
        <f>VLOOKUP(A131,'Parameters Summary'!$B$2:$AB$826,16,FALSE)</f>
        <v>7.2336999999999999E-6</v>
      </c>
      <c r="W131" s="379" t="str">
        <f>VLOOKUP(A131,'Parameters Summary'!$B$2:$AB$826,17,FALSE)</f>
        <v>WATER9 (U.S. EPA, 2001)</v>
      </c>
      <c r="X131" s="347"/>
      <c r="Y131" s="96"/>
      <c r="Z131" s="96" t="s">
        <v>1653</v>
      </c>
      <c r="AA131" s="96"/>
      <c r="AB131" s="96" t="s">
        <v>1651</v>
      </c>
      <c r="AC131" s="96"/>
      <c r="AD131" s="93">
        <f>VLOOKUP(A131,'Parameters Summary'!$B$2:$AB$826,20,FALSE)</f>
        <v>1950</v>
      </c>
      <c r="AE131" s="97" t="str">
        <f>VLOOKUP(A131,'Parameters Summary'!$B$2:$AB$826,21,FALSE)</f>
        <v>PPRTV</v>
      </c>
      <c r="AF131" s="97"/>
      <c r="AG131" s="94"/>
      <c r="AH131" s="92"/>
      <c r="AI131" s="96"/>
      <c r="AJ131" s="330"/>
      <c r="AL131" s="81"/>
    </row>
    <row r="132" spans="1:38" ht="12.75" customHeight="1">
      <c r="A132" s="96" t="s">
        <v>2503</v>
      </c>
      <c r="B132" s="96" t="s">
        <v>2502</v>
      </c>
      <c r="C132" s="96" t="str">
        <f t="shared" si="8"/>
        <v>Yes</v>
      </c>
      <c r="D132" s="96" t="str">
        <f>VLOOKUP(A132,'Tox Summary'!$O$3:$R$824,3,FALSE)</f>
        <v>Yes</v>
      </c>
      <c r="E132" s="97">
        <f>VLOOKUP(A132,'Parameters Summary'!$B$2:$AB$826,4,FALSE)</f>
        <v>114.19</v>
      </c>
      <c r="F132" s="97" t="str">
        <f>VLOOKUP(A132,'Parameters Summary'!$B$2:$AB$826,5,FALSE)</f>
        <v>PHYSPROP</v>
      </c>
      <c r="G132" s="93">
        <f>VLOOKUP(A132,'Parameters Summary'!$B$2:$AB$826,9,FALSE)</f>
        <v>3.52</v>
      </c>
      <c r="H132" s="93" t="str">
        <f>VLOOKUP(A132,'Parameters Summary'!$B$2:$AB$826,10,FALSE)</f>
        <v>PHYSPROP</v>
      </c>
      <c r="I132" s="93">
        <f>VLOOKUP(A132,'Parameters Summary'!$B$2:$AB$826,24,FALSE)</f>
        <v>1250</v>
      </c>
      <c r="J132" s="97" t="str">
        <f>VLOOKUP(A132,'Parameters Summary'!$B$2:$AB$826,25,FALSE)</f>
        <v>PHYSPROP</v>
      </c>
      <c r="K132" s="97" t="str">
        <f>VLOOKUP(A132,'Tox Summary'!$O$3:$S$827,2,FALSE)</f>
        <v/>
      </c>
      <c r="L132" s="93">
        <f>VLOOKUP(A132,'Parameters Summary'!$B$2:$AB$826,7,FALSE)</f>
        <v>2.7E-4</v>
      </c>
      <c r="M132" s="93" t="str">
        <f>VLOOKUP(A132,'Parameters Summary'!$B$2:$AB$826,8,FALSE)</f>
        <v>PHYSPROP</v>
      </c>
      <c r="N132" s="91">
        <f>VLOOKUP(A132,'Parameters Summary'!$B$2:$AB$826,6,FALSE)</f>
        <v>1.10384E-2</v>
      </c>
      <c r="O132" s="91" t="str">
        <f t="shared" si="6"/>
        <v/>
      </c>
      <c r="P132" s="91">
        <f t="shared" si="9"/>
        <v>1.10384E-2</v>
      </c>
      <c r="Q132" s="91" t="str">
        <f t="shared" si="7"/>
        <v/>
      </c>
      <c r="R132" s="91">
        <f t="shared" si="10"/>
        <v>1.10384E-2</v>
      </c>
      <c r="S132" s="91" t="str">
        <f t="shared" si="11"/>
        <v/>
      </c>
      <c r="T132" s="93">
        <f>VLOOKUP(A132,'Parameters Summary'!$B$2:$AB$826,15,FALSE)</f>
        <v>6.1989299999999997E-2</v>
      </c>
      <c r="U132" s="93" t="str">
        <f>VLOOKUP(A132,'Parameters Summary'!$B$2:$AB$826,17,FALSE)</f>
        <v>WATER9 (U.S. EPA, 2001)</v>
      </c>
      <c r="V132" s="93">
        <f>VLOOKUP(A132,'Parameters Summary'!$B$2:$AB$826,16,FALSE)</f>
        <v>7.8128999999999993E-6</v>
      </c>
      <c r="W132" s="379" t="str">
        <f>VLOOKUP(A132,'Parameters Summary'!$B$2:$AB$826,17,FALSE)</f>
        <v>WATER9 (U.S. EPA, 2001)</v>
      </c>
      <c r="X132" s="347"/>
      <c r="Y132" s="96"/>
      <c r="Z132" s="96" t="s">
        <v>1653</v>
      </c>
      <c r="AA132" s="96"/>
      <c r="AB132" s="96" t="s">
        <v>1651</v>
      </c>
      <c r="AC132" s="96"/>
      <c r="AD132" s="93">
        <f>VLOOKUP(A132,'Parameters Summary'!$B$2:$AB$826,20,FALSE)</f>
        <v>10.85</v>
      </c>
      <c r="AE132" s="97" t="str">
        <f>VLOOKUP(A132,'Parameters Summary'!$B$2:$AB$826,21,FALSE)</f>
        <v>EPI</v>
      </c>
      <c r="AF132" s="97"/>
      <c r="AG132" s="94"/>
      <c r="AH132" s="92"/>
      <c r="AI132" s="96"/>
      <c r="AJ132" s="330"/>
      <c r="AL132" s="81"/>
    </row>
    <row r="133" spans="1:38" ht="12.75" customHeight="1">
      <c r="A133" s="96" t="s">
        <v>2506</v>
      </c>
      <c r="B133" s="96" t="s">
        <v>2505</v>
      </c>
      <c r="C133" s="96" t="str">
        <f t="shared" si="8"/>
        <v>No</v>
      </c>
      <c r="D133" s="96" t="str">
        <f>VLOOKUP(A133,'Tox Summary'!$O$3:$R$824,3,FALSE)</f>
        <v>No</v>
      </c>
      <c r="E133" s="97">
        <f>VLOOKUP(A133,'Parameters Summary'!$B$2:$AB$826,4,FALSE)</f>
        <v>71.078999999999994</v>
      </c>
      <c r="F133" s="97" t="str">
        <f>VLOOKUP(A133,'Parameters Summary'!$B$2:$AB$826,5,FALSE)</f>
        <v>PHYSPROP</v>
      </c>
      <c r="G133" s="93">
        <f>VLOOKUP(A133,'Parameters Summary'!$B$2:$AB$826,9,FALSE)</f>
        <v>0.11890000000000001</v>
      </c>
      <c r="H133" s="93" t="str">
        <f>VLOOKUP(A133,'Parameters Summary'!$B$2:$AB$826,10,FALSE)</f>
        <v>PHYSPROP</v>
      </c>
      <c r="I133" s="93">
        <f>VLOOKUP(A133,'Parameters Summary'!$B$2:$AB$826,24,FALSE)</f>
        <v>465600</v>
      </c>
      <c r="J133" s="97" t="str">
        <f>VLOOKUP(A133,'Parameters Summary'!$B$2:$AB$826,25,FALSE)</f>
        <v>PHYSPROP</v>
      </c>
      <c r="K133" s="97" t="str">
        <f>VLOOKUP(A133,'Tox Summary'!$O$3:$S$827,2,FALSE)</f>
        <v/>
      </c>
      <c r="L133" s="93">
        <f>VLOOKUP(A133,'Parameters Summary'!$B$2:$AB$826,7,FALSE)</f>
        <v>9.7999999999999993E-6</v>
      </c>
      <c r="M133" s="93" t="str">
        <f>VLOOKUP(A133,'Parameters Summary'!$B$2:$AB$826,8,FALSE)</f>
        <v>PHYSPROP</v>
      </c>
      <c r="N133" s="91">
        <f>VLOOKUP(A133,'Parameters Summary'!$B$2:$AB$826,6,FALSE)</f>
        <v>4.0069999999999998E-4</v>
      </c>
      <c r="O133" s="91" t="str">
        <f t="shared" si="6"/>
        <v/>
      </c>
      <c r="P133" s="91">
        <f t="shared" si="9"/>
        <v>4.0069999999999998E-4</v>
      </c>
      <c r="Q133" s="91" t="str">
        <f t="shared" si="7"/>
        <v/>
      </c>
      <c r="R133" s="91">
        <f t="shared" si="10"/>
        <v>4.0069999999999998E-4</v>
      </c>
      <c r="S133" s="91" t="str">
        <f t="shared" si="11"/>
        <v/>
      </c>
      <c r="T133" s="93">
        <f>VLOOKUP(A133,'Parameters Summary'!$B$2:$AB$826,15,FALSE)</f>
        <v>0.1010906</v>
      </c>
      <c r="U133" s="93" t="str">
        <f>VLOOKUP(A133,'Parameters Summary'!$B$2:$AB$826,17,FALSE)</f>
        <v>WATER9 (U.S. EPA, 2001)</v>
      </c>
      <c r="V133" s="93">
        <f>VLOOKUP(A133,'Parameters Summary'!$B$2:$AB$826,16,FALSE)</f>
        <v>1.17E-5</v>
      </c>
      <c r="W133" s="379" t="str">
        <f>VLOOKUP(A133,'Parameters Summary'!$B$2:$AB$826,17,FALSE)</f>
        <v>WATER9 (U.S. EPA, 2001)</v>
      </c>
      <c r="X133" s="347"/>
      <c r="Y133" s="96"/>
      <c r="Z133" s="96" t="s">
        <v>1653</v>
      </c>
      <c r="AA133" s="96"/>
      <c r="AB133" s="96" t="s">
        <v>1651</v>
      </c>
      <c r="AC133" s="96"/>
      <c r="AD133" s="93">
        <f>VLOOKUP(A133,'Parameters Summary'!$B$2:$AB$826,20,FALSE)</f>
        <v>1</v>
      </c>
      <c r="AE133" s="97" t="str">
        <f>VLOOKUP(A133,'Parameters Summary'!$B$2:$AB$826,21,FALSE)</f>
        <v>EPI</v>
      </c>
      <c r="AF133" s="97"/>
      <c r="AG133" s="94"/>
      <c r="AH133" s="92"/>
      <c r="AI133" s="96"/>
      <c r="AJ133" s="330"/>
      <c r="AL133" s="81"/>
    </row>
    <row r="134" spans="1:38" ht="12.75" customHeight="1">
      <c r="A134" s="96" t="s">
        <v>2508</v>
      </c>
      <c r="B134" s="96" t="s">
        <v>2507</v>
      </c>
      <c r="C134" s="96" t="str">
        <f t="shared" si="8"/>
        <v>Yes</v>
      </c>
      <c r="D134" s="96" t="str">
        <f>VLOOKUP(A134,'Tox Summary'!$O$3:$R$824,3,FALSE)</f>
        <v>Yes</v>
      </c>
      <c r="E134" s="97">
        <f>VLOOKUP(A134,'Parameters Summary'!$B$2:$AB$826,4,FALSE)</f>
        <v>102.18</v>
      </c>
      <c r="F134" s="97" t="str">
        <f>VLOOKUP(A134,'Parameters Summary'!$B$2:$AB$826,5,FALSE)</f>
        <v>PHYSPROP</v>
      </c>
      <c r="G134" s="93">
        <f>VLOOKUP(A134,'Parameters Summary'!$B$2:$AB$826,9,FALSE)</f>
        <v>5.3</v>
      </c>
      <c r="H134" s="93" t="str">
        <f>VLOOKUP(A134,'Parameters Summary'!$B$2:$AB$826,10,FALSE)</f>
        <v>PHYSPROP</v>
      </c>
      <c r="I134" s="93">
        <f>VLOOKUP(A134,'Parameters Summary'!$B$2:$AB$826,24,FALSE)</f>
        <v>16400</v>
      </c>
      <c r="J134" s="97" t="str">
        <f>VLOOKUP(A134,'Parameters Summary'!$B$2:$AB$826,25,FALSE)</f>
        <v>PHYSPROP</v>
      </c>
      <c r="K134" s="97" t="str">
        <f>VLOOKUP(A134,'Tox Summary'!$O$3:$S$827,2,FALSE)</f>
        <v/>
      </c>
      <c r="L134" s="93">
        <f>VLOOKUP(A134,'Parameters Summary'!$B$2:$AB$826,7,FALSE)</f>
        <v>4.4499999999999997E-5</v>
      </c>
      <c r="M134" s="93" t="str">
        <f>VLOOKUP(A134,'Parameters Summary'!$B$2:$AB$826,8,FALSE)</f>
        <v>PHYSPROP</v>
      </c>
      <c r="N134" s="91">
        <f>VLOOKUP(A134,'Parameters Summary'!$B$2:$AB$826,6,FALSE)</f>
        <v>1.8193E-3</v>
      </c>
      <c r="O134" s="91" t="str">
        <f t="shared" si="6"/>
        <v/>
      </c>
      <c r="P134" s="91">
        <f t="shared" si="9"/>
        <v>1.8193E-3</v>
      </c>
      <c r="Q134" s="91" t="str">
        <f t="shared" si="7"/>
        <v/>
      </c>
      <c r="R134" s="91">
        <f t="shared" si="10"/>
        <v>1.8193E-3</v>
      </c>
      <c r="S134" s="91" t="str">
        <f t="shared" si="11"/>
        <v/>
      </c>
      <c r="T134" s="93">
        <f>VLOOKUP(A134,'Parameters Summary'!$B$2:$AB$826,15,FALSE)</f>
        <v>6.8927299999999997E-2</v>
      </c>
      <c r="U134" s="93" t="str">
        <f>VLOOKUP(A134,'Parameters Summary'!$B$2:$AB$826,17,FALSE)</f>
        <v>WATER9 (U.S. EPA, 2001)</v>
      </c>
      <c r="V134" s="93">
        <f>VLOOKUP(A134,'Parameters Summary'!$B$2:$AB$826,16,FALSE)</f>
        <v>8.3164000000000005E-6</v>
      </c>
      <c r="W134" s="379" t="str">
        <f>VLOOKUP(A134,'Parameters Summary'!$B$2:$AB$826,17,FALSE)</f>
        <v>WATER9 (U.S. EPA, 2001)</v>
      </c>
      <c r="X134" s="347"/>
      <c r="Y134" s="96"/>
      <c r="Z134" s="96" t="s">
        <v>1653</v>
      </c>
      <c r="AA134" s="96"/>
      <c r="AB134" s="96" t="s">
        <v>1651</v>
      </c>
      <c r="AC134" s="96"/>
      <c r="AD134" s="93">
        <f>VLOOKUP(A134,'Parameters Summary'!$B$2:$AB$826,20,FALSE)</f>
        <v>8.1549999999999994</v>
      </c>
      <c r="AE134" s="97" t="str">
        <f>VLOOKUP(A134,'Parameters Summary'!$B$2:$AB$826,21,FALSE)</f>
        <v>EPI</v>
      </c>
      <c r="AF134" s="97"/>
      <c r="AG134" s="94"/>
      <c r="AH134" s="92"/>
      <c r="AI134" s="96"/>
      <c r="AJ134" s="330"/>
      <c r="AL134" s="81"/>
    </row>
    <row r="135" spans="1:38" ht="12.75" customHeight="1">
      <c r="A135" s="96" t="s">
        <v>2510</v>
      </c>
      <c r="B135" s="96" t="s">
        <v>2509</v>
      </c>
      <c r="C135" s="96" t="str">
        <f t="shared" si="8"/>
        <v>No</v>
      </c>
      <c r="D135" s="96" t="str">
        <f>VLOOKUP(A135,'Tox Summary'!$O$3:$R$824,3,FALSE)</f>
        <v>No</v>
      </c>
      <c r="E135" s="97">
        <f>VLOOKUP(A135,'Parameters Summary'!$B$2:$AB$826,4,FALSE)</f>
        <v>136.15</v>
      </c>
      <c r="F135" s="97" t="str">
        <f>VLOOKUP(A135,'Parameters Summary'!$B$2:$AB$826,5,FALSE)</f>
        <v>EPI</v>
      </c>
      <c r="G135" s="93">
        <f>VLOOKUP(A135,'Parameters Summary'!$B$2:$AB$826,9,FALSE)</f>
        <v>5.0800000000000002E-5</v>
      </c>
      <c r="H135" s="93" t="str">
        <f>VLOOKUP(A135,'Parameters Summary'!$B$2:$AB$826,10,FALSE)</f>
        <v>EPI</v>
      </c>
      <c r="I135" s="93">
        <f>VLOOKUP(A135,'Parameters Summary'!$B$2:$AB$826,24,FALSE)</f>
        <v>340</v>
      </c>
      <c r="J135" s="97" t="str">
        <f>VLOOKUP(A135,'Parameters Summary'!$B$2:$AB$826,25,FALSE)</f>
        <v>EPI</v>
      </c>
      <c r="K135" s="97" t="str">
        <f>VLOOKUP(A135,'Tox Summary'!$O$3:$S$827,2,FALSE)</f>
        <v/>
      </c>
      <c r="L135" s="93">
        <f>VLOOKUP(A135,'Parameters Summary'!$B$2:$AB$826,7,FALSE)</f>
        <v>2.8098000000000002E-7</v>
      </c>
      <c r="M135" s="93" t="str">
        <f>VLOOKUP(A135,'Parameters Summary'!$B$2:$AB$826,8,FALSE)</f>
        <v>YAWS</v>
      </c>
      <c r="N135" s="91">
        <f>VLOOKUP(A135,'Parameters Summary'!$B$2:$AB$826,6,FALSE)</f>
        <v>1.15E-5</v>
      </c>
      <c r="O135" s="91" t="str">
        <f t="shared" si="6"/>
        <v/>
      </c>
      <c r="P135" s="91">
        <f t="shared" si="9"/>
        <v>1.15E-5</v>
      </c>
      <c r="Q135" s="91" t="str">
        <f t="shared" si="7"/>
        <v/>
      </c>
      <c r="R135" s="91">
        <f t="shared" si="10"/>
        <v>1.15E-5</v>
      </c>
      <c r="S135" s="91" t="str">
        <f t="shared" si="11"/>
        <v/>
      </c>
      <c r="T135" s="93">
        <f>VLOOKUP(A135,'Parameters Summary'!$B$2:$AB$826,15,FALSE)</f>
        <v>6.0847199999999997E-2</v>
      </c>
      <c r="U135" s="93" t="str">
        <f>VLOOKUP(A135,'Parameters Summary'!$B$2:$AB$826,17,FALSE)</f>
        <v>WATER9 (U.S. EPA, 2001)</v>
      </c>
      <c r="V135" s="93">
        <f>VLOOKUP(A135,'Parameters Summary'!$B$2:$AB$826,16,FALSE)</f>
        <v>9.0116000000000003E-6</v>
      </c>
      <c r="W135" s="379" t="str">
        <f>VLOOKUP(A135,'Parameters Summary'!$B$2:$AB$826,17,FALSE)</f>
        <v>WATER9 (U.S. EPA, 2001)</v>
      </c>
      <c r="X135" s="347"/>
      <c r="Y135" s="96"/>
      <c r="Z135" s="96" t="s">
        <v>1653</v>
      </c>
      <c r="AA135" s="96"/>
      <c r="AB135" s="96" t="s">
        <v>1651</v>
      </c>
      <c r="AC135" s="96"/>
      <c r="AD135" s="93">
        <f>VLOOKUP(A135,'Parameters Summary'!$B$2:$AB$826,20,FALSE)</f>
        <v>27</v>
      </c>
      <c r="AE135" s="97" t="str">
        <f>VLOOKUP(A135,'Parameters Summary'!$B$2:$AB$826,21,FALSE)</f>
        <v>PPRTV</v>
      </c>
      <c r="AF135" s="97"/>
      <c r="AG135" s="94"/>
      <c r="AH135" s="92"/>
      <c r="AI135" s="96"/>
      <c r="AJ135" s="330"/>
      <c r="AL135" s="81"/>
    </row>
    <row r="136" spans="1:38" ht="12.75" customHeight="1">
      <c r="A136" s="95" t="s">
        <v>727</v>
      </c>
      <c r="B136" s="96" t="s">
        <v>1025</v>
      </c>
      <c r="C136" s="96" t="str">
        <f t="shared" si="8"/>
        <v>Yes</v>
      </c>
      <c r="D136" s="96" t="str">
        <f>VLOOKUP(A136,'Tox Summary'!$O$3:$R$824,3,FALSE)</f>
        <v>Yes</v>
      </c>
      <c r="E136" s="97">
        <f>VLOOKUP(A136,'Parameters Summary'!$B$2:$AB$826,4,FALSE)</f>
        <v>76.138999999999996</v>
      </c>
      <c r="F136" s="97" t="str">
        <f>VLOOKUP(A136,'Parameters Summary'!$B$2:$AB$826,5,FALSE)</f>
        <v>PHYSPROP</v>
      </c>
      <c r="G136" s="93">
        <f>VLOOKUP(A136,'Parameters Summary'!$B$2:$AB$826,9,FALSE)</f>
        <v>359</v>
      </c>
      <c r="H136" s="93" t="str">
        <f>VLOOKUP(A136,'Parameters Summary'!$B$2:$AB$826,10,FALSE)</f>
        <v>PHYSPROP</v>
      </c>
      <c r="I136" s="93">
        <f>VLOOKUP(A136,'Parameters Summary'!$B$2:$AB$826,24,FALSE)</f>
        <v>2160</v>
      </c>
      <c r="J136" s="97" t="str">
        <f>VLOOKUP(A136,'Parameters Summary'!$B$2:$AB$826,25,FALSE)</f>
        <v>PHYSPROP</v>
      </c>
      <c r="K136" s="97" t="str">
        <f>VLOOKUP(A136,'Tox Summary'!$O$3:$S$827,2,FALSE)</f>
        <v/>
      </c>
      <c r="L136" s="93">
        <f>VLOOKUP(A136,'Parameters Summary'!$B$2:$AB$826,7,FALSE)</f>
        <v>1.44E-2</v>
      </c>
      <c r="M136" s="93" t="str">
        <f>VLOOKUP(A136,'Parameters Summary'!$B$2:$AB$826,8,FALSE)</f>
        <v>PHYSPROP</v>
      </c>
      <c r="N136" s="91">
        <f>VLOOKUP(A136,'Parameters Summary'!$B$2:$AB$826,6,FALSE)</f>
        <v>0.58871629999999997</v>
      </c>
      <c r="O136" s="91">
        <f t="shared" si="6"/>
        <v>0.58871629999999997</v>
      </c>
      <c r="P136" s="91">
        <f t="shared" si="9"/>
        <v>0.58871629999999997</v>
      </c>
      <c r="Q136" s="91">
        <f t="shared" si="7"/>
        <v>0.58871629999999997</v>
      </c>
      <c r="R136" s="91">
        <f t="shared" si="10"/>
        <v>0.58871629999999997</v>
      </c>
      <c r="S136" s="91">
        <f t="shared" si="11"/>
        <v>1470804019.7571509</v>
      </c>
      <c r="T136" s="93">
        <f>VLOOKUP(A136,'Parameters Summary'!$B$2:$AB$826,15,FALSE)</f>
        <v>0.1064373</v>
      </c>
      <c r="U136" s="93" t="str">
        <f>VLOOKUP(A136,'Parameters Summary'!$B$2:$AB$826,17,FALSE)</f>
        <v>WATER9 (U.S. EPA, 2001)</v>
      </c>
      <c r="V136" s="93">
        <f>VLOOKUP(A136,'Parameters Summary'!$B$2:$AB$826,16,FALSE)</f>
        <v>1.2999999999999999E-5</v>
      </c>
      <c r="W136" s="379" t="str">
        <f>VLOOKUP(A136,'Parameters Summary'!$B$2:$AB$826,17,FALSE)</f>
        <v>WATER9 (U.S. EPA, 2001)</v>
      </c>
      <c r="X136" s="290">
        <v>319</v>
      </c>
      <c r="Y136" s="96" t="s">
        <v>553</v>
      </c>
      <c r="Z136" s="96">
        <v>552</v>
      </c>
      <c r="AA136" s="96" t="s">
        <v>2227</v>
      </c>
      <c r="AB136" s="96">
        <v>6391</v>
      </c>
      <c r="AC136" s="96" t="s">
        <v>2227</v>
      </c>
      <c r="AD136" s="93">
        <f>VLOOKUP(A136,'Parameters Summary'!$B$2:$AB$826,20,FALSE)</f>
        <v>21.73</v>
      </c>
      <c r="AE136" s="97" t="str">
        <f>VLOOKUP(A136,'Parameters Summary'!$B$2:$AB$826,21,FALSE)</f>
        <v>EPI</v>
      </c>
      <c r="AF136" s="380">
        <v>1.3</v>
      </c>
      <c r="AG136" s="97" t="s">
        <v>302</v>
      </c>
      <c r="AH136" s="92"/>
      <c r="AI136" s="94" t="s">
        <v>389</v>
      </c>
      <c r="AJ136" s="330"/>
      <c r="AL136" s="81"/>
    </row>
    <row r="137" spans="1:38" ht="12.75" customHeight="1">
      <c r="A137" s="95" t="s">
        <v>728</v>
      </c>
      <c r="B137" s="96" t="s">
        <v>1026</v>
      </c>
      <c r="C137" s="96" t="str">
        <f t="shared" si="8"/>
        <v>Yes</v>
      </c>
      <c r="D137" s="96" t="str">
        <f>VLOOKUP(A137,'Tox Summary'!$O$3:$R$824,3,FALSE)</f>
        <v>No</v>
      </c>
      <c r="E137" s="97">
        <f>VLOOKUP(A137,'Parameters Summary'!$B$2:$AB$826,4,FALSE)</f>
        <v>153.82</v>
      </c>
      <c r="F137" s="97" t="str">
        <f>VLOOKUP(A137,'Parameters Summary'!$B$2:$AB$826,5,FALSE)</f>
        <v>PHYSPROP</v>
      </c>
      <c r="G137" s="93">
        <f>VLOOKUP(A137,'Parameters Summary'!$B$2:$AB$826,9,FALSE)</f>
        <v>115</v>
      </c>
      <c r="H137" s="93" t="str">
        <f>VLOOKUP(A137,'Parameters Summary'!$B$2:$AB$826,10,FALSE)</f>
        <v>PHYSPROP</v>
      </c>
      <c r="I137" s="93">
        <f>VLOOKUP(A137,'Parameters Summary'!$B$2:$AB$826,24,FALSE)</f>
        <v>793</v>
      </c>
      <c r="J137" s="97" t="str">
        <f>VLOOKUP(A137,'Parameters Summary'!$B$2:$AB$826,25,FALSE)</f>
        <v>PHYSPROP</v>
      </c>
      <c r="K137" s="97">
        <f>VLOOKUP(A137,'Tox Summary'!$O$3:$S$827,2,FALSE)</f>
        <v>5</v>
      </c>
      <c r="L137" s="93">
        <f>VLOOKUP(A137,'Parameters Summary'!$B$2:$AB$826,7,FALSE)</f>
        <v>2.76E-2</v>
      </c>
      <c r="M137" s="93" t="str">
        <f>VLOOKUP(A137,'Parameters Summary'!$B$2:$AB$826,8,FALSE)</f>
        <v>PHYSPROP</v>
      </c>
      <c r="N137" s="91">
        <f>VLOOKUP(A137,'Parameters Summary'!$B$2:$AB$826,6,FALSE)</f>
        <v>1.1283729</v>
      </c>
      <c r="O137" s="91">
        <f t="shared" si="6"/>
        <v>1.1283729</v>
      </c>
      <c r="P137" s="91">
        <f t="shared" si="9"/>
        <v>1.1283729</v>
      </c>
      <c r="Q137" s="91">
        <f t="shared" si="7"/>
        <v>1.1283729</v>
      </c>
      <c r="R137" s="91">
        <f t="shared" si="10"/>
        <v>1.1283729</v>
      </c>
      <c r="S137" s="91">
        <f t="shared" si="11"/>
        <v>951839751.91430497</v>
      </c>
      <c r="T137" s="93">
        <f>VLOOKUP(A137,'Parameters Summary'!$B$2:$AB$826,15,FALSE)</f>
        <v>5.71435E-2</v>
      </c>
      <c r="U137" s="93" t="str">
        <f>VLOOKUP(A137,'Parameters Summary'!$B$2:$AB$826,17,FALSE)</f>
        <v>WATER9 (U.S. EPA, 2001)</v>
      </c>
      <c r="V137" s="93">
        <f>VLOOKUP(A137,'Parameters Summary'!$B$2:$AB$826,16,FALSE)</f>
        <v>9.7849000000000001E-6</v>
      </c>
      <c r="W137" s="379" t="str">
        <f>VLOOKUP(A137,'Parameters Summary'!$B$2:$AB$826,17,FALSE)</f>
        <v>WATER9 (U.S. EPA, 2001)</v>
      </c>
      <c r="X137" s="290">
        <v>349.8</v>
      </c>
      <c r="Y137" s="96" t="s">
        <v>553</v>
      </c>
      <c r="Z137" s="96">
        <v>556.6</v>
      </c>
      <c r="AA137" s="96" t="s">
        <v>2227</v>
      </c>
      <c r="AB137" s="96">
        <v>7127</v>
      </c>
      <c r="AC137" s="96" t="s">
        <v>2227</v>
      </c>
      <c r="AD137" s="93">
        <f>VLOOKUP(A137,'Parameters Summary'!$B$2:$AB$826,20,FALSE)</f>
        <v>43.89</v>
      </c>
      <c r="AE137" s="97" t="str">
        <f>VLOOKUP(A137,'Parameters Summary'!$B$2:$AB$826,21,FALSE)</f>
        <v>EPI</v>
      </c>
      <c r="AF137" s="380"/>
      <c r="AG137" s="97"/>
      <c r="AH137" s="92"/>
      <c r="AI137" s="94"/>
      <c r="AJ137" s="330"/>
      <c r="AL137" s="81"/>
    </row>
    <row r="138" spans="1:38" ht="12.75" customHeight="1">
      <c r="A138" s="96" t="s">
        <v>2280</v>
      </c>
      <c r="B138" s="96" t="s">
        <v>2281</v>
      </c>
      <c r="C138" s="96" t="str">
        <f t="shared" si="8"/>
        <v>Yes</v>
      </c>
      <c r="D138" s="96" t="str">
        <f>VLOOKUP(A138,'Tox Summary'!$O$3:$R$824,3,FALSE)</f>
        <v>No</v>
      </c>
      <c r="E138" s="97">
        <f>VLOOKUP(A138,'Parameters Summary'!$B$2:$AB$826,4,FALSE)</f>
        <v>60.075000000000003</v>
      </c>
      <c r="F138" s="97" t="str">
        <f>VLOOKUP(A138,'Parameters Summary'!$B$2:$AB$826,5,FALSE)</f>
        <v>PHYSPROP</v>
      </c>
      <c r="G138" s="93">
        <f>VLOOKUP(A138,'Parameters Summary'!$B$2:$AB$826,9,FALSE)</f>
        <v>9412</v>
      </c>
      <c r="H138" s="93" t="str">
        <f>VLOOKUP(A138,'Parameters Summary'!$B$2:$AB$826,10,FALSE)</f>
        <v>PHYSPROP</v>
      </c>
      <c r="I138" s="93">
        <f>VLOOKUP(A138,'Parameters Summary'!$B$2:$AB$826,24,FALSE)</f>
        <v>1220</v>
      </c>
      <c r="J138" s="97" t="str">
        <f>VLOOKUP(A138,'Parameters Summary'!$B$2:$AB$826,25,FALSE)</f>
        <v>PHYSPROP</v>
      </c>
      <c r="K138" s="97" t="str">
        <f>VLOOKUP(A138,'Tox Summary'!$O$3:$S$827,2,FALSE)</f>
        <v/>
      </c>
      <c r="L138" s="93">
        <f>VLOOKUP(A138,'Parameters Summary'!$B$2:$AB$826,7,FALSE)</f>
        <v>0.61</v>
      </c>
      <c r="M138" s="93" t="str">
        <f>VLOOKUP(A138,'Parameters Summary'!$B$2:$AB$826,8,FALSE)</f>
        <v>EPI</v>
      </c>
      <c r="N138" s="91">
        <f>VLOOKUP(A138,'Parameters Summary'!$B$2:$AB$826,6,FALSE)</f>
        <v>24.94</v>
      </c>
      <c r="O138" s="91">
        <f t="shared" si="6"/>
        <v>24.94</v>
      </c>
      <c r="P138" s="91">
        <f t="shared" si="9"/>
        <v>24.94</v>
      </c>
      <c r="Q138" s="91">
        <f t="shared" si="7"/>
        <v>24.94</v>
      </c>
      <c r="R138" s="91">
        <f t="shared" si="10"/>
        <v>24.94</v>
      </c>
      <c r="S138" s="91">
        <f t="shared" si="11"/>
        <v>30424881051.365665</v>
      </c>
      <c r="T138" s="93">
        <f>VLOOKUP(A138,'Parameters Summary'!$B$2:$AB$826,15,FALSE)</f>
        <v>0.1157542</v>
      </c>
      <c r="U138" s="93" t="str">
        <f>VLOOKUP(A138,'Parameters Summary'!$B$2:$AB$826,17,FALSE)</f>
        <v>WATER9 (U.S. EPA, 2001)</v>
      </c>
      <c r="V138" s="93">
        <f>VLOOKUP(A138,'Parameters Summary'!$B$2:$AB$826,16,FALSE)</f>
        <v>1.3200000000000001E-5</v>
      </c>
      <c r="W138" s="379" t="str">
        <f>VLOOKUP(A138,'Parameters Summary'!$B$2:$AB$826,17,FALSE)</f>
        <v>WATER9 (U.S. EPA, 2001)</v>
      </c>
      <c r="X138" s="347">
        <v>223</v>
      </c>
      <c r="Y138" s="96" t="s">
        <v>1620</v>
      </c>
      <c r="Z138" s="96">
        <v>378.15</v>
      </c>
      <c r="AA138" s="96" t="s">
        <v>2323</v>
      </c>
      <c r="AB138" s="96">
        <v>4.66</v>
      </c>
      <c r="AC138" s="96" t="s">
        <v>2213</v>
      </c>
      <c r="AD138" s="93">
        <f>VLOOKUP(A138,'Parameters Summary'!$B$2:$AB$826,20,FALSE)</f>
        <v>1</v>
      </c>
      <c r="AE138" s="97" t="str">
        <f>VLOOKUP(A138,'Parameters Summary'!$B$2:$AB$826,21,FALSE)</f>
        <v>EPI</v>
      </c>
      <c r="AF138" s="97"/>
      <c r="AG138" s="94"/>
      <c r="AH138" s="92"/>
      <c r="AI138" s="94"/>
      <c r="AJ138" s="330"/>
      <c r="AL138" s="81"/>
    </row>
    <row r="139" spans="1:38" ht="12.75" customHeight="1">
      <c r="A139" s="96" t="s">
        <v>729</v>
      </c>
      <c r="B139" s="96" t="s">
        <v>1027</v>
      </c>
      <c r="C139" s="96" t="str">
        <f t="shared" si="8"/>
        <v>No</v>
      </c>
      <c r="D139" s="96" t="str">
        <f>VLOOKUP(A139,'Tox Summary'!$O$3:$R$824,3,FALSE)</f>
        <v>Yes</v>
      </c>
      <c r="E139" s="97">
        <f>VLOOKUP(A139,'Parameters Summary'!$B$2:$AB$826,4,FALSE)</f>
        <v>380.55</v>
      </c>
      <c r="F139" s="97" t="str">
        <f>VLOOKUP(A139,'Parameters Summary'!$B$2:$AB$826,5,FALSE)</f>
        <v>PHYSPROP</v>
      </c>
      <c r="G139" s="93">
        <f>VLOOKUP(A139,'Parameters Summary'!$B$2:$AB$826,9,FALSE)</f>
        <v>3.0699999999999998E-7</v>
      </c>
      <c r="H139" s="93" t="str">
        <f>VLOOKUP(A139,'Parameters Summary'!$B$2:$AB$826,10,FALSE)</f>
        <v>PHYSPROP</v>
      </c>
      <c r="I139" s="93">
        <f>VLOOKUP(A139,'Parameters Summary'!$B$2:$AB$826,24,FALSE)</f>
        <v>0.3</v>
      </c>
      <c r="J139" s="97" t="str">
        <f>VLOOKUP(A139,'Parameters Summary'!$B$2:$AB$826,25,FALSE)</f>
        <v>PHYSPROP</v>
      </c>
      <c r="K139" s="97" t="str">
        <f>VLOOKUP(A139,'Tox Summary'!$O$3:$S$827,2,FALSE)</f>
        <v/>
      </c>
      <c r="L139" s="93">
        <f>VLOOKUP(A139,'Parameters Summary'!$B$2:$AB$826,7,FALSE)</f>
        <v>5.1200000000000003E-7</v>
      </c>
      <c r="M139" s="93" t="str">
        <f>VLOOKUP(A139,'Parameters Summary'!$B$2:$AB$826,8,FALSE)</f>
        <v>EPI</v>
      </c>
      <c r="N139" s="91">
        <f>VLOOKUP(A139,'Parameters Summary'!$B$2:$AB$826,6,FALSE)</f>
        <v>2.09E-5</v>
      </c>
      <c r="O139" s="91" t="str">
        <f t="shared" si="6"/>
        <v/>
      </c>
      <c r="P139" s="91">
        <f t="shared" si="9"/>
        <v>2.09E-5</v>
      </c>
      <c r="Q139" s="91" t="str">
        <f t="shared" si="7"/>
        <v/>
      </c>
      <c r="R139" s="91">
        <f t="shared" si="10"/>
        <v>2.09E-5</v>
      </c>
      <c r="S139" s="91" t="str">
        <f t="shared" si="11"/>
        <v/>
      </c>
      <c r="T139" s="93">
        <f>VLOOKUP(A139,'Parameters Summary'!$B$2:$AB$826,15,FALSE)</f>
        <v>1.8238799999999999E-2</v>
      </c>
      <c r="U139" s="93" t="str">
        <f>VLOOKUP(A139,'Parameters Summary'!$B$2:$AB$826,17,FALSE)</f>
        <v>WATER9 (U.S. EPA, 2001)</v>
      </c>
      <c r="V139" s="93">
        <f>VLOOKUP(A139,'Parameters Summary'!$B$2:$AB$826,16,FALSE)</f>
        <v>4.4383999999999997E-6</v>
      </c>
      <c r="W139" s="379" t="str">
        <f>VLOOKUP(A139,'Parameters Summary'!$B$2:$AB$826,17,FALSE)</f>
        <v>WATER9 (U.S. EPA, 2001)</v>
      </c>
      <c r="X139" s="347"/>
      <c r="Y139" s="96"/>
      <c r="Z139" s="96" t="s">
        <v>1653</v>
      </c>
      <c r="AA139" s="96"/>
      <c r="AB139" s="96" t="s">
        <v>1651</v>
      </c>
      <c r="AC139" s="96"/>
      <c r="AD139" s="93">
        <f>VLOOKUP(A139,'Parameters Summary'!$B$2:$AB$826,20,FALSE)</f>
        <v>11960</v>
      </c>
      <c r="AE139" s="97" t="str">
        <f>VLOOKUP(A139,'Parameters Summary'!$B$2:$AB$826,21,FALSE)</f>
        <v>EPI</v>
      </c>
      <c r="AF139" s="97"/>
      <c r="AG139" s="94"/>
      <c r="AH139" s="92"/>
      <c r="AI139" s="94"/>
      <c r="AJ139" s="330"/>
      <c r="AL139" s="81"/>
    </row>
    <row r="140" spans="1:38" ht="12.75" customHeight="1">
      <c r="A140" s="96" t="s">
        <v>730</v>
      </c>
      <c r="B140" s="96" t="s">
        <v>1028</v>
      </c>
      <c r="C140" s="96" t="str">
        <f t="shared" si="8"/>
        <v>No</v>
      </c>
      <c r="D140" s="96" t="str">
        <f>VLOOKUP(A140,'Tox Summary'!$O$3:$R$824,3,FALSE)</f>
        <v>No</v>
      </c>
      <c r="E140" s="97">
        <f>VLOOKUP(A140,'Parameters Summary'!$B$2:$AB$826,4,FALSE)</f>
        <v>235.31</v>
      </c>
      <c r="F140" s="97" t="str">
        <f>VLOOKUP(A140,'Parameters Summary'!$B$2:$AB$826,5,FALSE)</f>
        <v>PHYSPROP</v>
      </c>
      <c r="G140" s="93">
        <f>VLOOKUP(A140,'Parameters Summary'!$B$2:$AB$826,9,FALSE)</f>
        <v>1.4999999999999999E-7</v>
      </c>
      <c r="H140" s="93" t="str">
        <f>VLOOKUP(A140,'Parameters Summary'!$B$2:$AB$826,10,FALSE)</f>
        <v>PHYSPROP</v>
      </c>
      <c r="I140" s="93">
        <f>VLOOKUP(A140,'Parameters Summary'!$B$2:$AB$826,24,FALSE)</f>
        <v>147</v>
      </c>
      <c r="J140" s="97" t="str">
        <f>VLOOKUP(A140,'Parameters Summary'!$B$2:$AB$826,25,FALSE)</f>
        <v>PHYSPROP</v>
      </c>
      <c r="K140" s="97" t="str">
        <f>VLOOKUP(A140,'Tox Summary'!$O$3:$S$827,2,FALSE)</f>
        <v/>
      </c>
      <c r="L140" s="93">
        <f>VLOOKUP(A140,'Parameters Summary'!$B$2:$AB$826,7,FALSE)</f>
        <v>3.1999999999999998E-10</v>
      </c>
      <c r="M140" s="93" t="str">
        <f>VLOOKUP(A140,'Parameters Summary'!$B$2:$AB$826,8,FALSE)</f>
        <v>EPI</v>
      </c>
      <c r="N140" s="91">
        <f>VLOOKUP(A140,'Parameters Summary'!$B$2:$AB$826,6,FALSE)</f>
        <v>1.3083E-8</v>
      </c>
      <c r="O140" s="91" t="str">
        <f t="shared" si="6"/>
        <v/>
      </c>
      <c r="P140" s="91">
        <f t="shared" si="9"/>
        <v>1.3083E-8</v>
      </c>
      <c r="Q140" s="91" t="str">
        <f t="shared" si="7"/>
        <v/>
      </c>
      <c r="R140" s="91">
        <f t="shared" si="10"/>
        <v>1.3083E-8</v>
      </c>
      <c r="S140" s="91" t="str">
        <f t="shared" si="11"/>
        <v/>
      </c>
      <c r="T140" s="93">
        <f>VLOOKUP(A140,'Parameters Summary'!$B$2:$AB$826,15,FALSE)</f>
        <v>4.9849400000000002E-2</v>
      </c>
      <c r="U140" s="93" t="str">
        <f>VLOOKUP(A140,'Parameters Summary'!$B$2:$AB$826,17,FALSE)</f>
        <v>WATER9 (U.S. EPA, 2001)</v>
      </c>
      <c r="V140" s="93">
        <f>VLOOKUP(A140,'Parameters Summary'!$B$2:$AB$826,16,FALSE)</f>
        <v>5.8244999999999999E-6</v>
      </c>
      <c r="W140" s="379" t="str">
        <f>VLOOKUP(A140,'Parameters Summary'!$B$2:$AB$826,17,FALSE)</f>
        <v>WATER9 (U.S. EPA, 2001)</v>
      </c>
      <c r="X140" s="347"/>
      <c r="Y140" s="96"/>
      <c r="Z140" s="96" t="s">
        <v>1653</v>
      </c>
      <c r="AA140" s="96"/>
      <c r="AB140" s="96" t="s">
        <v>1651</v>
      </c>
      <c r="AC140" s="96"/>
      <c r="AD140" s="93">
        <f>VLOOKUP(A140,'Parameters Summary'!$B$2:$AB$826,20,FALSE)</f>
        <v>169.4</v>
      </c>
      <c r="AE140" s="97" t="str">
        <f>VLOOKUP(A140,'Parameters Summary'!$B$2:$AB$826,21,FALSE)</f>
        <v>EPI</v>
      </c>
      <c r="AF140" s="97"/>
      <c r="AG140" s="94"/>
      <c r="AH140" s="92"/>
      <c r="AI140" s="94"/>
      <c r="AJ140" s="330"/>
      <c r="AL140" s="81"/>
    </row>
    <row r="141" spans="1:38" ht="12.75" customHeight="1">
      <c r="A141" s="95" t="s">
        <v>731</v>
      </c>
      <c r="B141" s="96" t="s">
        <v>564</v>
      </c>
      <c r="C141" s="96" t="str">
        <f t="shared" si="8"/>
        <v>No</v>
      </c>
      <c r="D141" s="96" t="str">
        <f>VLOOKUP(A141,'Tox Summary'!$O$3:$R$824,3,FALSE)</f>
        <v>No</v>
      </c>
      <c r="E141" s="97">
        <f>VLOOKUP(A141,'Parameters Summary'!$B$2:$AB$826,4,FALSE)</f>
        <v>172.11500000000001</v>
      </c>
      <c r="F141" s="97" t="str">
        <f>VLOOKUP(A141,'Parameters Summary'!$B$2:$AB$826,5,FALSE)</f>
        <v>CRC89</v>
      </c>
      <c r="G141" s="93" t="s">
        <v>2439</v>
      </c>
      <c r="H141" s="93" t="str">
        <f>VLOOKUP(A141,'Parameters Summary'!$B$2:$AB$826,10,FALSE)</f>
        <v/>
      </c>
      <c r="I141" s="93" t="s">
        <v>2440</v>
      </c>
      <c r="J141" s="97" t="str">
        <f>VLOOKUP(A141,'Parameters Summary'!$B$2:$AB$826,25,FALSE)</f>
        <v/>
      </c>
      <c r="K141" s="97" t="str">
        <f>VLOOKUP(A141,'Tox Summary'!$O$3:$S$827,2,FALSE)</f>
        <v/>
      </c>
      <c r="L141" s="93" t="s">
        <v>2298</v>
      </c>
      <c r="M141" s="93" t="str">
        <f>VLOOKUP(A141,'Parameters Summary'!$B$2:$AB$826,8,FALSE)</f>
        <v/>
      </c>
      <c r="N141" s="91" t="str">
        <f>VLOOKUP(A141,'Parameters Summary'!$B$2:$AB$826,6,FALSE)</f>
        <v xml:space="preserve"> </v>
      </c>
      <c r="O141" s="91" t="str">
        <f t="shared" ref="O141:O204" si="12">IF(OR(L141="No Hc25",Z141="No Tcrit",AB141="No DHv,b"),"",N141*EXP((-(AB141*((1-(Tgw+273)/Z141)/(1-X141/Z141))^(IF(X141/Z141&lt;0.57,0.3,IF(X141/Z141&gt;0.71,0.41,0.74*(X141/Z141)-0.116))))/1.9872)*(1/(Tgw+273)-1/298)))</f>
        <v/>
      </c>
      <c r="P141" s="91" t="str">
        <f t="shared" si="9"/>
        <v xml:space="preserve"> </v>
      </c>
      <c r="Q141" s="91" t="str">
        <f t="shared" ref="Q141:Q204" si="13">IF(OR(L141="No Hc25",Z141="No Tcrit",AB141="No DHv,b"),"",N141*EXP((-(AB141*((1-(Tgw_GW+273)/Z141)/(1-X141/Z141))^(IF(X141/Z141&lt;0.57,0.3,IF(X141/Z141&gt;0.71,0.41,0.74*(X141/Z141)-0.116))))/1.9872)*(1/(Tgw_GW+273)-1/298)))</f>
        <v/>
      </c>
      <c r="R141" s="91" t="str">
        <f t="shared" si="10"/>
        <v xml:space="preserve"> </v>
      </c>
      <c r="S141" s="91" t="str">
        <f t="shared" si="11"/>
        <v/>
      </c>
      <c r="T141" s="93" t="str">
        <f>VLOOKUP(A141,'Parameters Summary'!$B$2:$AB$826,15,FALSE)</f>
        <v xml:space="preserve"> </v>
      </c>
      <c r="U141" s="93" t="str">
        <f>VLOOKUP(A141,'Parameters Summary'!$B$2:$AB$826,17,FALSE)</f>
        <v/>
      </c>
      <c r="V141" s="93" t="str">
        <f>VLOOKUP(A141,'Parameters Summary'!$B$2:$AB$826,16,FALSE)</f>
        <v xml:space="preserve"> </v>
      </c>
      <c r="W141" s="379" t="str">
        <f>VLOOKUP(A141,'Parameters Summary'!$B$2:$AB$826,17,FALSE)</f>
        <v/>
      </c>
      <c r="X141" s="290">
        <v>263.14999999999998</v>
      </c>
      <c r="Y141" s="96" t="s">
        <v>553</v>
      </c>
      <c r="Z141" s="96">
        <v>394.72499999999997</v>
      </c>
      <c r="AA141" s="96" t="s">
        <v>2220</v>
      </c>
      <c r="AB141" s="96" t="s">
        <v>1651</v>
      </c>
      <c r="AC141" s="96"/>
      <c r="AD141" s="93" t="str">
        <f>VLOOKUP(A141,'Parameters Summary'!$B$2:$AB$826,20,FALSE)</f>
        <v xml:space="preserve"> </v>
      </c>
      <c r="AE141" s="97" t="str">
        <f>VLOOKUP(A141,'Parameters Summary'!$B$2:$AB$826,21,FALSE)</f>
        <v/>
      </c>
      <c r="AF141" s="380"/>
      <c r="AG141" s="97"/>
      <c r="AH141" s="92"/>
      <c r="AI141" s="96"/>
      <c r="AJ141" s="330"/>
      <c r="AL141" s="81"/>
    </row>
    <row r="142" spans="1:38" ht="12.75" customHeight="1">
      <c r="A142" s="96" t="s">
        <v>732</v>
      </c>
      <c r="B142" s="96" t="s">
        <v>1029</v>
      </c>
      <c r="C142" s="96" t="str">
        <f t="shared" ref="C142:C205" si="14">IF((COUNTIF(G142,"&gt;1")+COUNTIF(L142,"&gt;1E-5"))&gt;0,"Yes","No")</f>
        <v>Yes</v>
      </c>
      <c r="D142" s="96" t="str">
        <f>VLOOKUP(A142,'Tox Summary'!$O$3:$R$824,3,FALSE)</f>
        <v>No</v>
      </c>
      <c r="E142" s="97">
        <f>VLOOKUP(A142,'Parameters Summary'!$B$2:$AB$826,4,FALSE)</f>
        <v>165.4</v>
      </c>
      <c r="F142" s="97" t="str">
        <f>VLOOKUP(A142,'Parameters Summary'!$B$2:$AB$826,5,FALSE)</f>
        <v>PHYSPROP</v>
      </c>
      <c r="G142" s="93">
        <f>VLOOKUP(A142,'Parameters Summary'!$B$2:$AB$826,9,FALSE)</f>
        <v>14.999000000000001</v>
      </c>
      <c r="H142" s="93" t="str">
        <f>VLOOKUP(A142,'Parameters Summary'!$B$2:$AB$826,10,FALSE)</f>
        <v>PHYSPROP</v>
      </c>
      <c r="I142" s="93">
        <f>VLOOKUP(A142,'Parameters Summary'!$B$2:$AB$826,24,FALSE)</f>
        <v>793000</v>
      </c>
      <c r="J142" s="97" t="str">
        <f>VLOOKUP(A142,'Parameters Summary'!$B$2:$AB$826,25,FALSE)</f>
        <v>PHYSPROP</v>
      </c>
      <c r="K142" s="97" t="str">
        <f>VLOOKUP(A142,'Tox Summary'!$O$3:$S$827,2,FALSE)</f>
        <v/>
      </c>
      <c r="L142" s="93">
        <f>VLOOKUP(A142,'Parameters Summary'!$B$2:$AB$826,7,FALSE)</f>
        <v>5.7100000000000003E-9</v>
      </c>
      <c r="M142" s="93" t="str">
        <f>VLOOKUP(A142,'Parameters Summary'!$B$2:$AB$826,8,FALSE)</f>
        <v>PHYSPROP</v>
      </c>
      <c r="N142" s="91">
        <f>VLOOKUP(A142,'Parameters Summary'!$B$2:$AB$826,6,FALSE)</f>
        <v>2.3344E-7</v>
      </c>
      <c r="O142" s="91">
        <f t="shared" si="12"/>
        <v>2.3344E-7</v>
      </c>
      <c r="P142" s="91">
        <f t="shared" ref="P142:P205" si="15">IF(O142="",N142,O142)</f>
        <v>2.3344E-7</v>
      </c>
      <c r="Q142" s="91">
        <f t="shared" si="13"/>
        <v>2.3344E-7</v>
      </c>
      <c r="R142" s="91">
        <f t="shared" ref="R142:R205" si="16">IF(Q142="",P142,Q142)</f>
        <v>2.3344E-7</v>
      </c>
      <c r="S142" s="91">
        <f t="shared" ref="S142:S205" si="17">IF(OR(G142="No VP",Z142="No Tcrit",AB142="No DHv,b",L142="No Hc25"),"",G142*E142*53808.7856452378*O142/N142)</f>
        <v>133490697.21268924</v>
      </c>
      <c r="T142" s="93">
        <f>VLOOKUP(A142,'Parameters Summary'!$B$2:$AB$826,15,FALSE)</f>
        <v>5.4399099999999999E-2</v>
      </c>
      <c r="U142" s="93" t="str">
        <f>VLOOKUP(A142,'Parameters Summary'!$B$2:$AB$826,17,FALSE)</f>
        <v>WATER9 (U.S. EPA, 2001)</v>
      </c>
      <c r="V142" s="93">
        <f>VLOOKUP(A142,'Parameters Summary'!$B$2:$AB$826,16,FALSE)</f>
        <v>1.04E-5</v>
      </c>
      <c r="W142" s="379" t="str">
        <f>VLOOKUP(A142,'Parameters Summary'!$B$2:$AB$826,17,FALSE)</f>
        <v>WATER9 (U.S. EPA, 2001)</v>
      </c>
      <c r="X142" s="290">
        <v>371.15</v>
      </c>
      <c r="Y142" s="96" t="s">
        <v>553</v>
      </c>
      <c r="Z142" s="96">
        <v>556.72499999999991</v>
      </c>
      <c r="AA142" s="96" t="s">
        <v>2220</v>
      </c>
      <c r="AB142" s="96">
        <v>7520.55</v>
      </c>
      <c r="AC142" s="96" t="s">
        <v>2214</v>
      </c>
      <c r="AD142" s="93">
        <f>VLOOKUP(A142,'Parameters Summary'!$B$2:$AB$826,20,FALSE)</f>
        <v>1</v>
      </c>
      <c r="AE142" s="97" t="str">
        <f>VLOOKUP(A142,'Parameters Summary'!$B$2:$AB$826,21,FALSE)</f>
        <v>EPI</v>
      </c>
      <c r="AF142" s="97"/>
      <c r="AG142" s="94"/>
      <c r="AH142" s="92"/>
      <c r="AI142" s="94" t="s">
        <v>1427</v>
      </c>
      <c r="AJ142" s="330"/>
      <c r="AL142" s="81"/>
    </row>
    <row r="143" spans="1:38" ht="12.75" customHeight="1">
      <c r="A143" s="96" t="s">
        <v>733</v>
      </c>
      <c r="B143" s="96" t="s">
        <v>1030</v>
      </c>
      <c r="C143" s="96" t="str">
        <f t="shared" si="14"/>
        <v>No</v>
      </c>
      <c r="D143" s="96" t="str">
        <f>VLOOKUP(A143,'Tox Summary'!$O$3:$R$824,3,FALSE)</f>
        <v>Yes</v>
      </c>
      <c r="E143" s="97">
        <f>VLOOKUP(A143,'Parameters Summary'!$B$2:$AB$826,4,FALSE)</f>
        <v>206.03</v>
      </c>
      <c r="F143" s="97" t="str">
        <f>VLOOKUP(A143,'Parameters Summary'!$B$2:$AB$826,5,FALSE)</f>
        <v>PHYSPROP</v>
      </c>
      <c r="G143" s="93">
        <f>VLOOKUP(A143,'Parameters Summary'!$B$2:$AB$826,9,FALSE)</f>
        <v>9.9999999999999995E-8</v>
      </c>
      <c r="H143" s="93" t="str">
        <f>VLOOKUP(A143,'Parameters Summary'!$B$2:$AB$826,10,FALSE)</f>
        <v>PHYSPROP</v>
      </c>
      <c r="I143" s="93">
        <f>VLOOKUP(A143,'Parameters Summary'!$B$2:$AB$826,24,FALSE)</f>
        <v>700</v>
      </c>
      <c r="J143" s="97" t="str">
        <f>VLOOKUP(A143,'Parameters Summary'!$B$2:$AB$826,25,FALSE)</f>
        <v>PHYSPROP</v>
      </c>
      <c r="K143" s="97" t="str">
        <f>VLOOKUP(A143,'Tox Summary'!$O$3:$S$827,2,FALSE)</f>
        <v/>
      </c>
      <c r="L143" s="93">
        <f>VLOOKUP(A143,'Parameters Summary'!$B$2:$AB$826,7,FALSE)</f>
        <v>3.8699999999999999E-11</v>
      </c>
      <c r="M143" s="93" t="str">
        <f>VLOOKUP(A143,'Parameters Summary'!$B$2:$AB$826,8,FALSE)</f>
        <v>EPI</v>
      </c>
      <c r="N143" s="91">
        <f>VLOOKUP(A143,'Parameters Summary'!$B$2:$AB$826,6,FALSE)</f>
        <v>1.5822E-9</v>
      </c>
      <c r="O143" s="91" t="str">
        <f t="shared" si="12"/>
        <v/>
      </c>
      <c r="P143" s="91">
        <f t="shared" si="15"/>
        <v>1.5822E-9</v>
      </c>
      <c r="Q143" s="91" t="str">
        <f t="shared" si="13"/>
        <v/>
      </c>
      <c r="R143" s="91">
        <f t="shared" si="16"/>
        <v>1.5822E-9</v>
      </c>
      <c r="S143" s="91" t="str">
        <f t="shared" si="17"/>
        <v/>
      </c>
      <c r="T143" s="93">
        <f>VLOOKUP(A143,'Parameters Summary'!$B$2:$AB$826,15,FALSE)</f>
        <v>5.4467000000000002E-2</v>
      </c>
      <c r="U143" s="93" t="str">
        <f>VLOOKUP(A143,'Parameters Summary'!$B$2:$AB$826,17,FALSE)</f>
        <v>WATER9 (U.S. EPA, 2001)</v>
      </c>
      <c r="V143" s="93">
        <f>VLOOKUP(A143,'Parameters Summary'!$B$2:$AB$826,16,FALSE)</f>
        <v>6.3640000000000004E-6</v>
      </c>
      <c r="W143" s="379" t="str">
        <f>VLOOKUP(A143,'Parameters Summary'!$B$2:$AB$826,17,FALSE)</f>
        <v>WATER9 (U.S. EPA, 2001)</v>
      </c>
      <c r="X143" s="290">
        <v>585.15</v>
      </c>
      <c r="Y143" s="96" t="s">
        <v>553</v>
      </c>
      <c r="Z143" s="96">
        <v>877.72499999999991</v>
      </c>
      <c r="AA143" s="96" t="s">
        <v>2220</v>
      </c>
      <c r="AB143" s="96" t="s">
        <v>1651</v>
      </c>
      <c r="AC143" s="96"/>
      <c r="AD143" s="93">
        <f>VLOOKUP(A143,'Parameters Summary'!$B$2:$AB$826,20,FALSE)</f>
        <v>21.37</v>
      </c>
      <c r="AE143" s="97" t="str">
        <f>VLOOKUP(A143,'Parameters Summary'!$B$2:$AB$826,21,FALSE)</f>
        <v>EPI</v>
      </c>
      <c r="AF143" s="97"/>
      <c r="AG143" s="94"/>
      <c r="AH143" s="92"/>
      <c r="AI143" s="94" t="s">
        <v>2105</v>
      </c>
      <c r="AJ143" s="330"/>
      <c r="AL143" s="81"/>
    </row>
    <row r="144" spans="1:38" ht="12.75" customHeight="1">
      <c r="A144" s="96" t="s">
        <v>734</v>
      </c>
      <c r="B144" s="96" t="s">
        <v>1031</v>
      </c>
      <c r="C144" s="96" t="str">
        <f t="shared" si="14"/>
        <v>No</v>
      </c>
      <c r="D144" s="96" t="str">
        <f>VLOOKUP(A144,'Tox Summary'!$O$3:$R$824,3,FALSE)</f>
        <v>Yes</v>
      </c>
      <c r="E144" s="97">
        <f>VLOOKUP(A144,'Parameters Summary'!$B$2:$AB$826,4,FALSE)</f>
        <v>245.88</v>
      </c>
      <c r="F144" s="97" t="str">
        <f>VLOOKUP(A144,'Parameters Summary'!$B$2:$AB$826,5,FALSE)</f>
        <v>PHYSPROP</v>
      </c>
      <c r="G144" s="93">
        <f>VLOOKUP(A144,'Parameters Summary'!$B$2:$AB$826,9,FALSE)</f>
        <v>2.2800000000000002E-6</v>
      </c>
      <c r="H144" s="93" t="str">
        <f>VLOOKUP(A144,'Parameters Summary'!$B$2:$AB$826,10,FALSE)</f>
        <v>PHYSPROP</v>
      </c>
      <c r="I144" s="93">
        <f>VLOOKUP(A144,'Parameters Summary'!$B$2:$AB$826,24,FALSE)</f>
        <v>250</v>
      </c>
      <c r="J144" s="97" t="str">
        <f>VLOOKUP(A144,'Parameters Summary'!$B$2:$AB$826,25,FALSE)</f>
        <v>PHYSPROP</v>
      </c>
      <c r="K144" s="97" t="str">
        <f>VLOOKUP(A144,'Tox Summary'!$O$3:$S$827,2,FALSE)</f>
        <v/>
      </c>
      <c r="L144" s="93">
        <f>VLOOKUP(A144,'Parameters Summary'!$B$2:$AB$826,7,FALSE)</f>
        <v>3.2700000000000001E-10</v>
      </c>
      <c r="M144" s="93" t="str">
        <f>VLOOKUP(A144,'Parameters Summary'!$B$2:$AB$826,8,FALSE)</f>
        <v>PHYSPROP</v>
      </c>
      <c r="N144" s="91">
        <f>VLOOKUP(A144,'Parameters Summary'!$B$2:$AB$826,6,FALSE)</f>
        <v>1.3369E-8</v>
      </c>
      <c r="O144" s="91" t="str">
        <f t="shared" si="12"/>
        <v/>
      </c>
      <c r="P144" s="91">
        <f t="shared" si="15"/>
        <v>1.3369E-8</v>
      </c>
      <c r="Q144" s="91" t="str">
        <f t="shared" si="13"/>
        <v/>
      </c>
      <c r="R144" s="91">
        <f t="shared" si="16"/>
        <v>1.3369E-8</v>
      </c>
      <c r="S144" s="91" t="str">
        <f t="shared" si="17"/>
        <v/>
      </c>
      <c r="T144" s="93">
        <f>VLOOKUP(A144,'Parameters Summary'!$B$2:$AB$826,15,FALSE)</f>
        <v>4.8410300000000003E-2</v>
      </c>
      <c r="U144" s="93" t="str">
        <f>VLOOKUP(A144,'Parameters Summary'!$B$2:$AB$826,17,FALSE)</f>
        <v>WATER9 (U.S. EPA, 2001)</v>
      </c>
      <c r="V144" s="93">
        <f>VLOOKUP(A144,'Parameters Summary'!$B$2:$AB$826,16,FALSE)</f>
        <v>5.6563999999999997E-6</v>
      </c>
      <c r="W144" s="379" t="str">
        <f>VLOOKUP(A144,'Parameters Summary'!$B$2:$AB$826,17,FALSE)</f>
        <v>WATER9 (U.S. EPA, 2001)</v>
      </c>
      <c r="X144" s="347"/>
      <c r="Y144" s="96"/>
      <c r="Z144" s="96" t="s">
        <v>1653</v>
      </c>
      <c r="AA144" s="96"/>
      <c r="AB144" s="96" t="s">
        <v>1651</v>
      </c>
      <c r="AC144" s="96"/>
      <c r="AD144" s="93">
        <f>VLOOKUP(A144,'Parameters Summary'!$B$2:$AB$826,20,FALSE)</f>
        <v>308.10000000000002</v>
      </c>
      <c r="AE144" s="97" t="str">
        <f>VLOOKUP(A144,'Parameters Summary'!$B$2:$AB$826,21,FALSE)</f>
        <v>EPI</v>
      </c>
      <c r="AF144" s="97"/>
      <c r="AG144" s="94"/>
      <c r="AH144" s="92"/>
      <c r="AI144" s="94" t="s">
        <v>377</v>
      </c>
      <c r="AJ144" s="330"/>
      <c r="AL144" s="81"/>
    </row>
    <row r="145" spans="1:38" ht="12.75" customHeight="1">
      <c r="A145" s="95" t="s">
        <v>735</v>
      </c>
      <c r="B145" s="96" t="s">
        <v>431</v>
      </c>
      <c r="C145" s="96" t="str">
        <f t="shared" si="14"/>
        <v>Yes</v>
      </c>
      <c r="D145" s="96" t="str">
        <f>VLOOKUP(A145,'Tox Summary'!$O$3:$R$824,3,FALSE)</f>
        <v>No</v>
      </c>
      <c r="E145" s="97">
        <f>VLOOKUP(A145,'Parameters Summary'!$B$2:$AB$826,4,FALSE)</f>
        <v>409.78</v>
      </c>
      <c r="F145" s="97" t="str">
        <f>VLOOKUP(A145,'Parameters Summary'!$B$2:$AB$826,5,FALSE)</f>
        <v>PHYSPROP</v>
      </c>
      <c r="G145" s="93">
        <f>VLOOKUP(A145,'Parameters Summary'!$B$2:$AB$826,9,FALSE)</f>
        <v>9.9799999999999993E-6</v>
      </c>
      <c r="H145" s="93" t="str">
        <f>VLOOKUP(A145,'Parameters Summary'!$B$2:$AB$826,10,FALSE)</f>
        <v>PHYSPROP</v>
      </c>
      <c r="I145" s="93">
        <f>VLOOKUP(A145,'Parameters Summary'!$B$2:$AB$826,24,FALSE)</f>
        <v>5.6000000000000001E-2</v>
      </c>
      <c r="J145" s="97" t="str">
        <f>VLOOKUP(A145,'Parameters Summary'!$B$2:$AB$826,25,FALSE)</f>
        <v>EPI</v>
      </c>
      <c r="K145" s="97">
        <f>VLOOKUP(A145,'Tox Summary'!$O$3:$S$827,2,FALSE)</f>
        <v>2</v>
      </c>
      <c r="L145" s="93">
        <f>VLOOKUP(A145,'Parameters Summary'!$B$2:$AB$826,7,FALSE)</f>
        <v>4.8600000000000002E-5</v>
      </c>
      <c r="M145" s="93" t="str">
        <f>VLOOKUP(A145,'Parameters Summary'!$B$2:$AB$826,8,FALSE)</f>
        <v>EPI</v>
      </c>
      <c r="N145" s="91">
        <f>VLOOKUP(A145,'Parameters Summary'!$B$2:$AB$826,6,FALSE)</f>
        <v>1.9869000000000002E-3</v>
      </c>
      <c r="O145" s="91">
        <f t="shared" si="12"/>
        <v>1.9869000000000002E-3</v>
      </c>
      <c r="P145" s="91">
        <f t="shared" si="15"/>
        <v>1.9869000000000002E-3</v>
      </c>
      <c r="Q145" s="91">
        <f t="shared" si="13"/>
        <v>1.9869000000000002E-3</v>
      </c>
      <c r="R145" s="91">
        <f t="shared" si="16"/>
        <v>1.9869000000000002E-3</v>
      </c>
      <c r="S145" s="91">
        <f t="shared" si="17"/>
        <v>220.05664653342129</v>
      </c>
      <c r="T145" s="93">
        <f>VLOOKUP(A145,'Parameters Summary'!$B$2:$AB$826,15,FALSE)</f>
        <v>2.1493000000000002E-2</v>
      </c>
      <c r="U145" s="93" t="str">
        <f>VLOOKUP(A145,'Parameters Summary'!$B$2:$AB$826,17,FALSE)</f>
        <v>WATER9 (U.S. EPA, 2001)</v>
      </c>
      <c r="V145" s="93">
        <f>VLOOKUP(A145,'Parameters Summary'!$B$2:$AB$826,16,FALSE)</f>
        <v>5.4477000000000004E-6</v>
      </c>
      <c r="W145" s="379" t="str">
        <f>VLOOKUP(A145,'Parameters Summary'!$B$2:$AB$826,17,FALSE)</f>
        <v>WATER9 (U.S. EPA, 2001)</v>
      </c>
      <c r="X145" s="290">
        <v>448.15</v>
      </c>
      <c r="Y145" s="96" t="s">
        <v>553</v>
      </c>
      <c r="Z145" s="96">
        <v>672.22499999999991</v>
      </c>
      <c r="AA145" s="96" t="s">
        <v>2220</v>
      </c>
      <c r="AB145" s="96">
        <v>14000</v>
      </c>
      <c r="AC145" s="96" t="s">
        <v>2227</v>
      </c>
      <c r="AD145" s="93">
        <f>VLOOKUP(A145,'Parameters Summary'!$B$2:$AB$826,20,FALSE)</f>
        <v>67540</v>
      </c>
      <c r="AE145" s="97" t="str">
        <f>VLOOKUP(A145,'Parameters Summary'!$B$2:$AB$826,21,FALSE)</f>
        <v>EPI</v>
      </c>
      <c r="AF145" s="380"/>
      <c r="AG145" s="97"/>
      <c r="AH145" s="92"/>
      <c r="AI145" s="94" t="s">
        <v>2106</v>
      </c>
      <c r="AJ145" s="330"/>
      <c r="AL145" s="81"/>
    </row>
    <row r="146" spans="1:38" ht="12.75" customHeight="1">
      <c r="A146" s="96" t="s">
        <v>736</v>
      </c>
      <c r="B146" s="96" t="s">
        <v>1032</v>
      </c>
      <c r="C146" s="96" t="str">
        <f t="shared" si="14"/>
        <v>No</v>
      </c>
      <c r="D146" s="96" t="str">
        <f>VLOOKUP(A146,'Tox Summary'!$O$3:$R$824,3,FALSE)</f>
        <v>No</v>
      </c>
      <c r="E146" s="97">
        <f>VLOOKUP(A146,'Parameters Summary'!$B$2:$AB$826,4,FALSE)</f>
        <v>490.64</v>
      </c>
      <c r="F146" s="97" t="str">
        <f>VLOOKUP(A146,'Parameters Summary'!$B$2:$AB$826,5,FALSE)</f>
        <v>PHYSPROP</v>
      </c>
      <c r="G146" s="93">
        <f>VLOOKUP(A146,'Parameters Summary'!$B$2:$AB$826,9,FALSE)</f>
        <v>2.2499999999999999E-7</v>
      </c>
      <c r="H146" s="93" t="str">
        <f>VLOOKUP(A146,'Parameters Summary'!$B$2:$AB$826,10,FALSE)</f>
        <v>PHYSPROP</v>
      </c>
      <c r="I146" s="93">
        <f>VLOOKUP(A146,'Parameters Summary'!$B$2:$AB$826,24,FALSE)</f>
        <v>2.7</v>
      </c>
      <c r="J146" s="97" t="str">
        <f>VLOOKUP(A146,'Parameters Summary'!$B$2:$AB$826,25,FALSE)</f>
        <v>PHYSPROP</v>
      </c>
      <c r="K146" s="97" t="str">
        <f>VLOOKUP(A146,'Tox Summary'!$O$3:$S$827,2,FALSE)</f>
        <v/>
      </c>
      <c r="L146" s="93">
        <f>VLOOKUP(A146,'Parameters Summary'!$B$2:$AB$826,7,FALSE)</f>
        <v>5.3799999999999999E-8</v>
      </c>
      <c r="M146" s="93" t="str">
        <f>VLOOKUP(A146,'Parameters Summary'!$B$2:$AB$826,8,FALSE)</f>
        <v>EPI</v>
      </c>
      <c r="N146" s="91">
        <f>VLOOKUP(A146,'Parameters Summary'!$B$2:$AB$826,6,FALSE)</f>
        <v>2.1994999999999999E-6</v>
      </c>
      <c r="O146" s="91" t="str">
        <f t="shared" si="12"/>
        <v/>
      </c>
      <c r="P146" s="91">
        <f t="shared" si="15"/>
        <v>2.1994999999999999E-6</v>
      </c>
      <c r="Q146" s="91" t="str">
        <f t="shared" si="13"/>
        <v/>
      </c>
      <c r="R146" s="91">
        <f t="shared" si="16"/>
        <v>2.1994999999999999E-6</v>
      </c>
      <c r="S146" s="91" t="str">
        <f t="shared" si="17"/>
        <v/>
      </c>
      <c r="T146" s="93">
        <f>VLOOKUP(A146,'Parameters Summary'!$B$2:$AB$826,15,FALSE)</f>
        <v>1.9647000000000001E-2</v>
      </c>
      <c r="U146" s="93" t="str">
        <f>VLOOKUP(A146,'Parameters Summary'!$B$2:$AB$826,17,FALSE)</f>
        <v>WATER9 (U.S. EPA, 2001)</v>
      </c>
      <c r="V146" s="93">
        <f>VLOOKUP(A146,'Parameters Summary'!$B$2:$AB$826,16,FALSE)</f>
        <v>4.9080999999999996E-6</v>
      </c>
      <c r="W146" s="379" t="str">
        <f>VLOOKUP(A146,'Parameters Summary'!$B$2:$AB$826,17,FALSE)</f>
        <v>WATER9 (U.S. EPA, 2001)</v>
      </c>
      <c r="X146" s="347"/>
      <c r="Y146" s="96"/>
      <c r="Z146" s="96" t="s">
        <v>1653</v>
      </c>
      <c r="AA146" s="96"/>
      <c r="AB146" s="96" t="s">
        <v>1651</v>
      </c>
      <c r="AC146" s="96"/>
      <c r="AD146" s="93">
        <f>VLOOKUP(A146,'Parameters Summary'!$B$2:$AB$826,20,FALSE)</f>
        <v>17500</v>
      </c>
      <c r="AE146" s="97" t="str">
        <f>VLOOKUP(A146,'Parameters Summary'!$B$2:$AB$826,21,FALSE)</f>
        <v>EPI</v>
      </c>
      <c r="AF146" s="97"/>
      <c r="AG146" s="94"/>
      <c r="AH146" s="92"/>
      <c r="AI146" s="96"/>
      <c r="AJ146" s="330"/>
      <c r="AL146" s="81"/>
    </row>
    <row r="147" spans="1:38" ht="12.75" customHeight="1">
      <c r="A147" s="96" t="s">
        <v>737</v>
      </c>
      <c r="B147" s="96" t="s">
        <v>565</v>
      </c>
      <c r="C147" s="96" t="str">
        <f t="shared" si="14"/>
        <v>No</v>
      </c>
      <c r="D147" s="96" t="str">
        <f>VLOOKUP(A147,'Tox Summary'!$O$3:$R$824,3,FALSE)</f>
        <v>Yes</v>
      </c>
      <c r="E147" s="97">
        <f>VLOOKUP(A147,'Parameters Summary'!$B$2:$AB$826,4,FALSE)</f>
        <v>359.58</v>
      </c>
      <c r="F147" s="97" t="str">
        <f>VLOOKUP(A147,'Parameters Summary'!$B$2:$AB$826,5,FALSE)</f>
        <v>PHYSPROP</v>
      </c>
      <c r="G147" s="93">
        <f>VLOOKUP(A147,'Parameters Summary'!$B$2:$AB$826,9,FALSE)</f>
        <v>7.5000000000000002E-6</v>
      </c>
      <c r="H147" s="93" t="str">
        <f>VLOOKUP(A147,'Parameters Summary'!$B$2:$AB$826,10,FALSE)</f>
        <v>PHYSPROP</v>
      </c>
      <c r="I147" s="93">
        <f>VLOOKUP(A147,'Parameters Summary'!$B$2:$AB$826,24,FALSE)</f>
        <v>124</v>
      </c>
      <c r="J147" s="97" t="str">
        <f>VLOOKUP(A147,'Parameters Summary'!$B$2:$AB$826,25,FALSE)</f>
        <v>PHYSPROP</v>
      </c>
      <c r="K147" s="97" t="str">
        <f>VLOOKUP(A147,'Tox Summary'!$O$3:$S$827,2,FALSE)</f>
        <v/>
      </c>
      <c r="L147" s="93">
        <f>VLOOKUP(A147,'Parameters Summary'!$B$2:$AB$826,7,FALSE)</f>
        <v>2.8900000000000001E-8</v>
      </c>
      <c r="M147" s="93" t="str">
        <f>VLOOKUP(A147,'Parameters Summary'!$B$2:$AB$826,8,FALSE)</f>
        <v>EPI</v>
      </c>
      <c r="N147" s="91">
        <f>VLOOKUP(A147,'Parameters Summary'!$B$2:$AB$826,6,FALSE)</f>
        <v>1.1815E-6</v>
      </c>
      <c r="O147" s="91" t="str">
        <f t="shared" si="12"/>
        <v/>
      </c>
      <c r="P147" s="91">
        <f t="shared" si="15"/>
        <v>1.1815E-6</v>
      </c>
      <c r="Q147" s="91" t="str">
        <f t="shared" si="13"/>
        <v/>
      </c>
      <c r="R147" s="91">
        <f t="shared" si="16"/>
        <v>1.1815E-6</v>
      </c>
      <c r="S147" s="91" t="str">
        <f t="shared" si="17"/>
        <v/>
      </c>
      <c r="T147" s="93">
        <f>VLOOKUP(A147,'Parameters Summary'!$B$2:$AB$826,15,FALSE)</f>
        <v>3.7574200000000002E-2</v>
      </c>
      <c r="U147" s="93" t="str">
        <f>VLOOKUP(A147,'Parameters Summary'!$B$2:$AB$826,17,FALSE)</f>
        <v>WATER9 (U.S. EPA, 2001)</v>
      </c>
      <c r="V147" s="93">
        <f>VLOOKUP(A147,'Parameters Summary'!$B$2:$AB$826,16,FALSE)</f>
        <v>4.3903000000000001E-6</v>
      </c>
      <c r="W147" s="379" t="str">
        <f>VLOOKUP(A147,'Parameters Summary'!$B$2:$AB$826,17,FALSE)</f>
        <v>WATER9 (U.S. EPA, 2001)</v>
      </c>
      <c r="X147" s="290">
        <v>442.15</v>
      </c>
      <c r="Y147" s="96" t="s">
        <v>553</v>
      </c>
      <c r="Z147" s="96">
        <v>663.22499999999991</v>
      </c>
      <c r="AA147" s="96" t="s">
        <v>2220</v>
      </c>
      <c r="AB147" s="96" t="s">
        <v>1651</v>
      </c>
      <c r="AC147" s="96"/>
      <c r="AD147" s="93">
        <f>VLOOKUP(A147,'Parameters Summary'!$B$2:$AB$826,20,FALSE)</f>
        <v>1264</v>
      </c>
      <c r="AE147" s="97" t="str">
        <f>VLOOKUP(A147,'Parameters Summary'!$B$2:$AB$826,21,FALSE)</f>
        <v>EPI</v>
      </c>
      <c r="AF147" s="97"/>
      <c r="AG147" s="94"/>
      <c r="AH147" s="92"/>
      <c r="AI147" s="94"/>
      <c r="AJ147" s="330"/>
      <c r="AL147" s="81"/>
    </row>
    <row r="148" spans="1:38" ht="12.75" customHeight="1">
      <c r="A148" s="96" t="s">
        <v>738</v>
      </c>
      <c r="B148" s="96" t="s">
        <v>1033</v>
      </c>
      <c r="C148" s="96" t="str">
        <f t="shared" si="14"/>
        <v>No</v>
      </c>
      <c r="D148" s="96" t="str">
        <f>VLOOKUP(A148,'Tox Summary'!$O$3:$R$824,3,FALSE)</f>
        <v>Yes</v>
      </c>
      <c r="E148" s="97">
        <f>VLOOKUP(A148,'Parameters Summary'!$B$2:$AB$826,4,FALSE)</f>
        <v>414.83</v>
      </c>
      <c r="F148" s="97" t="str">
        <f>VLOOKUP(A148,'Parameters Summary'!$B$2:$AB$826,5,FALSE)</f>
        <v>PHYSPROP</v>
      </c>
      <c r="G148" s="93">
        <f>VLOOKUP(A148,'Parameters Summary'!$B$2:$AB$826,9,FALSE)</f>
        <v>3.9999999999999999E-12</v>
      </c>
      <c r="H148" s="93" t="str">
        <f>VLOOKUP(A148,'Parameters Summary'!$B$2:$AB$826,10,FALSE)</f>
        <v>PHYSPROP</v>
      </c>
      <c r="I148" s="93">
        <f>VLOOKUP(A148,'Parameters Summary'!$B$2:$AB$826,24,FALSE)</f>
        <v>1200</v>
      </c>
      <c r="J148" s="97" t="str">
        <f>VLOOKUP(A148,'Parameters Summary'!$B$2:$AB$826,25,FALSE)</f>
        <v>PHYSPROP</v>
      </c>
      <c r="K148" s="97" t="str">
        <f>VLOOKUP(A148,'Tox Summary'!$O$3:$S$827,2,FALSE)</f>
        <v/>
      </c>
      <c r="L148" s="93">
        <f>VLOOKUP(A148,'Parameters Summary'!$B$2:$AB$826,7,FALSE)</f>
        <v>1.82E-15</v>
      </c>
      <c r="M148" s="93" t="str">
        <f>VLOOKUP(A148,'Parameters Summary'!$B$2:$AB$826,8,FALSE)</f>
        <v>EPI</v>
      </c>
      <c r="N148" s="91">
        <f>VLOOKUP(A148,'Parameters Summary'!$B$2:$AB$826,6,FALSE)</f>
        <v>7.4409999999999995E-14</v>
      </c>
      <c r="O148" s="91" t="str">
        <f t="shared" si="12"/>
        <v/>
      </c>
      <c r="P148" s="91">
        <f t="shared" si="15"/>
        <v>7.4409999999999995E-14</v>
      </c>
      <c r="Q148" s="91" t="str">
        <f t="shared" si="13"/>
        <v/>
      </c>
      <c r="R148" s="91">
        <f t="shared" si="16"/>
        <v>7.4409999999999995E-14</v>
      </c>
      <c r="S148" s="91" t="str">
        <f t="shared" si="17"/>
        <v/>
      </c>
      <c r="T148" s="93">
        <f>VLOOKUP(A148,'Parameters Summary'!$B$2:$AB$826,15,FALSE)</f>
        <v>3.4159099999999998E-2</v>
      </c>
      <c r="U148" s="93" t="str">
        <f>VLOOKUP(A148,'Parameters Summary'!$B$2:$AB$826,17,FALSE)</f>
        <v>WATER9 (U.S. EPA, 2001)</v>
      </c>
      <c r="V148" s="93">
        <f>VLOOKUP(A148,'Parameters Summary'!$B$2:$AB$826,16,FALSE)</f>
        <v>3.9912E-6</v>
      </c>
      <c r="W148" s="379" t="str">
        <f>VLOOKUP(A148,'Parameters Summary'!$B$2:$AB$826,17,FALSE)</f>
        <v>WATER9 (U.S. EPA, 2001)</v>
      </c>
      <c r="X148" s="347"/>
      <c r="Y148" s="96"/>
      <c r="Z148" s="96" t="s">
        <v>1653</v>
      </c>
      <c r="AA148" s="96"/>
      <c r="AB148" s="96" t="s">
        <v>1651</v>
      </c>
      <c r="AC148" s="96"/>
      <c r="AD148" s="93">
        <f>VLOOKUP(A148,'Parameters Summary'!$B$2:$AB$826,20,FALSE)</f>
        <v>71.790000000000006</v>
      </c>
      <c r="AE148" s="97" t="str">
        <f>VLOOKUP(A148,'Parameters Summary'!$B$2:$AB$826,21,FALSE)</f>
        <v>EPI</v>
      </c>
      <c r="AF148" s="97"/>
      <c r="AG148" s="94"/>
      <c r="AH148" s="92"/>
      <c r="AI148" s="94"/>
      <c r="AJ148" s="330"/>
      <c r="AL148" s="81"/>
    </row>
    <row r="149" spans="1:38" ht="12.75" customHeight="1">
      <c r="A149" s="95" t="s">
        <v>739</v>
      </c>
      <c r="B149" s="96" t="s">
        <v>1034</v>
      </c>
      <c r="C149" s="96" t="str">
        <f t="shared" si="14"/>
        <v>Yes</v>
      </c>
      <c r="D149" s="96" t="str">
        <f>VLOOKUP(A149,'Tox Summary'!$O$3:$R$824,3,FALSE)</f>
        <v>No</v>
      </c>
      <c r="E149" s="97">
        <f>VLOOKUP(A149,'Parameters Summary'!$B$2:$AB$826,4,FALSE)</f>
        <v>70.906000000000006</v>
      </c>
      <c r="F149" s="97" t="str">
        <f>VLOOKUP(A149,'Parameters Summary'!$B$2:$AB$826,5,FALSE)</f>
        <v>PHYSPROP</v>
      </c>
      <c r="G149" s="93">
        <f>VLOOKUP(A149,'Parameters Summary'!$B$2:$AB$826,9,FALSE)</f>
        <v>5854</v>
      </c>
      <c r="H149" s="93" t="str">
        <f>VLOOKUP(A149,'Parameters Summary'!$B$2:$AB$826,10,FALSE)</f>
        <v>PHYSPROP</v>
      </c>
      <c r="I149" s="93">
        <f>VLOOKUP(A149,'Parameters Summary'!$B$2:$AB$826,24,FALSE)</f>
        <v>6300</v>
      </c>
      <c r="J149" s="97" t="str">
        <f>VLOOKUP(A149,'Parameters Summary'!$B$2:$AB$826,25,FALSE)</f>
        <v>PHYSPROP</v>
      </c>
      <c r="K149" s="97" t="str">
        <f>VLOOKUP(A149,'Tox Summary'!$O$3:$S$827,2,FALSE)</f>
        <v/>
      </c>
      <c r="L149" s="93">
        <f>VLOOKUP(A149,'Parameters Summary'!$B$2:$AB$826,7,FALSE)</f>
        <v>1.17E-2</v>
      </c>
      <c r="M149" s="93" t="str">
        <f>VLOOKUP(A149,'Parameters Summary'!$B$2:$AB$826,8,FALSE)</f>
        <v>PHYSPROP</v>
      </c>
      <c r="N149" s="91">
        <f>VLOOKUP(A149,'Parameters Summary'!$B$2:$AB$826,6,FALSE)</f>
        <v>0.4783</v>
      </c>
      <c r="O149" s="91">
        <f t="shared" si="12"/>
        <v>0.4783</v>
      </c>
      <c r="P149" s="91">
        <f t="shared" si="15"/>
        <v>0.4783</v>
      </c>
      <c r="Q149" s="91">
        <f t="shared" si="13"/>
        <v>0.4783</v>
      </c>
      <c r="R149" s="91">
        <f t="shared" si="16"/>
        <v>0.4783</v>
      </c>
      <c r="S149" s="91">
        <f t="shared" si="17"/>
        <v>22335151129.543049</v>
      </c>
      <c r="T149" s="93">
        <f>VLOOKUP(A149,'Parameters Summary'!$B$2:$AB$826,15,FALSE)</f>
        <v>0.15420880000000001</v>
      </c>
      <c r="U149" s="93" t="str">
        <f>VLOOKUP(A149,'Parameters Summary'!$B$2:$AB$826,17,FALSE)</f>
        <v>WATER9 (U.S. EPA, 2001)</v>
      </c>
      <c r="V149" s="93">
        <f>VLOOKUP(A149,'Parameters Summary'!$B$2:$AB$826,16,FALSE)</f>
        <v>2.23E-5</v>
      </c>
      <c r="W149" s="379" t="str">
        <f>VLOOKUP(A149,'Parameters Summary'!$B$2:$AB$826,17,FALSE)</f>
        <v>WATER9 (U.S. EPA, 2001)</v>
      </c>
      <c r="X149" s="290">
        <v>239.09999999999997</v>
      </c>
      <c r="Y149" s="96" t="s">
        <v>553</v>
      </c>
      <c r="Z149" s="96">
        <v>417.15</v>
      </c>
      <c r="AA149" s="96" t="s">
        <v>2218</v>
      </c>
      <c r="AB149" s="96">
        <v>68572.686600000001</v>
      </c>
      <c r="AC149" s="96" t="s">
        <v>2218</v>
      </c>
      <c r="AD149" s="93" t="str">
        <f>VLOOKUP(A149,'Parameters Summary'!$B$2:$AB$826,20,FALSE)</f>
        <v xml:space="preserve"> </v>
      </c>
      <c r="AE149" s="97" t="str">
        <f>VLOOKUP(A149,'Parameters Summary'!$B$2:$AB$826,21,FALSE)</f>
        <v/>
      </c>
      <c r="AF149" s="380"/>
      <c r="AG149" s="97"/>
      <c r="AH149" s="92"/>
      <c r="AI149" s="94"/>
      <c r="AJ149" s="330"/>
      <c r="AL149" s="81"/>
    </row>
    <row r="150" spans="1:38" ht="12.75" customHeight="1">
      <c r="A150" s="96" t="s">
        <v>740</v>
      </c>
      <c r="B150" s="96" t="s">
        <v>1035</v>
      </c>
      <c r="C150" s="96" t="str">
        <f t="shared" si="14"/>
        <v>Yes</v>
      </c>
      <c r="D150" s="96" t="str">
        <f>VLOOKUP(A150,'Tox Summary'!$O$3:$R$824,3,FALSE)</f>
        <v>Yes</v>
      </c>
      <c r="E150" s="97">
        <f>VLOOKUP(A150,'Parameters Summary'!$B$2:$AB$826,4,FALSE)</f>
        <v>67.45</v>
      </c>
      <c r="F150" s="97" t="str">
        <f>VLOOKUP(A150,'Parameters Summary'!$B$2:$AB$826,5,FALSE)</f>
        <v>EPI</v>
      </c>
      <c r="G150" s="93">
        <f>VLOOKUP(A150,'Parameters Summary'!$B$2:$AB$826,9,FALSE)</f>
        <v>758</v>
      </c>
      <c r="H150" s="93" t="str">
        <f>VLOOKUP(A150,'Parameters Summary'!$B$2:$AB$826,10,FALSE)</f>
        <v>Toxnet HSDB</v>
      </c>
      <c r="I150" s="93" t="s">
        <v>2440</v>
      </c>
      <c r="J150" s="97" t="str">
        <f>VLOOKUP(A150,'Parameters Summary'!$B$2:$AB$826,25,FALSE)</f>
        <v/>
      </c>
      <c r="K150" s="97" t="str">
        <f>VLOOKUP(A150,'Tox Summary'!$O$3:$S$827,2,FALSE)</f>
        <v/>
      </c>
      <c r="L150" s="93">
        <f>VLOOKUP(A150,'Parameters Summary'!$B$2:$AB$826,7,FALSE)</f>
        <v>4.0099999999999997E-2</v>
      </c>
      <c r="M150" s="93" t="str">
        <f>VLOOKUP(A150,'Parameters Summary'!$B$2:$AB$826,8,FALSE)</f>
        <v>Toxnet HSDB</v>
      </c>
      <c r="N150" s="91">
        <f>VLOOKUP(A150,'Parameters Summary'!$B$2:$AB$826,6,FALSE)</f>
        <v>1.64</v>
      </c>
      <c r="O150" s="91">
        <f t="shared" si="12"/>
        <v>1.64</v>
      </c>
      <c r="P150" s="91">
        <f t="shared" si="15"/>
        <v>1.64</v>
      </c>
      <c r="Q150" s="91">
        <f t="shared" si="13"/>
        <v>1.64</v>
      </c>
      <c r="R150" s="91">
        <f t="shared" si="16"/>
        <v>1.64</v>
      </c>
      <c r="S150" s="91">
        <f t="shared" si="17"/>
        <v>2751087164.5626373</v>
      </c>
      <c r="T150" s="93">
        <f>VLOOKUP(A150,'Parameters Summary'!$B$2:$AB$826,15,FALSE)</f>
        <v>0.156579</v>
      </c>
      <c r="U150" s="93" t="str">
        <f>VLOOKUP(A150,'Parameters Summary'!$B$2:$AB$826,17,FALSE)</f>
        <v>WATER9 (U.S. EPA, 2001)</v>
      </c>
      <c r="V150" s="93">
        <f>VLOOKUP(A150,'Parameters Summary'!$B$2:$AB$826,16,FALSE)</f>
        <v>2.23E-5</v>
      </c>
      <c r="W150" s="379" t="str">
        <f>VLOOKUP(A150,'Parameters Summary'!$B$2:$AB$826,17,FALSE)</f>
        <v>WATER9 (U.S. EPA, 2001)</v>
      </c>
      <c r="X150" s="347">
        <v>284.14999999999998</v>
      </c>
      <c r="Y150" s="96" t="s">
        <v>2211</v>
      </c>
      <c r="Z150" s="96">
        <v>426.22499999999997</v>
      </c>
      <c r="AA150" s="96" t="s">
        <v>2220</v>
      </c>
      <c r="AB150" s="96">
        <v>7170.17</v>
      </c>
      <c r="AC150" s="96" t="s">
        <v>2214</v>
      </c>
      <c r="AD150" s="93" t="str">
        <f>VLOOKUP(A150,'Parameters Summary'!$B$2:$AB$826,20,FALSE)</f>
        <v xml:space="preserve"> </v>
      </c>
      <c r="AE150" s="97" t="str">
        <f>VLOOKUP(A150,'Parameters Summary'!$B$2:$AB$826,21,FALSE)</f>
        <v/>
      </c>
      <c r="AF150" s="97"/>
      <c r="AG150" s="94"/>
      <c r="AH150" s="92"/>
      <c r="AI150" s="94"/>
      <c r="AJ150" s="330"/>
      <c r="AL150" s="81"/>
    </row>
    <row r="151" spans="1:38" ht="12.75" customHeight="1">
      <c r="A151" s="96" t="s">
        <v>741</v>
      </c>
      <c r="B151" s="96" t="s">
        <v>1036</v>
      </c>
      <c r="C151" s="96" t="str">
        <f t="shared" si="14"/>
        <v>No</v>
      </c>
      <c r="D151" s="96" t="str">
        <f>VLOOKUP(A151,'Tox Summary'!$O$3:$R$824,3,FALSE)</f>
        <v>Yes</v>
      </c>
      <c r="E151" s="97">
        <f>VLOOKUP(A151,'Parameters Summary'!$B$2:$AB$826,4,FALSE)</f>
        <v>90.44</v>
      </c>
      <c r="F151" s="97" t="str">
        <f>VLOOKUP(A151,'Parameters Summary'!$B$2:$AB$826,5,FALSE)</f>
        <v>EPI</v>
      </c>
      <c r="G151" s="93" t="s">
        <v>2439</v>
      </c>
      <c r="H151" s="93" t="str">
        <f>VLOOKUP(A151,'Parameters Summary'!$B$2:$AB$826,10,FALSE)</f>
        <v/>
      </c>
      <c r="I151" s="93">
        <f>VLOOKUP(A151,'Parameters Summary'!$B$2:$AB$826,24,FALSE)</f>
        <v>640000</v>
      </c>
      <c r="J151" s="97" t="str">
        <f>VLOOKUP(A151,'Parameters Summary'!$B$2:$AB$826,25,FALSE)</f>
        <v>CRC89</v>
      </c>
      <c r="K151" s="97">
        <f>VLOOKUP(A151,'Tox Summary'!$O$3:$S$827,2,FALSE)</f>
        <v>1000</v>
      </c>
      <c r="L151" s="93" t="s">
        <v>2298</v>
      </c>
      <c r="M151" s="93" t="str">
        <f>VLOOKUP(A151,'Parameters Summary'!$B$2:$AB$826,8,FALSE)</f>
        <v/>
      </c>
      <c r="N151" s="91" t="str">
        <f>VLOOKUP(A151,'Parameters Summary'!$B$2:$AB$826,6,FALSE)</f>
        <v xml:space="preserve"> </v>
      </c>
      <c r="O151" s="91" t="str">
        <f t="shared" si="12"/>
        <v/>
      </c>
      <c r="P151" s="91" t="str">
        <f t="shared" si="15"/>
        <v xml:space="preserve"> </v>
      </c>
      <c r="Q151" s="91" t="str">
        <f t="shared" si="13"/>
        <v/>
      </c>
      <c r="R151" s="91" t="str">
        <f t="shared" si="16"/>
        <v xml:space="preserve"> </v>
      </c>
      <c r="S151" s="91" t="str">
        <f t="shared" si="17"/>
        <v/>
      </c>
      <c r="T151" s="93" t="str">
        <f>VLOOKUP(A151,'Parameters Summary'!$B$2:$AB$826,15,FALSE)</f>
        <v xml:space="preserve"> </v>
      </c>
      <c r="U151" s="93" t="str">
        <f>VLOOKUP(A151,'Parameters Summary'!$B$2:$AB$826,17,FALSE)</f>
        <v/>
      </c>
      <c r="V151" s="93" t="str">
        <f>VLOOKUP(A151,'Parameters Summary'!$B$2:$AB$826,16,FALSE)</f>
        <v xml:space="preserve"> </v>
      </c>
      <c r="W151" s="379" t="str">
        <f>VLOOKUP(A151,'Parameters Summary'!$B$2:$AB$826,17,FALSE)</f>
        <v/>
      </c>
      <c r="X151" s="347"/>
      <c r="Y151" s="96"/>
      <c r="Z151" s="96" t="s">
        <v>1653</v>
      </c>
      <c r="AA151" s="96"/>
      <c r="AB151" s="96" t="s">
        <v>1651</v>
      </c>
      <c r="AC151" s="96"/>
      <c r="AD151" s="93" t="str">
        <f>VLOOKUP(A151,'Parameters Summary'!$B$2:$AB$826,20,FALSE)</f>
        <v xml:space="preserve"> </v>
      </c>
      <c r="AE151" s="97" t="str">
        <f>VLOOKUP(A151,'Parameters Summary'!$B$2:$AB$826,21,FALSE)</f>
        <v/>
      </c>
      <c r="AF151" s="97"/>
      <c r="AG151" s="94"/>
      <c r="AH151" s="92"/>
      <c r="AI151" s="94"/>
      <c r="AJ151" s="330"/>
      <c r="AL151" s="81"/>
    </row>
    <row r="152" spans="1:38" ht="12.75" customHeight="1">
      <c r="A152" s="95" t="s">
        <v>742</v>
      </c>
      <c r="B152" s="96" t="s">
        <v>1037</v>
      </c>
      <c r="C152" s="96" t="str">
        <f t="shared" si="14"/>
        <v>Yes</v>
      </c>
      <c r="D152" s="96" t="str">
        <f>VLOOKUP(A152,'Tox Summary'!$O$3:$R$824,3,FALSE)</f>
        <v>No</v>
      </c>
      <c r="E152" s="97">
        <f>VLOOKUP(A152,'Parameters Summary'!$B$2:$AB$826,4,FALSE)</f>
        <v>100.5</v>
      </c>
      <c r="F152" s="97" t="str">
        <f>VLOOKUP(A152,'Parameters Summary'!$B$2:$AB$826,5,FALSE)</f>
        <v>PHYSPROP</v>
      </c>
      <c r="G152" s="93">
        <f>VLOOKUP(A152,'Parameters Summary'!$B$2:$AB$826,9,FALSE)</f>
        <v>2544</v>
      </c>
      <c r="H152" s="93" t="str">
        <f>VLOOKUP(A152,'Parameters Summary'!$B$2:$AB$826,10,FALSE)</f>
        <v>PHYSPROP</v>
      </c>
      <c r="I152" s="93">
        <f>VLOOKUP(A152,'Parameters Summary'!$B$2:$AB$826,24,FALSE)</f>
        <v>1400</v>
      </c>
      <c r="J152" s="97" t="str">
        <f>VLOOKUP(A152,'Parameters Summary'!$B$2:$AB$826,25,FALSE)</f>
        <v>PHYSPROP</v>
      </c>
      <c r="K152" s="97" t="str">
        <f>VLOOKUP(A152,'Tox Summary'!$O$3:$S$827,2,FALSE)</f>
        <v/>
      </c>
      <c r="L152" s="93">
        <f>VLOOKUP(A152,'Parameters Summary'!$B$2:$AB$826,7,FALSE)</f>
        <v>5.8799999999999998E-2</v>
      </c>
      <c r="M152" s="93" t="str">
        <f>VLOOKUP(A152,'Parameters Summary'!$B$2:$AB$826,8,FALSE)</f>
        <v>PHYSPROP</v>
      </c>
      <c r="N152" s="91">
        <f>VLOOKUP(A152,'Parameters Summary'!$B$2:$AB$826,6,FALSE)</f>
        <v>2.4039248</v>
      </c>
      <c r="O152" s="91">
        <f t="shared" si="12"/>
        <v>2.4039248</v>
      </c>
      <c r="P152" s="91">
        <f t="shared" si="15"/>
        <v>2.4039248</v>
      </c>
      <c r="Q152" s="91">
        <f t="shared" si="13"/>
        <v>2.4039248</v>
      </c>
      <c r="R152" s="91">
        <f t="shared" si="16"/>
        <v>2.4039248</v>
      </c>
      <c r="S152" s="91">
        <f t="shared" si="17"/>
        <v>13757399843.489239</v>
      </c>
      <c r="T152" s="93">
        <f>VLOOKUP(A152,'Parameters Summary'!$B$2:$AB$826,15,FALSE)</f>
        <v>8.0392500000000006E-2</v>
      </c>
      <c r="U152" s="93" t="str">
        <f>VLOOKUP(A152,'Parameters Summary'!$B$2:$AB$826,17,FALSE)</f>
        <v>WATER9 (U.S. EPA, 2001)</v>
      </c>
      <c r="V152" s="93">
        <f>VLOOKUP(A152,'Parameters Summary'!$B$2:$AB$826,16,FALSE)</f>
        <v>1.01E-5</v>
      </c>
      <c r="W152" s="379" t="str">
        <f>VLOOKUP(A152,'Parameters Summary'!$B$2:$AB$826,17,FALSE)</f>
        <v>WATER9 (U.S. EPA, 2001)</v>
      </c>
      <c r="X152" s="290">
        <v>263.3</v>
      </c>
      <c r="Y152" s="96" t="s">
        <v>2217</v>
      </c>
      <c r="Z152" s="96">
        <v>409.85</v>
      </c>
      <c r="AA152" s="96" t="s">
        <v>2218</v>
      </c>
      <c r="AB152" s="96">
        <v>53298.46</v>
      </c>
      <c r="AC152" s="96" t="s">
        <v>2218</v>
      </c>
      <c r="AD152" s="93">
        <f>VLOOKUP(A152,'Parameters Summary'!$B$2:$AB$826,20,FALSE)</f>
        <v>43.89</v>
      </c>
      <c r="AE152" s="97" t="str">
        <f>VLOOKUP(A152,'Parameters Summary'!$B$2:$AB$826,21,FALSE)</f>
        <v>EPI</v>
      </c>
      <c r="AF152" s="380"/>
      <c r="AG152" s="97"/>
      <c r="AH152" s="92"/>
      <c r="AI152" s="96"/>
      <c r="AJ152" s="330"/>
      <c r="AL152" s="81"/>
    </row>
    <row r="153" spans="1:38" ht="12.75" customHeight="1">
      <c r="A153" s="95" t="s">
        <v>743</v>
      </c>
      <c r="B153" s="96" t="s">
        <v>1038</v>
      </c>
      <c r="C153" s="96" t="str">
        <f t="shared" si="14"/>
        <v>Yes</v>
      </c>
      <c r="D153" s="96" t="str">
        <f>VLOOKUP(A153,'Tox Summary'!$O$3:$R$824,3,FALSE)</f>
        <v>Yes</v>
      </c>
      <c r="E153" s="97">
        <f>VLOOKUP(A153,'Parameters Summary'!$B$2:$AB$826,4,FALSE)</f>
        <v>88.537000000000006</v>
      </c>
      <c r="F153" s="97" t="str">
        <f>VLOOKUP(A153,'Parameters Summary'!$B$2:$AB$826,5,FALSE)</f>
        <v>PHYSPROP</v>
      </c>
      <c r="G153" s="93">
        <f>VLOOKUP(A153,'Parameters Summary'!$B$2:$AB$826,9,FALSE)</f>
        <v>215.5</v>
      </c>
      <c r="H153" s="93" t="str">
        <f>VLOOKUP(A153,'Parameters Summary'!$B$2:$AB$826,10,FALSE)</f>
        <v>PHYSPROP</v>
      </c>
      <c r="I153" s="93">
        <f>VLOOKUP(A153,'Parameters Summary'!$B$2:$AB$826,24,FALSE)</f>
        <v>874.9</v>
      </c>
      <c r="J153" s="97" t="str">
        <f>VLOOKUP(A153,'Parameters Summary'!$B$2:$AB$826,25,FALSE)</f>
        <v>PHYSPROP</v>
      </c>
      <c r="K153" s="97" t="str">
        <f>VLOOKUP(A153,'Tox Summary'!$O$3:$S$827,2,FALSE)</f>
        <v/>
      </c>
      <c r="L153" s="93">
        <f>VLOOKUP(A153,'Parameters Summary'!$B$2:$AB$826,7,FALSE)</f>
        <v>5.6099999999999997E-2</v>
      </c>
      <c r="M153" s="93" t="str">
        <f>VLOOKUP(A153,'Parameters Summary'!$B$2:$AB$826,8,FALSE)</f>
        <v>PHYSPROP</v>
      </c>
      <c r="N153" s="91">
        <f>VLOOKUP(A153,'Parameters Summary'!$B$2:$AB$826,6,FALSE)</f>
        <v>2.2935405000000002</v>
      </c>
      <c r="O153" s="91">
        <f t="shared" si="12"/>
        <v>2.2935405000000002</v>
      </c>
      <c r="P153" s="91">
        <f t="shared" si="15"/>
        <v>2.2935405000000002</v>
      </c>
      <c r="Q153" s="91">
        <f t="shared" si="13"/>
        <v>2.2935405000000002</v>
      </c>
      <c r="R153" s="91">
        <f t="shared" si="16"/>
        <v>2.2935405000000002</v>
      </c>
      <c r="S153" s="91">
        <f t="shared" si="17"/>
        <v>1026656751.9819063</v>
      </c>
      <c r="T153" s="93">
        <f>VLOOKUP(A153,'Parameters Summary'!$B$2:$AB$826,15,FALSE)</f>
        <v>8.4148899999999999E-2</v>
      </c>
      <c r="U153" s="93" t="str">
        <f>VLOOKUP(A153,'Parameters Summary'!$B$2:$AB$826,17,FALSE)</f>
        <v>WATER9 (U.S. EPA, 2001)</v>
      </c>
      <c r="V153" s="93">
        <f>VLOOKUP(A153,'Parameters Summary'!$B$2:$AB$826,16,FALSE)</f>
        <v>1.0000000000000001E-5</v>
      </c>
      <c r="W153" s="379" t="str">
        <f>VLOOKUP(A153,'Parameters Summary'!$B$2:$AB$826,17,FALSE)</f>
        <v>WATER9 (U.S. EPA, 2001)</v>
      </c>
      <c r="X153" s="290">
        <v>332.4</v>
      </c>
      <c r="Y153" s="96" t="s">
        <v>553</v>
      </c>
      <c r="Z153" s="96">
        <v>525</v>
      </c>
      <c r="AA153" s="96" t="s">
        <v>2225</v>
      </c>
      <c r="AB153" s="96">
        <v>8074.8480000000009</v>
      </c>
      <c r="AC153" s="96" t="s">
        <v>2224</v>
      </c>
      <c r="AD153" s="93">
        <f>VLOOKUP(A153,'Parameters Summary'!$B$2:$AB$826,20,FALSE)</f>
        <v>60.7</v>
      </c>
      <c r="AE153" s="97" t="str">
        <f>VLOOKUP(A153,'Parameters Summary'!$B$2:$AB$826,21,FALSE)</f>
        <v>EPI</v>
      </c>
      <c r="AF153" s="380">
        <v>1.9</v>
      </c>
      <c r="AG153" s="97" t="s">
        <v>302</v>
      </c>
      <c r="AH153" s="92"/>
      <c r="AI153" s="96"/>
      <c r="AJ153" s="330"/>
      <c r="AL153" s="81"/>
    </row>
    <row r="154" spans="1:38" ht="12.75" customHeight="1">
      <c r="A154" s="96" t="s">
        <v>744</v>
      </c>
      <c r="B154" s="96" t="s">
        <v>1039</v>
      </c>
      <c r="C154" s="96" t="str">
        <f t="shared" si="14"/>
        <v>No</v>
      </c>
      <c r="D154" s="96" t="str">
        <f>VLOOKUP(A154,'Tox Summary'!$O$3:$R$824,3,FALSE)</f>
        <v>No</v>
      </c>
      <c r="E154" s="97">
        <f>VLOOKUP(A154,'Parameters Summary'!$B$2:$AB$826,4,FALSE)</f>
        <v>178.06</v>
      </c>
      <c r="F154" s="97" t="str">
        <f>VLOOKUP(A154,'Parameters Summary'!$B$2:$AB$826,5,FALSE)</f>
        <v>PHYSPROP</v>
      </c>
      <c r="G154" s="93">
        <f>VLOOKUP(A154,'Parameters Summary'!$B$2:$AB$826,9,FALSE)</f>
        <v>4.0800000000000003E-2</v>
      </c>
      <c r="H154" s="93" t="str">
        <f>VLOOKUP(A154,'Parameters Summary'!$B$2:$AB$826,10,FALSE)</f>
        <v>PHYSPROP</v>
      </c>
      <c r="I154" s="93">
        <f>VLOOKUP(A154,'Parameters Summary'!$B$2:$AB$826,24,FALSE)</f>
        <v>953.9</v>
      </c>
      <c r="J154" s="97" t="str">
        <f>VLOOKUP(A154,'Parameters Summary'!$B$2:$AB$826,25,FALSE)</f>
        <v>PHYSPROP</v>
      </c>
      <c r="K154" s="97" t="str">
        <f>VLOOKUP(A154,'Tox Summary'!$O$3:$S$827,2,FALSE)</f>
        <v/>
      </c>
      <c r="L154" s="93">
        <f>VLOOKUP(A154,'Parameters Summary'!$B$2:$AB$826,7,FALSE)</f>
        <v>1.5600000000000001E-6</v>
      </c>
      <c r="M154" s="93" t="str">
        <f>VLOOKUP(A154,'Parameters Summary'!$B$2:$AB$826,8,FALSE)</f>
        <v>PHYSPROP</v>
      </c>
      <c r="N154" s="91">
        <f>VLOOKUP(A154,'Parameters Summary'!$B$2:$AB$826,6,FALSE)</f>
        <v>6.3800000000000006E-5</v>
      </c>
      <c r="O154" s="91" t="str">
        <f t="shared" si="12"/>
        <v/>
      </c>
      <c r="P154" s="91">
        <f t="shared" si="15"/>
        <v>6.3800000000000006E-5</v>
      </c>
      <c r="Q154" s="91" t="str">
        <f t="shared" si="13"/>
        <v/>
      </c>
      <c r="R154" s="91">
        <f t="shared" si="16"/>
        <v>6.3800000000000006E-5</v>
      </c>
      <c r="S154" s="91" t="str">
        <f t="shared" si="17"/>
        <v/>
      </c>
      <c r="T154" s="93">
        <f>VLOOKUP(A154,'Parameters Summary'!$B$2:$AB$826,15,FALSE)</f>
        <v>6.0031099999999997E-2</v>
      </c>
      <c r="U154" s="93" t="str">
        <f>VLOOKUP(A154,'Parameters Summary'!$B$2:$AB$826,17,FALSE)</f>
        <v>WATER9 (U.S. EPA, 2001)</v>
      </c>
      <c r="V154" s="93">
        <f>VLOOKUP(A154,'Parameters Summary'!$B$2:$AB$826,16,FALSE)</f>
        <v>7.0141999999999997E-6</v>
      </c>
      <c r="W154" s="379" t="str">
        <f>VLOOKUP(A154,'Parameters Summary'!$B$2:$AB$826,17,FALSE)</f>
        <v>WATER9 (U.S. EPA, 2001)</v>
      </c>
      <c r="X154" s="347"/>
      <c r="Y154" s="96"/>
      <c r="Z154" s="96" t="s">
        <v>1653</v>
      </c>
      <c r="AA154" s="96"/>
      <c r="AB154" s="96" t="s">
        <v>1651</v>
      </c>
      <c r="AC154" s="96"/>
      <c r="AD154" s="93">
        <f>VLOOKUP(A154,'Parameters Summary'!$B$2:$AB$826,20,FALSE)</f>
        <v>351.9</v>
      </c>
      <c r="AE154" s="97" t="str">
        <f>VLOOKUP(A154,'Parameters Summary'!$B$2:$AB$826,21,FALSE)</f>
        <v>EPI</v>
      </c>
      <c r="AF154" s="97"/>
      <c r="AG154" s="94"/>
      <c r="AH154" s="92"/>
      <c r="AI154" s="94"/>
      <c r="AJ154" s="330"/>
      <c r="AL154" s="81"/>
    </row>
    <row r="155" spans="1:38" ht="12.75" customHeight="1">
      <c r="A155" s="96" t="s">
        <v>1566</v>
      </c>
      <c r="B155" s="96" t="s">
        <v>1565</v>
      </c>
      <c r="C155" s="96" t="str">
        <f t="shared" si="14"/>
        <v>No</v>
      </c>
      <c r="D155" s="96" t="str">
        <f>VLOOKUP(A155,'Tox Summary'!$O$3:$R$824,3,FALSE)</f>
        <v>No</v>
      </c>
      <c r="E155" s="97">
        <f>VLOOKUP(A155,'Parameters Summary'!$B$2:$AB$826,4,FALSE)</f>
        <v>141.6</v>
      </c>
      <c r="F155" s="97" t="str">
        <f>VLOOKUP(A155,'Parameters Summary'!$B$2:$AB$826,5,FALSE)</f>
        <v>PHYSPROP</v>
      </c>
      <c r="G155" s="93">
        <f>VLOOKUP(A155,'Parameters Summary'!$B$2:$AB$826,9,FALSE)</f>
        <v>4.0800000000000003E-2</v>
      </c>
      <c r="H155" s="93" t="str">
        <f>VLOOKUP(A155,'Parameters Summary'!$B$2:$AB$826,10,FALSE)</f>
        <v>PHYSPROP</v>
      </c>
      <c r="I155" s="93">
        <f>VLOOKUP(A155,'Parameters Summary'!$B$2:$AB$826,24,FALSE)</f>
        <v>953.9</v>
      </c>
      <c r="J155" s="97" t="str">
        <f>VLOOKUP(A155,'Parameters Summary'!$B$2:$AB$826,25,FALSE)</f>
        <v>PHYSPROP</v>
      </c>
      <c r="K155" s="97" t="str">
        <f>VLOOKUP(A155,'Tox Summary'!$O$3:$S$827,2,FALSE)</f>
        <v/>
      </c>
      <c r="L155" s="93">
        <f>VLOOKUP(A155,'Parameters Summary'!$B$2:$AB$826,7,FALSE)</f>
        <v>1.99E-6</v>
      </c>
      <c r="M155" s="93" t="str">
        <f>VLOOKUP(A155,'Parameters Summary'!$B$2:$AB$826,8,FALSE)</f>
        <v>PHYSPROP</v>
      </c>
      <c r="N155" s="91">
        <f>VLOOKUP(A155,'Parameters Summary'!$B$2:$AB$826,6,FALSE)</f>
        <v>8.14E-5</v>
      </c>
      <c r="O155" s="91" t="str">
        <f t="shared" si="12"/>
        <v/>
      </c>
      <c r="P155" s="91">
        <f t="shared" si="15"/>
        <v>8.14E-5</v>
      </c>
      <c r="Q155" s="91" t="str">
        <f t="shared" si="13"/>
        <v/>
      </c>
      <c r="R155" s="91">
        <f t="shared" si="16"/>
        <v>8.14E-5</v>
      </c>
      <c r="S155" s="91" t="str">
        <f t="shared" si="17"/>
        <v/>
      </c>
      <c r="T155" s="93">
        <f>VLOOKUP(A155,'Parameters Summary'!$B$2:$AB$826,15,FALSE)</f>
        <v>6.9937700000000005E-2</v>
      </c>
      <c r="U155" s="93" t="str">
        <f>VLOOKUP(A155,'Parameters Summary'!$B$2:$AB$826,17,FALSE)</f>
        <v>WATER9 (U.S. EPA, 2001)</v>
      </c>
      <c r="V155" s="93">
        <f>VLOOKUP(A155,'Parameters Summary'!$B$2:$AB$826,16,FALSE)</f>
        <v>8.1717E-6</v>
      </c>
      <c r="W155" s="379" t="str">
        <f>VLOOKUP(A155,'Parameters Summary'!$B$2:$AB$826,17,FALSE)</f>
        <v>WATER9 (U.S. EPA, 2001)</v>
      </c>
      <c r="X155" s="290">
        <v>517.15</v>
      </c>
      <c r="Y155" s="96" t="s">
        <v>553</v>
      </c>
      <c r="Z155" s="96">
        <v>775.72499999999991</v>
      </c>
      <c r="AA155" s="96" t="s">
        <v>2220</v>
      </c>
      <c r="AB155" s="96" t="s">
        <v>1651</v>
      </c>
      <c r="AC155" s="96"/>
      <c r="AD155" s="93">
        <f>VLOOKUP(A155,'Parameters Summary'!$B$2:$AB$826,20,FALSE)</f>
        <v>184.5</v>
      </c>
      <c r="AE155" s="97" t="str">
        <f>VLOOKUP(A155,'Parameters Summary'!$B$2:$AB$826,21,FALSE)</f>
        <v>EPI</v>
      </c>
      <c r="AF155" s="97"/>
      <c r="AG155" s="94"/>
      <c r="AH155" s="92"/>
      <c r="AI155" s="96"/>
      <c r="AJ155" s="330"/>
      <c r="AL155" s="81"/>
    </row>
    <row r="156" spans="1:38" ht="12.75" customHeight="1">
      <c r="A156" s="95" t="s">
        <v>746</v>
      </c>
      <c r="B156" s="96" t="s">
        <v>745</v>
      </c>
      <c r="C156" s="96" t="str">
        <f t="shared" si="14"/>
        <v>Yes</v>
      </c>
      <c r="D156" s="96" t="str">
        <f>VLOOKUP(A156,'Tox Summary'!$O$3:$R$824,3,FALSE)</f>
        <v>Yes</v>
      </c>
      <c r="E156" s="97">
        <f>VLOOKUP(A156,'Parameters Summary'!$B$2:$AB$826,4,FALSE)</f>
        <v>78.498999999999995</v>
      </c>
      <c r="F156" s="97" t="str">
        <f>VLOOKUP(A156,'Parameters Summary'!$B$2:$AB$826,5,FALSE)</f>
        <v>PHYSPROP</v>
      </c>
      <c r="G156" s="93">
        <f>VLOOKUP(A156,'Parameters Summary'!$B$2:$AB$826,9,FALSE)</f>
        <v>64.266000000000005</v>
      </c>
      <c r="H156" s="93" t="str">
        <f>VLOOKUP(A156,'Parameters Summary'!$B$2:$AB$826,10,FALSE)</f>
        <v>PHYSPROP</v>
      </c>
      <c r="I156" s="93">
        <f>VLOOKUP(A156,'Parameters Summary'!$B$2:$AB$826,24,FALSE)</f>
        <v>110700</v>
      </c>
      <c r="J156" s="97" t="str">
        <f>VLOOKUP(A156,'Parameters Summary'!$B$2:$AB$826,25,FALSE)</f>
        <v>PHYSPROP</v>
      </c>
      <c r="K156" s="97" t="str">
        <f>VLOOKUP(A156,'Tox Summary'!$O$3:$S$827,2,FALSE)</f>
        <v/>
      </c>
      <c r="L156" s="93">
        <f>VLOOKUP(A156,'Parameters Summary'!$B$2:$AB$826,7,FALSE)</f>
        <v>2.3900000000000002E-5</v>
      </c>
      <c r="M156" s="93" t="str">
        <f>VLOOKUP(A156,'Parameters Summary'!$B$2:$AB$826,8,FALSE)</f>
        <v>PHYSPROP</v>
      </c>
      <c r="N156" s="91">
        <f>VLOOKUP(A156,'Parameters Summary'!$B$2:$AB$826,6,FALSE)</f>
        <v>9.7710000000000006E-4</v>
      </c>
      <c r="O156" s="91" t="str">
        <f t="shared" si="12"/>
        <v/>
      </c>
      <c r="P156" s="91">
        <f t="shared" si="15"/>
        <v>9.7710000000000006E-4</v>
      </c>
      <c r="Q156" s="91" t="str">
        <f t="shared" si="13"/>
        <v/>
      </c>
      <c r="R156" s="91">
        <f t="shared" si="16"/>
        <v>9.7710000000000006E-4</v>
      </c>
      <c r="S156" s="91" t="str">
        <f t="shared" si="17"/>
        <v/>
      </c>
      <c r="T156" s="93">
        <f>VLOOKUP(A156,'Parameters Summary'!$B$2:$AB$826,15,FALSE)</f>
        <v>0.101506</v>
      </c>
      <c r="U156" s="93" t="str">
        <f>VLOOKUP(A156,'Parameters Summary'!$B$2:$AB$826,17,FALSE)</f>
        <v>WATER9 (U.S. EPA, 2001)</v>
      </c>
      <c r="V156" s="93">
        <f>VLOOKUP(A156,'Parameters Summary'!$B$2:$AB$826,16,FALSE)</f>
        <v>1.2300000000000001E-5</v>
      </c>
      <c r="W156" s="379" t="str">
        <f>VLOOKUP(A156,'Parameters Summary'!$B$2:$AB$826,17,FALSE)</f>
        <v>WATER9 (U.S. EPA, 2001)</v>
      </c>
      <c r="X156" s="290">
        <v>358.2</v>
      </c>
      <c r="Y156" s="96" t="s">
        <v>2213</v>
      </c>
      <c r="Z156" s="96">
        <v>514.03</v>
      </c>
      <c r="AA156" s="96" t="s">
        <v>2202</v>
      </c>
      <c r="AB156" s="96" t="s">
        <v>1651</v>
      </c>
      <c r="AC156" s="96"/>
      <c r="AD156" s="93">
        <f>VLOOKUP(A156,'Parameters Summary'!$B$2:$AB$826,20,FALSE)</f>
        <v>1</v>
      </c>
      <c r="AE156" s="97" t="str">
        <f>VLOOKUP(A156,'Parameters Summary'!$B$2:$AB$826,21,FALSE)</f>
        <v>EPI</v>
      </c>
      <c r="AF156" s="380"/>
      <c r="AG156" s="97"/>
      <c r="AH156" s="92"/>
      <c r="AI156" s="94" t="s">
        <v>1420</v>
      </c>
      <c r="AJ156" s="330" t="s">
        <v>1809</v>
      </c>
      <c r="AL156" s="81"/>
    </row>
    <row r="157" spans="1:38" ht="12.75" customHeight="1">
      <c r="A157" s="96" t="s">
        <v>747</v>
      </c>
      <c r="B157" s="96" t="s">
        <v>1040</v>
      </c>
      <c r="C157" s="96" t="str">
        <f t="shared" si="14"/>
        <v>No</v>
      </c>
      <c r="D157" s="96" t="str">
        <f>VLOOKUP(A157,'Tox Summary'!$O$3:$R$824,3,FALSE)</f>
        <v>No</v>
      </c>
      <c r="E157" s="97">
        <f>VLOOKUP(A157,'Parameters Summary'!$B$2:$AB$826,4,FALSE)</f>
        <v>94.498000000000005</v>
      </c>
      <c r="F157" s="97" t="str">
        <f>VLOOKUP(A157,'Parameters Summary'!$B$2:$AB$826,5,FALSE)</f>
        <v>PHYSPROP</v>
      </c>
      <c r="G157" s="93">
        <f>VLOOKUP(A157,'Parameters Summary'!$B$2:$AB$826,9,FALSE)</f>
        <v>6.5000000000000002E-2</v>
      </c>
      <c r="H157" s="93" t="str">
        <f>VLOOKUP(A157,'Parameters Summary'!$B$2:$AB$826,10,FALSE)</f>
        <v>PHYSPROP</v>
      </c>
      <c r="I157" s="93">
        <f>VLOOKUP(A157,'Parameters Summary'!$B$2:$AB$826,24,FALSE)</f>
        <v>858000</v>
      </c>
      <c r="J157" s="97" t="str">
        <f>VLOOKUP(A157,'Parameters Summary'!$B$2:$AB$826,25,FALSE)</f>
        <v>PHYSPROP</v>
      </c>
      <c r="K157" s="97">
        <f>VLOOKUP(A157,'Tox Summary'!$O$3:$S$827,2,FALSE)</f>
        <v>60</v>
      </c>
      <c r="L157" s="93">
        <f>VLOOKUP(A157,'Parameters Summary'!$B$2:$AB$826,7,FALSE)</f>
        <v>9.2599999999999999E-9</v>
      </c>
      <c r="M157" s="93" t="str">
        <f>VLOOKUP(A157,'Parameters Summary'!$B$2:$AB$826,8,FALSE)</f>
        <v>PHYSPROP</v>
      </c>
      <c r="N157" s="91">
        <f>VLOOKUP(A157,'Parameters Summary'!$B$2:$AB$826,6,FALSE)</f>
        <v>3.7857999999999999E-7</v>
      </c>
      <c r="O157" s="91" t="str">
        <f t="shared" si="12"/>
        <v/>
      </c>
      <c r="P157" s="91">
        <f t="shared" si="15"/>
        <v>3.7857999999999999E-7</v>
      </c>
      <c r="Q157" s="91" t="str">
        <f t="shared" si="13"/>
        <v/>
      </c>
      <c r="R157" s="91">
        <f t="shared" si="16"/>
        <v>3.7857999999999999E-7</v>
      </c>
      <c r="S157" s="91" t="str">
        <f t="shared" si="17"/>
        <v/>
      </c>
      <c r="T157" s="93">
        <f>VLOOKUP(A157,'Parameters Summary'!$B$2:$AB$826,15,FALSE)</f>
        <v>9.3822299999999997E-2</v>
      </c>
      <c r="U157" s="93" t="str">
        <f>VLOOKUP(A157,'Parameters Summary'!$B$2:$AB$826,17,FALSE)</f>
        <v>WATER9 (U.S. EPA, 2001)</v>
      </c>
      <c r="V157" s="93">
        <f>VLOOKUP(A157,'Parameters Summary'!$B$2:$AB$826,16,FALSE)</f>
        <v>1.2099999999999999E-5</v>
      </c>
      <c r="W157" s="379" t="str">
        <f>VLOOKUP(A157,'Parameters Summary'!$B$2:$AB$826,17,FALSE)</f>
        <v>WATER9 (U.S. EPA, 2001)</v>
      </c>
      <c r="X157" s="290">
        <v>462.45</v>
      </c>
      <c r="Y157" s="96" t="s">
        <v>553</v>
      </c>
      <c r="Z157" s="96">
        <v>693.67499999999995</v>
      </c>
      <c r="AA157" s="96" t="s">
        <v>2220</v>
      </c>
      <c r="AB157" s="96" t="s">
        <v>1651</v>
      </c>
      <c r="AC157" s="96"/>
      <c r="AD157" s="93">
        <f>VLOOKUP(A157,'Parameters Summary'!$B$2:$AB$826,20,FALSE)</f>
        <v>1.44</v>
      </c>
      <c r="AE157" s="97" t="str">
        <f>VLOOKUP(A157,'Parameters Summary'!$B$2:$AB$826,21,FALSE)</f>
        <v>EPI</v>
      </c>
      <c r="AF157" s="97"/>
      <c r="AG157" s="94"/>
      <c r="AH157" s="92"/>
      <c r="AI157" s="94"/>
      <c r="AJ157" s="330"/>
      <c r="AL157" s="81"/>
    </row>
    <row r="158" spans="1:38" ht="12.75" customHeight="1">
      <c r="A158" s="96" t="s">
        <v>748</v>
      </c>
      <c r="B158" s="96" t="s">
        <v>1041</v>
      </c>
      <c r="C158" s="96" t="str">
        <f t="shared" si="14"/>
        <v>No</v>
      </c>
      <c r="D158" s="96" t="str">
        <f>VLOOKUP(A158,'Tox Summary'!$O$3:$R$824,3,FALSE)</f>
        <v>Yes</v>
      </c>
      <c r="E158" s="97">
        <f>VLOOKUP(A158,'Parameters Summary'!$B$2:$AB$826,4,FALSE)</f>
        <v>154.6</v>
      </c>
      <c r="F158" s="97" t="str">
        <f>VLOOKUP(A158,'Parameters Summary'!$B$2:$AB$826,5,FALSE)</f>
        <v>PHYSPROP</v>
      </c>
      <c r="G158" s="93">
        <f>VLOOKUP(A158,'Parameters Summary'!$B$2:$AB$826,9,FALSE)</f>
        <v>5.4000000000000003E-3</v>
      </c>
      <c r="H158" s="93" t="str">
        <f>VLOOKUP(A158,'Parameters Summary'!$B$2:$AB$826,10,FALSE)</f>
        <v>PHYSPROP</v>
      </c>
      <c r="I158" s="93">
        <f>VLOOKUP(A158,'Parameters Summary'!$B$2:$AB$826,24,FALSE)</f>
        <v>1100</v>
      </c>
      <c r="J158" s="97" t="str">
        <f>VLOOKUP(A158,'Parameters Summary'!$B$2:$AB$826,25,FALSE)</f>
        <v>PERRY</v>
      </c>
      <c r="K158" s="97" t="str">
        <f>VLOOKUP(A158,'Tox Summary'!$O$3:$S$827,2,FALSE)</f>
        <v/>
      </c>
      <c r="L158" s="93">
        <f>VLOOKUP(A158,'Parameters Summary'!$B$2:$AB$826,7,FALSE)</f>
        <v>3.4599999999999999E-6</v>
      </c>
      <c r="M158" s="93" t="str">
        <f>VLOOKUP(A158,'Parameters Summary'!$B$2:$AB$826,8,FALSE)</f>
        <v>PHYSPROP</v>
      </c>
      <c r="N158" s="91">
        <f>VLOOKUP(A158,'Parameters Summary'!$B$2:$AB$826,6,FALSE)</f>
        <v>1.415E-4</v>
      </c>
      <c r="O158" s="91" t="str">
        <f t="shared" si="12"/>
        <v/>
      </c>
      <c r="P158" s="91">
        <f t="shared" si="15"/>
        <v>1.415E-4</v>
      </c>
      <c r="Q158" s="91" t="str">
        <f t="shared" si="13"/>
        <v/>
      </c>
      <c r="R158" s="91">
        <f t="shared" si="16"/>
        <v>1.415E-4</v>
      </c>
      <c r="S158" s="91" t="str">
        <f t="shared" si="17"/>
        <v/>
      </c>
      <c r="T158" s="93">
        <f>VLOOKUP(A158,'Parameters Summary'!$B$2:$AB$826,15,FALSE)</f>
        <v>5.2239099999999997E-2</v>
      </c>
      <c r="U158" s="93" t="str">
        <f>VLOOKUP(A158,'Parameters Summary'!$B$2:$AB$826,17,FALSE)</f>
        <v>WATER9 (U.S. EPA, 2001)</v>
      </c>
      <c r="V158" s="93">
        <f>VLOOKUP(A158,'Parameters Summary'!$B$2:$AB$826,16,FALSE)</f>
        <v>8.7273000000000003E-6</v>
      </c>
      <c r="W158" s="379" t="str">
        <f>VLOOKUP(A158,'Parameters Summary'!$B$2:$AB$826,17,FALSE)</f>
        <v>WATER9 (U.S. EPA, 2001)</v>
      </c>
      <c r="X158" s="290">
        <v>520.15</v>
      </c>
      <c r="Y158" s="96" t="s">
        <v>553</v>
      </c>
      <c r="Z158" s="96">
        <v>780.22499999999991</v>
      </c>
      <c r="AA158" s="96" t="s">
        <v>2220</v>
      </c>
      <c r="AB158" s="96" t="s">
        <v>1651</v>
      </c>
      <c r="AC158" s="96"/>
      <c r="AD158" s="93">
        <f>VLOOKUP(A158,'Parameters Summary'!$B$2:$AB$826,20,FALSE)</f>
        <v>98.9</v>
      </c>
      <c r="AE158" s="97" t="str">
        <f>VLOOKUP(A158,'Parameters Summary'!$B$2:$AB$826,21,FALSE)</f>
        <v>EPI</v>
      </c>
      <c r="AF158" s="97"/>
      <c r="AG158" s="94"/>
      <c r="AH158" s="92"/>
      <c r="AI158" s="94"/>
      <c r="AJ158" s="330"/>
      <c r="AL158" s="81"/>
    </row>
    <row r="159" spans="1:38" ht="12.75" customHeight="1">
      <c r="A159" s="96" t="s">
        <v>749</v>
      </c>
      <c r="B159" s="96" t="s">
        <v>1042</v>
      </c>
      <c r="C159" s="96" t="str">
        <f t="shared" si="14"/>
        <v>No</v>
      </c>
      <c r="D159" s="96" t="str">
        <f>VLOOKUP(A159,'Tox Summary'!$O$3:$R$824,3,FALSE)</f>
        <v>Yes</v>
      </c>
      <c r="E159" s="97">
        <f>VLOOKUP(A159,'Parameters Summary'!$B$2:$AB$826,4,FALSE)</f>
        <v>127.57</v>
      </c>
      <c r="F159" s="97" t="str">
        <f>VLOOKUP(A159,'Parameters Summary'!$B$2:$AB$826,5,FALSE)</f>
        <v>PHYSPROP</v>
      </c>
      <c r="G159" s="93">
        <f>VLOOKUP(A159,'Parameters Summary'!$B$2:$AB$826,9,FALSE)</f>
        <v>2.7E-2</v>
      </c>
      <c r="H159" s="93" t="str">
        <f>VLOOKUP(A159,'Parameters Summary'!$B$2:$AB$826,10,FALSE)</f>
        <v>PHYSPROP</v>
      </c>
      <c r="I159" s="93">
        <f>VLOOKUP(A159,'Parameters Summary'!$B$2:$AB$826,24,FALSE)</f>
        <v>3900</v>
      </c>
      <c r="J159" s="97" t="str">
        <f>VLOOKUP(A159,'Parameters Summary'!$B$2:$AB$826,25,FALSE)</f>
        <v>PHYSPROP</v>
      </c>
      <c r="K159" s="97" t="str">
        <f>VLOOKUP(A159,'Tox Summary'!$O$3:$S$827,2,FALSE)</f>
        <v/>
      </c>
      <c r="L159" s="93">
        <f>VLOOKUP(A159,'Parameters Summary'!$B$2:$AB$826,7,FALSE)</f>
        <v>1.1599999999999999E-6</v>
      </c>
      <c r="M159" s="93" t="str">
        <f>VLOOKUP(A159,'Parameters Summary'!$B$2:$AB$826,8,FALSE)</f>
        <v>EPI</v>
      </c>
      <c r="N159" s="91">
        <f>VLOOKUP(A159,'Parameters Summary'!$B$2:$AB$826,6,FALSE)</f>
        <v>4.74E-5</v>
      </c>
      <c r="O159" s="91" t="str">
        <f t="shared" si="12"/>
        <v/>
      </c>
      <c r="P159" s="91">
        <f t="shared" si="15"/>
        <v>4.74E-5</v>
      </c>
      <c r="Q159" s="91" t="str">
        <f t="shared" si="13"/>
        <v/>
      </c>
      <c r="R159" s="91">
        <f t="shared" si="16"/>
        <v>4.74E-5</v>
      </c>
      <c r="S159" s="91" t="str">
        <f t="shared" si="17"/>
        <v/>
      </c>
      <c r="T159" s="93">
        <f>VLOOKUP(A159,'Parameters Summary'!$B$2:$AB$826,15,FALSE)</f>
        <v>7.0384699999999994E-2</v>
      </c>
      <c r="U159" s="93" t="str">
        <f>VLOOKUP(A159,'Parameters Summary'!$B$2:$AB$826,17,FALSE)</f>
        <v>WATER9 (U.S. EPA, 2001)</v>
      </c>
      <c r="V159" s="93">
        <f>VLOOKUP(A159,'Parameters Summary'!$B$2:$AB$826,16,FALSE)</f>
        <v>1.03E-5</v>
      </c>
      <c r="W159" s="379" t="str">
        <f>VLOOKUP(A159,'Parameters Summary'!$B$2:$AB$826,17,FALSE)</f>
        <v>WATER9 (U.S. EPA, 2001)</v>
      </c>
      <c r="X159" s="290">
        <v>505.15</v>
      </c>
      <c r="Y159" s="96" t="s">
        <v>553</v>
      </c>
      <c r="Z159" s="96">
        <v>757.72499999999991</v>
      </c>
      <c r="AA159" s="96" t="s">
        <v>2220</v>
      </c>
      <c r="AB159" s="96" t="s">
        <v>1651</v>
      </c>
      <c r="AC159" s="96"/>
      <c r="AD159" s="93">
        <f>VLOOKUP(A159,'Parameters Summary'!$B$2:$AB$826,20,FALSE)</f>
        <v>112.7</v>
      </c>
      <c r="AE159" s="97" t="str">
        <f>VLOOKUP(A159,'Parameters Summary'!$B$2:$AB$826,21,FALSE)</f>
        <v>EPI</v>
      </c>
      <c r="AF159" s="97"/>
      <c r="AG159" s="94"/>
      <c r="AH159" s="92"/>
      <c r="AI159" s="96"/>
      <c r="AJ159" s="330"/>
      <c r="AL159" s="81"/>
    </row>
    <row r="160" spans="1:38" ht="12.75" customHeight="1">
      <c r="A160" s="95" t="s">
        <v>750</v>
      </c>
      <c r="B160" s="96" t="s">
        <v>432</v>
      </c>
      <c r="C160" s="96" t="str">
        <f t="shared" si="14"/>
        <v>Yes</v>
      </c>
      <c r="D160" s="96" t="str">
        <f>VLOOKUP(A160,'Tox Summary'!$O$3:$R$824,3,FALSE)</f>
        <v>No</v>
      </c>
      <c r="E160" s="97">
        <f>VLOOKUP(A160,'Parameters Summary'!$B$2:$AB$826,4,FALSE)</f>
        <v>112.56</v>
      </c>
      <c r="F160" s="97" t="str">
        <f>VLOOKUP(A160,'Parameters Summary'!$B$2:$AB$826,5,FALSE)</f>
        <v>PHYSPROP</v>
      </c>
      <c r="G160" s="93">
        <f>VLOOKUP(A160,'Parameters Summary'!$B$2:$AB$826,9,FALSE)</f>
        <v>11.97</v>
      </c>
      <c r="H160" s="93" t="str">
        <f>VLOOKUP(A160,'Parameters Summary'!$B$2:$AB$826,10,FALSE)</f>
        <v>PHYSPROP</v>
      </c>
      <c r="I160" s="93">
        <f>VLOOKUP(A160,'Parameters Summary'!$B$2:$AB$826,24,FALSE)</f>
        <v>498</v>
      </c>
      <c r="J160" s="97" t="str">
        <f>VLOOKUP(A160,'Parameters Summary'!$B$2:$AB$826,25,FALSE)</f>
        <v>PHYSPROP</v>
      </c>
      <c r="K160" s="97">
        <f>VLOOKUP(A160,'Tox Summary'!$O$3:$S$827,2,FALSE)</f>
        <v>100</v>
      </c>
      <c r="L160" s="93">
        <f>VLOOKUP(A160,'Parameters Summary'!$B$2:$AB$826,7,FALSE)</f>
        <v>3.1099999999999999E-3</v>
      </c>
      <c r="M160" s="93" t="str">
        <f>VLOOKUP(A160,'Parameters Summary'!$B$2:$AB$826,8,FALSE)</f>
        <v>PHYSPROP</v>
      </c>
      <c r="N160" s="91">
        <f>VLOOKUP(A160,'Parameters Summary'!$B$2:$AB$826,6,FALSE)</f>
        <v>0.12714639999999999</v>
      </c>
      <c r="O160" s="91">
        <f t="shared" si="12"/>
        <v>0.12714639999999999</v>
      </c>
      <c r="P160" s="91">
        <f t="shared" si="15"/>
        <v>0.12714639999999999</v>
      </c>
      <c r="Q160" s="91">
        <f t="shared" si="13"/>
        <v>0.12714639999999999</v>
      </c>
      <c r="R160" s="91">
        <f t="shared" si="16"/>
        <v>0.12714639999999999</v>
      </c>
      <c r="S160" s="91">
        <f t="shared" si="17"/>
        <v>72498901.439368755</v>
      </c>
      <c r="T160" s="93">
        <f>VLOOKUP(A160,'Parameters Summary'!$B$2:$AB$826,15,FALSE)</f>
        <v>7.2130600000000003E-2</v>
      </c>
      <c r="U160" s="93" t="str">
        <f>VLOOKUP(A160,'Parameters Summary'!$B$2:$AB$826,17,FALSE)</f>
        <v>WATER9 (U.S. EPA, 2001)</v>
      </c>
      <c r="V160" s="93">
        <f>VLOOKUP(A160,'Parameters Summary'!$B$2:$AB$826,16,FALSE)</f>
        <v>9.4764999999999998E-6</v>
      </c>
      <c r="W160" s="379" t="str">
        <f>VLOOKUP(A160,'Parameters Summary'!$B$2:$AB$826,17,FALSE)</f>
        <v>WATER9 (U.S. EPA, 2001)</v>
      </c>
      <c r="X160" s="290">
        <v>404.7</v>
      </c>
      <c r="Y160" s="96" t="s">
        <v>553</v>
      </c>
      <c r="Z160" s="96">
        <v>632.4</v>
      </c>
      <c r="AA160" s="96" t="s">
        <v>2227</v>
      </c>
      <c r="AB160" s="96">
        <v>8410</v>
      </c>
      <c r="AC160" s="96" t="s">
        <v>2227</v>
      </c>
      <c r="AD160" s="93">
        <f>VLOOKUP(A160,'Parameters Summary'!$B$2:$AB$826,20,FALSE)</f>
        <v>233.9</v>
      </c>
      <c r="AE160" s="97" t="str">
        <f>VLOOKUP(A160,'Parameters Summary'!$B$2:$AB$826,21,FALSE)</f>
        <v>EPI</v>
      </c>
      <c r="AF160" s="380">
        <v>1.3</v>
      </c>
      <c r="AG160" s="97" t="s">
        <v>302</v>
      </c>
      <c r="AH160" s="92"/>
      <c r="AI160" s="94"/>
      <c r="AJ160" s="330"/>
      <c r="AL160" s="81"/>
    </row>
    <row r="161" spans="1:38" ht="12.75" customHeight="1">
      <c r="A161" s="96" t="s">
        <v>751</v>
      </c>
      <c r="B161" s="96" t="s">
        <v>1043</v>
      </c>
      <c r="C161" s="96" t="str">
        <f t="shared" si="14"/>
        <v>No</v>
      </c>
      <c r="D161" s="96" t="str">
        <f>VLOOKUP(A161,'Tox Summary'!$O$3:$R$824,3,FALSE)</f>
        <v>No</v>
      </c>
      <c r="E161" s="97">
        <f>VLOOKUP(A161,'Parameters Summary'!$B$2:$AB$826,4,FALSE)</f>
        <v>325.19</v>
      </c>
      <c r="F161" s="97" t="str">
        <f>VLOOKUP(A161,'Parameters Summary'!$B$2:$AB$826,5,FALSE)</f>
        <v>PHYSPROP</v>
      </c>
      <c r="G161" s="93">
        <f>VLOOKUP(A161,'Parameters Summary'!$B$2:$AB$826,9,FALSE)</f>
        <v>2.2000000000000001E-6</v>
      </c>
      <c r="H161" s="93" t="str">
        <f>VLOOKUP(A161,'Parameters Summary'!$B$2:$AB$826,10,FALSE)</f>
        <v>PHYSPROP</v>
      </c>
      <c r="I161" s="93">
        <f>VLOOKUP(A161,'Parameters Summary'!$B$2:$AB$826,24,FALSE)</f>
        <v>13</v>
      </c>
      <c r="J161" s="97" t="str">
        <f>VLOOKUP(A161,'Parameters Summary'!$B$2:$AB$826,25,FALSE)</f>
        <v>PHYSPROP</v>
      </c>
      <c r="K161" s="97" t="str">
        <f>VLOOKUP(A161,'Tox Summary'!$O$3:$S$827,2,FALSE)</f>
        <v/>
      </c>
      <c r="L161" s="93">
        <f>VLOOKUP(A161,'Parameters Summary'!$B$2:$AB$826,7,FALSE)</f>
        <v>7.24E-8</v>
      </c>
      <c r="M161" s="93" t="str">
        <f>VLOOKUP(A161,'Parameters Summary'!$B$2:$AB$826,8,FALSE)</f>
        <v>EPI</v>
      </c>
      <c r="N161" s="91">
        <f>VLOOKUP(A161,'Parameters Summary'!$B$2:$AB$826,6,FALSE)</f>
        <v>2.9598999999999998E-6</v>
      </c>
      <c r="O161" s="91" t="str">
        <f t="shared" si="12"/>
        <v/>
      </c>
      <c r="P161" s="91">
        <f t="shared" si="15"/>
        <v>2.9598999999999998E-6</v>
      </c>
      <c r="Q161" s="91" t="str">
        <f t="shared" si="13"/>
        <v/>
      </c>
      <c r="R161" s="91">
        <f t="shared" si="16"/>
        <v>2.9598999999999998E-6</v>
      </c>
      <c r="S161" s="91" t="str">
        <f t="shared" si="17"/>
        <v/>
      </c>
      <c r="T161" s="93">
        <f>VLOOKUP(A161,'Parameters Summary'!$B$2:$AB$826,15,FALSE)</f>
        <v>2.17767E-2</v>
      </c>
      <c r="U161" s="93" t="str">
        <f>VLOOKUP(A161,'Parameters Summary'!$B$2:$AB$826,17,FALSE)</f>
        <v>WATER9 (U.S. EPA, 2001)</v>
      </c>
      <c r="V161" s="93">
        <f>VLOOKUP(A161,'Parameters Summary'!$B$2:$AB$826,16,FALSE)</f>
        <v>5.4782000000000003E-6</v>
      </c>
      <c r="W161" s="379" t="str">
        <f>VLOOKUP(A161,'Parameters Summary'!$B$2:$AB$826,17,FALSE)</f>
        <v>WATER9 (U.S. EPA, 2001)</v>
      </c>
      <c r="X161" s="290">
        <v>420.15</v>
      </c>
      <c r="Y161" s="96" t="s">
        <v>553</v>
      </c>
      <c r="Z161" s="96">
        <v>630.22499999999991</v>
      </c>
      <c r="AA161" s="96" t="s">
        <v>2220</v>
      </c>
      <c r="AB161" s="96" t="s">
        <v>1651</v>
      </c>
      <c r="AC161" s="96"/>
      <c r="AD161" s="93">
        <f>VLOOKUP(A161,'Parameters Summary'!$B$2:$AB$826,20,FALSE)</f>
        <v>1539</v>
      </c>
      <c r="AE161" s="97" t="str">
        <f>VLOOKUP(A161,'Parameters Summary'!$B$2:$AB$826,21,FALSE)</f>
        <v>EPI</v>
      </c>
      <c r="AF161" s="97"/>
      <c r="AG161" s="94"/>
      <c r="AH161" s="92"/>
      <c r="AI161" s="94"/>
      <c r="AJ161" s="330"/>
      <c r="AL161" s="81"/>
    </row>
    <row r="162" spans="1:38" ht="12.75" customHeight="1">
      <c r="A162" s="96" t="s">
        <v>752</v>
      </c>
      <c r="B162" s="96" t="s">
        <v>566</v>
      </c>
      <c r="C162" s="96" t="str">
        <f t="shared" si="14"/>
        <v>No</v>
      </c>
      <c r="D162" s="96" t="str">
        <f>VLOOKUP(A162,'Tox Summary'!$O$3:$R$824,3,FALSE)</f>
        <v>Yes</v>
      </c>
      <c r="E162" s="97">
        <f>VLOOKUP(A162,'Parameters Summary'!$B$2:$AB$826,4,FALSE)</f>
        <v>156.57</v>
      </c>
      <c r="F162" s="97" t="str">
        <f>VLOOKUP(A162,'Parameters Summary'!$B$2:$AB$826,5,FALSE)</f>
        <v>PHYSPROP</v>
      </c>
      <c r="G162" s="93">
        <f>VLOOKUP(A162,'Parameters Summary'!$B$2:$AB$826,9,FALSE)</f>
        <v>2.33E-3</v>
      </c>
      <c r="H162" s="93" t="str">
        <f>VLOOKUP(A162,'Parameters Summary'!$B$2:$AB$826,10,FALSE)</f>
        <v>PHYSPROP</v>
      </c>
      <c r="I162" s="93">
        <f>VLOOKUP(A162,'Parameters Summary'!$B$2:$AB$826,24,FALSE)</f>
        <v>72</v>
      </c>
      <c r="J162" s="97" t="str">
        <f>VLOOKUP(A162,'Parameters Summary'!$B$2:$AB$826,25,FALSE)</f>
        <v>PHYSPROP</v>
      </c>
      <c r="K162" s="97" t="str">
        <f>VLOOKUP(A162,'Tox Summary'!$O$3:$S$827,2,FALSE)</f>
        <v/>
      </c>
      <c r="L162" s="93">
        <f>VLOOKUP(A162,'Parameters Summary'!$B$2:$AB$826,7,FALSE)</f>
        <v>8.0299999999999998E-8</v>
      </c>
      <c r="M162" s="93" t="str">
        <f>VLOOKUP(A162,'Parameters Summary'!$B$2:$AB$826,8,FALSE)</f>
        <v>PHYSPROP</v>
      </c>
      <c r="N162" s="91">
        <f>VLOOKUP(A162,'Parameters Summary'!$B$2:$AB$826,6,FALSE)</f>
        <v>3.2828999999999999E-6</v>
      </c>
      <c r="O162" s="91" t="str">
        <f t="shared" si="12"/>
        <v/>
      </c>
      <c r="P162" s="91">
        <f t="shared" si="15"/>
        <v>3.2828999999999999E-6</v>
      </c>
      <c r="Q162" s="91" t="str">
        <f t="shared" si="13"/>
        <v/>
      </c>
      <c r="R162" s="91">
        <f t="shared" si="16"/>
        <v>3.2828999999999999E-6</v>
      </c>
      <c r="S162" s="91" t="str">
        <f t="shared" si="17"/>
        <v/>
      </c>
      <c r="T162" s="93">
        <f>VLOOKUP(A162,'Parameters Summary'!$B$2:$AB$826,15,FALSE)</f>
        <v>5.4688500000000001E-2</v>
      </c>
      <c r="U162" s="93" t="str">
        <f>VLOOKUP(A162,'Parameters Summary'!$B$2:$AB$826,17,FALSE)</f>
        <v>WATER9 (U.S. EPA, 2001)</v>
      </c>
      <c r="V162" s="93">
        <f>VLOOKUP(A162,'Parameters Summary'!$B$2:$AB$826,16,FALSE)</f>
        <v>9.4870000000000008E-6</v>
      </c>
      <c r="W162" s="379" t="str">
        <f>VLOOKUP(A162,'Parameters Summary'!$B$2:$AB$826,17,FALSE)</f>
        <v>WATER9 (U.S. EPA, 2001)</v>
      </c>
      <c r="X162" s="347"/>
      <c r="Y162" s="96"/>
      <c r="Z162" s="96" t="s">
        <v>1653</v>
      </c>
      <c r="AA162" s="96"/>
      <c r="AB162" s="96" t="s">
        <v>1651</v>
      </c>
      <c r="AC162" s="96"/>
      <c r="AD162" s="93">
        <f>VLOOKUP(A162,'Parameters Summary'!$B$2:$AB$826,20,FALSE)</f>
        <v>26.56</v>
      </c>
      <c r="AE162" s="97" t="str">
        <f>VLOOKUP(A162,'Parameters Summary'!$B$2:$AB$826,21,FALSE)</f>
        <v>EPI</v>
      </c>
      <c r="AF162" s="97"/>
      <c r="AG162" s="94"/>
      <c r="AH162" s="92"/>
      <c r="AI162" s="94" t="s">
        <v>2108</v>
      </c>
      <c r="AJ162" s="330"/>
      <c r="AL162" s="81"/>
    </row>
    <row r="163" spans="1:38" ht="12.75" customHeight="1">
      <c r="A163" s="95" t="s">
        <v>753</v>
      </c>
      <c r="B163" s="96" t="s">
        <v>1044</v>
      </c>
      <c r="C163" s="96" t="str">
        <f t="shared" si="14"/>
        <v>Yes</v>
      </c>
      <c r="D163" s="96" t="str">
        <f>VLOOKUP(A163,'Tox Summary'!$O$3:$R$824,3,FALSE)</f>
        <v>No</v>
      </c>
      <c r="E163" s="97">
        <f>VLOOKUP(A163,'Parameters Summary'!$B$2:$AB$826,4,FALSE)</f>
        <v>180.56</v>
      </c>
      <c r="F163" s="97" t="str">
        <f>VLOOKUP(A163,'Parameters Summary'!$B$2:$AB$826,5,FALSE)</f>
        <v>PHYSPROP</v>
      </c>
      <c r="G163" s="93">
        <f>VLOOKUP(A163,'Parameters Summary'!$B$2:$AB$826,9,FALSE)</f>
        <v>7.63</v>
      </c>
      <c r="H163" s="93" t="str">
        <f>VLOOKUP(A163,'Parameters Summary'!$B$2:$AB$826,10,FALSE)</f>
        <v>PHYSPROP</v>
      </c>
      <c r="I163" s="93">
        <f>VLOOKUP(A163,'Parameters Summary'!$B$2:$AB$826,24,FALSE)</f>
        <v>29</v>
      </c>
      <c r="J163" s="97" t="str">
        <f>VLOOKUP(A163,'Parameters Summary'!$B$2:$AB$826,25,FALSE)</f>
        <v>PHYSPROP</v>
      </c>
      <c r="K163" s="97" t="str">
        <f>VLOOKUP(A163,'Tox Summary'!$O$3:$S$827,2,FALSE)</f>
        <v/>
      </c>
      <c r="L163" s="93">
        <f>VLOOKUP(A163,'Parameters Summary'!$B$2:$AB$826,7,FALSE)</f>
        <v>3.4700000000000002E-2</v>
      </c>
      <c r="M163" s="93" t="str">
        <f>VLOOKUP(A163,'Parameters Summary'!$B$2:$AB$826,8,FALSE)</f>
        <v>PHYSPROP</v>
      </c>
      <c r="N163" s="91">
        <f>VLOOKUP(A163,'Parameters Summary'!$B$2:$AB$826,6,FALSE)</f>
        <v>1.4186426999999999</v>
      </c>
      <c r="O163" s="91" t="str">
        <f t="shared" si="12"/>
        <v/>
      </c>
      <c r="P163" s="91">
        <f t="shared" si="15"/>
        <v>1.4186426999999999</v>
      </c>
      <c r="Q163" s="91" t="str">
        <f t="shared" si="13"/>
        <v/>
      </c>
      <c r="R163" s="91">
        <f t="shared" si="16"/>
        <v>1.4186426999999999</v>
      </c>
      <c r="S163" s="91" t="str">
        <f t="shared" si="17"/>
        <v/>
      </c>
      <c r="T163" s="93">
        <f>VLOOKUP(A163,'Parameters Summary'!$B$2:$AB$826,15,FALSE)</f>
        <v>3.8499499999999999E-2</v>
      </c>
      <c r="U163" s="93" t="str">
        <f>VLOOKUP(A163,'Parameters Summary'!$B$2:$AB$826,17,FALSE)</f>
        <v>WATER9 (U.S. EPA, 2001)</v>
      </c>
      <c r="V163" s="93">
        <f>VLOOKUP(A163,'Parameters Summary'!$B$2:$AB$826,16,FALSE)</f>
        <v>7.9872000000000004E-6</v>
      </c>
      <c r="W163" s="379" t="str">
        <f>VLOOKUP(A163,'Parameters Summary'!$B$2:$AB$826,17,FALSE)</f>
        <v>WATER9 (U.S. EPA, 2001)</v>
      </c>
      <c r="X163" s="290">
        <v>411.5</v>
      </c>
      <c r="Y163" s="96" t="s">
        <v>2217</v>
      </c>
      <c r="Z163" s="96">
        <v>617.25</v>
      </c>
      <c r="AA163" s="96" t="s">
        <v>2220</v>
      </c>
      <c r="AB163" s="96" t="s">
        <v>1651</v>
      </c>
      <c r="AC163" s="96"/>
      <c r="AD163" s="93">
        <f>VLOOKUP(A163,'Parameters Summary'!$B$2:$AB$826,20,FALSE)</f>
        <v>1606</v>
      </c>
      <c r="AE163" s="97" t="str">
        <f>VLOOKUP(A163,'Parameters Summary'!$B$2:$AB$826,21,FALSE)</f>
        <v>EPI</v>
      </c>
      <c r="AF163" s="380"/>
      <c r="AG163" s="97"/>
      <c r="AH163" s="92"/>
      <c r="AI163" s="94"/>
      <c r="AJ163" s="330"/>
      <c r="AL163" s="81"/>
    </row>
    <row r="164" spans="1:38" ht="12.75" customHeight="1">
      <c r="A164" s="95" t="s">
        <v>754</v>
      </c>
      <c r="B164" s="96" t="s">
        <v>1045</v>
      </c>
      <c r="C164" s="96" t="str">
        <f t="shared" si="14"/>
        <v>Yes</v>
      </c>
      <c r="D164" s="96" t="str">
        <f>VLOOKUP(A164,'Tox Summary'!$O$3:$R$824,3,FALSE)</f>
        <v>Yes</v>
      </c>
      <c r="E164" s="97">
        <f>VLOOKUP(A164,'Parameters Summary'!$B$2:$AB$826,4,FALSE)</f>
        <v>92.569000000000003</v>
      </c>
      <c r="F164" s="97" t="str">
        <f>VLOOKUP(A164,'Parameters Summary'!$B$2:$AB$826,5,FALSE)</f>
        <v>PHYSPROP</v>
      </c>
      <c r="G164" s="93">
        <f>VLOOKUP(A164,'Parameters Summary'!$B$2:$AB$826,9,FALSE)</f>
        <v>101.3</v>
      </c>
      <c r="H164" s="93" t="str">
        <f>VLOOKUP(A164,'Parameters Summary'!$B$2:$AB$826,10,FALSE)</f>
        <v>PHYSPROP</v>
      </c>
      <c r="I164" s="93">
        <f>VLOOKUP(A164,'Parameters Summary'!$B$2:$AB$826,24,FALSE)</f>
        <v>1100</v>
      </c>
      <c r="J164" s="97" t="str">
        <f>VLOOKUP(A164,'Parameters Summary'!$B$2:$AB$826,25,FALSE)</f>
        <v>PHYSPROP</v>
      </c>
      <c r="K164" s="97" t="str">
        <f>VLOOKUP(A164,'Tox Summary'!$O$3:$S$827,2,FALSE)</f>
        <v/>
      </c>
      <c r="L164" s="93">
        <f>VLOOKUP(A164,'Parameters Summary'!$B$2:$AB$826,7,FALSE)</f>
        <v>1.67E-2</v>
      </c>
      <c r="M164" s="93" t="str">
        <f>VLOOKUP(A164,'Parameters Summary'!$B$2:$AB$826,8,FALSE)</f>
        <v>PHYSPROP</v>
      </c>
      <c r="N164" s="91">
        <f>VLOOKUP(A164,'Parameters Summary'!$B$2:$AB$826,6,FALSE)</f>
        <v>0.68274729999999995</v>
      </c>
      <c r="O164" s="91">
        <f t="shared" si="12"/>
        <v>0.68274729999999995</v>
      </c>
      <c r="P164" s="91">
        <f t="shared" si="15"/>
        <v>0.68274729999999995</v>
      </c>
      <c r="Q164" s="91">
        <f t="shared" si="13"/>
        <v>0.68274729999999995</v>
      </c>
      <c r="R164" s="91">
        <f t="shared" si="16"/>
        <v>0.68274729999999995</v>
      </c>
      <c r="S164" s="91">
        <f t="shared" si="17"/>
        <v>504577880.96131396</v>
      </c>
      <c r="T164" s="93">
        <f>VLOOKUP(A164,'Parameters Summary'!$B$2:$AB$826,15,FALSE)</f>
        <v>7.8413700000000003E-2</v>
      </c>
      <c r="U164" s="93" t="str">
        <f>VLOOKUP(A164,'Parameters Summary'!$B$2:$AB$826,17,FALSE)</f>
        <v>WATER9 (U.S. EPA, 2001)</v>
      </c>
      <c r="V164" s="93">
        <f>VLOOKUP(A164,'Parameters Summary'!$B$2:$AB$826,16,FALSE)</f>
        <v>9.3275000000000001E-6</v>
      </c>
      <c r="W164" s="379" t="str">
        <f>VLOOKUP(A164,'Parameters Summary'!$B$2:$AB$826,17,FALSE)</f>
        <v>WATER9 (U.S. EPA, 2001)</v>
      </c>
      <c r="X164" s="290">
        <v>351.6</v>
      </c>
      <c r="Y164" s="96" t="s">
        <v>553</v>
      </c>
      <c r="Z164" s="96">
        <v>542</v>
      </c>
      <c r="AA164" s="96" t="s">
        <v>2215</v>
      </c>
      <c r="AB164" s="96">
        <v>7263.21</v>
      </c>
      <c r="AC164" s="96" t="s">
        <v>2221</v>
      </c>
      <c r="AD164" s="93">
        <f>VLOOKUP(A164,'Parameters Summary'!$B$2:$AB$826,20,FALSE)</f>
        <v>72.17</v>
      </c>
      <c r="AE164" s="97" t="str">
        <f>VLOOKUP(A164,'Parameters Summary'!$B$2:$AB$826,21,FALSE)</f>
        <v>EPI</v>
      </c>
      <c r="AF164" s="380">
        <v>1.8</v>
      </c>
      <c r="AG164" s="97" t="s">
        <v>522</v>
      </c>
      <c r="AH164" s="92"/>
      <c r="AI164" s="94"/>
      <c r="AJ164" s="330"/>
      <c r="AL164" s="81"/>
    </row>
    <row r="165" spans="1:38" ht="12.75" customHeight="1">
      <c r="A165" s="95" t="s">
        <v>755</v>
      </c>
      <c r="B165" s="96" t="s">
        <v>1436</v>
      </c>
      <c r="C165" s="96" t="str">
        <f t="shared" si="14"/>
        <v>Yes</v>
      </c>
      <c r="D165" s="96" t="str">
        <f>VLOOKUP(A165,'Tox Summary'!$O$3:$R$824,3,FALSE)</f>
        <v>Yes</v>
      </c>
      <c r="E165" s="97">
        <f>VLOOKUP(A165,'Parameters Summary'!$B$2:$AB$826,4,FALSE)</f>
        <v>86.468999999999994</v>
      </c>
      <c r="F165" s="97" t="str">
        <f>VLOOKUP(A165,'Parameters Summary'!$B$2:$AB$826,5,FALSE)</f>
        <v>PHYSPROP</v>
      </c>
      <c r="G165" s="93">
        <f>VLOOKUP(A165,'Parameters Summary'!$B$2:$AB$826,9,FALSE)</f>
        <v>7252</v>
      </c>
      <c r="H165" s="93" t="str">
        <f>VLOOKUP(A165,'Parameters Summary'!$B$2:$AB$826,10,FALSE)</f>
        <v>PHYSPROP</v>
      </c>
      <c r="I165" s="93">
        <f>VLOOKUP(A165,'Parameters Summary'!$B$2:$AB$826,24,FALSE)</f>
        <v>2770</v>
      </c>
      <c r="J165" s="97" t="str">
        <f>VLOOKUP(A165,'Parameters Summary'!$B$2:$AB$826,25,FALSE)</f>
        <v>PHYSPROP</v>
      </c>
      <c r="K165" s="97" t="str">
        <f>VLOOKUP(A165,'Tox Summary'!$O$3:$S$827,2,FALSE)</f>
        <v/>
      </c>
      <c r="L165" s="93">
        <f>VLOOKUP(A165,'Parameters Summary'!$B$2:$AB$826,7,FALSE)</f>
        <v>4.0599999999999997E-2</v>
      </c>
      <c r="M165" s="93" t="str">
        <f>VLOOKUP(A165,'Parameters Summary'!$B$2:$AB$826,8,FALSE)</f>
        <v>PHYSPROP</v>
      </c>
      <c r="N165" s="91">
        <f>VLOOKUP(A165,'Parameters Summary'!$B$2:$AB$826,6,FALSE)</f>
        <v>1.6598527999999999</v>
      </c>
      <c r="O165" s="91">
        <f t="shared" si="12"/>
        <v>1.6598527999999999</v>
      </c>
      <c r="P165" s="91">
        <f t="shared" si="15"/>
        <v>1.6598527999999999</v>
      </c>
      <c r="Q165" s="91">
        <f t="shared" si="13"/>
        <v>1.6598527999999999</v>
      </c>
      <c r="R165" s="91">
        <f t="shared" si="16"/>
        <v>1.6598527999999999</v>
      </c>
      <c r="S165" s="91">
        <f t="shared" si="17"/>
        <v>33742046756.967896</v>
      </c>
      <c r="T165" s="93">
        <f>VLOOKUP(A165,'Parameters Summary'!$B$2:$AB$826,15,FALSE)</f>
        <v>0.10337880000000001</v>
      </c>
      <c r="U165" s="93" t="str">
        <f>VLOOKUP(A165,'Parameters Summary'!$B$2:$AB$826,17,FALSE)</f>
        <v>WATER9 (U.S. EPA, 2001)</v>
      </c>
      <c r="V165" s="93">
        <f>VLOOKUP(A165,'Parameters Summary'!$B$2:$AB$826,16,FALSE)</f>
        <v>1.33E-5</v>
      </c>
      <c r="W165" s="379" t="str">
        <f>VLOOKUP(A165,'Parameters Summary'!$B$2:$AB$826,17,FALSE)</f>
        <v>WATER9 (U.S. EPA, 2001)</v>
      </c>
      <c r="X165" s="290">
        <v>232.3</v>
      </c>
      <c r="Y165" s="96" t="s">
        <v>553</v>
      </c>
      <c r="Z165" s="96">
        <v>369.3</v>
      </c>
      <c r="AA165" s="96" t="s">
        <v>2221</v>
      </c>
      <c r="AB165" s="96">
        <v>4835.9212200000002</v>
      </c>
      <c r="AC165" s="96" t="s">
        <v>2215</v>
      </c>
      <c r="AD165" s="93">
        <f>VLOOKUP(A165,'Parameters Summary'!$B$2:$AB$826,20,FALSE)</f>
        <v>31.82</v>
      </c>
      <c r="AE165" s="97" t="str">
        <f>VLOOKUP(A165,'Parameters Summary'!$B$2:$AB$826,21,FALSE)</f>
        <v>EPI</v>
      </c>
      <c r="AF165" s="380"/>
      <c r="AG165" s="97"/>
      <c r="AH165" s="92"/>
      <c r="AI165" s="94" t="s">
        <v>1422</v>
      </c>
      <c r="AJ165" s="330"/>
      <c r="AL165" s="81"/>
    </row>
    <row r="166" spans="1:38" ht="12.75" customHeight="1">
      <c r="A166" s="96" t="s">
        <v>1999</v>
      </c>
      <c r="B166" s="96" t="s">
        <v>1998</v>
      </c>
      <c r="C166" s="96" t="str">
        <f t="shared" si="14"/>
        <v>Yes</v>
      </c>
      <c r="D166" s="96" t="str">
        <f>VLOOKUP(A166,'Tox Summary'!$O$3:$R$824,3,FALSE)</f>
        <v>Yes</v>
      </c>
      <c r="E166" s="97">
        <f>VLOOKUP(A166,'Parameters Summary'!$B$2:$AB$826,4,FALSE)</f>
        <v>80.515000000000001</v>
      </c>
      <c r="F166" s="97" t="str">
        <f>VLOOKUP(A166,'Parameters Summary'!$B$2:$AB$826,5,FALSE)</f>
        <v>PHYSPROP</v>
      </c>
      <c r="G166" s="93">
        <f>VLOOKUP(A166,'Parameters Summary'!$B$2:$AB$826,9,FALSE)</f>
        <v>7.18</v>
      </c>
      <c r="H166" s="93" t="str">
        <f>VLOOKUP(A166,'Parameters Summary'!$B$2:$AB$826,10,FALSE)</f>
        <v>PHYSPROP</v>
      </c>
      <c r="I166" s="93">
        <f>VLOOKUP(A166,'Parameters Summary'!$B$2:$AB$826,24,FALSE)</f>
        <v>1000000</v>
      </c>
      <c r="J166" s="97" t="str">
        <f>VLOOKUP(A166,'Parameters Summary'!$B$2:$AB$826,25,FALSE)</f>
        <v>PHYSPROP</v>
      </c>
      <c r="K166" s="97" t="str">
        <f>VLOOKUP(A166,'Tox Summary'!$O$3:$S$827,2,FALSE)</f>
        <v/>
      </c>
      <c r="L166" s="93">
        <f>VLOOKUP(A166,'Parameters Summary'!$B$2:$AB$826,7,FALSE)</f>
        <v>7.61E-7</v>
      </c>
      <c r="M166" s="93" t="str">
        <f>VLOOKUP(A166,'Parameters Summary'!$B$2:$AB$826,8,FALSE)</f>
        <v>EPI</v>
      </c>
      <c r="N166" s="91">
        <f>VLOOKUP(A166,'Parameters Summary'!$B$2:$AB$826,6,FALSE)</f>
        <v>3.1099999999999997E-5</v>
      </c>
      <c r="O166" s="91">
        <f t="shared" si="12"/>
        <v>3.1099999999999997E-5</v>
      </c>
      <c r="P166" s="91">
        <f t="shared" si="15"/>
        <v>3.1099999999999997E-5</v>
      </c>
      <c r="Q166" s="91">
        <f t="shared" si="13"/>
        <v>3.1099999999999997E-5</v>
      </c>
      <c r="R166" s="91">
        <f t="shared" si="16"/>
        <v>3.1099999999999997E-5</v>
      </c>
      <c r="S166" s="91">
        <f t="shared" si="17"/>
        <v>31106735.221304987</v>
      </c>
      <c r="T166" s="93">
        <f>VLOOKUP(A166,'Parameters Summary'!$B$2:$AB$826,15,FALSE)</f>
        <v>9.9981299999999995E-2</v>
      </c>
      <c r="U166" s="93" t="str">
        <f>VLOOKUP(A166,'Parameters Summary'!$B$2:$AB$826,17,FALSE)</f>
        <v>WATER9 (U.S. EPA, 2001)</v>
      </c>
      <c r="V166" s="93">
        <f>VLOOKUP(A166,'Parameters Summary'!$B$2:$AB$826,16,FALSE)</f>
        <v>1.22E-5</v>
      </c>
      <c r="W166" s="379" t="str">
        <f>VLOOKUP(A166,'Parameters Summary'!$B$2:$AB$826,17,FALSE)</f>
        <v>WATER9 (U.S. EPA, 2001)</v>
      </c>
      <c r="X166" s="290">
        <v>401.75</v>
      </c>
      <c r="Y166" s="96" t="s">
        <v>553</v>
      </c>
      <c r="Z166" s="96">
        <v>602.625</v>
      </c>
      <c r="AA166" s="96" t="s">
        <v>2220</v>
      </c>
      <c r="AB166" s="96">
        <v>9956.9699999999993</v>
      </c>
      <c r="AC166" s="96" t="s">
        <v>2214</v>
      </c>
      <c r="AD166" s="93">
        <f>VLOOKUP(A166,'Parameters Summary'!$B$2:$AB$826,20,FALSE)</f>
        <v>1.9039999999999999</v>
      </c>
      <c r="AE166" s="97" t="str">
        <f>VLOOKUP(A166,'Parameters Summary'!$B$2:$AB$826,21,FALSE)</f>
        <v>EPI</v>
      </c>
      <c r="AF166" s="97"/>
      <c r="AG166" s="94"/>
      <c r="AH166" s="92"/>
      <c r="AI166" s="94" t="s">
        <v>414</v>
      </c>
      <c r="AJ166" s="330"/>
      <c r="AL166" s="81"/>
    </row>
    <row r="167" spans="1:38" ht="12.75" customHeight="1">
      <c r="A167" s="95" t="s">
        <v>756</v>
      </c>
      <c r="B167" s="96" t="s">
        <v>434</v>
      </c>
      <c r="C167" s="96" t="str">
        <f t="shared" si="14"/>
        <v>Yes</v>
      </c>
      <c r="D167" s="96" t="str">
        <f>VLOOKUP(A167,'Tox Summary'!$O$3:$R$824,3,FALSE)</f>
        <v>Yes</v>
      </c>
      <c r="E167" s="97">
        <f>VLOOKUP(A167,'Parameters Summary'!$B$2:$AB$826,4,FALSE)</f>
        <v>119.38</v>
      </c>
      <c r="F167" s="97" t="str">
        <f>VLOOKUP(A167,'Parameters Summary'!$B$2:$AB$826,5,FALSE)</f>
        <v>PHYSPROP</v>
      </c>
      <c r="G167" s="93">
        <f>VLOOKUP(A167,'Parameters Summary'!$B$2:$AB$826,9,FALSE)</f>
        <v>197</v>
      </c>
      <c r="H167" s="93" t="str">
        <f>VLOOKUP(A167,'Parameters Summary'!$B$2:$AB$826,10,FALSE)</f>
        <v>PHYSPROP</v>
      </c>
      <c r="I167" s="93">
        <f>VLOOKUP(A167,'Parameters Summary'!$B$2:$AB$826,24,FALSE)</f>
        <v>7950</v>
      </c>
      <c r="J167" s="97" t="str">
        <f>VLOOKUP(A167,'Parameters Summary'!$B$2:$AB$826,25,FALSE)</f>
        <v>PHYSPROP</v>
      </c>
      <c r="K167" s="97" t="str">
        <f>VLOOKUP(A167,'Tox Summary'!$O$3:$S$827,2,FALSE)</f>
        <v>8.0E+01(F)</v>
      </c>
      <c r="L167" s="93">
        <f>VLOOKUP(A167,'Parameters Summary'!$B$2:$AB$826,7,FALSE)</f>
        <v>3.6700000000000001E-3</v>
      </c>
      <c r="M167" s="93" t="str">
        <f>VLOOKUP(A167,'Parameters Summary'!$B$2:$AB$826,8,FALSE)</f>
        <v>PHYSPROP</v>
      </c>
      <c r="N167" s="91">
        <f>VLOOKUP(A167,'Parameters Summary'!$B$2:$AB$826,6,FALSE)</f>
        <v>0.1500409</v>
      </c>
      <c r="O167" s="91">
        <f t="shared" si="12"/>
        <v>0.1500409</v>
      </c>
      <c r="P167" s="91">
        <f t="shared" si="15"/>
        <v>0.1500409</v>
      </c>
      <c r="Q167" s="91">
        <f t="shared" si="13"/>
        <v>0.1500409</v>
      </c>
      <c r="R167" s="91">
        <f t="shared" si="16"/>
        <v>0.1500409</v>
      </c>
      <c r="S167" s="91">
        <f t="shared" si="17"/>
        <v>1265467487.5747123</v>
      </c>
      <c r="T167" s="93">
        <f>VLOOKUP(A167,'Parameters Summary'!$B$2:$AB$826,15,FALSE)</f>
        <v>7.6919699999999994E-2</v>
      </c>
      <c r="U167" s="93" t="str">
        <f>VLOOKUP(A167,'Parameters Summary'!$B$2:$AB$826,17,FALSE)</f>
        <v>WATER9 (U.S. EPA, 2001)</v>
      </c>
      <c r="V167" s="93">
        <f>VLOOKUP(A167,'Parameters Summary'!$B$2:$AB$826,16,FALSE)</f>
        <v>1.0900000000000001E-5</v>
      </c>
      <c r="W167" s="379" t="str">
        <f>VLOOKUP(A167,'Parameters Summary'!$B$2:$AB$826,17,FALSE)</f>
        <v>WATER9 (U.S. EPA, 2001)</v>
      </c>
      <c r="X167" s="290">
        <v>334.1</v>
      </c>
      <c r="Y167" s="96" t="s">
        <v>553</v>
      </c>
      <c r="Z167" s="96">
        <v>536.4</v>
      </c>
      <c r="AA167" s="96" t="s">
        <v>2227</v>
      </c>
      <c r="AB167" s="96">
        <v>6988</v>
      </c>
      <c r="AC167" s="96" t="s">
        <v>2227</v>
      </c>
      <c r="AD167" s="93">
        <f>VLOOKUP(A167,'Parameters Summary'!$B$2:$AB$826,20,FALSE)</f>
        <v>31.82</v>
      </c>
      <c r="AE167" s="97" t="str">
        <f>VLOOKUP(A167,'Parameters Summary'!$B$2:$AB$826,21,FALSE)</f>
        <v>EPI</v>
      </c>
      <c r="AF167" s="380"/>
      <c r="AG167" s="97"/>
      <c r="AH167" s="92"/>
      <c r="AI167" s="94"/>
      <c r="AJ167" s="330"/>
      <c r="AL167" s="81"/>
    </row>
    <row r="168" spans="1:38" ht="12.75" customHeight="1">
      <c r="A168" s="95" t="s">
        <v>757</v>
      </c>
      <c r="B168" s="96" t="s">
        <v>1046</v>
      </c>
      <c r="C168" s="96" t="str">
        <f t="shared" si="14"/>
        <v>Yes</v>
      </c>
      <c r="D168" s="96" t="str">
        <f>VLOOKUP(A168,'Tox Summary'!$O$3:$R$824,3,FALSE)</f>
        <v>Yes</v>
      </c>
      <c r="E168" s="97">
        <f>VLOOKUP(A168,'Parameters Summary'!$B$2:$AB$826,4,FALSE)</f>
        <v>50.488</v>
      </c>
      <c r="F168" s="97" t="str">
        <f>VLOOKUP(A168,'Parameters Summary'!$B$2:$AB$826,5,FALSE)</f>
        <v>PHYSPROP</v>
      </c>
      <c r="G168" s="93">
        <f>VLOOKUP(A168,'Parameters Summary'!$B$2:$AB$826,9,FALSE)</f>
        <v>4300</v>
      </c>
      <c r="H168" s="93" t="str">
        <f>VLOOKUP(A168,'Parameters Summary'!$B$2:$AB$826,10,FALSE)</f>
        <v>PHYSPROP</v>
      </c>
      <c r="I168" s="93">
        <f>VLOOKUP(A168,'Parameters Summary'!$B$2:$AB$826,24,FALSE)</f>
        <v>5320</v>
      </c>
      <c r="J168" s="97" t="str">
        <f>VLOOKUP(A168,'Parameters Summary'!$B$2:$AB$826,25,FALSE)</f>
        <v>PHYSPROP</v>
      </c>
      <c r="K168" s="97" t="str">
        <f>VLOOKUP(A168,'Tox Summary'!$O$3:$S$827,2,FALSE)</f>
        <v/>
      </c>
      <c r="L168" s="93">
        <f>VLOOKUP(A168,'Parameters Summary'!$B$2:$AB$826,7,FALSE)</f>
        <v>8.8199999999999997E-3</v>
      </c>
      <c r="M168" s="93" t="str">
        <f>VLOOKUP(A168,'Parameters Summary'!$B$2:$AB$826,8,FALSE)</f>
        <v>PHYSPROP</v>
      </c>
      <c r="N168" s="91">
        <f>VLOOKUP(A168,'Parameters Summary'!$B$2:$AB$826,6,FALSE)</f>
        <v>0.36058869999999998</v>
      </c>
      <c r="O168" s="91">
        <f t="shared" si="12"/>
        <v>0.36058869999999998</v>
      </c>
      <c r="P168" s="91">
        <f t="shared" si="15"/>
        <v>0.36058869999999998</v>
      </c>
      <c r="Q168" s="91">
        <f t="shared" si="13"/>
        <v>0.36058869999999998</v>
      </c>
      <c r="R168" s="91">
        <f t="shared" si="16"/>
        <v>0.36058869999999998</v>
      </c>
      <c r="S168" s="91">
        <f t="shared" si="17"/>
        <v>11681801269.524094</v>
      </c>
      <c r="T168" s="93">
        <f>VLOOKUP(A168,'Parameters Summary'!$B$2:$AB$826,15,FALSE)</f>
        <v>0.12396509999999999</v>
      </c>
      <c r="U168" s="93" t="str">
        <f>VLOOKUP(A168,'Parameters Summary'!$B$2:$AB$826,17,FALSE)</f>
        <v>WATER9 (U.S. EPA, 2001)</v>
      </c>
      <c r="V168" s="93">
        <f>VLOOKUP(A168,'Parameters Summary'!$B$2:$AB$826,16,FALSE)</f>
        <v>1.36E-5</v>
      </c>
      <c r="W168" s="379" t="str">
        <f>VLOOKUP(A168,'Parameters Summary'!$B$2:$AB$826,17,FALSE)</f>
        <v>WATER9 (U.S. EPA, 2001)</v>
      </c>
      <c r="X168" s="290">
        <v>249</v>
      </c>
      <c r="Y168" s="96" t="s">
        <v>553</v>
      </c>
      <c r="Z168" s="96">
        <v>416.25</v>
      </c>
      <c r="AA168" s="96" t="s">
        <v>2221</v>
      </c>
      <c r="AB168" s="96">
        <v>5114.6000000000004</v>
      </c>
      <c r="AC168" s="96" t="s">
        <v>2221</v>
      </c>
      <c r="AD168" s="93">
        <f>VLOOKUP(A168,'Parameters Summary'!$B$2:$AB$826,20,FALSE)</f>
        <v>13.22</v>
      </c>
      <c r="AE168" s="97" t="str">
        <f>VLOOKUP(A168,'Parameters Summary'!$B$2:$AB$826,21,FALSE)</f>
        <v>EPI</v>
      </c>
      <c r="AF168" s="380">
        <v>8.1</v>
      </c>
      <c r="AG168" s="97" t="s">
        <v>302</v>
      </c>
      <c r="AH168" s="92"/>
      <c r="AI168" s="96"/>
      <c r="AJ168" s="330"/>
      <c r="AL168" s="81"/>
    </row>
    <row r="169" spans="1:38" ht="12.75" customHeight="1">
      <c r="A169" s="95" t="s">
        <v>758</v>
      </c>
      <c r="B169" s="96" t="s">
        <v>567</v>
      </c>
      <c r="C169" s="96" t="str">
        <f t="shared" si="14"/>
        <v>Yes</v>
      </c>
      <c r="D169" s="96" t="str">
        <f>VLOOKUP(A169,'Tox Summary'!$O$3:$R$824,3,FALSE)</f>
        <v>No</v>
      </c>
      <c r="E169" s="97">
        <f>VLOOKUP(A169,'Parameters Summary'!$B$2:$AB$826,4,FALSE)</f>
        <v>80.515000000000001</v>
      </c>
      <c r="F169" s="97" t="str">
        <f>VLOOKUP(A169,'Parameters Summary'!$B$2:$AB$826,5,FALSE)</f>
        <v>PHYSPROP</v>
      </c>
      <c r="G169" s="93">
        <f>VLOOKUP(A169,'Parameters Summary'!$B$2:$AB$826,9,FALSE)</f>
        <v>30</v>
      </c>
      <c r="H169" s="93" t="str">
        <f>VLOOKUP(A169,'Parameters Summary'!$B$2:$AB$826,10,FALSE)</f>
        <v>PHYSPROP</v>
      </c>
      <c r="I169" s="93">
        <f>VLOOKUP(A169,'Parameters Summary'!$B$2:$AB$826,24,FALSE)</f>
        <v>69440</v>
      </c>
      <c r="J169" s="97" t="str">
        <f>VLOOKUP(A169,'Parameters Summary'!$B$2:$AB$826,25,FALSE)</f>
        <v>PHYSPROP</v>
      </c>
      <c r="K169" s="97" t="str">
        <f>VLOOKUP(A169,'Tox Summary'!$O$3:$S$827,2,FALSE)</f>
        <v/>
      </c>
      <c r="L169" s="93">
        <f>VLOOKUP(A169,'Parameters Summary'!$B$2:$AB$826,7,FALSE)</f>
        <v>3.0400000000000002E-4</v>
      </c>
      <c r="M169" s="93" t="str">
        <f>VLOOKUP(A169,'Parameters Summary'!$B$2:$AB$826,8,FALSE)</f>
        <v>PHYSPROP</v>
      </c>
      <c r="N169" s="91">
        <f>VLOOKUP(A169,'Parameters Summary'!$B$2:$AB$826,6,FALSE)</f>
        <v>1.24285E-2</v>
      </c>
      <c r="O169" s="91" t="str">
        <f t="shared" si="12"/>
        <v/>
      </c>
      <c r="P169" s="91">
        <f t="shared" si="15"/>
        <v>1.24285E-2</v>
      </c>
      <c r="Q169" s="91" t="str">
        <f t="shared" si="13"/>
        <v/>
      </c>
      <c r="R169" s="91">
        <f t="shared" si="16"/>
        <v>1.24285E-2</v>
      </c>
      <c r="S169" s="91" t="str">
        <f t="shared" si="17"/>
        <v/>
      </c>
      <c r="T169" s="93">
        <f>VLOOKUP(A169,'Parameters Summary'!$B$2:$AB$826,15,FALSE)</f>
        <v>9.4968300000000005E-2</v>
      </c>
      <c r="U169" s="93" t="str">
        <f>VLOOKUP(A169,'Parameters Summary'!$B$2:$AB$826,17,FALSE)</f>
        <v>WATER9 (U.S. EPA, 2001)</v>
      </c>
      <c r="V169" s="93">
        <f>VLOOKUP(A169,'Parameters Summary'!$B$2:$AB$826,16,FALSE)</f>
        <v>1.13E-5</v>
      </c>
      <c r="W169" s="379" t="str">
        <f>VLOOKUP(A169,'Parameters Summary'!$B$2:$AB$826,17,FALSE)</f>
        <v>WATER9 (U.S. EPA, 2001)</v>
      </c>
      <c r="X169" s="290">
        <v>332.5</v>
      </c>
      <c r="Y169" s="96" t="s">
        <v>2217</v>
      </c>
      <c r="Z169" s="96">
        <v>498.75</v>
      </c>
      <c r="AA169" s="96" t="s">
        <v>2220</v>
      </c>
      <c r="AB169" s="96" t="s">
        <v>1651</v>
      </c>
      <c r="AC169" s="96"/>
      <c r="AD169" s="93">
        <f>VLOOKUP(A169,'Parameters Summary'!$B$2:$AB$826,20,FALSE)</f>
        <v>5.3220000000000001</v>
      </c>
      <c r="AE169" s="97" t="str">
        <f>VLOOKUP(A169,'Parameters Summary'!$B$2:$AB$826,21,FALSE)</f>
        <v>EPI</v>
      </c>
      <c r="AF169" s="380"/>
      <c r="AG169" s="97"/>
      <c r="AH169" s="92"/>
      <c r="AI169" s="96"/>
      <c r="AJ169" s="330"/>
      <c r="AL169" s="81"/>
    </row>
    <row r="170" spans="1:38" ht="12.75" customHeight="1">
      <c r="A170" s="95" t="s">
        <v>759</v>
      </c>
      <c r="B170" s="96" t="s">
        <v>2327</v>
      </c>
      <c r="C170" s="96" t="str">
        <f t="shared" si="14"/>
        <v>Yes</v>
      </c>
      <c r="D170" s="96" t="str">
        <f>VLOOKUP(A170,'Tox Summary'!$O$3:$R$824,3,FALSE)</f>
        <v>No</v>
      </c>
      <c r="E170" s="97">
        <f>VLOOKUP(A170,'Parameters Summary'!$B$2:$AB$826,4,FALSE)</f>
        <v>162.62</v>
      </c>
      <c r="F170" s="97" t="str">
        <f>VLOOKUP(A170,'Parameters Summary'!$B$2:$AB$826,5,FALSE)</f>
        <v>PHYSPROP</v>
      </c>
      <c r="G170" s="93">
        <f>VLOOKUP(A170,'Parameters Summary'!$B$2:$AB$826,9,FALSE)</f>
        <v>1.2200000000000001E-2</v>
      </c>
      <c r="H170" s="93" t="str">
        <f>VLOOKUP(A170,'Parameters Summary'!$B$2:$AB$826,10,FALSE)</f>
        <v>EPI</v>
      </c>
      <c r="I170" s="93">
        <f>VLOOKUP(A170,'Parameters Summary'!$B$2:$AB$826,24,FALSE)</f>
        <v>11.7</v>
      </c>
      <c r="J170" s="97" t="str">
        <f>VLOOKUP(A170,'Parameters Summary'!$B$2:$AB$826,25,FALSE)</f>
        <v>PHYSPROP</v>
      </c>
      <c r="K170" s="97" t="str">
        <f>VLOOKUP(A170,'Tox Summary'!$O$3:$S$827,2,FALSE)</f>
        <v/>
      </c>
      <c r="L170" s="93">
        <f>VLOOKUP(A170,'Parameters Summary'!$B$2:$AB$826,7,FALSE)</f>
        <v>3.2000000000000003E-4</v>
      </c>
      <c r="M170" s="93" t="str">
        <f>VLOOKUP(A170,'Parameters Summary'!$B$2:$AB$826,8,FALSE)</f>
        <v>PHYSPROP</v>
      </c>
      <c r="N170" s="91">
        <f>VLOOKUP(A170,'Parameters Summary'!$B$2:$AB$826,6,FALSE)</f>
        <v>1.30826E-2</v>
      </c>
      <c r="O170" s="91">
        <f t="shared" si="12"/>
        <v>1.30826E-2</v>
      </c>
      <c r="P170" s="91">
        <f t="shared" si="15"/>
        <v>1.30826E-2</v>
      </c>
      <c r="Q170" s="91">
        <f t="shared" si="13"/>
        <v>1.30826E-2</v>
      </c>
      <c r="R170" s="91">
        <f t="shared" si="16"/>
        <v>1.30826E-2</v>
      </c>
      <c r="S170" s="91">
        <f t="shared" si="17"/>
        <v>106754.69360386858</v>
      </c>
      <c r="T170" s="93">
        <f>VLOOKUP(A170,'Parameters Summary'!$B$2:$AB$826,15,FALSE)</f>
        <v>4.4691399999999999E-2</v>
      </c>
      <c r="U170" s="93" t="str">
        <f>VLOOKUP(A170,'Parameters Summary'!$B$2:$AB$826,17,FALSE)</f>
        <v>WATER9 (U.S. EPA, 2001)</v>
      </c>
      <c r="V170" s="93">
        <f>VLOOKUP(A170,'Parameters Summary'!$B$2:$AB$826,16,FALSE)</f>
        <v>7.7301000000000007E-6</v>
      </c>
      <c r="W170" s="379" t="str">
        <f>VLOOKUP(A170,'Parameters Summary'!$B$2:$AB$826,17,FALSE)</f>
        <v>WATER9 (U.S. EPA, 2001)</v>
      </c>
      <c r="X170" s="290">
        <v>529</v>
      </c>
      <c r="Y170" s="96" t="s">
        <v>553</v>
      </c>
      <c r="Z170" s="96">
        <v>793.5</v>
      </c>
      <c r="AA170" s="96" t="s">
        <v>2220</v>
      </c>
      <c r="AB170" s="96">
        <v>11311.936</v>
      </c>
      <c r="AC170" s="96" t="s">
        <v>2222</v>
      </c>
      <c r="AD170" s="93">
        <f>VLOOKUP(A170,'Parameters Summary'!$B$2:$AB$826,20,FALSE)</f>
        <v>2478</v>
      </c>
      <c r="AE170" s="97" t="str">
        <f>VLOOKUP(A170,'Parameters Summary'!$B$2:$AB$826,21,FALSE)</f>
        <v>EPI</v>
      </c>
      <c r="AF170" s="380"/>
      <c r="AG170" s="97"/>
      <c r="AH170" s="92"/>
      <c r="AI170" s="94"/>
      <c r="AJ170" s="330"/>
      <c r="AL170" s="81"/>
    </row>
    <row r="171" spans="1:38" ht="12.75" customHeight="1">
      <c r="A171" s="95" t="s">
        <v>760</v>
      </c>
      <c r="B171" s="96" t="s">
        <v>524</v>
      </c>
      <c r="C171" s="96" t="str">
        <f t="shared" si="14"/>
        <v>No</v>
      </c>
      <c r="D171" s="96" t="str">
        <f>VLOOKUP(A171,'Tox Summary'!$O$3:$R$824,3,FALSE)</f>
        <v>Yes</v>
      </c>
      <c r="E171" s="97">
        <f>VLOOKUP(A171,'Parameters Summary'!$B$2:$AB$826,4,FALSE)</f>
        <v>157.56</v>
      </c>
      <c r="F171" s="97" t="str">
        <f>VLOOKUP(A171,'Parameters Summary'!$B$2:$AB$826,5,FALSE)</f>
        <v>PHYSPROP</v>
      </c>
      <c r="G171" s="93">
        <f>VLOOKUP(A171,'Parameters Summary'!$B$2:$AB$826,9,FALSE)</f>
        <v>1.8200000000000001E-2</v>
      </c>
      <c r="H171" s="93" t="str">
        <f>VLOOKUP(A171,'Parameters Summary'!$B$2:$AB$826,10,FALSE)</f>
        <v>EPI</v>
      </c>
      <c r="I171" s="93">
        <f>VLOOKUP(A171,'Parameters Summary'!$B$2:$AB$826,24,FALSE)</f>
        <v>441</v>
      </c>
      <c r="J171" s="97" t="str">
        <f>VLOOKUP(A171,'Parameters Summary'!$B$2:$AB$826,25,FALSE)</f>
        <v>PHYSPROP</v>
      </c>
      <c r="K171" s="97" t="str">
        <f>VLOOKUP(A171,'Tox Summary'!$O$3:$S$827,2,FALSE)</f>
        <v/>
      </c>
      <c r="L171" s="93">
        <f>VLOOKUP(A171,'Parameters Summary'!$B$2:$AB$826,7,FALSE)</f>
        <v>9.3000000000000007E-6</v>
      </c>
      <c r="M171" s="93" t="str">
        <f>VLOOKUP(A171,'Parameters Summary'!$B$2:$AB$826,8,FALSE)</f>
        <v>PHYSPROP</v>
      </c>
      <c r="N171" s="91">
        <f>VLOOKUP(A171,'Parameters Summary'!$B$2:$AB$826,6,FALSE)</f>
        <v>3.8020000000000003E-4</v>
      </c>
      <c r="O171" s="91" t="str">
        <f t="shared" si="12"/>
        <v/>
      </c>
      <c r="P171" s="91">
        <f t="shared" si="15"/>
        <v>3.8020000000000003E-4</v>
      </c>
      <c r="Q171" s="91" t="str">
        <f t="shared" si="13"/>
        <v/>
      </c>
      <c r="R171" s="91">
        <f t="shared" si="16"/>
        <v>3.8020000000000003E-4</v>
      </c>
      <c r="S171" s="91" t="str">
        <f t="shared" si="17"/>
        <v/>
      </c>
      <c r="T171" s="93">
        <f>VLOOKUP(A171,'Parameters Summary'!$B$2:$AB$826,15,FALSE)</f>
        <v>5.1345300000000003E-2</v>
      </c>
      <c r="U171" s="93" t="str">
        <f>VLOOKUP(A171,'Parameters Summary'!$B$2:$AB$826,17,FALSE)</f>
        <v>WATER9 (U.S. EPA, 2001)</v>
      </c>
      <c r="V171" s="93">
        <f>VLOOKUP(A171,'Parameters Summary'!$B$2:$AB$826,16,FALSE)</f>
        <v>8.7994999999999994E-6</v>
      </c>
      <c r="W171" s="379" t="str">
        <f>VLOOKUP(A171,'Parameters Summary'!$B$2:$AB$826,17,FALSE)</f>
        <v>WATER9 (U.S. EPA, 2001)</v>
      </c>
      <c r="X171" s="290">
        <v>518.65</v>
      </c>
      <c r="Y171" s="96" t="s">
        <v>553</v>
      </c>
      <c r="Z171" s="96">
        <v>757</v>
      </c>
      <c r="AA171" s="96" t="s">
        <v>2215</v>
      </c>
      <c r="AB171" s="96" t="s">
        <v>1651</v>
      </c>
      <c r="AC171" s="96"/>
      <c r="AD171" s="93">
        <f>VLOOKUP(A171,'Parameters Summary'!$B$2:$AB$826,20,FALSE)</f>
        <v>370.6</v>
      </c>
      <c r="AE171" s="97" t="str">
        <f>VLOOKUP(A171,'Parameters Summary'!$B$2:$AB$826,21,FALSE)</f>
        <v>EPI</v>
      </c>
      <c r="AF171" s="380"/>
      <c r="AG171" s="97"/>
      <c r="AH171" s="92"/>
      <c r="AI171" s="94" t="s">
        <v>1423</v>
      </c>
      <c r="AJ171" s="330"/>
      <c r="AL171" s="81"/>
    </row>
    <row r="172" spans="1:38" ht="12.75" customHeight="1">
      <c r="A172" s="96" t="s">
        <v>761</v>
      </c>
      <c r="B172" s="96" t="s">
        <v>525</v>
      </c>
      <c r="C172" s="96" t="str">
        <f t="shared" si="14"/>
        <v>No</v>
      </c>
      <c r="D172" s="96" t="str">
        <f>VLOOKUP(A172,'Tox Summary'!$O$3:$R$824,3,FALSE)</f>
        <v>Yes</v>
      </c>
      <c r="E172" s="97">
        <f>VLOOKUP(A172,'Parameters Summary'!$B$2:$AB$826,4,FALSE)</f>
        <v>157.56</v>
      </c>
      <c r="F172" s="97" t="str">
        <f>VLOOKUP(A172,'Parameters Summary'!$B$2:$AB$826,5,FALSE)</f>
        <v>PHYSPROP</v>
      </c>
      <c r="G172" s="93">
        <f>VLOOKUP(A172,'Parameters Summary'!$B$2:$AB$826,9,FALSE)</f>
        <v>2.1899999999999999E-2</v>
      </c>
      <c r="H172" s="93" t="str">
        <f>VLOOKUP(A172,'Parameters Summary'!$B$2:$AB$826,10,FALSE)</f>
        <v>EPI</v>
      </c>
      <c r="I172" s="93">
        <f>VLOOKUP(A172,'Parameters Summary'!$B$2:$AB$826,24,FALSE)</f>
        <v>225</v>
      </c>
      <c r="J172" s="97" t="str">
        <f>VLOOKUP(A172,'Parameters Summary'!$B$2:$AB$826,25,FALSE)</f>
        <v>PHYSPROP</v>
      </c>
      <c r="K172" s="97" t="str">
        <f>VLOOKUP(A172,'Tox Summary'!$O$3:$S$827,2,FALSE)</f>
        <v/>
      </c>
      <c r="L172" s="93">
        <f>VLOOKUP(A172,'Parameters Summary'!$B$2:$AB$826,7,FALSE)</f>
        <v>4.8899999999999998E-6</v>
      </c>
      <c r="M172" s="93" t="str">
        <f>VLOOKUP(A172,'Parameters Summary'!$B$2:$AB$826,8,FALSE)</f>
        <v>PHYSPROP</v>
      </c>
      <c r="N172" s="91">
        <f>VLOOKUP(A172,'Parameters Summary'!$B$2:$AB$826,6,FALSE)</f>
        <v>1.9990000000000001E-4</v>
      </c>
      <c r="O172" s="91" t="str">
        <f t="shared" si="12"/>
        <v/>
      </c>
      <c r="P172" s="91">
        <f t="shared" si="15"/>
        <v>1.9990000000000001E-4</v>
      </c>
      <c r="Q172" s="91" t="str">
        <f t="shared" si="13"/>
        <v/>
      </c>
      <c r="R172" s="91">
        <f t="shared" si="16"/>
        <v>1.9990000000000001E-4</v>
      </c>
      <c r="S172" s="91" t="str">
        <f t="shared" si="17"/>
        <v/>
      </c>
      <c r="T172" s="93">
        <f>VLOOKUP(A172,'Parameters Summary'!$B$2:$AB$826,15,FALSE)</f>
        <v>5.0158700000000001E-2</v>
      </c>
      <c r="U172" s="93" t="str">
        <f>VLOOKUP(A172,'Parameters Summary'!$B$2:$AB$826,17,FALSE)</f>
        <v>WATER9 (U.S. EPA, 2001)</v>
      </c>
      <c r="V172" s="93">
        <f>VLOOKUP(A172,'Parameters Summary'!$B$2:$AB$826,16,FALSE)</f>
        <v>8.5260999999999996E-6</v>
      </c>
      <c r="W172" s="379" t="str">
        <f>VLOOKUP(A172,'Parameters Summary'!$B$2:$AB$826,17,FALSE)</f>
        <v>WATER9 (U.S. EPA, 2001)</v>
      </c>
      <c r="X172" s="290">
        <v>515.15</v>
      </c>
      <c r="Y172" s="96" t="s">
        <v>553</v>
      </c>
      <c r="Z172" s="96">
        <v>772.72499999999991</v>
      </c>
      <c r="AA172" s="96" t="s">
        <v>2220</v>
      </c>
      <c r="AB172" s="96" t="s">
        <v>1651</v>
      </c>
      <c r="AC172" s="96"/>
      <c r="AD172" s="93">
        <f>VLOOKUP(A172,'Parameters Summary'!$B$2:$AB$826,20,FALSE)</f>
        <v>363.2</v>
      </c>
      <c r="AE172" s="97" t="str">
        <f>VLOOKUP(A172,'Parameters Summary'!$B$2:$AB$826,21,FALSE)</f>
        <v>EPI</v>
      </c>
      <c r="AF172" s="97"/>
      <c r="AG172" s="94"/>
      <c r="AH172" s="92"/>
      <c r="AI172" s="94" t="s">
        <v>418</v>
      </c>
      <c r="AJ172" s="330"/>
      <c r="AL172" s="81"/>
    </row>
    <row r="173" spans="1:38" ht="12.75" customHeight="1">
      <c r="A173" s="95" t="s">
        <v>762</v>
      </c>
      <c r="B173" s="96" t="s">
        <v>1047</v>
      </c>
      <c r="C173" s="96" t="str">
        <f t="shared" si="14"/>
        <v>Yes</v>
      </c>
      <c r="D173" s="96" t="str">
        <f>VLOOKUP(A173,'Tox Summary'!$O$3:$R$824,3,FALSE)</f>
        <v>No</v>
      </c>
      <c r="E173" s="97">
        <f>VLOOKUP(A173,'Parameters Summary'!$B$2:$AB$826,4,FALSE)</f>
        <v>128.56</v>
      </c>
      <c r="F173" s="97" t="str">
        <f>VLOOKUP(A173,'Parameters Summary'!$B$2:$AB$826,5,FALSE)</f>
        <v>PHYSPROP</v>
      </c>
      <c r="G173" s="93">
        <f>VLOOKUP(A173,'Parameters Summary'!$B$2:$AB$826,9,FALSE)</f>
        <v>2.5299999999999998</v>
      </c>
      <c r="H173" s="93" t="str">
        <f>VLOOKUP(A173,'Parameters Summary'!$B$2:$AB$826,10,FALSE)</f>
        <v>PHYSPROP</v>
      </c>
      <c r="I173" s="93">
        <f>VLOOKUP(A173,'Parameters Summary'!$B$2:$AB$826,24,FALSE)</f>
        <v>11300</v>
      </c>
      <c r="J173" s="97" t="str">
        <f>VLOOKUP(A173,'Parameters Summary'!$B$2:$AB$826,25,FALSE)</f>
        <v>PHYSPROP</v>
      </c>
      <c r="K173" s="97" t="str">
        <f>VLOOKUP(A173,'Tox Summary'!$O$3:$S$827,2,FALSE)</f>
        <v/>
      </c>
      <c r="L173" s="93">
        <f>VLOOKUP(A173,'Parameters Summary'!$B$2:$AB$826,7,FALSE)</f>
        <v>1.1199999999999999E-5</v>
      </c>
      <c r="M173" s="93" t="str">
        <f>VLOOKUP(A173,'Parameters Summary'!$B$2:$AB$826,8,FALSE)</f>
        <v>PHYSPROP</v>
      </c>
      <c r="N173" s="91">
        <f>VLOOKUP(A173,'Parameters Summary'!$B$2:$AB$826,6,FALSE)</f>
        <v>4.5790000000000002E-4</v>
      </c>
      <c r="O173" s="91">
        <f t="shared" si="12"/>
        <v>4.5790000000000002E-4</v>
      </c>
      <c r="P173" s="91">
        <f t="shared" si="15"/>
        <v>4.5790000000000002E-4</v>
      </c>
      <c r="Q173" s="91">
        <f t="shared" si="13"/>
        <v>4.5790000000000002E-4</v>
      </c>
      <c r="R173" s="91">
        <f t="shared" si="16"/>
        <v>4.5790000000000002E-4</v>
      </c>
      <c r="S173" s="91">
        <f t="shared" si="17"/>
        <v>17501673.430855982</v>
      </c>
      <c r="T173" s="93">
        <f>VLOOKUP(A173,'Parameters Summary'!$B$2:$AB$826,15,FALSE)</f>
        <v>6.6117499999999996E-2</v>
      </c>
      <c r="U173" s="93" t="str">
        <f>VLOOKUP(A173,'Parameters Summary'!$B$2:$AB$826,17,FALSE)</f>
        <v>WATER9 (U.S. EPA, 2001)</v>
      </c>
      <c r="V173" s="93">
        <f>VLOOKUP(A173,'Parameters Summary'!$B$2:$AB$826,16,FALSE)</f>
        <v>9.4784000000000006E-6</v>
      </c>
      <c r="W173" s="379" t="str">
        <f>VLOOKUP(A173,'Parameters Summary'!$B$2:$AB$826,17,FALSE)</f>
        <v>WATER9 (U.S. EPA, 2001)</v>
      </c>
      <c r="X173" s="290">
        <v>447.9</v>
      </c>
      <c r="Y173" s="96" t="s">
        <v>553</v>
      </c>
      <c r="Z173" s="96">
        <v>675</v>
      </c>
      <c r="AA173" s="96" t="s">
        <v>2227</v>
      </c>
      <c r="AB173" s="96">
        <v>9572</v>
      </c>
      <c r="AC173" s="96" t="s">
        <v>2227</v>
      </c>
      <c r="AD173" s="93">
        <f>VLOOKUP(A173,'Parameters Summary'!$B$2:$AB$826,20,FALSE)</f>
        <v>388</v>
      </c>
      <c r="AE173" s="97" t="str">
        <f>VLOOKUP(A173,'Parameters Summary'!$B$2:$AB$826,21,FALSE)</f>
        <v>SSL</v>
      </c>
      <c r="AF173" s="380"/>
      <c r="AG173" s="97"/>
      <c r="AH173" s="92"/>
      <c r="AI173" s="94" t="s">
        <v>413</v>
      </c>
      <c r="AJ173" s="330"/>
      <c r="AL173" s="81"/>
    </row>
    <row r="174" spans="1:38" ht="12.75" customHeight="1">
      <c r="A174" s="95" t="s">
        <v>763</v>
      </c>
      <c r="B174" s="96" t="s">
        <v>568</v>
      </c>
      <c r="C174" s="96" t="str">
        <f t="shared" si="14"/>
        <v>Yes</v>
      </c>
      <c r="D174" s="96" t="str">
        <f>VLOOKUP(A174,'Tox Summary'!$O$3:$R$824,3,FALSE)</f>
        <v>No</v>
      </c>
      <c r="E174" s="97">
        <f>VLOOKUP(A174,'Parameters Summary'!$B$2:$AB$826,4,FALSE)</f>
        <v>164.38</v>
      </c>
      <c r="F174" s="97" t="str">
        <f>VLOOKUP(A174,'Parameters Summary'!$B$2:$AB$826,5,FALSE)</f>
        <v>PHYSPROP</v>
      </c>
      <c r="G174" s="93">
        <f>VLOOKUP(A174,'Parameters Summary'!$B$2:$AB$826,9,FALSE)</f>
        <v>24</v>
      </c>
      <c r="H174" s="93" t="str">
        <f>VLOOKUP(A174,'Parameters Summary'!$B$2:$AB$826,10,FALSE)</f>
        <v>PHYSPROP</v>
      </c>
      <c r="I174" s="93">
        <f>VLOOKUP(A174,'Parameters Summary'!$B$2:$AB$826,24,FALSE)</f>
        <v>1620</v>
      </c>
      <c r="J174" s="97" t="str">
        <f>VLOOKUP(A174,'Parameters Summary'!$B$2:$AB$826,25,FALSE)</f>
        <v>PHYSPROP</v>
      </c>
      <c r="K174" s="97" t="str">
        <f>VLOOKUP(A174,'Tox Summary'!$O$3:$S$827,2,FALSE)</f>
        <v/>
      </c>
      <c r="L174" s="93">
        <f>VLOOKUP(A174,'Parameters Summary'!$B$2:$AB$826,7,FALSE)</f>
        <v>2.0500000000000002E-3</v>
      </c>
      <c r="M174" s="93" t="str">
        <f>VLOOKUP(A174,'Parameters Summary'!$B$2:$AB$826,8,FALSE)</f>
        <v>PHYSPROP</v>
      </c>
      <c r="N174" s="91">
        <f>VLOOKUP(A174,'Parameters Summary'!$B$2:$AB$826,6,FALSE)</f>
        <v>8.3810300000000004E-2</v>
      </c>
      <c r="O174" s="91" t="str">
        <f t="shared" si="12"/>
        <v/>
      </c>
      <c r="P174" s="91">
        <f t="shared" si="15"/>
        <v>8.3810300000000004E-2</v>
      </c>
      <c r="Q174" s="91" t="str">
        <f t="shared" si="13"/>
        <v/>
      </c>
      <c r="R174" s="91">
        <f t="shared" si="16"/>
        <v>8.3810300000000004E-2</v>
      </c>
      <c r="S174" s="91" t="str">
        <f t="shared" si="17"/>
        <v/>
      </c>
      <c r="T174" s="93">
        <f>VLOOKUP(A174,'Parameters Summary'!$B$2:$AB$826,15,FALSE)</f>
        <v>5.1763700000000003E-2</v>
      </c>
      <c r="U174" s="93" t="str">
        <f>VLOOKUP(A174,'Parameters Summary'!$B$2:$AB$826,17,FALSE)</f>
        <v>WATER9 (U.S. EPA, 2001)</v>
      </c>
      <c r="V174" s="93">
        <f>VLOOKUP(A174,'Parameters Summary'!$B$2:$AB$826,16,FALSE)</f>
        <v>9.6198000000000006E-6</v>
      </c>
      <c r="W174" s="379" t="str">
        <f>VLOOKUP(A174,'Parameters Summary'!$B$2:$AB$826,17,FALSE)</f>
        <v>WATER9 (U.S. EPA, 2001)</v>
      </c>
      <c r="X174" s="290">
        <v>385</v>
      </c>
      <c r="Y174" s="96" t="s">
        <v>2217</v>
      </c>
      <c r="Z174" s="96">
        <v>577.5</v>
      </c>
      <c r="AA174" s="96" t="s">
        <v>2220</v>
      </c>
      <c r="AB174" s="96" t="s">
        <v>1651</v>
      </c>
      <c r="AC174" s="96"/>
      <c r="AD174" s="93">
        <f>VLOOKUP(A174,'Parameters Summary'!$B$2:$AB$826,20,FALSE)</f>
        <v>44.19</v>
      </c>
      <c r="AE174" s="97" t="str">
        <f>VLOOKUP(A174,'Parameters Summary'!$B$2:$AB$826,21,FALSE)</f>
        <v>EPI</v>
      </c>
      <c r="AF174" s="380"/>
      <c r="AG174" s="97"/>
      <c r="AH174" s="92"/>
      <c r="AI174" s="94" t="s">
        <v>415</v>
      </c>
      <c r="AJ174" s="330"/>
      <c r="AL174" s="81"/>
    </row>
    <row r="175" spans="1:38" ht="12.75" customHeight="1">
      <c r="A175" s="96" t="s">
        <v>764</v>
      </c>
      <c r="B175" s="96" t="s">
        <v>1402</v>
      </c>
      <c r="C175" s="96" t="str">
        <f t="shared" si="14"/>
        <v>No</v>
      </c>
      <c r="D175" s="96" t="str">
        <f>VLOOKUP(A175,'Tox Summary'!$O$3:$R$824,3,FALSE)</f>
        <v>Yes</v>
      </c>
      <c r="E175" s="97">
        <f>VLOOKUP(A175,'Parameters Summary'!$B$2:$AB$826,4,FALSE)</f>
        <v>265.91000000000003</v>
      </c>
      <c r="F175" s="97" t="str">
        <f>VLOOKUP(A175,'Parameters Summary'!$B$2:$AB$826,5,FALSE)</f>
        <v>PHYSPROP</v>
      </c>
      <c r="G175" s="93">
        <f>VLOOKUP(A175,'Parameters Summary'!$B$2:$AB$826,9,FALSE)</f>
        <v>5.7000000000000005E-7</v>
      </c>
      <c r="H175" s="93" t="str">
        <f>VLOOKUP(A175,'Parameters Summary'!$B$2:$AB$826,10,FALSE)</f>
        <v>PHYSPROP</v>
      </c>
      <c r="I175" s="93">
        <f>VLOOKUP(A175,'Parameters Summary'!$B$2:$AB$826,24,FALSE)</f>
        <v>0.81</v>
      </c>
      <c r="J175" s="97" t="str">
        <f>VLOOKUP(A175,'Parameters Summary'!$B$2:$AB$826,25,FALSE)</f>
        <v>PHYSPROP</v>
      </c>
      <c r="K175" s="97" t="str">
        <f>VLOOKUP(A175,'Tox Summary'!$O$3:$S$827,2,FALSE)</f>
        <v/>
      </c>
      <c r="L175" s="93">
        <f>VLOOKUP(A175,'Parameters Summary'!$B$2:$AB$826,7,FALSE)</f>
        <v>1.9999999999999999E-6</v>
      </c>
      <c r="M175" s="93" t="str">
        <f>VLOOKUP(A175,'Parameters Summary'!$B$2:$AB$826,8,FALSE)</f>
        <v>PHYSPROP</v>
      </c>
      <c r="N175" s="91">
        <f>VLOOKUP(A175,'Parameters Summary'!$B$2:$AB$826,6,FALSE)</f>
        <v>8.1799999999999996E-5</v>
      </c>
      <c r="O175" s="91" t="str">
        <f t="shared" si="12"/>
        <v/>
      </c>
      <c r="P175" s="91">
        <f t="shared" si="15"/>
        <v>8.1799999999999996E-5</v>
      </c>
      <c r="Q175" s="91" t="str">
        <f t="shared" si="13"/>
        <v/>
      </c>
      <c r="R175" s="91">
        <f t="shared" si="16"/>
        <v>8.1799999999999996E-5</v>
      </c>
      <c r="S175" s="91" t="str">
        <f t="shared" si="17"/>
        <v/>
      </c>
      <c r="T175" s="93">
        <f>VLOOKUP(A175,'Parameters Summary'!$B$2:$AB$826,15,FALSE)</f>
        <v>2.7578700000000001E-2</v>
      </c>
      <c r="U175" s="93" t="str">
        <f>VLOOKUP(A175,'Parameters Summary'!$B$2:$AB$826,17,FALSE)</f>
        <v>WATER9 (U.S. EPA, 2001)</v>
      </c>
      <c r="V175" s="93">
        <f>VLOOKUP(A175,'Parameters Summary'!$B$2:$AB$826,16,FALSE)</f>
        <v>7.3231999999999996E-6</v>
      </c>
      <c r="W175" s="379" t="str">
        <f>VLOOKUP(A175,'Parameters Summary'!$B$2:$AB$826,17,FALSE)</f>
        <v>WATER9 (U.S. EPA, 2001)</v>
      </c>
      <c r="X175" s="290">
        <v>623.15</v>
      </c>
      <c r="Y175" s="96" t="s">
        <v>553</v>
      </c>
      <c r="Z175" s="96">
        <v>934.72499999999991</v>
      </c>
      <c r="AA175" s="96" t="s">
        <v>2220</v>
      </c>
      <c r="AB175" s="96" t="s">
        <v>1651</v>
      </c>
      <c r="AC175" s="96"/>
      <c r="AD175" s="93">
        <f>VLOOKUP(A175,'Parameters Summary'!$B$2:$AB$826,20,FALSE)</f>
        <v>1041</v>
      </c>
      <c r="AE175" s="97" t="str">
        <f>VLOOKUP(A175,'Parameters Summary'!$B$2:$AB$826,21,FALSE)</f>
        <v>EPI</v>
      </c>
      <c r="AF175" s="97"/>
      <c r="AG175" s="94"/>
      <c r="AH175" s="92"/>
      <c r="AI175" s="94"/>
      <c r="AJ175" s="330"/>
      <c r="AL175" s="81"/>
    </row>
    <row r="176" spans="1:38" ht="12.75" customHeight="1">
      <c r="A176" s="95" t="s">
        <v>765</v>
      </c>
      <c r="B176" s="96" t="s">
        <v>1048</v>
      </c>
      <c r="C176" s="96" t="str">
        <f t="shared" si="14"/>
        <v>Yes</v>
      </c>
      <c r="D176" s="96" t="str">
        <f>VLOOKUP(A176,'Tox Summary'!$O$3:$R$824,3,FALSE)</f>
        <v>No</v>
      </c>
      <c r="E176" s="97">
        <f>VLOOKUP(A176,'Parameters Summary'!$B$2:$AB$826,4,FALSE)</f>
        <v>126.59</v>
      </c>
      <c r="F176" s="97" t="str">
        <f>VLOOKUP(A176,'Parameters Summary'!$B$2:$AB$826,5,FALSE)</f>
        <v>PHYSPROP</v>
      </c>
      <c r="G176" s="93">
        <f>VLOOKUP(A176,'Parameters Summary'!$B$2:$AB$826,9,FALSE)</f>
        <v>3.43</v>
      </c>
      <c r="H176" s="93" t="str">
        <f>VLOOKUP(A176,'Parameters Summary'!$B$2:$AB$826,10,FALSE)</f>
        <v>PHYSPROP</v>
      </c>
      <c r="I176" s="93">
        <f>VLOOKUP(A176,'Parameters Summary'!$B$2:$AB$826,24,FALSE)</f>
        <v>374</v>
      </c>
      <c r="J176" s="97" t="str">
        <f>VLOOKUP(A176,'Parameters Summary'!$B$2:$AB$826,25,FALSE)</f>
        <v>PHYSPROP</v>
      </c>
      <c r="K176" s="97" t="str">
        <f>VLOOKUP(A176,'Tox Summary'!$O$3:$S$827,2,FALSE)</f>
        <v/>
      </c>
      <c r="L176" s="93">
        <f>VLOOKUP(A176,'Parameters Summary'!$B$2:$AB$826,7,FALSE)</f>
        <v>3.5699999999999998E-3</v>
      </c>
      <c r="M176" s="93" t="str">
        <f>VLOOKUP(A176,'Parameters Summary'!$B$2:$AB$826,8,FALSE)</f>
        <v>PHYSPROP</v>
      </c>
      <c r="N176" s="91">
        <f>VLOOKUP(A176,'Parameters Summary'!$B$2:$AB$826,6,FALSE)</f>
        <v>0.14595259999999999</v>
      </c>
      <c r="O176" s="91">
        <f t="shared" si="12"/>
        <v>0.14595259999999999</v>
      </c>
      <c r="P176" s="91">
        <f t="shared" si="15"/>
        <v>0.14595259999999999</v>
      </c>
      <c r="Q176" s="91">
        <f t="shared" si="13"/>
        <v>0.14595259999999999</v>
      </c>
      <c r="R176" s="91">
        <f t="shared" si="16"/>
        <v>0.14595259999999999</v>
      </c>
      <c r="S176" s="91">
        <f t="shared" si="17"/>
        <v>23363973.819669139</v>
      </c>
      <c r="T176" s="93">
        <f>VLOOKUP(A176,'Parameters Summary'!$B$2:$AB$826,15,FALSE)</f>
        <v>6.29025E-2</v>
      </c>
      <c r="U176" s="93" t="str">
        <f>VLOOKUP(A176,'Parameters Summary'!$B$2:$AB$826,17,FALSE)</f>
        <v>WATER9 (U.S. EPA, 2001)</v>
      </c>
      <c r="V176" s="93">
        <f>VLOOKUP(A176,'Parameters Summary'!$B$2:$AB$826,16,FALSE)</f>
        <v>8.7193999999999999E-6</v>
      </c>
      <c r="W176" s="379" t="str">
        <f>VLOOKUP(A176,'Parameters Summary'!$B$2:$AB$826,17,FALSE)</f>
        <v>WATER9 (U.S. EPA, 2001)</v>
      </c>
      <c r="X176" s="290">
        <v>432</v>
      </c>
      <c r="Y176" s="96" t="s">
        <v>2217</v>
      </c>
      <c r="Z176" s="96">
        <v>654.1</v>
      </c>
      <c r="AA176" s="96" t="s">
        <v>2218</v>
      </c>
      <c r="AB176" s="96">
        <v>9950.5</v>
      </c>
      <c r="AC176" s="96" t="s">
        <v>2218</v>
      </c>
      <c r="AD176" s="93">
        <f>VLOOKUP(A176,'Parameters Summary'!$B$2:$AB$826,20,FALSE)</f>
        <v>382.9</v>
      </c>
      <c r="AE176" s="97" t="str">
        <f>VLOOKUP(A176,'Parameters Summary'!$B$2:$AB$826,21,FALSE)</f>
        <v>EPI</v>
      </c>
      <c r="AF176" s="380"/>
      <c r="AG176" s="97"/>
      <c r="AH176" s="92"/>
      <c r="AI176" s="94"/>
      <c r="AJ176" s="330"/>
      <c r="AL176" s="81"/>
    </row>
    <row r="177" spans="1:38" ht="12.75" customHeight="1">
      <c r="A177" s="95" t="s">
        <v>766</v>
      </c>
      <c r="B177" s="96" t="s">
        <v>555</v>
      </c>
      <c r="C177" s="96" t="str">
        <f t="shared" si="14"/>
        <v>Yes</v>
      </c>
      <c r="D177" s="96" t="str">
        <f>VLOOKUP(A177,'Tox Summary'!$O$3:$R$824,3,FALSE)</f>
        <v>No</v>
      </c>
      <c r="E177" s="97">
        <f>VLOOKUP(A177,'Parameters Summary'!$B$2:$AB$826,4,FALSE)</f>
        <v>126.59</v>
      </c>
      <c r="F177" s="97" t="str">
        <f>VLOOKUP(A177,'Parameters Summary'!$B$2:$AB$826,5,FALSE)</f>
        <v>PHYSPROP</v>
      </c>
      <c r="G177" s="93">
        <f>VLOOKUP(A177,'Parameters Summary'!$B$2:$AB$826,9,FALSE)</f>
        <v>2.69</v>
      </c>
      <c r="H177" s="93" t="str">
        <f>VLOOKUP(A177,'Parameters Summary'!$B$2:$AB$826,10,FALSE)</f>
        <v>PHYSPROP</v>
      </c>
      <c r="I177" s="93">
        <f>VLOOKUP(A177,'Parameters Summary'!$B$2:$AB$826,24,FALSE)</f>
        <v>106</v>
      </c>
      <c r="J177" s="97" t="str">
        <f>VLOOKUP(A177,'Parameters Summary'!$B$2:$AB$826,25,FALSE)</f>
        <v>PHYSPROP</v>
      </c>
      <c r="K177" s="97" t="str">
        <f>VLOOKUP(A177,'Tox Summary'!$O$3:$S$827,2,FALSE)</f>
        <v/>
      </c>
      <c r="L177" s="93">
        <f>VLOOKUP(A177,'Parameters Summary'!$B$2:$AB$826,7,FALSE)</f>
        <v>4.3800000000000002E-3</v>
      </c>
      <c r="M177" s="93" t="str">
        <f>VLOOKUP(A177,'Parameters Summary'!$B$2:$AB$826,8,FALSE)</f>
        <v>EPI</v>
      </c>
      <c r="N177" s="91">
        <f>VLOOKUP(A177,'Parameters Summary'!$B$2:$AB$826,6,FALSE)</f>
        <v>0.1790679</v>
      </c>
      <c r="O177" s="91">
        <f t="shared" si="12"/>
        <v>0.1790679</v>
      </c>
      <c r="P177" s="91">
        <f t="shared" si="15"/>
        <v>0.1790679</v>
      </c>
      <c r="Q177" s="91">
        <f t="shared" si="13"/>
        <v>0.1790679</v>
      </c>
      <c r="R177" s="91">
        <f t="shared" si="16"/>
        <v>0.1790679</v>
      </c>
      <c r="S177" s="91">
        <f t="shared" si="17"/>
        <v>18323349.730294455</v>
      </c>
      <c r="T177" s="93">
        <f>VLOOKUP(A177,'Parameters Summary'!$B$2:$AB$826,15,FALSE)</f>
        <v>6.2571000000000002E-2</v>
      </c>
      <c r="U177" s="93" t="str">
        <f>VLOOKUP(A177,'Parameters Summary'!$B$2:$AB$826,17,FALSE)</f>
        <v>WATER9 (U.S. EPA, 2001)</v>
      </c>
      <c r="V177" s="93">
        <f>VLOOKUP(A177,'Parameters Summary'!$B$2:$AB$826,16,FALSE)</f>
        <v>8.6573999999999995E-6</v>
      </c>
      <c r="W177" s="379" t="str">
        <f>VLOOKUP(A177,'Parameters Summary'!$B$2:$AB$826,17,FALSE)</f>
        <v>WATER9 (U.S. EPA, 2001)</v>
      </c>
      <c r="X177" s="290">
        <v>435.4</v>
      </c>
      <c r="Y177" s="96" t="s">
        <v>2217</v>
      </c>
      <c r="Z177" s="96">
        <v>658.7</v>
      </c>
      <c r="AA177" s="96" t="s">
        <v>2218</v>
      </c>
      <c r="AB177" s="96">
        <v>10144.98</v>
      </c>
      <c r="AC177" s="96" t="s">
        <v>2218</v>
      </c>
      <c r="AD177" s="93">
        <f>VLOOKUP(A177,'Parameters Summary'!$B$2:$AB$826,20,FALSE)</f>
        <v>375.3</v>
      </c>
      <c r="AE177" s="97" t="str">
        <f>VLOOKUP(A177,'Parameters Summary'!$B$2:$AB$826,21,FALSE)</f>
        <v>EPI</v>
      </c>
      <c r="AF177" s="380"/>
      <c r="AG177" s="97"/>
      <c r="AH177" s="92"/>
      <c r="AI177" s="94" t="s">
        <v>379</v>
      </c>
      <c r="AJ177" s="330"/>
      <c r="AL177" s="81"/>
    </row>
    <row r="178" spans="1:38" ht="12.75" customHeight="1">
      <c r="A178" s="96" t="s">
        <v>767</v>
      </c>
      <c r="B178" s="96" t="s">
        <v>569</v>
      </c>
      <c r="C178" s="96" t="str">
        <f t="shared" si="14"/>
        <v>No</v>
      </c>
      <c r="D178" s="96" t="str">
        <f>VLOOKUP(A178,'Tox Summary'!$O$3:$R$824,3,FALSE)</f>
        <v>No</v>
      </c>
      <c r="E178" s="97">
        <f>VLOOKUP(A178,'Parameters Summary'!$B$2:$AB$826,4,FALSE)</f>
        <v>265.7</v>
      </c>
      <c r="F178" s="97" t="str">
        <f>VLOOKUP(A178,'Parameters Summary'!$B$2:$AB$826,5,FALSE)</f>
        <v>PHYSPROP</v>
      </c>
      <c r="G178" s="93">
        <f>VLOOKUP(A178,'Parameters Summary'!$B$2:$AB$826,9,FALSE)</f>
        <v>3.9799999999999998E-14</v>
      </c>
      <c r="H178" s="93" t="str">
        <f>VLOOKUP(A178,'Parameters Summary'!$B$2:$AB$826,10,FALSE)</f>
        <v>PHYSPROP</v>
      </c>
      <c r="I178" s="93">
        <f>VLOOKUP(A178,'Parameters Summary'!$B$2:$AB$826,24,FALSE)</f>
        <v>1830</v>
      </c>
      <c r="J178" s="97" t="str">
        <f>VLOOKUP(A178,'Parameters Summary'!$B$2:$AB$826,25,FALSE)</f>
        <v>PHYSPROP</v>
      </c>
      <c r="K178" s="97" t="str">
        <f>VLOOKUP(A178,'Tox Summary'!$O$3:$S$827,2,FALSE)</f>
        <v/>
      </c>
      <c r="L178" s="93">
        <f>VLOOKUP(A178,'Parameters Summary'!$B$2:$AB$826,7,FALSE)</f>
        <v>3.67E-22</v>
      </c>
      <c r="M178" s="93" t="str">
        <f>VLOOKUP(A178,'Parameters Summary'!$B$2:$AB$826,8,FALSE)</f>
        <v>PHYSPROP</v>
      </c>
      <c r="N178" s="91">
        <f>VLOOKUP(A178,'Parameters Summary'!$B$2:$AB$826,6,FALSE)</f>
        <v>1.5000000000000001E-20</v>
      </c>
      <c r="O178" s="91" t="str">
        <f t="shared" si="12"/>
        <v/>
      </c>
      <c r="P178" s="91">
        <f t="shared" si="15"/>
        <v>1.5000000000000001E-20</v>
      </c>
      <c r="Q178" s="91" t="str">
        <f t="shared" si="13"/>
        <v/>
      </c>
      <c r="R178" s="91">
        <f t="shared" si="16"/>
        <v>1.5000000000000001E-20</v>
      </c>
      <c r="S178" s="91" t="str">
        <f t="shared" si="17"/>
        <v/>
      </c>
      <c r="T178" s="93">
        <f>VLOOKUP(A178,'Parameters Summary'!$B$2:$AB$826,15,FALSE)</f>
        <v>4.5971900000000003E-2</v>
      </c>
      <c r="U178" s="93" t="str">
        <f>VLOOKUP(A178,'Parameters Summary'!$B$2:$AB$826,17,FALSE)</f>
        <v>WATER9 (U.S. EPA, 2001)</v>
      </c>
      <c r="V178" s="93">
        <f>VLOOKUP(A178,'Parameters Summary'!$B$2:$AB$826,16,FALSE)</f>
        <v>5.3715000000000002E-6</v>
      </c>
      <c r="W178" s="379" t="str">
        <f>VLOOKUP(A178,'Parameters Summary'!$B$2:$AB$826,17,FALSE)</f>
        <v>WATER9 (U.S. EPA, 2001)</v>
      </c>
      <c r="X178" s="347"/>
      <c r="Y178" s="96"/>
      <c r="Z178" s="96" t="s">
        <v>1653</v>
      </c>
      <c r="AA178" s="96"/>
      <c r="AB178" s="96" t="s">
        <v>1651</v>
      </c>
      <c r="AC178" s="96"/>
      <c r="AD178" s="93">
        <f>VLOOKUP(A178,'Parameters Summary'!$B$2:$AB$826,20,FALSE)</f>
        <v>10</v>
      </c>
      <c r="AE178" s="97" t="str">
        <f>VLOOKUP(A178,'Parameters Summary'!$B$2:$AB$826,21,FALSE)</f>
        <v>EPI</v>
      </c>
      <c r="AF178" s="97"/>
      <c r="AG178" s="94"/>
      <c r="AH178" s="92"/>
      <c r="AI178" s="96"/>
      <c r="AJ178" s="330"/>
      <c r="AL178" s="81"/>
    </row>
    <row r="179" spans="1:38" ht="12.75" customHeight="1">
      <c r="A179" s="96" t="s">
        <v>768</v>
      </c>
      <c r="B179" s="96" t="s">
        <v>1049</v>
      </c>
      <c r="C179" s="96" t="str">
        <f t="shared" si="14"/>
        <v>No</v>
      </c>
      <c r="D179" s="96" t="str">
        <f>VLOOKUP(A179,'Tox Summary'!$O$3:$R$824,3,FALSE)</f>
        <v>No</v>
      </c>
      <c r="E179" s="97">
        <f>VLOOKUP(A179,'Parameters Summary'!$B$2:$AB$826,4,FALSE)</f>
        <v>213.67</v>
      </c>
      <c r="F179" s="97" t="str">
        <f>VLOOKUP(A179,'Parameters Summary'!$B$2:$AB$826,5,FALSE)</f>
        <v>PHYSPROP</v>
      </c>
      <c r="G179" s="93">
        <f>VLOOKUP(A179,'Parameters Summary'!$B$2:$AB$826,9,FALSE)</f>
        <v>1.8000000000000001E-4</v>
      </c>
      <c r="H179" s="93" t="str">
        <f>VLOOKUP(A179,'Parameters Summary'!$B$2:$AB$826,10,FALSE)</f>
        <v>PHYSPROP</v>
      </c>
      <c r="I179" s="93">
        <f>VLOOKUP(A179,'Parameters Summary'!$B$2:$AB$826,24,FALSE)</f>
        <v>89</v>
      </c>
      <c r="J179" s="97" t="str">
        <f>VLOOKUP(A179,'Parameters Summary'!$B$2:$AB$826,25,FALSE)</f>
        <v>PHYSPROP</v>
      </c>
      <c r="K179" s="97" t="str">
        <f>VLOOKUP(A179,'Tox Summary'!$O$3:$S$827,2,FALSE)</f>
        <v/>
      </c>
      <c r="L179" s="93">
        <f>VLOOKUP(A179,'Parameters Summary'!$B$2:$AB$826,7,FALSE)</f>
        <v>5.6899999999999997E-7</v>
      </c>
      <c r="M179" s="93" t="str">
        <f>VLOOKUP(A179,'Parameters Summary'!$B$2:$AB$826,8,FALSE)</f>
        <v>EPI</v>
      </c>
      <c r="N179" s="91">
        <f>VLOOKUP(A179,'Parameters Summary'!$B$2:$AB$826,6,FALSE)</f>
        <v>2.3300000000000001E-5</v>
      </c>
      <c r="O179" s="91" t="str">
        <f t="shared" si="12"/>
        <v/>
      </c>
      <c r="P179" s="91">
        <f t="shared" si="15"/>
        <v>2.3300000000000001E-5</v>
      </c>
      <c r="Q179" s="91" t="str">
        <f t="shared" si="13"/>
        <v/>
      </c>
      <c r="R179" s="91">
        <f t="shared" si="16"/>
        <v>2.3300000000000001E-5</v>
      </c>
      <c r="S179" s="91" t="str">
        <f t="shared" si="17"/>
        <v/>
      </c>
      <c r="T179" s="93">
        <f>VLOOKUP(A179,'Parameters Summary'!$B$2:$AB$826,15,FALSE)</f>
        <v>2.6089000000000001E-2</v>
      </c>
      <c r="U179" s="93" t="str">
        <f>VLOOKUP(A179,'Parameters Summary'!$B$2:$AB$826,17,FALSE)</f>
        <v>WATER9 (U.S. EPA, 2001)</v>
      </c>
      <c r="V179" s="93">
        <f>VLOOKUP(A179,'Parameters Summary'!$B$2:$AB$826,16,FALSE)</f>
        <v>6.7074000000000004E-6</v>
      </c>
      <c r="W179" s="379" t="str">
        <f>VLOOKUP(A179,'Parameters Summary'!$B$2:$AB$826,17,FALSE)</f>
        <v>WATER9 (U.S. EPA, 2001)</v>
      </c>
      <c r="X179" s="347"/>
      <c r="Y179" s="96"/>
      <c r="Z179" s="96" t="s">
        <v>1653</v>
      </c>
      <c r="AA179" s="96"/>
      <c r="AB179" s="96" t="s">
        <v>1651</v>
      </c>
      <c r="AC179" s="96"/>
      <c r="AD179" s="93">
        <f>VLOOKUP(A179,'Parameters Summary'!$B$2:$AB$826,20,FALSE)</f>
        <v>350.7</v>
      </c>
      <c r="AE179" s="97" t="str">
        <f>VLOOKUP(A179,'Parameters Summary'!$B$2:$AB$826,21,FALSE)</f>
        <v>EPI</v>
      </c>
      <c r="AF179" s="97"/>
      <c r="AG179" s="94"/>
      <c r="AH179" s="92"/>
      <c r="AI179" s="96"/>
      <c r="AJ179" s="330"/>
      <c r="AL179" s="81"/>
    </row>
    <row r="180" spans="1:38" ht="12.75" customHeight="1">
      <c r="A180" s="96" t="s">
        <v>769</v>
      </c>
      <c r="B180" s="96" t="s">
        <v>1050</v>
      </c>
      <c r="C180" s="96" t="str">
        <f t="shared" si="14"/>
        <v>No</v>
      </c>
      <c r="D180" s="96" t="str">
        <f>VLOOKUP(A180,'Tox Summary'!$O$3:$R$824,3,FALSE)</f>
        <v>No</v>
      </c>
      <c r="E180" s="97">
        <f>VLOOKUP(A180,'Parameters Summary'!$B$2:$AB$826,4,FALSE)</f>
        <v>350.59</v>
      </c>
      <c r="F180" s="97" t="str">
        <f>VLOOKUP(A180,'Parameters Summary'!$B$2:$AB$826,5,FALSE)</f>
        <v>PHYSPROP</v>
      </c>
      <c r="G180" s="93">
        <f>VLOOKUP(A180,'Parameters Summary'!$B$2:$AB$826,9,FALSE)</f>
        <v>2.0299999999999999E-5</v>
      </c>
      <c r="H180" s="93" t="str">
        <f>VLOOKUP(A180,'Parameters Summary'!$B$2:$AB$826,10,FALSE)</f>
        <v>PHYSPROP</v>
      </c>
      <c r="I180" s="93">
        <f>VLOOKUP(A180,'Parameters Summary'!$B$2:$AB$826,24,FALSE)</f>
        <v>1.1200000000000001</v>
      </c>
      <c r="J180" s="97" t="str">
        <f>VLOOKUP(A180,'Parameters Summary'!$B$2:$AB$826,25,FALSE)</f>
        <v>PHYSPROP</v>
      </c>
      <c r="K180" s="97" t="str">
        <f>VLOOKUP(A180,'Tox Summary'!$O$3:$S$827,2,FALSE)</f>
        <v/>
      </c>
      <c r="L180" s="93">
        <f>VLOOKUP(A180,'Parameters Summary'!$B$2:$AB$826,7,FALSE)</f>
        <v>2.9299999999999999E-6</v>
      </c>
      <c r="M180" s="93" t="str">
        <f>VLOOKUP(A180,'Parameters Summary'!$B$2:$AB$826,8,FALSE)</f>
        <v>PHYSPROP</v>
      </c>
      <c r="N180" s="91">
        <f>VLOOKUP(A180,'Parameters Summary'!$B$2:$AB$826,6,FALSE)</f>
        <v>1.198E-4</v>
      </c>
      <c r="O180" s="91" t="str">
        <f t="shared" si="12"/>
        <v/>
      </c>
      <c r="P180" s="91">
        <f t="shared" si="15"/>
        <v>1.198E-4</v>
      </c>
      <c r="Q180" s="91" t="str">
        <f t="shared" si="13"/>
        <v/>
      </c>
      <c r="R180" s="91">
        <f t="shared" si="16"/>
        <v>1.198E-4</v>
      </c>
      <c r="S180" s="91" t="str">
        <f t="shared" si="17"/>
        <v/>
      </c>
      <c r="T180" s="93">
        <f>VLOOKUP(A180,'Parameters Summary'!$B$2:$AB$826,15,FALSE)</f>
        <v>3.8213799999999999E-2</v>
      </c>
      <c r="U180" s="93" t="str">
        <f>VLOOKUP(A180,'Parameters Summary'!$B$2:$AB$826,17,FALSE)</f>
        <v>WATER9 (U.S. EPA, 2001)</v>
      </c>
      <c r="V180" s="93">
        <f>VLOOKUP(A180,'Parameters Summary'!$B$2:$AB$826,16,FALSE)</f>
        <v>4.4649999999999996E-6</v>
      </c>
      <c r="W180" s="379" t="str">
        <f>VLOOKUP(A180,'Parameters Summary'!$B$2:$AB$826,17,FALSE)</f>
        <v>WATER9 (U.S. EPA, 2001)</v>
      </c>
      <c r="X180" s="347"/>
      <c r="Y180" s="96"/>
      <c r="Z180" s="96" t="s">
        <v>1653</v>
      </c>
      <c r="AA180" s="96"/>
      <c r="AB180" s="96" t="s">
        <v>1651</v>
      </c>
      <c r="AC180" s="96"/>
      <c r="AD180" s="93">
        <f>VLOOKUP(A180,'Parameters Summary'!$B$2:$AB$826,20,FALSE)</f>
        <v>7283</v>
      </c>
      <c r="AE180" s="97" t="str">
        <f>VLOOKUP(A180,'Parameters Summary'!$B$2:$AB$826,21,FALSE)</f>
        <v>EPI</v>
      </c>
      <c r="AF180" s="97"/>
      <c r="AG180" s="94"/>
      <c r="AH180" s="92"/>
      <c r="AI180" s="94" t="s">
        <v>1424</v>
      </c>
      <c r="AJ180" s="330"/>
      <c r="AL180" s="81"/>
    </row>
    <row r="181" spans="1:38" ht="12.75" customHeight="1">
      <c r="A181" s="96" t="s">
        <v>770</v>
      </c>
      <c r="B181" s="96" t="s">
        <v>1051</v>
      </c>
      <c r="C181" s="96" t="str">
        <f t="shared" si="14"/>
        <v>No</v>
      </c>
      <c r="D181" s="96" t="str">
        <f>VLOOKUP(A181,'Tox Summary'!$O$3:$R$824,3,FALSE)</f>
        <v>No</v>
      </c>
      <c r="E181" s="97">
        <f>VLOOKUP(A181,'Parameters Summary'!$B$2:$AB$826,4,FALSE)</f>
        <v>322.54000000000002</v>
      </c>
      <c r="F181" s="97" t="str">
        <f>VLOOKUP(A181,'Parameters Summary'!$B$2:$AB$826,5,FALSE)</f>
        <v>PHYSPROP</v>
      </c>
      <c r="G181" s="93">
        <f>VLOOKUP(A181,'Parameters Summary'!$B$2:$AB$826,9,FALSE)</f>
        <v>4.1999999999999998E-5</v>
      </c>
      <c r="H181" s="93" t="str">
        <f>VLOOKUP(A181,'Parameters Summary'!$B$2:$AB$826,10,FALSE)</f>
        <v>PHYSPROP</v>
      </c>
      <c r="I181" s="93">
        <f>VLOOKUP(A181,'Parameters Summary'!$B$2:$AB$826,24,FALSE)</f>
        <v>4.76</v>
      </c>
      <c r="J181" s="97" t="str">
        <f>VLOOKUP(A181,'Parameters Summary'!$B$2:$AB$826,25,FALSE)</f>
        <v>PHYSPROP</v>
      </c>
      <c r="K181" s="97" t="str">
        <f>VLOOKUP(A181,'Tox Summary'!$O$3:$S$827,2,FALSE)</f>
        <v/>
      </c>
      <c r="L181" s="93">
        <f>VLOOKUP(A181,'Parameters Summary'!$B$2:$AB$826,7,FALSE)</f>
        <v>3.7500000000000001E-6</v>
      </c>
      <c r="M181" s="93" t="str">
        <f>VLOOKUP(A181,'Parameters Summary'!$B$2:$AB$826,8,FALSE)</f>
        <v>EPI</v>
      </c>
      <c r="N181" s="91">
        <f>VLOOKUP(A181,'Parameters Summary'!$B$2:$AB$826,6,FALSE)</f>
        <v>1.5330000000000001E-4</v>
      </c>
      <c r="O181" s="91" t="str">
        <f t="shared" si="12"/>
        <v/>
      </c>
      <c r="P181" s="91">
        <f t="shared" si="15"/>
        <v>1.5330000000000001E-4</v>
      </c>
      <c r="Q181" s="91" t="str">
        <f t="shared" si="13"/>
        <v/>
      </c>
      <c r="R181" s="91">
        <f t="shared" si="16"/>
        <v>1.5330000000000001E-4</v>
      </c>
      <c r="S181" s="91" t="str">
        <f t="shared" si="17"/>
        <v/>
      </c>
      <c r="T181" s="93">
        <f>VLOOKUP(A181,'Parameters Summary'!$B$2:$AB$826,15,FALSE)</f>
        <v>4.0398400000000001E-2</v>
      </c>
      <c r="U181" s="93" t="str">
        <f>VLOOKUP(A181,'Parameters Summary'!$B$2:$AB$826,17,FALSE)</f>
        <v>WATER9 (U.S. EPA, 2001)</v>
      </c>
      <c r="V181" s="93">
        <f>VLOOKUP(A181,'Parameters Summary'!$B$2:$AB$826,16,FALSE)</f>
        <v>4.7202000000000001E-6</v>
      </c>
      <c r="W181" s="379" t="str">
        <f>VLOOKUP(A181,'Parameters Summary'!$B$2:$AB$826,17,FALSE)</f>
        <v>WATER9 (U.S. EPA, 2001)</v>
      </c>
      <c r="X181" s="347"/>
      <c r="Y181" s="96"/>
      <c r="Z181" s="96" t="s">
        <v>1653</v>
      </c>
      <c r="AA181" s="96"/>
      <c r="AB181" s="96" t="s">
        <v>1651</v>
      </c>
      <c r="AC181" s="96"/>
      <c r="AD181" s="93">
        <f>VLOOKUP(A181,'Parameters Summary'!$B$2:$AB$826,20,FALSE)</f>
        <v>2193</v>
      </c>
      <c r="AE181" s="97" t="str">
        <f>VLOOKUP(A181,'Parameters Summary'!$B$2:$AB$826,21,FALSE)</f>
        <v>EPI</v>
      </c>
      <c r="AF181" s="97"/>
      <c r="AG181" s="94"/>
      <c r="AH181" s="92"/>
      <c r="AI181" s="94"/>
      <c r="AJ181" s="330"/>
      <c r="AL181" s="81"/>
    </row>
    <row r="182" spans="1:38" ht="12.75" customHeight="1">
      <c r="A182" s="96" t="s">
        <v>771</v>
      </c>
      <c r="B182" s="96" t="s">
        <v>1052</v>
      </c>
      <c r="C182" s="96" t="str">
        <f t="shared" si="14"/>
        <v>No</v>
      </c>
      <c r="D182" s="96" t="str">
        <f>VLOOKUP(A182,'Tox Summary'!$O$3:$R$824,3,FALSE)</f>
        <v>No</v>
      </c>
      <c r="E182" s="97">
        <f>VLOOKUP(A182,'Parameters Summary'!$B$2:$AB$826,4,FALSE)</f>
        <v>357.78</v>
      </c>
      <c r="F182" s="97" t="str">
        <f>VLOOKUP(A182,'Parameters Summary'!$B$2:$AB$826,5,FALSE)</f>
        <v>PHYSPROP</v>
      </c>
      <c r="G182" s="93">
        <f>VLOOKUP(A182,'Parameters Summary'!$B$2:$AB$826,9,FALSE)</f>
        <v>2.25E-11</v>
      </c>
      <c r="H182" s="93" t="str">
        <f>VLOOKUP(A182,'Parameters Summary'!$B$2:$AB$826,10,FALSE)</f>
        <v>PHYSPROP</v>
      </c>
      <c r="I182" s="93">
        <f>VLOOKUP(A182,'Parameters Summary'!$B$2:$AB$826,24,FALSE)</f>
        <v>31000</v>
      </c>
      <c r="J182" s="97" t="str">
        <f>VLOOKUP(A182,'Parameters Summary'!$B$2:$AB$826,25,FALSE)</f>
        <v>PHYSPROP</v>
      </c>
      <c r="K182" s="97" t="str">
        <f>VLOOKUP(A182,'Tox Summary'!$O$3:$S$827,2,FALSE)</f>
        <v/>
      </c>
      <c r="L182" s="93">
        <f>VLOOKUP(A182,'Parameters Summary'!$B$2:$AB$826,7,FALSE)</f>
        <v>3.4199999999999999E-16</v>
      </c>
      <c r="M182" s="93" t="str">
        <f>VLOOKUP(A182,'Parameters Summary'!$B$2:$AB$826,8,FALSE)</f>
        <v>EPI</v>
      </c>
      <c r="N182" s="91">
        <f>VLOOKUP(A182,'Parameters Summary'!$B$2:$AB$826,6,FALSE)</f>
        <v>1.3980000000000001E-14</v>
      </c>
      <c r="O182" s="91" t="str">
        <f t="shared" si="12"/>
        <v/>
      </c>
      <c r="P182" s="91">
        <f t="shared" si="15"/>
        <v>1.3980000000000001E-14</v>
      </c>
      <c r="Q182" s="91" t="str">
        <f t="shared" si="13"/>
        <v/>
      </c>
      <c r="R182" s="91">
        <f t="shared" si="16"/>
        <v>1.3980000000000001E-14</v>
      </c>
      <c r="S182" s="91" t="str">
        <f t="shared" si="17"/>
        <v/>
      </c>
      <c r="T182" s="93">
        <f>VLOOKUP(A182,'Parameters Summary'!$B$2:$AB$826,15,FALSE)</f>
        <v>3.77001E-2</v>
      </c>
      <c r="U182" s="93" t="str">
        <f>VLOOKUP(A182,'Parameters Summary'!$B$2:$AB$826,17,FALSE)</f>
        <v>WATER9 (U.S. EPA, 2001)</v>
      </c>
      <c r="V182" s="93">
        <f>VLOOKUP(A182,'Parameters Summary'!$B$2:$AB$826,16,FALSE)</f>
        <v>4.4050000000000002E-6</v>
      </c>
      <c r="W182" s="379" t="str">
        <f>VLOOKUP(A182,'Parameters Summary'!$B$2:$AB$826,17,FALSE)</f>
        <v>WATER9 (U.S. EPA, 2001)</v>
      </c>
      <c r="X182" s="347"/>
      <c r="Y182" s="96"/>
      <c r="Z182" s="96" t="s">
        <v>1653</v>
      </c>
      <c r="AA182" s="96"/>
      <c r="AB182" s="96" t="s">
        <v>1651</v>
      </c>
      <c r="AC182" s="96"/>
      <c r="AD182" s="93">
        <f>VLOOKUP(A182,'Parameters Summary'!$B$2:$AB$826,20,FALSE)</f>
        <v>322</v>
      </c>
      <c r="AE182" s="97" t="str">
        <f>VLOOKUP(A182,'Parameters Summary'!$B$2:$AB$826,21,FALSE)</f>
        <v>EPI</v>
      </c>
      <c r="AF182" s="97"/>
      <c r="AG182" s="94"/>
      <c r="AH182" s="92"/>
      <c r="AI182" s="96"/>
      <c r="AJ182" s="330"/>
      <c r="AL182" s="81"/>
    </row>
    <row r="183" spans="1:38" ht="12.75" customHeight="1">
      <c r="A183" s="96" t="s">
        <v>811</v>
      </c>
      <c r="B183" s="96" t="s">
        <v>2303</v>
      </c>
      <c r="C183" s="96" t="str">
        <f t="shared" si="14"/>
        <v>No</v>
      </c>
      <c r="D183" s="96" t="str">
        <f>VLOOKUP(A183,'Tox Summary'!$O$3:$R$824,3,FALSE)</f>
        <v>Yes</v>
      </c>
      <c r="E183" s="97">
        <f>VLOOKUP(A183,'Parameters Summary'!$B$2:$AB$826,4,FALSE)</f>
        <v>331.97</v>
      </c>
      <c r="F183" s="97" t="str">
        <f>VLOOKUP(A183,'Parameters Summary'!$B$2:$AB$826,5,FALSE)</f>
        <v>PHYSPROP</v>
      </c>
      <c r="G183" s="93">
        <f>VLOOKUP(A183,'Parameters Summary'!$B$2:$AB$826,9,FALSE)</f>
        <v>2.5000000000000002E-6</v>
      </c>
      <c r="H183" s="93" t="str">
        <f>VLOOKUP(A183,'Parameters Summary'!$B$2:$AB$826,10,FALSE)</f>
        <v>PHYSPROP</v>
      </c>
      <c r="I183" s="93">
        <f>VLOOKUP(A183,'Parameters Summary'!$B$2:$AB$826,24,FALSE)</f>
        <v>0.5</v>
      </c>
      <c r="J183" s="97" t="str">
        <f>VLOOKUP(A183,'Parameters Summary'!$B$2:$AB$826,25,FALSE)</f>
        <v>PHYSPROP</v>
      </c>
      <c r="K183" s="97" t="str">
        <f>VLOOKUP(A183,'Tox Summary'!$O$3:$S$827,2,FALSE)</f>
        <v/>
      </c>
      <c r="L183" s="93">
        <f>VLOOKUP(A183,'Parameters Summary'!$B$2:$AB$826,7,FALSE)</f>
        <v>2.1799999999999999E-6</v>
      </c>
      <c r="M183" s="93" t="str">
        <f>VLOOKUP(A183,'Parameters Summary'!$B$2:$AB$826,8,FALSE)</f>
        <v>EPI</v>
      </c>
      <c r="N183" s="91">
        <f>VLOOKUP(A183,'Parameters Summary'!$B$2:$AB$826,6,FALSE)</f>
        <v>8.9099999999999997E-5</v>
      </c>
      <c r="O183" s="91" t="str">
        <f t="shared" si="12"/>
        <v/>
      </c>
      <c r="P183" s="91">
        <f t="shared" si="15"/>
        <v>8.9099999999999997E-5</v>
      </c>
      <c r="Q183" s="91" t="str">
        <f t="shared" si="13"/>
        <v/>
      </c>
      <c r="R183" s="91">
        <f t="shared" si="16"/>
        <v>8.9099999999999997E-5</v>
      </c>
      <c r="S183" s="91" t="str">
        <f t="shared" si="17"/>
        <v/>
      </c>
      <c r="T183" s="93">
        <f>VLOOKUP(A183,'Parameters Summary'!$B$2:$AB$826,15,FALSE)</f>
        <v>3.9629699999999997E-2</v>
      </c>
      <c r="U183" s="93" t="str">
        <f>VLOOKUP(A183,'Parameters Summary'!$B$2:$AB$826,17,FALSE)</f>
        <v>WATER9 (U.S. EPA, 2001)</v>
      </c>
      <c r="V183" s="93">
        <f>VLOOKUP(A183,'Parameters Summary'!$B$2:$AB$826,16,FALSE)</f>
        <v>4.6303999999999997E-6</v>
      </c>
      <c r="W183" s="379" t="str">
        <f>VLOOKUP(A183,'Parameters Summary'!$B$2:$AB$826,17,FALSE)</f>
        <v>WATER9 (U.S. EPA, 2001)</v>
      </c>
      <c r="X183" s="290">
        <v>638.15</v>
      </c>
      <c r="Y183" s="96" t="s">
        <v>553</v>
      </c>
      <c r="Z183" s="96">
        <v>957.22499999999991</v>
      </c>
      <c r="AA183" s="96" t="s">
        <v>2220</v>
      </c>
      <c r="AB183" s="96" t="s">
        <v>1651</v>
      </c>
      <c r="AC183" s="96"/>
      <c r="AD183" s="93">
        <f>VLOOKUP(A183,'Parameters Summary'!$B$2:$AB$826,20,FALSE)</f>
        <v>511.1</v>
      </c>
      <c r="AE183" s="97" t="str">
        <f>VLOOKUP(A183,'Parameters Summary'!$B$2:$AB$826,21,FALSE)</f>
        <v>EPI</v>
      </c>
      <c r="AF183" s="97"/>
      <c r="AG183" s="94"/>
      <c r="AH183" s="92"/>
      <c r="AI183" s="94" t="s">
        <v>1789</v>
      </c>
      <c r="AJ183" s="330"/>
      <c r="AL183" s="81"/>
    </row>
    <row r="184" spans="1:38" ht="12.75" customHeight="1">
      <c r="A184" s="96" t="s">
        <v>772</v>
      </c>
      <c r="B184" s="96" t="s">
        <v>1053</v>
      </c>
      <c r="C184" s="96" t="str">
        <f t="shared" si="14"/>
        <v>No</v>
      </c>
      <c r="D184" s="96" t="str">
        <f>VLOOKUP(A184,'Tox Summary'!$O$3:$R$824,3,FALSE)</f>
        <v>No</v>
      </c>
      <c r="E184" s="97">
        <f>VLOOKUP(A184,'Parameters Summary'!$B$2:$AB$826,4,FALSE)</f>
        <v>361.25</v>
      </c>
      <c r="F184" s="97" t="str">
        <f>VLOOKUP(A184,'Parameters Summary'!$B$2:$AB$826,5,FALSE)</f>
        <v>PHYSPROP</v>
      </c>
      <c r="G184" s="93">
        <f>VLOOKUP(A184,'Parameters Summary'!$B$2:$AB$826,9,FALSE)</f>
        <v>0.39700000000000002</v>
      </c>
      <c r="H184" s="93" t="str">
        <f>VLOOKUP(A184,'Parameters Summary'!$B$2:$AB$826,10,FALSE)</f>
        <v>PHYSPROP</v>
      </c>
      <c r="I184" s="93">
        <f>VLOOKUP(A184,'Parameters Summary'!$B$2:$AB$826,24,FALSE)</f>
        <v>0.3</v>
      </c>
      <c r="J184" s="97" t="str">
        <f>VLOOKUP(A184,'Parameters Summary'!$B$2:$AB$826,25,FALSE)</f>
        <v>PHYSPROP</v>
      </c>
      <c r="K184" s="97" t="str">
        <f>VLOOKUP(A184,'Tox Summary'!$O$3:$S$827,2,FALSE)</f>
        <v/>
      </c>
      <c r="L184" s="93">
        <f>VLOOKUP(A184,'Parameters Summary'!$B$2:$AB$826,7,FALSE)</f>
        <v>1.1999999999999999E-6</v>
      </c>
      <c r="M184" s="93" t="str">
        <f>VLOOKUP(A184,'Parameters Summary'!$B$2:$AB$826,8,FALSE)</f>
        <v>PHYSPROP</v>
      </c>
      <c r="N184" s="91">
        <f>VLOOKUP(A184,'Parameters Summary'!$B$2:$AB$826,6,FALSE)</f>
        <v>4.9100000000000001E-5</v>
      </c>
      <c r="O184" s="91" t="str">
        <f t="shared" si="12"/>
        <v/>
      </c>
      <c r="P184" s="91">
        <f t="shared" si="15"/>
        <v>4.9100000000000001E-5</v>
      </c>
      <c r="Q184" s="91" t="str">
        <f t="shared" si="13"/>
        <v/>
      </c>
      <c r="R184" s="91">
        <f t="shared" si="16"/>
        <v>4.9100000000000001E-5</v>
      </c>
      <c r="S184" s="91" t="str">
        <f t="shared" si="17"/>
        <v/>
      </c>
      <c r="T184" s="93">
        <f>VLOOKUP(A184,'Parameters Summary'!$B$2:$AB$826,15,FALSE)</f>
        <v>3.74583E-2</v>
      </c>
      <c r="U184" s="93" t="str">
        <f>VLOOKUP(A184,'Parameters Summary'!$B$2:$AB$826,17,FALSE)</f>
        <v>WATER9 (U.S. EPA, 2001)</v>
      </c>
      <c r="V184" s="93">
        <f>VLOOKUP(A184,'Parameters Summary'!$B$2:$AB$826,16,FALSE)</f>
        <v>4.3767E-6</v>
      </c>
      <c r="W184" s="379" t="str">
        <f>VLOOKUP(A184,'Parameters Summary'!$B$2:$AB$826,17,FALSE)</f>
        <v>WATER9 (U.S. EPA, 2001)</v>
      </c>
      <c r="X184" s="290">
        <v>428.65</v>
      </c>
      <c r="Y184" s="96" t="s">
        <v>553</v>
      </c>
      <c r="Z184" s="96">
        <v>642.97499999999991</v>
      </c>
      <c r="AA184" s="96" t="s">
        <v>2220</v>
      </c>
      <c r="AB184" s="96" t="s">
        <v>1651</v>
      </c>
      <c r="AC184" s="96"/>
      <c r="AD184" s="93">
        <f>VLOOKUP(A184,'Parameters Summary'!$B$2:$AB$826,20,FALSE)</f>
        <v>12790</v>
      </c>
      <c r="AE184" s="97" t="str">
        <f>VLOOKUP(A184,'Parameters Summary'!$B$2:$AB$826,21,FALSE)</f>
        <v>EPI</v>
      </c>
      <c r="AF184" s="97"/>
      <c r="AG184" s="94"/>
      <c r="AH184" s="92"/>
      <c r="AI184" s="94" t="s">
        <v>390</v>
      </c>
      <c r="AJ184" s="330"/>
      <c r="AL184" s="81"/>
    </row>
    <row r="185" spans="1:38" ht="12.75" customHeight="1">
      <c r="A185" s="96" t="s">
        <v>773</v>
      </c>
      <c r="B185" s="96" t="s">
        <v>570</v>
      </c>
      <c r="C185" s="96" t="str">
        <f t="shared" si="14"/>
        <v>No</v>
      </c>
      <c r="D185" s="96" t="str">
        <f>VLOOKUP(A185,'Tox Summary'!$O$3:$R$824,3,FALSE)</f>
        <v>No</v>
      </c>
      <c r="E185" s="97">
        <f>VLOOKUP(A185,'Parameters Summary'!$B$2:$AB$826,4,FALSE)</f>
        <v>52</v>
      </c>
      <c r="F185" s="97" t="str">
        <f>VLOOKUP(A185,'Parameters Summary'!$B$2:$AB$826,5,FALSE)</f>
        <v>EPI</v>
      </c>
      <c r="G185" s="93" t="s">
        <v>2439</v>
      </c>
      <c r="H185" s="93" t="str">
        <f>VLOOKUP(A185,'Parameters Summary'!$B$2:$AB$826,10,FALSE)</f>
        <v/>
      </c>
      <c r="I185" s="93" t="s">
        <v>2440</v>
      </c>
      <c r="J185" s="97" t="str">
        <f>VLOOKUP(A185,'Parameters Summary'!$B$2:$AB$826,25,FALSE)</f>
        <v/>
      </c>
      <c r="K185" s="97" t="str">
        <f>VLOOKUP(A185,'Tox Summary'!$O$3:$S$827,2,FALSE)</f>
        <v/>
      </c>
      <c r="L185" s="93" t="s">
        <v>2298</v>
      </c>
      <c r="M185" s="93" t="str">
        <f>VLOOKUP(A185,'Parameters Summary'!$B$2:$AB$826,8,FALSE)</f>
        <v/>
      </c>
      <c r="N185" s="91" t="str">
        <f>VLOOKUP(A185,'Parameters Summary'!$B$2:$AB$826,6,FALSE)</f>
        <v xml:space="preserve"> </v>
      </c>
      <c r="O185" s="91" t="str">
        <f t="shared" si="12"/>
        <v/>
      </c>
      <c r="P185" s="91" t="str">
        <f t="shared" si="15"/>
        <v xml:space="preserve"> </v>
      </c>
      <c r="Q185" s="91" t="str">
        <f t="shared" si="13"/>
        <v/>
      </c>
      <c r="R185" s="91" t="str">
        <f t="shared" si="16"/>
        <v xml:space="preserve"> </v>
      </c>
      <c r="S185" s="91" t="str">
        <f t="shared" si="17"/>
        <v/>
      </c>
      <c r="T185" s="93" t="str">
        <f>VLOOKUP(A185,'Parameters Summary'!$B$2:$AB$826,15,FALSE)</f>
        <v xml:space="preserve"> </v>
      </c>
      <c r="U185" s="93" t="str">
        <f>VLOOKUP(A185,'Parameters Summary'!$B$2:$AB$826,17,FALSE)</f>
        <v/>
      </c>
      <c r="V185" s="93" t="str">
        <f>VLOOKUP(A185,'Parameters Summary'!$B$2:$AB$826,16,FALSE)</f>
        <v xml:space="preserve"> </v>
      </c>
      <c r="W185" s="379" t="str">
        <f>VLOOKUP(A185,'Parameters Summary'!$B$2:$AB$826,17,FALSE)</f>
        <v/>
      </c>
      <c r="X185" s="347"/>
      <c r="Y185" s="96"/>
      <c r="Z185" s="96" t="s">
        <v>1653</v>
      </c>
      <c r="AA185" s="96"/>
      <c r="AB185" s="96" t="s">
        <v>1651</v>
      </c>
      <c r="AC185" s="96"/>
      <c r="AD185" s="93" t="str">
        <f>VLOOKUP(A185,'Parameters Summary'!$B$2:$AB$826,20,FALSE)</f>
        <v xml:space="preserve"> </v>
      </c>
      <c r="AE185" s="97" t="str">
        <f>VLOOKUP(A185,'Parameters Summary'!$B$2:$AB$826,21,FALSE)</f>
        <v/>
      </c>
      <c r="AF185" s="97"/>
      <c r="AG185" s="94"/>
      <c r="AH185" s="92"/>
      <c r="AI185" s="94" t="s">
        <v>392</v>
      </c>
      <c r="AJ185" s="330"/>
      <c r="AL185" s="81"/>
    </row>
    <row r="186" spans="1:38" ht="12.75" customHeight="1">
      <c r="A186" s="96" t="s">
        <v>774</v>
      </c>
      <c r="B186" s="96" t="s">
        <v>571</v>
      </c>
      <c r="C186" s="96" t="str">
        <f t="shared" si="14"/>
        <v>No</v>
      </c>
      <c r="D186" s="96" t="str">
        <f>VLOOKUP(A186,'Tox Summary'!$O$3:$R$824,3,FALSE)</f>
        <v>Yes</v>
      </c>
      <c r="E186" s="97">
        <f>VLOOKUP(A186,'Parameters Summary'!$B$2:$AB$826,4,FALSE)</f>
        <v>52</v>
      </c>
      <c r="F186" s="97" t="str">
        <f>VLOOKUP(A186,'Parameters Summary'!$B$2:$AB$826,5,FALSE)</f>
        <v>EPI</v>
      </c>
      <c r="G186" s="93" t="s">
        <v>2439</v>
      </c>
      <c r="H186" s="93" t="str">
        <f>VLOOKUP(A186,'Parameters Summary'!$B$2:$AB$826,10,FALSE)</f>
        <v/>
      </c>
      <c r="I186" s="93">
        <f>VLOOKUP(A186,'Parameters Summary'!$B$2:$AB$826,24,FALSE)</f>
        <v>1690000</v>
      </c>
      <c r="J186" s="97" t="str">
        <f>VLOOKUP(A186,'Parameters Summary'!$B$2:$AB$826,25,FALSE)</f>
        <v>CRC89</v>
      </c>
      <c r="K186" s="97" t="str">
        <f>VLOOKUP(A186,'Tox Summary'!$O$3:$S$827,2,FALSE)</f>
        <v/>
      </c>
      <c r="L186" s="93" t="s">
        <v>2298</v>
      </c>
      <c r="M186" s="93" t="str">
        <f>VLOOKUP(A186,'Parameters Summary'!$B$2:$AB$826,8,FALSE)</f>
        <v/>
      </c>
      <c r="N186" s="91" t="str">
        <f>VLOOKUP(A186,'Parameters Summary'!$B$2:$AB$826,6,FALSE)</f>
        <v xml:space="preserve"> </v>
      </c>
      <c r="O186" s="91" t="str">
        <f t="shared" si="12"/>
        <v/>
      </c>
      <c r="P186" s="91" t="str">
        <f t="shared" si="15"/>
        <v xml:space="preserve"> </v>
      </c>
      <c r="Q186" s="91" t="str">
        <f t="shared" si="13"/>
        <v/>
      </c>
      <c r="R186" s="91" t="str">
        <f t="shared" si="16"/>
        <v xml:space="preserve"> </v>
      </c>
      <c r="S186" s="91" t="str">
        <f t="shared" si="17"/>
        <v/>
      </c>
      <c r="T186" s="93" t="str">
        <f>VLOOKUP(A186,'Parameters Summary'!$B$2:$AB$826,15,FALSE)</f>
        <v xml:space="preserve"> </v>
      </c>
      <c r="U186" s="93" t="str">
        <f>VLOOKUP(A186,'Parameters Summary'!$B$2:$AB$826,17,FALSE)</f>
        <v/>
      </c>
      <c r="V186" s="93" t="str">
        <f>VLOOKUP(A186,'Parameters Summary'!$B$2:$AB$826,16,FALSE)</f>
        <v xml:space="preserve"> </v>
      </c>
      <c r="W186" s="379" t="str">
        <f>VLOOKUP(A186,'Parameters Summary'!$B$2:$AB$826,17,FALSE)</f>
        <v/>
      </c>
      <c r="X186" s="347"/>
      <c r="Y186" s="96"/>
      <c r="Z186" s="96" t="s">
        <v>1653</v>
      </c>
      <c r="AA186" s="96"/>
      <c r="AB186" s="96" t="s">
        <v>1651</v>
      </c>
      <c r="AC186" s="96"/>
      <c r="AD186" s="93" t="str">
        <f>VLOOKUP(A186,'Parameters Summary'!$B$2:$AB$826,20,FALSE)</f>
        <v xml:space="preserve"> </v>
      </c>
      <c r="AE186" s="97" t="str">
        <f>VLOOKUP(A186,'Parameters Summary'!$B$2:$AB$826,21,FALSE)</f>
        <v/>
      </c>
      <c r="AF186" s="97"/>
      <c r="AG186" s="94"/>
      <c r="AH186" s="92"/>
      <c r="AI186" s="94" t="s">
        <v>395</v>
      </c>
      <c r="AJ186" s="330"/>
      <c r="AL186" s="81"/>
    </row>
    <row r="187" spans="1:38" ht="12.75" customHeight="1">
      <c r="A187" s="96" t="s">
        <v>775</v>
      </c>
      <c r="B187" s="96" t="s">
        <v>572</v>
      </c>
      <c r="C187" s="96" t="str">
        <f t="shared" si="14"/>
        <v>No</v>
      </c>
      <c r="D187" s="96" t="str">
        <f>VLOOKUP(A187,'Tox Summary'!$O$3:$R$824,3,FALSE)</f>
        <v>Yes</v>
      </c>
      <c r="E187" s="97">
        <f>VLOOKUP(A187,'Parameters Summary'!$B$2:$AB$826,4,FALSE)</f>
        <v>51.996000000000002</v>
      </c>
      <c r="F187" s="97" t="str">
        <f>VLOOKUP(A187,'Parameters Summary'!$B$2:$AB$826,5,FALSE)</f>
        <v>PHYSPROP</v>
      </c>
      <c r="G187" s="93" t="s">
        <v>2439</v>
      </c>
      <c r="H187" s="93" t="str">
        <f>VLOOKUP(A187,'Parameters Summary'!$B$2:$AB$826,10,FALSE)</f>
        <v/>
      </c>
      <c r="I187" s="93" t="s">
        <v>2440</v>
      </c>
      <c r="J187" s="97" t="str">
        <f>VLOOKUP(A187,'Parameters Summary'!$B$2:$AB$826,25,FALSE)</f>
        <v/>
      </c>
      <c r="K187" s="97">
        <f>VLOOKUP(A187,'Tox Summary'!$O$3:$S$827,2,FALSE)</f>
        <v>100</v>
      </c>
      <c r="L187" s="93" t="s">
        <v>2298</v>
      </c>
      <c r="M187" s="93" t="str">
        <f>VLOOKUP(A187,'Parameters Summary'!$B$2:$AB$826,8,FALSE)</f>
        <v/>
      </c>
      <c r="N187" s="91" t="str">
        <f>VLOOKUP(A187,'Parameters Summary'!$B$2:$AB$826,6,FALSE)</f>
        <v xml:space="preserve"> </v>
      </c>
      <c r="O187" s="91" t="str">
        <f t="shared" si="12"/>
        <v/>
      </c>
      <c r="P187" s="91" t="str">
        <f t="shared" si="15"/>
        <v xml:space="preserve"> </v>
      </c>
      <c r="Q187" s="91" t="str">
        <f t="shared" si="13"/>
        <v/>
      </c>
      <c r="R187" s="91" t="str">
        <f t="shared" si="16"/>
        <v xml:space="preserve"> </v>
      </c>
      <c r="S187" s="91" t="str">
        <f t="shared" si="17"/>
        <v/>
      </c>
      <c r="T187" s="93" t="str">
        <f>VLOOKUP(A187,'Parameters Summary'!$B$2:$AB$826,15,FALSE)</f>
        <v xml:space="preserve"> </v>
      </c>
      <c r="U187" s="93" t="str">
        <f>VLOOKUP(A187,'Parameters Summary'!$B$2:$AB$826,17,FALSE)</f>
        <v/>
      </c>
      <c r="V187" s="93" t="str">
        <f>VLOOKUP(A187,'Parameters Summary'!$B$2:$AB$826,16,FALSE)</f>
        <v xml:space="preserve"> </v>
      </c>
      <c r="W187" s="379" t="str">
        <f>VLOOKUP(A187,'Parameters Summary'!$B$2:$AB$826,17,FALSE)</f>
        <v/>
      </c>
      <c r="X187" s="290">
        <v>2915.15</v>
      </c>
      <c r="Y187" s="96" t="s">
        <v>553</v>
      </c>
      <c r="Z187" s="96">
        <v>4372.7250000000004</v>
      </c>
      <c r="AA187" s="96" t="s">
        <v>2220</v>
      </c>
      <c r="AB187" s="96" t="s">
        <v>1651</v>
      </c>
      <c r="AC187" s="96"/>
      <c r="AD187" s="93" t="str">
        <f>VLOOKUP(A187,'Parameters Summary'!$B$2:$AB$826,20,FALSE)</f>
        <v xml:space="preserve"> </v>
      </c>
      <c r="AE187" s="97" t="str">
        <f>VLOOKUP(A187,'Parameters Summary'!$B$2:$AB$826,21,FALSE)</f>
        <v/>
      </c>
      <c r="AF187" s="97"/>
      <c r="AG187" s="94"/>
      <c r="AH187" s="92"/>
      <c r="AI187" s="96" t="s">
        <v>1391</v>
      </c>
      <c r="AJ187" s="330"/>
      <c r="AL187" s="81"/>
    </row>
    <row r="188" spans="1:38" ht="12.75" customHeight="1">
      <c r="A188" s="96" t="s">
        <v>208</v>
      </c>
      <c r="B188" s="96" t="s">
        <v>2352</v>
      </c>
      <c r="C188" s="96" t="str">
        <f t="shared" si="14"/>
        <v>No</v>
      </c>
      <c r="D188" s="96" t="str">
        <f>VLOOKUP(A188,'Tox Summary'!$O$3:$R$824,3,FALSE)</f>
        <v>No</v>
      </c>
      <c r="E188" s="97">
        <f>VLOOKUP(A188,'Parameters Summary'!$B$2:$AB$826,4,FALSE)</f>
        <v>228.3</v>
      </c>
      <c r="F188" s="97" t="str">
        <f>VLOOKUP(A188,'Parameters Summary'!$B$2:$AB$826,5,FALSE)</f>
        <v>PHYSPROP</v>
      </c>
      <c r="G188" s="93">
        <f>VLOOKUP(A188,'Parameters Summary'!$B$2:$AB$826,9,FALSE)</f>
        <v>6.2300000000000002E-9</v>
      </c>
      <c r="H188" s="93" t="str">
        <f>VLOOKUP(A188,'Parameters Summary'!$B$2:$AB$826,10,FALSE)</f>
        <v>PHYSPROP</v>
      </c>
      <c r="I188" s="93">
        <f>VLOOKUP(A188,'Parameters Summary'!$B$2:$AB$826,24,FALSE)</f>
        <v>2E-3</v>
      </c>
      <c r="J188" s="97" t="str">
        <f>VLOOKUP(A188,'Parameters Summary'!$B$2:$AB$826,25,FALSE)</f>
        <v>PHYSPROP</v>
      </c>
      <c r="K188" s="97" t="str">
        <f>VLOOKUP(A188,'Tox Summary'!$O$3:$S$827,2,FALSE)</f>
        <v/>
      </c>
      <c r="L188" s="93">
        <f>VLOOKUP(A188,'Parameters Summary'!$B$2:$AB$826,7,FALSE)</f>
        <v>5.2299999999999999E-6</v>
      </c>
      <c r="M188" s="93" t="str">
        <f>VLOOKUP(A188,'Parameters Summary'!$B$2:$AB$826,8,FALSE)</f>
        <v>PHYSPROP</v>
      </c>
      <c r="N188" s="91">
        <f>VLOOKUP(A188,'Parameters Summary'!$B$2:$AB$826,6,FALSE)</f>
        <v>2.1379999999999999E-4</v>
      </c>
      <c r="O188" s="91" t="str">
        <f t="shared" si="12"/>
        <v/>
      </c>
      <c r="P188" s="91">
        <f t="shared" si="15"/>
        <v>2.1379999999999999E-4</v>
      </c>
      <c r="Q188" s="91" t="str">
        <f t="shared" si="13"/>
        <v/>
      </c>
      <c r="R188" s="91">
        <f t="shared" si="16"/>
        <v>2.1379999999999999E-4</v>
      </c>
      <c r="S188" s="91" t="str">
        <f t="shared" si="17"/>
        <v/>
      </c>
      <c r="T188" s="93">
        <f>VLOOKUP(A188,'Parameters Summary'!$B$2:$AB$826,15,FALSE)</f>
        <v>2.61138E-2</v>
      </c>
      <c r="U188" s="93" t="str">
        <f>VLOOKUP(A188,'Parameters Summary'!$B$2:$AB$826,17,FALSE)</f>
        <v>WATER9 (U.S. EPA, 2001)</v>
      </c>
      <c r="V188" s="93">
        <f>VLOOKUP(A188,'Parameters Summary'!$B$2:$AB$826,16,FALSE)</f>
        <v>6.7495000000000003E-6</v>
      </c>
      <c r="W188" s="379" t="str">
        <f>VLOOKUP(A188,'Parameters Summary'!$B$2:$AB$826,17,FALSE)</f>
        <v>WATER9 (U.S. EPA, 2001)</v>
      </c>
      <c r="X188" s="290">
        <v>721.15</v>
      </c>
      <c r="Y188" s="96" t="s">
        <v>553</v>
      </c>
      <c r="Z188" s="96" t="s">
        <v>1653</v>
      </c>
      <c r="AA188" s="96"/>
      <c r="AB188" s="96" t="s">
        <v>1651</v>
      </c>
      <c r="AC188" s="96"/>
      <c r="AD188" s="93">
        <f>VLOOKUP(A188,'Parameters Summary'!$B$2:$AB$826,20,FALSE)</f>
        <v>180500</v>
      </c>
      <c r="AE188" s="97" t="str">
        <f>VLOOKUP(A188,'Parameters Summary'!$B$2:$AB$826,21,FALSE)</f>
        <v>EPI</v>
      </c>
      <c r="AF188" s="97"/>
      <c r="AG188" s="94"/>
      <c r="AH188" s="92"/>
      <c r="AI188" s="94"/>
      <c r="AJ188" s="330"/>
      <c r="AL188" s="81"/>
    </row>
    <row r="189" spans="1:38" ht="12.75" customHeight="1">
      <c r="A189" s="96" t="s">
        <v>668</v>
      </c>
      <c r="B189" s="96" t="s">
        <v>2304</v>
      </c>
      <c r="C189" s="96" t="str">
        <f t="shared" si="14"/>
        <v>No</v>
      </c>
      <c r="D189" s="96" t="str">
        <f>VLOOKUP(A189,'Tox Summary'!$O$3:$R$824,3,FALSE)</f>
        <v>No</v>
      </c>
      <c r="E189" s="97">
        <f>VLOOKUP(A189,'Parameters Summary'!$B$2:$AB$826,4,FALSE)</f>
        <v>303.14999999999998</v>
      </c>
      <c r="F189" s="97" t="str">
        <f>VLOOKUP(A189,'Parameters Summary'!$B$2:$AB$826,5,FALSE)</f>
        <v>PHYSPROP</v>
      </c>
      <c r="G189" s="93">
        <f>VLOOKUP(A189,'Parameters Summary'!$B$2:$AB$826,9,FALSE)</f>
        <v>9.7500000000000005E-10</v>
      </c>
      <c r="H189" s="93" t="str">
        <f>VLOOKUP(A189,'Parameters Summary'!$B$2:$AB$826,10,FALSE)</f>
        <v>PHYSPROP</v>
      </c>
      <c r="I189" s="93">
        <f>VLOOKUP(A189,'Parameters Summary'!$B$2:$AB$826,24,FALSE)</f>
        <v>1</v>
      </c>
      <c r="J189" s="97" t="str">
        <f>VLOOKUP(A189,'Parameters Summary'!$B$2:$AB$826,25,FALSE)</f>
        <v>PHYSPROP</v>
      </c>
      <c r="K189" s="97" t="str">
        <f>VLOOKUP(A189,'Tox Summary'!$O$3:$S$827,2,FALSE)</f>
        <v/>
      </c>
      <c r="L189" s="93">
        <f>VLOOKUP(A189,'Parameters Summary'!$B$2:$AB$826,7,FALSE)</f>
        <v>3.9E-10</v>
      </c>
      <c r="M189" s="93" t="str">
        <f>VLOOKUP(A189,'Parameters Summary'!$B$2:$AB$826,8,FALSE)</f>
        <v>EPI</v>
      </c>
      <c r="N189" s="91">
        <f>VLOOKUP(A189,'Parameters Summary'!$B$2:$AB$826,6,FALSE)</f>
        <v>1.5944E-8</v>
      </c>
      <c r="O189" s="91" t="str">
        <f t="shared" si="12"/>
        <v/>
      </c>
      <c r="P189" s="91">
        <f t="shared" si="15"/>
        <v>1.5944E-8</v>
      </c>
      <c r="Q189" s="91" t="str">
        <f t="shared" si="13"/>
        <v/>
      </c>
      <c r="R189" s="91">
        <f t="shared" si="16"/>
        <v>1.5944E-8</v>
      </c>
      <c r="S189" s="91" t="str">
        <f t="shared" si="17"/>
        <v/>
      </c>
      <c r="T189" s="93">
        <f>VLOOKUP(A189,'Parameters Summary'!$B$2:$AB$826,15,FALSE)</f>
        <v>4.21032E-2</v>
      </c>
      <c r="U189" s="93" t="str">
        <f>VLOOKUP(A189,'Parameters Summary'!$B$2:$AB$826,17,FALSE)</f>
        <v>WATER9 (U.S. EPA, 2001)</v>
      </c>
      <c r="V189" s="93">
        <f>VLOOKUP(A189,'Parameters Summary'!$B$2:$AB$826,16,FALSE)</f>
        <v>4.9193999999999999E-6</v>
      </c>
      <c r="W189" s="379" t="str">
        <f>VLOOKUP(A189,'Parameters Summary'!$B$2:$AB$826,17,FALSE)</f>
        <v>WATER9 (U.S. EPA, 2001)</v>
      </c>
      <c r="X189" s="347"/>
      <c r="Y189" s="96"/>
      <c r="Z189" s="96" t="s">
        <v>1653</v>
      </c>
      <c r="AA189" s="96"/>
      <c r="AB189" s="96" t="s">
        <v>1651</v>
      </c>
      <c r="AC189" s="96"/>
      <c r="AD189" s="93">
        <f>VLOOKUP(A189,'Parameters Summary'!$B$2:$AB$826,20,FALSE)</f>
        <v>30210</v>
      </c>
      <c r="AE189" s="97" t="str">
        <f>VLOOKUP(A189,'Parameters Summary'!$B$2:$AB$826,21,FALSE)</f>
        <v>EPI</v>
      </c>
      <c r="AF189" s="97"/>
      <c r="AG189" s="94"/>
      <c r="AH189" s="92"/>
      <c r="AI189" s="94"/>
      <c r="AJ189" s="330"/>
      <c r="AL189" s="81"/>
    </row>
    <row r="190" spans="1:38" ht="12.75" customHeight="1">
      <c r="A190" s="96" t="s">
        <v>776</v>
      </c>
      <c r="B190" s="96" t="s">
        <v>526</v>
      </c>
      <c r="C190" s="96" t="str">
        <f t="shared" si="14"/>
        <v>No</v>
      </c>
      <c r="D190" s="96" t="str">
        <f>VLOOKUP(A190,'Tox Summary'!$O$3:$R$824,3,FALSE)</f>
        <v>Yes</v>
      </c>
      <c r="E190" s="97">
        <f>VLOOKUP(A190,'Parameters Summary'!$B$2:$AB$826,4,FALSE)</f>
        <v>58.93</v>
      </c>
      <c r="F190" s="97" t="str">
        <f>VLOOKUP(A190,'Parameters Summary'!$B$2:$AB$826,5,FALSE)</f>
        <v>EPI</v>
      </c>
      <c r="G190" s="93">
        <f>VLOOKUP(A190,'Parameters Summary'!$B$2:$AB$826,9,FALSE)</f>
        <v>0</v>
      </c>
      <c r="H190" s="93" t="str">
        <f>VLOOKUP(A190,'Parameters Summary'!$B$2:$AB$826,10,FALSE)</f>
        <v>NIOSH</v>
      </c>
      <c r="I190" s="93" t="s">
        <v>2440</v>
      </c>
      <c r="J190" s="97" t="str">
        <f>VLOOKUP(A190,'Parameters Summary'!$B$2:$AB$826,25,FALSE)</f>
        <v/>
      </c>
      <c r="K190" s="97" t="str">
        <f>VLOOKUP(A190,'Tox Summary'!$O$3:$S$827,2,FALSE)</f>
        <v/>
      </c>
      <c r="L190" s="93" t="str">
        <f>VLOOKUP(A190,'Parameters Summary'!$B$2:$AB$826,7,FALSE)</f>
        <v xml:space="preserve"> </v>
      </c>
      <c r="M190" s="93" t="str">
        <f>VLOOKUP(A190,'Parameters Summary'!$B$2:$AB$826,8,FALSE)</f>
        <v/>
      </c>
      <c r="N190" s="91" t="str">
        <f>VLOOKUP(A190,'Parameters Summary'!$B$2:$AB$826,6,FALSE)</f>
        <v xml:space="preserve"> </v>
      </c>
      <c r="O190" s="91"/>
      <c r="P190" s="91"/>
      <c r="Q190" s="91"/>
      <c r="R190" s="91"/>
      <c r="S190" s="91"/>
      <c r="T190" s="93" t="str">
        <f>VLOOKUP(A190,'Parameters Summary'!$B$2:$AB$826,15,FALSE)</f>
        <v xml:space="preserve"> </v>
      </c>
      <c r="U190" s="93" t="str">
        <f>VLOOKUP(A190,'Parameters Summary'!$B$2:$AB$826,17,FALSE)</f>
        <v/>
      </c>
      <c r="V190" s="93" t="str">
        <f>VLOOKUP(A190,'Parameters Summary'!$B$2:$AB$826,16,FALSE)</f>
        <v xml:space="preserve"> </v>
      </c>
      <c r="W190" s="379" t="str">
        <f>VLOOKUP(A190,'Parameters Summary'!$B$2:$AB$826,17,FALSE)</f>
        <v/>
      </c>
      <c r="X190" s="347">
        <v>3200.15</v>
      </c>
      <c r="Y190" s="96"/>
      <c r="Z190" s="96">
        <v>4800.2250000000004</v>
      </c>
      <c r="AA190" s="96" t="s">
        <v>2220</v>
      </c>
      <c r="AB190" s="96">
        <v>88398.66</v>
      </c>
      <c r="AC190" s="96" t="s">
        <v>2214</v>
      </c>
      <c r="AD190" s="93" t="str">
        <f>VLOOKUP(A190,'Parameters Summary'!$B$2:$AB$826,20,FALSE)</f>
        <v xml:space="preserve"> </v>
      </c>
      <c r="AE190" s="97" t="str">
        <f>VLOOKUP(A190,'Parameters Summary'!$B$2:$AB$826,21,FALSE)</f>
        <v/>
      </c>
      <c r="AF190" s="97"/>
      <c r="AG190" s="94"/>
      <c r="AH190" s="92"/>
      <c r="AI190" s="94"/>
      <c r="AJ190" s="330"/>
      <c r="AL190" s="81"/>
    </row>
    <row r="191" spans="1:38" ht="12.75" customHeight="1">
      <c r="A191" s="95" t="s">
        <v>777</v>
      </c>
      <c r="B191" s="96" t="s">
        <v>1054</v>
      </c>
      <c r="C191" s="96" t="str">
        <f t="shared" si="14"/>
        <v>Yes</v>
      </c>
      <c r="D191" s="96" t="str">
        <f>VLOOKUP(A191,'Tox Summary'!$O$3:$R$824,3,FALSE)</f>
        <v>Yes</v>
      </c>
      <c r="E191" s="97" t="s">
        <v>2416</v>
      </c>
      <c r="F191" s="97" t="str">
        <f>VLOOKUP(A191,'Parameters Summary'!$B$2:$AB$826,5,FALSE)</f>
        <v/>
      </c>
      <c r="G191" s="93">
        <f>VLOOKUP(A191,'Parameters Summary'!$B$2:$AB$826,9,FALSE)</f>
        <v>95</v>
      </c>
      <c r="H191" s="93" t="str">
        <f>VLOOKUP(A191,'Parameters Summary'!$B$2:$AB$826,10,FALSE)</f>
        <v>Toxnet HSDB</v>
      </c>
      <c r="I191" s="93" t="s">
        <v>2440</v>
      </c>
      <c r="J191" s="97" t="str">
        <f>VLOOKUP(A191,'Parameters Summary'!$B$2:$AB$826,25,FALSE)</f>
        <v/>
      </c>
      <c r="K191" s="97" t="str">
        <f>VLOOKUP(A191,'Tox Summary'!$O$3:$S$827,2,FALSE)</f>
        <v/>
      </c>
      <c r="L191" s="93">
        <f>VLOOKUP(A191,'Parameters Summary'!$B$2:$AB$826,7,FALSE)</f>
        <v>1.0999999999999999E-2</v>
      </c>
      <c r="M191" s="93" t="str">
        <f>VLOOKUP(A191,'Parameters Summary'!$B$2:$AB$826,8,FALSE)</f>
        <v>Toxnet HSDB</v>
      </c>
      <c r="N191" s="91">
        <f>VLOOKUP(A191,'Parameters Summary'!$B$2:$AB$826,6,FALSE)</f>
        <v>0.45</v>
      </c>
      <c r="O191" s="91" t="str">
        <f t="shared" si="12"/>
        <v/>
      </c>
      <c r="P191" s="91">
        <f t="shared" si="15"/>
        <v>0.45</v>
      </c>
      <c r="Q191" s="91" t="str">
        <f t="shared" si="13"/>
        <v/>
      </c>
      <c r="R191" s="91">
        <f t="shared" si="16"/>
        <v>0.45</v>
      </c>
      <c r="S191" s="91" t="str">
        <f t="shared" si="17"/>
        <v/>
      </c>
      <c r="T191" s="93">
        <f>VLOOKUP(A191,'Parameters Summary'!$B$2:$AB$826,15,FALSE)</f>
        <v>0.1039798</v>
      </c>
      <c r="U191" s="93" t="str">
        <f>VLOOKUP(A191,'Parameters Summary'!$B$2:$AB$826,17,FALSE)</f>
        <v>WATER9 (U.S. EPA, 2001)</v>
      </c>
      <c r="V191" s="93">
        <f>VLOOKUP(A191,'Parameters Summary'!$B$2:$AB$826,16,FALSE)</f>
        <v>1.2099999999999999E-5</v>
      </c>
      <c r="W191" s="379" t="str">
        <f>VLOOKUP(A191,'Parameters Summary'!$B$2:$AB$826,17,FALSE)</f>
        <v>WATER9 (U.S. EPA, 2001)</v>
      </c>
      <c r="X191" s="290">
        <v>353.15</v>
      </c>
      <c r="Y191" s="96" t="s">
        <v>553</v>
      </c>
      <c r="Z191" s="96">
        <v>529.72499999999991</v>
      </c>
      <c r="AA191" s="96" t="s">
        <v>2107</v>
      </c>
      <c r="AB191" s="96" t="s">
        <v>1651</v>
      </c>
      <c r="AC191" s="96"/>
      <c r="AD191" s="93">
        <f>VLOOKUP(A191,'Parameters Summary'!$B$2:$AB$826,20,FALSE)</f>
        <v>16000</v>
      </c>
      <c r="AE191" s="97" t="str">
        <f>VLOOKUP(A191,'Parameters Summary'!$B$2:$AB$826,21,FALSE)</f>
        <v/>
      </c>
      <c r="AF191" s="380"/>
      <c r="AG191" s="97"/>
      <c r="AH191" s="92"/>
      <c r="AI191" s="94"/>
      <c r="AJ191" s="330"/>
      <c r="AL191" s="81"/>
    </row>
    <row r="192" spans="1:38" ht="12.75" customHeight="1">
      <c r="A192" s="96" t="s">
        <v>778</v>
      </c>
      <c r="B192" s="96" t="s">
        <v>1055</v>
      </c>
      <c r="C192" s="96" t="str">
        <f t="shared" si="14"/>
        <v>No</v>
      </c>
      <c r="D192" s="96" t="str">
        <f>VLOOKUP(A192,'Tox Summary'!$O$3:$R$824,3,FALSE)</f>
        <v>Yes</v>
      </c>
      <c r="E192" s="97">
        <f>VLOOKUP(A192,'Parameters Summary'!$B$2:$AB$826,4,FALSE)</f>
        <v>63.545999999999999</v>
      </c>
      <c r="F192" s="97" t="str">
        <f>VLOOKUP(A192,'Parameters Summary'!$B$2:$AB$826,5,FALSE)</f>
        <v>PHYSPROP</v>
      </c>
      <c r="G192" s="93">
        <f>VLOOKUP(A192,'Parameters Summary'!$B$2:$AB$826,9,FALSE)</f>
        <v>0</v>
      </c>
      <c r="H192" s="93" t="str">
        <f>VLOOKUP(A192,'Parameters Summary'!$B$2:$AB$826,10,FALSE)</f>
        <v>NIOSH</v>
      </c>
      <c r="I192" s="93" t="s">
        <v>2440</v>
      </c>
      <c r="J192" s="97" t="str">
        <f>VLOOKUP(A192,'Parameters Summary'!$B$2:$AB$826,25,FALSE)</f>
        <v/>
      </c>
      <c r="K192" s="97">
        <f>VLOOKUP(A192,'Tox Summary'!$O$3:$S$827,2,FALSE)</f>
        <v>1300</v>
      </c>
      <c r="L192" s="93" t="str">
        <f>VLOOKUP(A192,'Parameters Summary'!$B$2:$AB$826,7,FALSE)</f>
        <v xml:space="preserve"> </v>
      </c>
      <c r="M192" s="93" t="str">
        <f>VLOOKUP(A192,'Parameters Summary'!$B$2:$AB$826,8,FALSE)</f>
        <v/>
      </c>
      <c r="N192" s="91" t="str">
        <f>VLOOKUP(A192,'Parameters Summary'!$B$2:$AB$826,6,FALSE)</f>
        <v xml:space="preserve"> </v>
      </c>
      <c r="O192" s="91" t="str">
        <f t="shared" si="12"/>
        <v/>
      </c>
      <c r="P192" s="91" t="str">
        <f t="shared" si="15"/>
        <v xml:space="preserve"> </v>
      </c>
      <c r="Q192" s="91" t="str">
        <f t="shared" si="13"/>
        <v/>
      </c>
      <c r="R192" s="91" t="str">
        <f t="shared" si="16"/>
        <v xml:space="preserve"> </v>
      </c>
      <c r="S192" s="91" t="str">
        <f t="shared" si="17"/>
        <v/>
      </c>
      <c r="T192" s="93" t="str">
        <f>VLOOKUP(A192,'Parameters Summary'!$B$2:$AB$826,15,FALSE)</f>
        <v xml:space="preserve"> </v>
      </c>
      <c r="U192" s="93" t="str">
        <f>VLOOKUP(A192,'Parameters Summary'!$B$2:$AB$826,17,FALSE)</f>
        <v/>
      </c>
      <c r="V192" s="93" t="str">
        <f>VLOOKUP(A192,'Parameters Summary'!$B$2:$AB$826,16,FALSE)</f>
        <v xml:space="preserve"> </v>
      </c>
      <c r="W192" s="379" t="str">
        <f>VLOOKUP(A192,'Parameters Summary'!$B$2:$AB$826,17,FALSE)</f>
        <v/>
      </c>
      <c r="X192" s="290">
        <v>2868.15</v>
      </c>
      <c r="Y192" s="96" t="s">
        <v>553</v>
      </c>
      <c r="Z192" s="96">
        <v>4302.2250000000004</v>
      </c>
      <c r="AA192" s="96" t="s">
        <v>2220</v>
      </c>
      <c r="AB192" s="96" t="s">
        <v>1651</v>
      </c>
      <c r="AC192" s="96"/>
      <c r="AD192" s="93" t="str">
        <f>VLOOKUP(A192,'Parameters Summary'!$B$2:$AB$826,20,FALSE)</f>
        <v xml:space="preserve"> </v>
      </c>
      <c r="AE192" s="97" t="str">
        <f>VLOOKUP(A192,'Parameters Summary'!$B$2:$AB$826,21,FALSE)</f>
        <v/>
      </c>
      <c r="AF192" s="97"/>
      <c r="AG192" s="94"/>
      <c r="AH192" s="92"/>
      <c r="AI192" s="96"/>
      <c r="AJ192" s="330"/>
      <c r="AL192" s="81"/>
    </row>
    <row r="193" spans="1:38" ht="12.75" customHeight="1">
      <c r="A193" s="96" t="s">
        <v>789</v>
      </c>
      <c r="B193" s="96" t="s">
        <v>2364</v>
      </c>
      <c r="C193" s="96" t="str">
        <f t="shared" si="14"/>
        <v>No</v>
      </c>
      <c r="D193" s="96" t="str">
        <f>VLOOKUP(A193,'Tox Summary'!$O$3:$R$824,3,FALSE)</f>
        <v>No</v>
      </c>
      <c r="E193" s="97">
        <f>VLOOKUP(A193,'Parameters Summary'!$B$2:$AB$826,4,FALSE)</f>
        <v>89.563999999999993</v>
      </c>
      <c r="F193" s="97" t="str">
        <f>VLOOKUP(A193,'Parameters Summary'!$B$2:$AB$826,5,FALSE)</f>
        <v>PHYSPROP</v>
      </c>
      <c r="G193" s="93" t="s">
        <v>2439</v>
      </c>
      <c r="H193" s="93" t="str">
        <f>VLOOKUP(A193,'Parameters Summary'!$B$2:$AB$826,10,FALSE)</f>
        <v/>
      </c>
      <c r="I193" s="93" t="s">
        <v>2440</v>
      </c>
      <c r="J193" s="97" t="str">
        <f>VLOOKUP(A193,'Parameters Summary'!$B$2:$AB$826,25,FALSE)</f>
        <v/>
      </c>
      <c r="K193" s="97" t="str">
        <f>VLOOKUP(A193,'Tox Summary'!$O$3:$S$827,2,FALSE)</f>
        <v/>
      </c>
      <c r="L193" s="93" t="s">
        <v>2298</v>
      </c>
      <c r="M193" s="93" t="str">
        <f>VLOOKUP(A193,'Parameters Summary'!$B$2:$AB$826,8,FALSE)</f>
        <v/>
      </c>
      <c r="N193" s="91" t="str">
        <f>VLOOKUP(A193,'Parameters Summary'!$B$2:$AB$826,6,FALSE)</f>
        <v xml:space="preserve"> </v>
      </c>
      <c r="O193" s="91" t="str">
        <f t="shared" si="12"/>
        <v/>
      </c>
      <c r="P193" s="91" t="str">
        <f t="shared" si="15"/>
        <v xml:space="preserve"> </v>
      </c>
      <c r="Q193" s="91" t="str">
        <f t="shared" si="13"/>
        <v/>
      </c>
      <c r="R193" s="91" t="str">
        <f t="shared" si="16"/>
        <v xml:space="preserve"> </v>
      </c>
      <c r="S193" s="91" t="str">
        <f t="shared" si="17"/>
        <v/>
      </c>
      <c r="T193" s="93" t="str">
        <f>VLOOKUP(A193,'Parameters Summary'!$B$2:$AB$826,15,FALSE)</f>
        <v xml:space="preserve"> </v>
      </c>
      <c r="U193" s="93" t="str">
        <f>VLOOKUP(A193,'Parameters Summary'!$B$2:$AB$826,17,FALSE)</f>
        <v/>
      </c>
      <c r="V193" s="93" t="str">
        <f>VLOOKUP(A193,'Parameters Summary'!$B$2:$AB$826,16,FALSE)</f>
        <v xml:space="preserve"> </v>
      </c>
      <c r="W193" s="379" t="str">
        <f>VLOOKUP(A193,'Parameters Summary'!$B$2:$AB$826,17,FALSE)</f>
        <v/>
      </c>
      <c r="X193" s="347"/>
      <c r="Y193" s="96"/>
      <c r="Z193" s="96" t="s">
        <v>1653</v>
      </c>
      <c r="AA193" s="96"/>
      <c r="AB193" s="96" t="s">
        <v>1651</v>
      </c>
      <c r="AC193" s="96"/>
      <c r="AD193" s="93" t="str">
        <f>VLOOKUP(A193,'Parameters Summary'!$B$2:$AB$826,20,FALSE)</f>
        <v xml:space="preserve"> </v>
      </c>
      <c r="AE193" s="97" t="str">
        <f>VLOOKUP(A193,'Parameters Summary'!$B$2:$AB$826,21,FALSE)</f>
        <v/>
      </c>
      <c r="AF193" s="97"/>
      <c r="AG193" s="94"/>
      <c r="AH193" s="92"/>
      <c r="AI193" s="96"/>
      <c r="AJ193" s="330"/>
      <c r="AL193" s="81"/>
    </row>
    <row r="194" spans="1:38" ht="12.75" customHeight="1">
      <c r="A194" s="96" t="s">
        <v>779</v>
      </c>
      <c r="B194" s="96" t="s">
        <v>1056</v>
      </c>
      <c r="C194" s="96" t="str">
        <f t="shared" si="14"/>
        <v>No</v>
      </c>
      <c r="D194" s="96" t="str">
        <f>VLOOKUP(A194,'Tox Summary'!$O$3:$R$824,3,FALSE)</f>
        <v>No</v>
      </c>
      <c r="E194" s="97">
        <f>VLOOKUP(A194,'Parameters Summary'!$B$2:$AB$826,4,FALSE)</f>
        <v>108.14</v>
      </c>
      <c r="F194" s="97" t="str">
        <f>VLOOKUP(A194,'Parameters Summary'!$B$2:$AB$826,5,FALSE)</f>
        <v>PHYSPROP</v>
      </c>
      <c r="G194" s="93">
        <f>VLOOKUP(A194,'Parameters Summary'!$B$2:$AB$826,9,FALSE)</f>
        <v>0.11</v>
      </c>
      <c r="H194" s="93" t="str">
        <f>VLOOKUP(A194,'Parameters Summary'!$B$2:$AB$826,10,FALSE)</f>
        <v>PHYSPROP</v>
      </c>
      <c r="I194" s="93">
        <f>VLOOKUP(A194,'Parameters Summary'!$B$2:$AB$826,24,FALSE)</f>
        <v>22700</v>
      </c>
      <c r="J194" s="97" t="str">
        <f>VLOOKUP(A194,'Parameters Summary'!$B$2:$AB$826,25,FALSE)</f>
        <v>PHYSPROP</v>
      </c>
      <c r="K194" s="97" t="str">
        <f>VLOOKUP(A194,'Tox Summary'!$O$3:$S$827,2,FALSE)</f>
        <v/>
      </c>
      <c r="L194" s="93">
        <f>VLOOKUP(A194,'Parameters Summary'!$B$2:$AB$826,7,FALSE)</f>
        <v>8.5600000000000004E-7</v>
      </c>
      <c r="M194" s="93" t="str">
        <f>VLOOKUP(A194,'Parameters Summary'!$B$2:$AB$826,8,FALSE)</f>
        <v>PHYSPROP</v>
      </c>
      <c r="N194" s="91">
        <f>VLOOKUP(A194,'Parameters Summary'!$B$2:$AB$826,6,FALSE)</f>
        <v>3.4999999999999997E-5</v>
      </c>
      <c r="O194" s="91" t="str">
        <f t="shared" si="12"/>
        <v/>
      </c>
      <c r="P194" s="91">
        <f t="shared" si="15"/>
        <v>3.4999999999999997E-5</v>
      </c>
      <c r="Q194" s="91" t="str">
        <f t="shared" si="13"/>
        <v/>
      </c>
      <c r="R194" s="91">
        <f t="shared" si="16"/>
        <v>3.4999999999999997E-5</v>
      </c>
      <c r="S194" s="91" t="str">
        <f t="shared" si="17"/>
        <v/>
      </c>
      <c r="T194" s="93">
        <f>VLOOKUP(A194,'Parameters Summary'!$B$2:$AB$826,15,FALSE)</f>
        <v>7.2872099999999995E-2</v>
      </c>
      <c r="U194" s="93" t="str">
        <f>VLOOKUP(A194,'Parameters Summary'!$B$2:$AB$826,17,FALSE)</f>
        <v>WATER9 (U.S. EPA, 2001)</v>
      </c>
      <c r="V194" s="93">
        <f>VLOOKUP(A194,'Parameters Summary'!$B$2:$AB$826,16,FALSE)</f>
        <v>9.3232000000000008E-6</v>
      </c>
      <c r="W194" s="379" t="str">
        <f>VLOOKUP(A194,'Parameters Summary'!$B$2:$AB$826,17,FALSE)</f>
        <v>WATER9 (U.S. EPA, 2001)</v>
      </c>
      <c r="X194" s="290">
        <v>475.34999999999997</v>
      </c>
      <c r="Y194" s="96" t="s">
        <v>553</v>
      </c>
      <c r="Z194" s="96">
        <v>713.02499999999998</v>
      </c>
      <c r="AA194" s="96" t="s">
        <v>2220</v>
      </c>
      <c r="AB194" s="96" t="s">
        <v>1651</v>
      </c>
      <c r="AC194" s="96"/>
      <c r="AD194" s="93">
        <f>VLOOKUP(A194,'Parameters Summary'!$B$2:$AB$826,20,FALSE)</f>
        <v>300.39999999999998</v>
      </c>
      <c r="AE194" s="97" t="str">
        <f>VLOOKUP(A194,'Parameters Summary'!$B$2:$AB$826,21,FALSE)</f>
        <v>EPI</v>
      </c>
      <c r="AF194" s="97"/>
      <c r="AG194" s="94"/>
      <c r="AH194" s="92"/>
      <c r="AI194" s="96" t="s">
        <v>2133</v>
      </c>
      <c r="AJ194" s="330"/>
      <c r="AL194" s="81"/>
    </row>
    <row r="195" spans="1:38" ht="12.75" customHeight="1">
      <c r="A195" s="96" t="s">
        <v>780</v>
      </c>
      <c r="B195" s="96" t="s">
        <v>1057</v>
      </c>
      <c r="C195" s="96" t="str">
        <f t="shared" si="14"/>
        <v>No</v>
      </c>
      <c r="D195" s="96" t="str">
        <f>VLOOKUP(A195,'Tox Summary'!$O$3:$R$824,3,FALSE)</f>
        <v>Yes</v>
      </c>
      <c r="E195" s="97">
        <f>VLOOKUP(A195,'Parameters Summary'!$B$2:$AB$826,4,FALSE)</f>
        <v>108.14</v>
      </c>
      <c r="F195" s="97" t="str">
        <f>VLOOKUP(A195,'Parameters Summary'!$B$2:$AB$826,5,FALSE)</f>
        <v>PHYSPROP</v>
      </c>
      <c r="G195" s="93">
        <f>VLOOKUP(A195,'Parameters Summary'!$B$2:$AB$826,9,FALSE)</f>
        <v>0.29899999999999999</v>
      </c>
      <c r="H195" s="93" t="str">
        <f>VLOOKUP(A195,'Parameters Summary'!$B$2:$AB$826,10,FALSE)</f>
        <v>EPI</v>
      </c>
      <c r="I195" s="93">
        <f>VLOOKUP(A195,'Parameters Summary'!$B$2:$AB$826,24,FALSE)</f>
        <v>25900</v>
      </c>
      <c r="J195" s="97" t="str">
        <f>VLOOKUP(A195,'Parameters Summary'!$B$2:$AB$826,25,FALSE)</f>
        <v>PHYSPROP</v>
      </c>
      <c r="K195" s="97" t="str">
        <f>VLOOKUP(A195,'Tox Summary'!$O$3:$S$827,2,FALSE)</f>
        <v/>
      </c>
      <c r="L195" s="93">
        <f>VLOOKUP(A195,'Parameters Summary'!$B$2:$AB$826,7,FALSE)</f>
        <v>1.1999999999999999E-6</v>
      </c>
      <c r="M195" s="93" t="str">
        <f>VLOOKUP(A195,'Parameters Summary'!$B$2:$AB$826,8,FALSE)</f>
        <v>PHYSPROP</v>
      </c>
      <c r="N195" s="91">
        <f>VLOOKUP(A195,'Parameters Summary'!$B$2:$AB$826,6,FALSE)</f>
        <v>4.9100000000000001E-5</v>
      </c>
      <c r="O195" s="91" t="str">
        <f t="shared" si="12"/>
        <v/>
      </c>
      <c r="P195" s="91">
        <f t="shared" si="15"/>
        <v>4.9100000000000001E-5</v>
      </c>
      <c r="Q195" s="91" t="str">
        <f t="shared" si="13"/>
        <v/>
      </c>
      <c r="R195" s="91">
        <f t="shared" si="16"/>
        <v>4.9100000000000001E-5</v>
      </c>
      <c r="S195" s="91" t="str">
        <f t="shared" si="17"/>
        <v/>
      </c>
      <c r="T195" s="93">
        <f>VLOOKUP(A195,'Parameters Summary'!$B$2:$AB$826,15,FALSE)</f>
        <v>7.2834999999999997E-2</v>
      </c>
      <c r="U195" s="93" t="str">
        <f>VLOOKUP(A195,'Parameters Summary'!$B$2:$AB$826,17,FALSE)</f>
        <v>WATER9 (U.S. EPA, 2001)</v>
      </c>
      <c r="V195" s="93">
        <f>VLOOKUP(A195,'Parameters Summary'!$B$2:$AB$826,16,FALSE)</f>
        <v>9.3168000000000003E-6</v>
      </c>
      <c r="W195" s="379" t="str">
        <f>VLOOKUP(A195,'Parameters Summary'!$B$2:$AB$826,17,FALSE)</f>
        <v>WATER9 (U.S. EPA, 2001)</v>
      </c>
      <c r="X195" s="290">
        <v>464.15</v>
      </c>
      <c r="Y195" s="96" t="s">
        <v>553</v>
      </c>
      <c r="Z195" s="96">
        <v>696.22499999999991</v>
      </c>
      <c r="AA195" s="96" t="s">
        <v>2220</v>
      </c>
      <c r="AB195" s="96" t="s">
        <v>1651</v>
      </c>
      <c r="AC195" s="96"/>
      <c r="AD195" s="93">
        <f>VLOOKUP(A195,'Parameters Summary'!$B$2:$AB$826,20,FALSE)</f>
        <v>306.5</v>
      </c>
      <c r="AE195" s="97" t="str">
        <f>VLOOKUP(A195,'Parameters Summary'!$B$2:$AB$826,21,FALSE)</f>
        <v>EPI</v>
      </c>
      <c r="AF195" s="97"/>
      <c r="AG195" s="94"/>
      <c r="AH195" s="92"/>
      <c r="AI195" s="96" t="s">
        <v>2134</v>
      </c>
      <c r="AJ195" s="330"/>
      <c r="AL195" s="81"/>
    </row>
    <row r="196" spans="1:38" ht="12.75" customHeight="1">
      <c r="A196" s="96" t="s">
        <v>781</v>
      </c>
      <c r="B196" s="96" t="s">
        <v>1058</v>
      </c>
      <c r="C196" s="96" t="str">
        <f t="shared" si="14"/>
        <v>No</v>
      </c>
      <c r="D196" s="96" t="str">
        <f>VLOOKUP(A196,'Tox Summary'!$O$3:$R$824,3,FALSE)</f>
        <v>No</v>
      </c>
      <c r="E196" s="97">
        <f>VLOOKUP(A196,'Parameters Summary'!$B$2:$AB$826,4,FALSE)</f>
        <v>108.14</v>
      </c>
      <c r="F196" s="97" t="str">
        <f>VLOOKUP(A196,'Parameters Summary'!$B$2:$AB$826,5,FALSE)</f>
        <v>PHYSPROP</v>
      </c>
      <c r="G196" s="93">
        <f>VLOOKUP(A196,'Parameters Summary'!$B$2:$AB$826,9,FALSE)</f>
        <v>0.11</v>
      </c>
      <c r="H196" s="93" t="str">
        <f>VLOOKUP(A196,'Parameters Summary'!$B$2:$AB$826,10,FALSE)</f>
        <v>PHYSPROP</v>
      </c>
      <c r="I196" s="93">
        <f>VLOOKUP(A196,'Parameters Summary'!$B$2:$AB$826,24,FALSE)</f>
        <v>21500</v>
      </c>
      <c r="J196" s="97" t="str">
        <f>VLOOKUP(A196,'Parameters Summary'!$B$2:$AB$826,25,FALSE)</f>
        <v>PHYSPROP</v>
      </c>
      <c r="K196" s="97" t="str">
        <f>VLOOKUP(A196,'Tox Summary'!$O$3:$S$827,2,FALSE)</f>
        <v/>
      </c>
      <c r="L196" s="93">
        <f>VLOOKUP(A196,'Parameters Summary'!$B$2:$AB$826,7,FALSE)</f>
        <v>9.9999999999999995E-7</v>
      </c>
      <c r="M196" s="93" t="str">
        <f>VLOOKUP(A196,'Parameters Summary'!$B$2:$AB$826,8,FALSE)</f>
        <v>PHYSPROP</v>
      </c>
      <c r="N196" s="91">
        <f>VLOOKUP(A196,'Parameters Summary'!$B$2:$AB$826,6,FALSE)</f>
        <v>4.0899999999999998E-5</v>
      </c>
      <c r="O196" s="91" t="str">
        <f t="shared" si="12"/>
        <v/>
      </c>
      <c r="P196" s="91">
        <f t="shared" si="15"/>
        <v>4.0899999999999998E-5</v>
      </c>
      <c r="Q196" s="91" t="str">
        <f t="shared" si="13"/>
        <v/>
      </c>
      <c r="R196" s="91">
        <f t="shared" si="16"/>
        <v>4.0899999999999998E-5</v>
      </c>
      <c r="S196" s="91" t="str">
        <f t="shared" si="17"/>
        <v/>
      </c>
      <c r="T196" s="93">
        <f>VLOOKUP(A196,'Parameters Summary'!$B$2:$AB$826,15,FALSE)</f>
        <v>7.2393799999999994E-2</v>
      </c>
      <c r="U196" s="93" t="str">
        <f>VLOOKUP(A196,'Parameters Summary'!$B$2:$AB$826,17,FALSE)</f>
        <v>WATER9 (U.S. EPA, 2001)</v>
      </c>
      <c r="V196" s="93">
        <f>VLOOKUP(A196,'Parameters Summary'!$B$2:$AB$826,16,FALSE)</f>
        <v>9.2397000000000007E-6</v>
      </c>
      <c r="W196" s="379" t="str">
        <f>VLOOKUP(A196,'Parameters Summary'!$B$2:$AB$826,17,FALSE)</f>
        <v>WATER9 (U.S. EPA, 2001)</v>
      </c>
      <c r="X196" s="290">
        <v>475.04999999999995</v>
      </c>
      <c r="Y196" s="96" t="s">
        <v>553</v>
      </c>
      <c r="Z196" s="96">
        <v>712.57499999999993</v>
      </c>
      <c r="AA196" s="96" t="s">
        <v>2220</v>
      </c>
      <c r="AB196" s="96" t="s">
        <v>1651</v>
      </c>
      <c r="AC196" s="96"/>
      <c r="AD196" s="93">
        <f>VLOOKUP(A196,'Parameters Summary'!$B$2:$AB$826,20,FALSE)</f>
        <v>300.39999999999998</v>
      </c>
      <c r="AE196" s="97" t="str">
        <f>VLOOKUP(A196,'Parameters Summary'!$B$2:$AB$826,21,FALSE)</f>
        <v>EPI</v>
      </c>
      <c r="AF196" s="97"/>
      <c r="AG196" s="94"/>
      <c r="AH196" s="92"/>
      <c r="AI196" s="96" t="s">
        <v>2135</v>
      </c>
      <c r="AJ196" s="330"/>
      <c r="AL196" s="81"/>
    </row>
    <row r="197" spans="1:38" ht="12.75" customHeight="1">
      <c r="A197" s="96" t="s">
        <v>782</v>
      </c>
      <c r="B197" s="96" t="s">
        <v>573</v>
      </c>
      <c r="C197" s="96" t="str">
        <f t="shared" si="14"/>
        <v>No</v>
      </c>
      <c r="D197" s="96" t="str">
        <f>VLOOKUP(A197,'Tox Summary'!$O$3:$R$824,3,FALSE)</f>
        <v>Yes</v>
      </c>
      <c r="E197" s="97">
        <f>VLOOKUP(A197,'Parameters Summary'!$B$2:$AB$826,4,FALSE)</f>
        <v>142.59</v>
      </c>
      <c r="F197" s="97" t="str">
        <f>VLOOKUP(A197,'Parameters Summary'!$B$2:$AB$826,5,FALSE)</f>
        <v>PHYSPROP</v>
      </c>
      <c r="G197" s="93">
        <f>VLOOKUP(A197,'Parameters Summary'!$B$2:$AB$826,9,FALSE)</f>
        <v>0.05</v>
      </c>
      <c r="H197" s="93" t="str">
        <f>VLOOKUP(A197,'Parameters Summary'!$B$2:$AB$826,10,FALSE)</f>
        <v>PHYSPROP</v>
      </c>
      <c r="I197" s="93">
        <f>VLOOKUP(A197,'Parameters Summary'!$B$2:$AB$826,24,FALSE)</f>
        <v>3834</v>
      </c>
      <c r="J197" s="97" t="str">
        <f>VLOOKUP(A197,'Parameters Summary'!$B$2:$AB$826,25,FALSE)</f>
        <v>PHYSPROP</v>
      </c>
      <c r="K197" s="97" t="str">
        <f>VLOOKUP(A197,'Tox Summary'!$O$3:$S$827,2,FALSE)</f>
        <v/>
      </c>
      <c r="L197" s="93">
        <f>VLOOKUP(A197,'Parameters Summary'!$B$2:$AB$826,7,FALSE)</f>
        <v>2.4499999999999998E-6</v>
      </c>
      <c r="M197" s="93" t="str">
        <f>VLOOKUP(A197,'Parameters Summary'!$B$2:$AB$826,8,FALSE)</f>
        <v>EPI</v>
      </c>
      <c r="N197" s="91">
        <f>VLOOKUP(A197,'Parameters Summary'!$B$2:$AB$826,6,FALSE)</f>
        <v>1.002E-4</v>
      </c>
      <c r="O197" s="91" t="str">
        <f t="shared" si="12"/>
        <v/>
      </c>
      <c r="P197" s="91">
        <f t="shared" si="15"/>
        <v>1.002E-4</v>
      </c>
      <c r="Q197" s="91" t="str">
        <f t="shared" si="13"/>
        <v/>
      </c>
      <c r="R197" s="91">
        <f t="shared" si="16"/>
        <v>1.002E-4</v>
      </c>
      <c r="S197" s="91" t="str">
        <f t="shared" si="17"/>
        <v/>
      </c>
      <c r="T197" s="93">
        <f>VLOOKUP(A197,'Parameters Summary'!$B$2:$AB$826,15,FALSE)</f>
        <v>6.9613599999999998E-2</v>
      </c>
      <c r="U197" s="93" t="str">
        <f>VLOOKUP(A197,'Parameters Summary'!$B$2:$AB$826,17,FALSE)</f>
        <v>WATER9 (U.S. EPA, 2001)</v>
      </c>
      <c r="V197" s="93">
        <f>VLOOKUP(A197,'Parameters Summary'!$B$2:$AB$826,16,FALSE)</f>
        <v>8.1337999999999999E-6</v>
      </c>
      <c r="W197" s="379" t="str">
        <f>VLOOKUP(A197,'Parameters Summary'!$B$2:$AB$826,17,FALSE)</f>
        <v>WATER9 (U.S. EPA, 2001)</v>
      </c>
      <c r="X197" s="290">
        <v>508.15</v>
      </c>
      <c r="Y197" s="96" t="s">
        <v>553</v>
      </c>
      <c r="Z197" s="96">
        <v>762.22499999999991</v>
      </c>
      <c r="AA197" s="96" t="s">
        <v>2220</v>
      </c>
      <c r="AB197" s="96" t="s">
        <v>1651</v>
      </c>
      <c r="AC197" s="96"/>
      <c r="AD197" s="93">
        <f>VLOOKUP(A197,'Parameters Summary'!$B$2:$AB$826,20,FALSE)</f>
        <v>491.8</v>
      </c>
      <c r="AE197" s="97" t="str">
        <f>VLOOKUP(A197,'Parameters Summary'!$B$2:$AB$826,21,FALSE)</f>
        <v>EPI</v>
      </c>
      <c r="AF197" s="97"/>
      <c r="AG197" s="94"/>
      <c r="AH197" s="92"/>
      <c r="AI197" s="94" t="s">
        <v>2136</v>
      </c>
      <c r="AJ197" s="330"/>
      <c r="AL197" s="81"/>
    </row>
    <row r="198" spans="1:38" ht="12.75" customHeight="1">
      <c r="A198" s="96" t="s">
        <v>783</v>
      </c>
      <c r="B198" s="96" t="s">
        <v>574</v>
      </c>
      <c r="C198" s="96" t="str">
        <f t="shared" si="14"/>
        <v>No</v>
      </c>
      <c r="D198" s="96" t="str">
        <f>VLOOKUP(A198,'Tox Summary'!$O$3:$R$824,3,FALSE)</f>
        <v>Yes</v>
      </c>
      <c r="E198" s="97">
        <f>VLOOKUP(A198,'Parameters Summary'!$B$2:$AB$826,4,FALSE)</f>
        <v>324.42</v>
      </c>
      <c r="F198" s="97" t="str">
        <f>VLOOKUP(A198,'Parameters Summary'!$B$2:$AB$826,5,FALSE)</f>
        <v>PHYSPROP</v>
      </c>
      <c r="G198" s="93">
        <f>VLOOKUP(A198,'Parameters Summary'!$B$2:$AB$826,9,FALSE)</f>
        <v>0.17</v>
      </c>
      <c r="H198" s="93" t="str">
        <f>VLOOKUP(A198,'Parameters Summary'!$B$2:$AB$826,10,FALSE)</f>
        <v>PHYSPROP</v>
      </c>
      <c r="I198" s="93">
        <f>VLOOKUP(A198,'Parameters Summary'!$B$2:$AB$826,24,FALSE)</f>
        <v>9066</v>
      </c>
      <c r="J198" s="97" t="str">
        <f>VLOOKUP(A198,'Parameters Summary'!$B$2:$AB$826,25,FALSE)</f>
        <v>PHYSPROP</v>
      </c>
      <c r="K198" s="97" t="str">
        <f>VLOOKUP(A198,'Tox Summary'!$O$3:$S$827,2,FALSE)</f>
        <v/>
      </c>
      <c r="L198" s="93">
        <f>VLOOKUP(A198,'Parameters Summary'!$B$2:$AB$826,7,FALSE)</f>
        <v>6.1900000000000002E-7</v>
      </c>
      <c r="M198" s="93" t="str">
        <f>VLOOKUP(A198,'Parameters Summary'!$B$2:$AB$826,8,FALSE)</f>
        <v>PHYSPROP</v>
      </c>
      <c r="N198" s="91">
        <f>VLOOKUP(A198,'Parameters Summary'!$B$2:$AB$826,6,FALSE)</f>
        <v>2.5299999999999998E-5</v>
      </c>
      <c r="O198" s="91" t="str">
        <f t="shared" si="12"/>
        <v/>
      </c>
      <c r="P198" s="91">
        <f t="shared" si="15"/>
        <v>2.5299999999999998E-5</v>
      </c>
      <c r="Q198" s="91" t="str">
        <f t="shared" si="13"/>
        <v/>
      </c>
      <c r="R198" s="91">
        <f t="shared" si="16"/>
        <v>2.5299999999999998E-5</v>
      </c>
      <c r="S198" s="91" t="str">
        <f t="shared" si="17"/>
        <v/>
      </c>
      <c r="T198" s="93">
        <f>VLOOKUP(A198,'Parameters Summary'!$B$2:$AB$826,15,FALSE)</f>
        <v>4.0242199999999999E-2</v>
      </c>
      <c r="U198" s="93" t="str">
        <f>VLOOKUP(A198,'Parameters Summary'!$B$2:$AB$826,17,FALSE)</f>
        <v>WATER9 (U.S. EPA, 2001)</v>
      </c>
      <c r="V198" s="93">
        <f>VLOOKUP(A198,'Parameters Summary'!$B$2:$AB$826,16,FALSE)</f>
        <v>4.702E-6</v>
      </c>
      <c r="W198" s="379" t="str">
        <f>VLOOKUP(A198,'Parameters Summary'!$B$2:$AB$826,17,FALSE)</f>
        <v>WATER9 (U.S. EPA, 2001)</v>
      </c>
      <c r="X198" s="347"/>
      <c r="Y198" s="96"/>
      <c r="Z198" s="96" t="s">
        <v>1653</v>
      </c>
      <c r="AA198" s="96"/>
      <c r="AB198" s="96" t="s">
        <v>1651</v>
      </c>
      <c r="AC198" s="96"/>
      <c r="AD198" s="93">
        <f>VLOOKUP(A198,'Parameters Summary'!$B$2:$AB$826,20,FALSE)</f>
        <v>306.5</v>
      </c>
      <c r="AE198" s="97" t="str">
        <f>VLOOKUP(A198,'Parameters Summary'!$B$2:$AB$826,21,FALSE)</f>
        <v>EPI</v>
      </c>
      <c r="AF198" s="97"/>
      <c r="AG198" s="94"/>
      <c r="AH198" s="92"/>
      <c r="AI198" s="94" t="s">
        <v>2137</v>
      </c>
      <c r="AJ198" s="330"/>
      <c r="AL198" s="81"/>
    </row>
    <row r="199" spans="1:38" ht="12.75" customHeight="1">
      <c r="A199" s="95" t="s">
        <v>784</v>
      </c>
      <c r="B199" s="96" t="s">
        <v>1059</v>
      </c>
      <c r="C199" s="96" t="str">
        <f t="shared" si="14"/>
        <v>Yes</v>
      </c>
      <c r="D199" s="96" t="str">
        <f>VLOOKUP(A199,'Tox Summary'!$O$3:$R$824,3,FALSE)</f>
        <v>No</v>
      </c>
      <c r="E199" s="97">
        <f>VLOOKUP(A199,'Parameters Summary'!$B$2:$AB$826,4,FALSE)</f>
        <v>70.091999999999999</v>
      </c>
      <c r="F199" s="97" t="str">
        <f>VLOOKUP(A199,'Parameters Summary'!$B$2:$AB$826,5,FALSE)</f>
        <v>PHYSPROP</v>
      </c>
      <c r="G199" s="93">
        <f>VLOOKUP(A199,'Parameters Summary'!$B$2:$AB$826,9,FALSE)</f>
        <v>30</v>
      </c>
      <c r="H199" s="93" t="str">
        <f>VLOOKUP(A199,'Parameters Summary'!$B$2:$AB$826,10,FALSE)</f>
        <v>PHYSPROP</v>
      </c>
      <c r="I199" s="93">
        <f>VLOOKUP(A199,'Parameters Summary'!$B$2:$AB$826,24,FALSE)</f>
        <v>150000</v>
      </c>
      <c r="J199" s="97" t="str">
        <f>VLOOKUP(A199,'Parameters Summary'!$B$2:$AB$826,25,FALSE)</f>
        <v>PHYSPROP</v>
      </c>
      <c r="K199" s="97" t="str">
        <f>VLOOKUP(A199,'Tox Summary'!$O$3:$S$827,2,FALSE)</f>
        <v/>
      </c>
      <c r="L199" s="93">
        <f>VLOOKUP(A199,'Parameters Summary'!$B$2:$AB$826,7,FALSE)</f>
        <v>1.9400000000000001E-5</v>
      </c>
      <c r="M199" s="93" t="str">
        <f>VLOOKUP(A199,'Parameters Summary'!$B$2:$AB$826,8,FALSE)</f>
        <v>PHYSPROP</v>
      </c>
      <c r="N199" s="91">
        <f>VLOOKUP(A199,'Parameters Summary'!$B$2:$AB$826,6,FALSE)</f>
        <v>7.9310000000000003E-4</v>
      </c>
      <c r="O199" s="91">
        <f t="shared" si="12"/>
        <v>7.9310000000000003E-4</v>
      </c>
      <c r="P199" s="91">
        <f t="shared" si="15"/>
        <v>7.9310000000000003E-4</v>
      </c>
      <c r="Q199" s="91">
        <f t="shared" si="13"/>
        <v>7.9310000000000003E-4</v>
      </c>
      <c r="R199" s="91">
        <f t="shared" si="16"/>
        <v>7.9310000000000003E-4</v>
      </c>
      <c r="S199" s="91">
        <f t="shared" si="17"/>
        <v>113146962.10338022</v>
      </c>
      <c r="T199" s="93">
        <f>VLOOKUP(A199,'Parameters Summary'!$B$2:$AB$826,15,FALSE)</f>
        <v>9.5923499999999995E-2</v>
      </c>
      <c r="U199" s="93" t="str">
        <f>VLOOKUP(A199,'Parameters Summary'!$B$2:$AB$826,17,FALSE)</f>
        <v>WATER9 (U.S. EPA, 2001)</v>
      </c>
      <c r="V199" s="93">
        <f>VLOOKUP(A199,'Parameters Summary'!$B$2:$AB$826,16,FALSE)</f>
        <v>1.08E-5</v>
      </c>
      <c r="W199" s="379" t="str">
        <f>VLOOKUP(A199,'Parameters Summary'!$B$2:$AB$826,17,FALSE)</f>
        <v>WATER9 (U.S. EPA, 2001)</v>
      </c>
      <c r="X199" s="290">
        <v>377</v>
      </c>
      <c r="Y199" s="96" t="s">
        <v>553</v>
      </c>
      <c r="Z199" s="96">
        <v>568</v>
      </c>
      <c r="AA199" s="96" t="s">
        <v>2224</v>
      </c>
      <c r="AB199" s="96">
        <v>8.6199999999999992</v>
      </c>
      <c r="AC199" s="96" t="s">
        <v>2223</v>
      </c>
      <c r="AD199" s="93">
        <f>VLOOKUP(A199,'Parameters Summary'!$B$2:$AB$826,20,FALSE)</f>
        <v>1.7929999999999999</v>
      </c>
      <c r="AE199" s="97" t="str">
        <f>VLOOKUP(A199,'Parameters Summary'!$B$2:$AB$826,21,FALSE)</f>
        <v>EPI</v>
      </c>
      <c r="AF199" s="380">
        <v>2.1</v>
      </c>
      <c r="AG199" s="97" t="s">
        <v>302</v>
      </c>
      <c r="AH199" s="92"/>
      <c r="AI199" s="264" t="s">
        <v>2138</v>
      </c>
      <c r="AJ199" s="331"/>
      <c r="AL199" s="81"/>
    </row>
    <row r="200" spans="1:38" ht="12.75" customHeight="1">
      <c r="A200" s="95" t="s">
        <v>785</v>
      </c>
      <c r="B200" s="96" t="s">
        <v>1437</v>
      </c>
      <c r="C200" s="96" t="str">
        <f t="shared" si="14"/>
        <v>Yes</v>
      </c>
      <c r="D200" s="96" t="str">
        <f>VLOOKUP(A200,'Tox Summary'!$O$3:$R$824,3,FALSE)</f>
        <v>No</v>
      </c>
      <c r="E200" s="97">
        <f>VLOOKUP(A200,'Parameters Summary'!$B$2:$AB$826,4,FALSE)</f>
        <v>120.2</v>
      </c>
      <c r="F200" s="97" t="str">
        <f>VLOOKUP(A200,'Parameters Summary'!$B$2:$AB$826,5,FALSE)</f>
        <v>PHYSPROP</v>
      </c>
      <c r="G200" s="93">
        <f>VLOOKUP(A200,'Parameters Summary'!$B$2:$AB$826,9,FALSE)</f>
        <v>4.5</v>
      </c>
      <c r="H200" s="93" t="str">
        <f>VLOOKUP(A200,'Parameters Summary'!$B$2:$AB$826,10,FALSE)</f>
        <v>PHYSPROP</v>
      </c>
      <c r="I200" s="93">
        <f>VLOOKUP(A200,'Parameters Summary'!$B$2:$AB$826,24,FALSE)</f>
        <v>61.3</v>
      </c>
      <c r="J200" s="97" t="str">
        <f>VLOOKUP(A200,'Parameters Summary'!$B$2:$AB$826,25,FALSE)</f>
        <v>PHYSPROP</v>
      </c>
      <c r="K200" s="97" t="str">
        <f>VLOOKUP(A200,'Tox Summary'!$O$3:$S$827,2,FALSE)</f>
        <v/>
      </c>
      <c r="L200" s="93">
        <f>VLOOKUP(A200,'Parameters Summary'!$B$2:$AB$826,7,FALSE)</f>
        <v>1.15E-2</v>
      </c>
      <c r="M200" s="93" t="str">
        <f>VLOOKUP(A200,'Parameters Summary'!$B$2:$AB$826,8,FALSE)</f>
        <v>PHYSPROP</v>
      </c>
      <c r="N200" s="91">
        <f>VLOOKUP(A200,'Parameters Summary'!$B$2:$AB$826,6,FALSE)</f>
        <v>0.4701554</v>
      </c>
      <c r="O200" s="91">
        <f t="shared" si="12"/>
        <v>0.4701554</v>
      </c>
      <c r="P200" s="91">
        <f t="shared" si="15"/>
        <v>0.4701554</v>
      </c>
      <c r="Q200" s="91">
        <f t="shared" si="13"/>
        <v>0.4701554</v>
      </c>
      <c r="R200" s="91">
        <f t="shared" si="16"/>
        <v>0.4701554</v>
      </c>
      <c r="S200" s="91">
        <f t="shared" si="17"/>
        <v>29105172.155509122</v>
      </c>
      <c r="T200" s="93">
        <f>VLOOKUP(A200,'Parameters Summary'!$B$2:$AB$826,15,FALSE)</f>
        <v>6.0304400000000001E-2</v>
      </c>
      <c r="U200" s="93" t="str">
        <f>VLOOKUP(A200,'Parameters Summary'!$B$2:$AB$826,17,FALSE)</f>
        <v>WATER9 (U.S. EPA, 2001)</v>
      </c>
      <c r="V200" s="93">
        <f>VLOOKUP(A200,'Parameters Summary'!$B$2:$AB$826,16,FALSE)</f>
        <v>7.8566000000000003E-6</v>
      </c>
      <c r="W200" s="379" t="str">
        <f>VLOOKUP(A200,'Parameters Summary'!$B$2:$AB$826,17,FALSE)</f>
        <v>WATER9 (U.S. EPA, 2001)</v>
      </c>
      <c r="X200" s="290">
        <v>425.4</v>
      </c>
      <c r="Y200" s="96" t="s">
        <v>553</v>
      </c>
      <c r="Z200" s="96">
        <v>631.1</v>
      </c>
      <c r="AA200" s="96" t="s">
        <v>2221</v>
      </c>
      <c r="AB200" s="96">
        <v>10335.299999999999</v>
      </c>
      <c r="AC200" s="96" t="s">
        <v>2215</v>
      </c>
      <c r="AD200" s="93">
        <f>VLOOKUP(A200,'Parameters Summary'!$B$2:$AB$826,20,FALSE)</f>
        <v>697.8</v>
      </c>
      <c r="AE200" s="97" t="str">
        <f>VLOOKUP(A200,'Parameters Summary'!$B$2:$AB$826,21,FALSE)</f>
        <v>EPI</v>
      </c>
      <c r="AF200" s="380">
        <v>0.9</v>
      </c>
      <c r="AG200" s="97" t="s">
        <v>302</v>
      </c>
      <c r="AH200" s="92"/>
      <c r="AI200" s="94" t="s">
        <v>2139</v>
      </c>
      <c r="AJ200" s="330"/>
      <c r="AL200" s="81"/>
    </row>
    <row r="201" spans="1:38" ht="12.75" customHeight="1">
      <c r="A201" s="96" t="s">
        <v>786</v>
      </c>
      <c r="B201" s="96" t="s">
        <v>575</v>
      </c>
      <c r="C201" s="96" t="str">
        <f t="shared" si="14"/>
        <v>No</v>
      </c>
      <c r="D201" s="96" t="str">
        <f>VLOOKUP(A201,'Tox Summary'!$O$3:$R$824,3,FALSE)</f>
        <v>No</v>
      </c>
      <c r="E201" s="97">
        <f>VLOOKUP(A201,'Parameters Summary'!$B$2:$AB$826,4,FALSE)</f>
        <v>155.16</v>
      </c>
      <c r="F201" s="97" t="str">
        <f>VLOOKUP(A201,'Parameters Summary'!$B$2:$AB$826,5,FALSE)</f>
        <v>PHYSPROP</v>
      </c>
      <c r="G201" s="93">
        <f>VLOOKUP(A201,'Parameters Summary'!$B$2:$AB$826,9,FALSE)</f>
        <v>6.2899999999999997E-5</v>
      </c>
      <c r="H201" s="93" t="str">
        <f>VLOOKUP(A201,'Parameters Summary'!$B$2:$AB$826,10,FALSE)</f>
        <v>PHYSPROP</v>
      </c>
      <c r="I201" s="93">
        <f>VLOOKUP(A201,'Parameters Summary'!$B$2:$AB$826,24,FALSE)</f>
        <v>608000</v>
      </c>
      <c r="J201" s="97" t="str">
        <f>VLOOKUP(A201,'Parameters Summary'!$B$2:$AB$826,25,FALSE)</f>
        <v>PHYSPROP</v>
      </c>
      <c r="K201" s="97" t="str">
        <f>VLOOKUP(A201,'Tox Summary'!$O$3:$S$827,2,FALSE)</f>
        <v/>
      </c>
      <c r="L201" s="93">
        <f>VLOOKUP(A201,'Parameters Summary'!$B$2:$AB$826,7,FALSE)</f>
        <v>3.6199999999999999E-9</v>
      </c>
      <c r="M201" s="93" t="str">
        <f>VLOOKUP(A201,'Parameters Summary'!$B$2:$AB$826,8,FALSE)</f>
        <v>PHYSPROP</v>
      </c>
      <c r="N201" s="91">
        <f>VLOOKUP(A201,'Parameters Summary'!$B$2:$AB$826,6,FALSE)</f>
        <v>1.48E-7</v>
      </c>
      <c r="O201" s="91" t="str">
        <f t="shared" si="12"/>
        <v/>
      </c>
      <c r="P201" s="91">
        <f t="shared" si="15"/>
        <v>1.48E-7</v>
      </c>
      <c r="Q201" s="91" t="str">
        <f t="shared" si="13"/>
        <v/>
      </c>
      <c r="R201" s="91">
        <f t="shared" si="16"/>
        <v>1.48E-7</v>
      </c>
      <c r="S201" s="91" t="str">
        <f t="shared" si="17"/>
        <v/>
      </c>
      <c r="T201" s="93">
        <f>VLOOKUP(A201,'Parameters Summary'!$B$2:$AB$826,15,FALSE)</f>
        <v>6.5801200000000004E-2</v>
      </c>
      <c r="U201" s="93" t="str">
        <f>VLOOKUP(A201,'Parameters Summary'!$B$2:$AB$826,17,FALSE)</f>
        <v>WATER9 (U.S. EPA, 2001)</v>
      </c>
      <c r="V201" s="93">
        <f>VLOOKUP(A201,'Parameters Summary'!$B$2:$AB$826,16,FALSE)</f>
        <v>7.6883000000000006E-6</v>
      </c>
      <c r="W201" s="379" t="str">
        <f>VLOOKUP(A201,'Parameters Summary'!$B$2:$AB$826,17,FALSE)</f>
        <v>WATER9 (U.S. EPA, 2001)</v>
      </c>
      <c r="X201" s="347"/>
      <c r="Y201" s="96"/>
      <c r="Z201" s="96" t="s">
        <v>1653</v>
      </c>
      <c r="AA201" s="96"/>
      <c r="AB201" s="96" t="s">
        <v>1651</v>
      </c>
      <c r="AC201" s="96"/>
      <c r="AD201" s="93">
        <f>VLOOKUP(A201,'Parameters Summary'!$B$2:$AB$826,20,FALSE)</f>
        <v>762.4</v>
      </c>
      <c r="AE201" s="97" t="str">
        <f>VLOOKUP(A201,'Parameters Summary'!$B$2:$AB$826,21,FALSE)</f>
        <v>EPI</v>
      </c>
      <c r="AF201" s="97"/>
      <c r="AG201" s="94"/>
      <c r="AH201" s="92"/>
      <c r="AI201" s="96" t="s">
        <v>2140</v>
      </c>
      <c r="AJ201" s="330"/>
      <c r="AL201" s="81"/>
    </row>
    <row r="202" spans="1:38" ht="12.75" customHeight="1">
      <c r="A202" s="96" t="s">
        <v>787</v>
      </c>
      <c r="B202" s="96" t="s">
        <v>1060</v>
      </c>
      <c r="C202" s="96" t="str">
        <f t="shared" si="14"/>
        <v>No</v>
      </c>
      <c r="D202" s="96" t="str">
        <f>VLOOKUP(A202,'Tox Summary'!$O$3:$R$824,3,FALSE)</f>
        <v>No</v>
      </c>
      <c r="E202" s="97">
        <f>VLOOKUP(A202,'Parameters Summary'!$B$2:$AB$826,4,FALSE)</f>
        <v>240.7</v>
      </c>
      <c r="F202" s="97" t="str">
        <f>VLOOKUP(A202,'Parameters Summary'!$B$2:$AB$826,5,FALSE)</f>
        <v>PHYSPROP</v>
      </c>
      <c r="G202" s="93">
        <f>VLOOKUP(A202,'Parameters Summary'!$B$2:$AB$826,9,FALSE)</f>
        <v>1.3799999999999999E-7</v>
      </c>
      <c r="H202" s="93" t="str">
        <f>VLOOKUP(A202,'Parameters Summary'!$B$2:$AB$826,10,FALSE)</f>
        <v>PHYSPROP</v>
      </c>
      <c r="I202" s="93">
        <f>VLOOKUP(A202,'Parameters Summary'!$B$2:$AB$826,24,FALSE)</f>
        <v>170</v>
      </c>
      <c r="J202" s="97" t="str">
        <f>VLOOKUP(A202,'Parameters Summary'!$B$2:$AB$826,25,FALSE)</f>
        <v>PHYSPROP</v>
      </c>
      <c r="K202" s="97" t="str">
        <f>VLOOKUP(A202,'Tox Summary'!$O$3:$S$827,2,FALSE)</f>
        <v/>
      </c>
      <c r="L202" s="93">
        <f>VLOOKUP(A202,'Parameters Summary'!$B$2:$AB$826,7,FALSE)</f>
        <v>2.5700000000000002E-12</v>
      </c>
      <c r="M202" s="93" t="str">
        <f>VLOOKUP(A202,'Parameters Summary'!$B$2:$AB$826,8,FALSE)</f>
        <v>EPI</v>
      </c>
      <c r="N202" s="91">
        <f>VLOOKUP(A202,'Parameters Summary'!$B$2:$AB$826,6,FALSE)</f>
        <v>1.051E-10</v>
      </c>
      <c r="O202" s="91" t="str">
        <f t="shared" si="12"/>
        <v/>
      </c>
      <c r="P202" s="91">
        <f t="shared" si="15"/>
        <v>1.051E-10</v>
      </c>
      <c r="Q202" s="91" t="str">
        <f t="shared" si="13"/>
        <v/>
      </c>
      <c r="R202" s="91">
        <f t="shared" si="16"/>
        <v>1.051E-10</v>
      </c>
      <c r="S202" s="91" t="str">
        <f t="shared" si="17"/>
        <v/>
      </c>
      <c r="T202" s="93">
        <f>VLOOKUP(A202,'Parameters Summary'!$B$2:$AB$826,15,FALSE)</f>
        <v>4.9102399999999997E-2</v>
      </c>
      <c r="U202" s="93" t="str">
        <f>VLOOKUP(A202,'Parameters Summary'!$B$2:$AB$826,17,FALSE)</f>
        <v>WATER9 (U.S. EPA, 2001)</v>
      </c>
      <c r="V202" s="93">
        <f>VLOOKUP(A202,'Parameters Summary'!$B$2:$AB$826,16,FALSE)</f>
        <v>5.7371999999999999E-6</v>
      </c>
      <c r="W202" s="379" t="str">
        <f>VLOOKUP(A202,'Parameters Summary'!$B$2:$AB$826,17,FALSE)</f>
        <v>WATER9 (U.S. EPA, 2001)</v>
      </c>
      <c r="X202" s="347"/>
      <c r="Y202" s="96"/>
      <c r="Z202" s="96" t="s">
        <v>1653</v>
      </c>
      <c r="AA202" s="96"/>
      <c r="AB202" s="96" t="s">
        <v>1651</v>
      </c>
      <c r="AC202" s="96"/>
      <c r="AD202" s="93">
        <f>VLOOKUP(A202,'Parameters Summary'!$B$2:$AB$826,20,FALSE)</f>
        <v>134.1</v>
      </c>
      <c r="AE202" s="97" t="str">
        <f>VLOOKUP(A202,'Parameters Summary'!$B$2:$AB$826,21,FALSE)</f>
        <v>EPI</v>
      </c>
      <c r="AF202" s="97"/>
      <c r="AG202" s="94"/>
      <c r="AH202" s="92"/>
      <c r="AI202" s="96" t="s">
        <v>2141</v>
      </c>
      <c r="AJ202" s="330"/>
      <c r="AL202" s="81"/>
    </row>
    <row r="203" spans="1:38" ht="12.75" customHeight="1">
      <c r="A203" s="95" t="s">
        <v>790</v>
      </c>
      <c r="B203" s="96" t="s">
        <v>2236</v>
      </c>
      <c r="C203" s="96" t="str">
        <f t="shared" si="14"/>
        <v>Yes</v>
      </c>
      <c r="D203" s="96" t="str">
        <f>VLOOKUP(A203,'Tox Summary'!$O$3:$R$824,3,FALSE)</f>
        <v>No</v>
      </c>
      <c r="E203" s="97">
        <f>VLOOKUP(A203,'Parameters Summary'!$B$2:$AB$826,4,FALSE)</f>
        <v>26.018000000000001</v>
      </c>
      <c r="F203" s="97" t="str">
        <f>VLOOKUP(A203,'Parameters Summary'!$B$2:$AB$826,5,FALSE)</f>
        <v>PHYSPROP</v>
      </c>
      <c r="G203" s="93">
        <f>VLOOKUP(A203,'Parameters Summary'!$B$2:$AB$826,9,FALSE)</f>
        <v>308</v>
      </c>
      <c r="H203" s="93" t="str">
        <f>VLOOKUP(A203,'Parameters Summary'!$B$2:$AB$826,10,FALSE)</f>
        <v>PHYSPROP</v>
      </c>
      <c r="I203" s="93">
        <f>VLOOKUP(A203,'Parameters Summary'!$B$2:$AB$826,24,FALSE)</f>
        <v>95400</v>
      </c>
      <c r="J203" s="97" t="str">
        <f>VLOOKUP(A203,'Parameters Summary'!$B$2:$AB$826,25,FALSE)</f>
        <v>PHYSPROP</v>
      </c>
      <c r="K203" s="97">
        <f>VLOOKUP(A203,'Tox Summary'!$O$3:$S$827,2,FALSE)</f>
        <v>200</v>
      </c>
      <c r="L203" s="93">
        <f>VLOOKUP(A203,'Parameters Summary'!$B$2:$AB$826,7,FALSE)</f>
        <v>1.01E-4</v>
      </c>
      <c r="M203" s="93" t="str">
        <f>VLOOKUP(A203,'Parameters Summary'!$B$2:$AB$826,8,FALSE)</f>
        <v>Ma  et al 2010</v>
      </c>
      <c r="N203" s="91">
        <f>VLOOKUP(A203,'Parameters Summary'!$B$2:$AB$826,6,FALSE)</f>
        <v>4.15E-3</v>
      </c>
      <c r="O203" s="91" t="str">
        <f t="shared" si="12"/>
        <v/>
      </c>
      <c r="P203" s="91">
        <f t="shared" si="15"/>
        <v>4.15E-3</v>
      </c>
      <c r="Q203" s="91" t="str">
        <f t="shared" si="13"/>
        <v/>
      </c>
      <c r="R203" s="91">
        <f t="shared" si="16"/>
        <v>4.15E-3</v>
      </c>
      <c r="S203" s="91" t="str">
        <f t="shared" si="17"/>
        <v/>
      </c>
      <c r="T203" s="93">
        <f>VLOOKUP(A203,'Parameters Summary'!$B$2:$AB$826,15,FALSE)</f>
        <v>0.2109549</v>
      </c>
      <c r="U203" s="93" t="str">
        <f>VLOOKUP(A203,'Parameters Summary'!$B$2:$AB$826,17,FALSE)</f>
        <v>WATER9 (U.S. EPA, 2001)</v>
      </c>
      <c r="V203" s="93">
        <f>VLOOKUP(A203,'Parameters Summary'!$B$2:$AB$826,16,FALSE)</f>
        <v>2.4600000000000002E-5</v>
      </c>
      <c r="W203" s="379" t="str">
        <f>VLOOKUP(A203,'Parameters Summary'!$B$2:$AB$826,17,FALSE)</f>
        <v>WATER9 (U.S. EPA, 2001)</v>
      </c>
      <c r="X203" s="290" t="s">
        <v>1652</v>
      </c>
      <c r="Y203" s="96"/>
      <c r="Z203" s="96" t="s">
        <v>1653</v>
      </c>
      <c r="AA203" s="96"/>
      <c r="AB203" s="96" t="s">
        <v>1651</v>
      </c>
      <c r="AC203" s="96"/>
      <c r="AD203" s="93" t="str">
        <f>VLOOKUP(A203,'Parameters Summary'!$B$2:$AB$826,20,FALSE)</f>
        <v xml:space="preserve"> </v>
      </c>
      <c r="AE203" s="97" t="str">
        <f>VLOOKUP(A203,'Parameters Summary'!$B$2:$AB$826,21,FALSE)</f>
        <v/>
      </c>
      <c r="AF203" s="380"/>
      <c r="AG203" s="97"/>
      <c r="AH203" s="92"/>
      <c r="AI203" s="94" t="s">
        <v>2142</v>
      </c>
      <c r="AJ203" s="330"/>
      <c r="AL203" s="81"/>
    </row>
    <row r="204" spans="1:38" ht="12.75" customHeight="1">
      <c r="A204" s="95" t="s">
        <v>791</v>
      </c>
      <c r="B204" s="96" t="s">
        <v>2328</v>
      </c>
      <c r="C204" s="96" t="str">
        <f t="shared" si="14"/>
        <v>Yes</v>
      </c>
      <c r="D204" s="96" t="str">
        <f>VLOOKUP(A204,'Tox Summary'!$O$3:$R$824,3,FALSE)</f>
        <v>Yes</v>
      </c>
      <c r="E204" s="97">
        <f>VLOOKUP(A204,'Parameters Summary'!$B$2:$AB$826,4,FALSE)</f>
        <v>52.036000000000001</v>
      </c>
      <c r="F204" s="97" t="str">
        <f>VLOOKUP(A204,'Parameters Summary'!$B$2:$AB$826,5,FALSE)</f>
        <v>PHYSPROP</v>
      </c>
      <c r="G204" s="93">
        <f>VLOOKUP(A204,'Parameters Summary'!$B$2:$AB$826,9,FALSE)</f>
        <v>4302</v>
      </c>
      <c r="H204" s="93" t="str">
        <f>VLOOKUP(A204,'Parameters Summary'!$B$2:$AB$826,10,FALSE)</f>
        <v>PHYSPROP</v>
      </c>
      <c r="I204" s="93">
        <f>VLOOKUP(A204,'Parameters Summary'!$B$2:$AB$826,24,FALSE)</f>
        <v>8000</v>
      </c>
      <c r="J204" s="97" t="str">
        <f>VLOOKUP(A204,'Parameters Summary'!$B$2:$AB$826,25,FALSE)</f>
        <v>CRC89</v>
      </c>
      <c r="K204" s="97" t="str">
        <f>VLOOKUP(A204,'Tox Summary'!$O$3:$S$827,2,FALSE)</f>
        <v/>
      </c>
      <c r="L204" s="93">
        <f>VLOOKUP(A204,'Parameters Summary'!$B$2:$AB$826,7,FALSE)</f>
        <v>5.4000000000000003E-3</v>
      </c>
      <c r="M204" s="93" t="str">
        <f>VLOOKUP(A204,'Parameters Summary'!$B$2:$AB$826,8,FALSE)</f>
        <v>EPI</v>
      </c>
      <c r="N204" s="91">
        <f>VLOOKUP(A204,'Parameters Summary'!$B$2:$AB$826,6,FALSE)</f>
        <v>0.22076860000000001</v>
      </c>
      <c r="O204" s="91">
        <f t="shared" si="12"/>
        <v>0.22076860000000001</v>
      </c>
      <c r="P204" s="91">
        <f t="shared" si="15"/>
        <v>0.22076860000000001</v>
      </c>
      <c r="Q204" s="91">
        <f t="shared" si="13"/>
        <v>0.22076860000000001</v>
      </c>
      <c r="R204" s="91">
        <f t="shared" si="16"/>
        <v>0.22076860000000001</v>
      </c>
      <c r="S204" s="91">
        <f t="shared" si="17"/>
        <v>12045574058.232725</v>
      </c>
      <c r="T204" s="93">
        <f>VLOOKUP(A204,'Parameters Summary'!$B$2:$AB$826,15,FALSE)</f>
        <v>0.1237533</v>
      </c>
      <c r="U204" s="93" t="str">
        <f>VLOOKUP(A204,'Parameters Summary'!$B$2:$AB$826,17,FALSE)</f>
        <v>WATER9 (U.S. EPA, 2001)</v>
      </c>
      <c r="V204" s="93">
        <f>VLOOKUP(A204,'Parameters Summary'!$B$2:$AB$826,16,FALSE)</f>
        <v>1.38E-5</v>
      </c>
      <c r="W204" s="379" t="str">
        <f>VLOOKUP(A204,'Parameters Summary'!$B$2:$AB$826,17,FALSE)</f>
        <v>WATER9 (U.S. EPA, 2001)</v>
      </c>
      <c r="X204" s="290">
        <v>251.9</v>
      </c>
      <c r="Y204" s="96" t="s">
        <v>2217</v>
      </c>
      <c r="Z204" s="96">
        <v>401.3</v>
      </c>
      <c r="AA204" s="96" t="s">
        <v>2218</v>
      </c>
      <c r="AB204" s="96">
        <v>5778</v>
      </c>
      <c r="AC204" s="96" t="s">
        <v>2215</v>
      </c>
      <c r="AD204" s="93" t="str">
        <f>VLOOKUP(A204,'Parameters Summary'!$B$2:$AB$826,20,FALSE)</f>
        <v xml:space="preserve"> </v>
      </c>
      <c r="AE204" s="97" t="str">
        <f>VLOOKUP(A204,'Parameters Summary'!$B$2:$AB$826,21,FALSE)</f>
        <v/>
      </c>
      <c r="AF204" s="380"/>
      <c r="AG204" s="97"/>
      <c r="AH204" s="92"/>
      <c r="AI204" s="96"/>
      <c r="AJ204" s="330"/>
      <c r="AL204" s="81"/>
    </row>
    <row r="205" spans="1:38" ht="12.75" customHeight="1">
      <c r="A205" s="95" t="s">
        <v>792</v>
      </c>
      <c r="B205" s="96" t="s">
        <v>2337</v>
      </c>
      <c r="C205" s="96" t="str">
        <f t="shared" si="14"/>
        <v>Yes</v>
      </c>
      <c r="D205" s="96" t="str">
        <f>VLOOKUP(A205,'Tox Summary'!$O$3:$R$824,3,FALSE)</f>
        <v>No</v>
      </c>
      <c r="E205" s="97">
        <f>VLOOKUP(A205,'Parameters Summary'!$B$2:$AB$826,4,FALSE)</f>
        <v>105.93</v>
      </c>
      <c r="F205" s="97" t="str">
        <f>VLOOKUP(A205,'Parameters Summary'!$B$2:$AB$826,5,FALSE)</f>
        <v>PHYSPROP</v>
      </c>
      <c r="G205" s="93">
        <f>VLOOKUP(A205,'Parameters Summary'!$B$2:$AB$826,9,FALSE)</f>
        <v>121.56</v>
      </c>
      <c r="H205" s="93" t="str">
        <f>VLOOKUP(A205,'Parameters Summary'!$B$2:$AB$826,10,FALSE)</f>
        <v>PHYSPROP</v>
      </c>
      <c r="I205" s="93" t="s">
        <v>2440</v>
      </c>
      <c r="J205" s="97" t="str">
        <f>VLOOKUP(A205,'Parameters Summary'!$B$2:$AB$826,25,FALSE)</f>
        <v/>
      </c>
      <c r="K205" s="97" t="str">
        <f>VLOOKUP(A205,'Tox Summary'!$O$3:$S$827,2,FALSE)</f>
        <v/>
      </c>
      <c r="L205" s="93">
        <f>VLOOKUP(A205,'Parameters Summary'!$B$2:$AB$826,7,FALSE)</f>
        <v>2.4500000000000001E-2</v>
      </c>
      <c r="M205" s="93" t="str">
        <f>VLOOKUP(A205,'Parameters Summary'!$B$2:$AB$826,8,FALSE)</f>
        <v>EPI</v>
      </c>
      <c r="N205" s="91">
        <f>VLOOKUP(A205,'Parameters Summary'!$B$2:$AB$826,6,FALSE)</f>
        <v>1</v>
      </c>
      <c r="O205" s="91">
        <f t="shared" ref="O205:O268" si="18">IF(OR(L205="No Hc25",Z205="No Tcrit",AB205="No DHv,b"),"",N205*EXP((-(AB205*((1-(Tgw+273)/Z205)/(1-X205/Z205))^(IF(X205/Z205&lt;0.57,0.3,IF(X205/Z205&gt;0.71,0.41,0.74*(X205/Z205)-0.116))))/1.9872)*(1/(Tgw+273)-1/298)))</f>
        <v>1</v>
      </c>
      <c r="P205" s="91">
        <f t="shared" si="15"/>
        <v>1</v>
      </c>
      <c r="Q205" s="91">
        <f t="shared" ref="Q205:Q268" si="19">IF(OR(L205="No Hc25",Z205="No Tcrit",AB205="No DHv,b"),"",N205*EXP((-(AB205*((1-(Tgw_GW+273)/Z205)/(1-X205/Z205))^(IF(X205/Z205&lt;0.57,0.3,IF(X205/Z205&gt;0.71,0.41,0.74*(X205/Z205)-0.116))))/1.9872)*(1/(Tgw_GW+273)-1/298)))</f>
        <v>1</v>
      </c>
      <c r="R205" s="91">
        <f t="shared" si="16"/>
        <v>1</v>
      </c>
      <c r="S205" s="91">
        <f t="shared" si="17"/>
        <v>692887704.48290884</v>
      </c>
      <c r="T205" s="93">
        <f>VLOOKUP(A205,'Parameters Summary'!$B$2:$AB$826,15,FALSE)</f>
        <v>9.8406499999999994E-2</v>
      </c>
      <c r="U205" s="93" t="str">
        <f>VLOOKUP(A205,'Parameters Summary'!$B$2:$AB$826,17,FALSE)</f>
        <v>WATER9 (U.S. EPA, 2001)</v>
      </c>
      <c r="V205" s="93">
        <f>VLOOKUP(A205,'Parameters Summary'!$B$2:$AB$826,16,FALSE)</f>
        <v>1.4100000000000001E-5</v>
      </c>
      <c r="W205" s="379" t="str">
        <f>VLOOKUP(A205,'Parameters Summary'!$B$2:$AB$826,17,FALSE)</f>
        <v>WATER9 (U.S. EPA, 2001)</v>
      </c>
      <c r="X205" s="290">
        <v>334.5</v>
      </c>
      <c r="Y205" s="96" t="s">
        <v>2217</v>
      </c>
      <c r="Z205" s="96">
        <v>501.75</v>
      </c>
      <c r="AA205" s="96" t="s">
        <v>2220</v>
      </c>
      <c r="AB205" s="96">
        <v>8077.77</v>
      </c>
      <c r="AC205" s="96" t="s">
        <v>2218</v>
      </c>
      <c r="AD205" s="93" t="str">
        <f>VLOOKUP(A205,'Parameters Summary'!$B$2:$AB$826,20,FALSE)</f>
        <v xml:space="preserve"> </v>
      </c>
      <c r="AE205" s="97" t="str">
        <f>VLOOKUP(A205,'Parameters Summary'!$B$2:$AB$826,21,FALSE)</f>
        <v/>
      </c>
      <c r="AF205" s="380"/>
      <c r="AG205" s="97"/>
      <c r="AH205" s="92"/>
      <c r="AI205" s="96"/>
      <c r="AJ205" s="330"/>
      <c r="AL205" s="81"/>
    </row>
    <row r="206" spans="1:38" ht="12.75" customHeight="1">
      <c r="A206" s="95" t="s">
        <v>793</v>
      </c>
      <c r="B206" s="96" t="s">
        <v>2329</v>
      </c>
      <c r="C206" s="96" t="str">
        <f t="shared" ref="C206:C269" si="20">IF((COUNTIF(G206,"&gt;1")+COUNTIF(L206,"&gt;1E-5"))&gt;0,"Yes","No")</f>
        <v>Yes</v>
      </c>
      <c r="D206" s="96" t="str">
        <f>VLOOKUP(A206,'Tox Summary'!$O$3:$R$824,3,FALSE)</f>
        <v>No</v>
      </c>
      <c r="E206" s="97">
        <f>VLOOKUP(A206,'Parameters Summary'!$B$2:$AB$826,4,FALSE)</f>
        <v>61.470999999999997</v>
      </c>
      <c r="F206" s="97" t="str">
        <f>VLOOKUP(A206,'Parameters Summary'!$B$2:$AB$826,5,FALSE)</f>
        <v>PHYSPROP</v>
      </c>
      <c r="G206" s="93">
        <f>VLOOKUP(A206,'Parameters Summary'!$B$2:$AB$826,9,FALSE)</f>
        <v>1225</v>
      </c>
      <c r="H206" s="93" t="str">
        <f>VLOOKUP(A206,'Parameters Summary'!$B$2:$AB$826,10,FALSE)</f>
        <v>PHYSPROP</v>
      </c>
      <c r="I206" s="93">
        <f>VLOOKUP(A206,'Parameters Summary'!$B$2:$AB$826,24,FALSE)</f>
        <v>60000</v>
      </c>
      <c r="J206" s="97" t="str">
        <f>VLOOKUP(A206,'Parameters Summary'!$B$2:$AB$826,25,FALSE)</f>
        <v>PHYSPROP</v>
      </c>
      <c r="K206" s="97" t="str">
        <f>VLOOKUP(A206,'Tox Summary'!$O$3:$S$827,2,FALSE)</f>
        <v/>
      </c>
      <c r="L206" s="93">
        <f>VLOOKUP(A206,'Parameters Summary'!$B$2:$AB$826,7,FALSE)</f>
        <v>1.9411999999999999E-3</v>
      </c>
      <c r="M206" s="93" t="str">
        <f>VLOOKUP(A206,'Parameters Summary'!$B$2:$AB$826,8,FALSE)</f>
        <v>YAWS</v>
      </c>
      <c r="N206" s="91">
        <f>VLOOKUP(A206,'Parameters Summary'!$B$2:$AB$826,6,FALSE)</f>
        <v>7.87186E-2</v>
      </c>
      <c r="O206" s="91">
        <f t="shared" si="18"/>
        <v>7.87186E-2</v>
      </c>
      <c r="P206" s="91">
        <f t="shared" ref="P206:P269" si="21">IF(O206="",N206,O206)</f>
        <v>7.87186E-2</v>
      </c>
      <c r="Q206" s="91">
        <f t="shared" si="19"/>
        <v>7.87186E-2</v>
      </c>
      <c r="R206" s="91">
        <f t="shared" ref="R206:R269" si="22">IF(Q206="",P206,Q206)</f>
        <v>7.87186E-2</v>
      </c>
      <c r="S206" s="91">
        <f t="shared" ref="S206:S269" si="23">IF(OR(G206="No VP",Z206="No Tcrit",AB206="No DHv,b",L206="No Hc25"),"",G206*E206*53808.7856452378*O206/N206)</f>
        <v>4051907831.4380546</v>
      </c>
      <c r="T206" s="93">
        <f>VLOOKUP(A206,'Parameters Summary'!$B$2:$AB$826,15,FALSE)</f>
        <v>0.1207454</v>
      </c>
      <c r="U206" s="93" t="str">
        <f>VLOOKUP(A206,'Parameters Summary'!$B$2:$AB$826,17,FALSE)</f>
        <v>WATER9 (U.S. EPA, 2001)</v>
      </c>
      <c r="V206" s="93">
        <f>VLOOKUP(A206,'Parameters Summary'!$B$2:$AB$826,16,FALSE)</f>
        <v>1.42E-5</v>
      </c>
      <c r="W206" s="379" t="str">
        <f>VLOOKUP(A206,'Parameters Summary'!$B$2:$AB$826,17,FALSE)</f>
        <v>WATER9 (U.S. EPA, 2001)</v>
      </c>
      <c r="X206" s="290">
        <v>286</v>
      </c>
      <c r="Y206" s="96" t="s">
        <v>2217</v>
      </c>
      <c r="Z206" s="96">
        <v>429</v>
      </c>
      <c r="AA206" s="96" t="s">
        <v>2220</v>
      </c>
      <c r="AB206" s="96">
        <v>6389.13</v>
      </c>
      <c r="AC206" s="96" t="s">
        <v>2218</v>
      </c>
      <c r="AD206" s="93" t="str">
        <f>VLOOKUP(A206,'Parameters Summary'!$B$2:$AB$826,20,FALSE)</f>
        <v xml:space="preserve"> </v>
      </c>
      <c r="AE206" s="97" t="str">
        <f>VLOOKUP(A206,'Parameters Summary'!$B$2:$AB$826,21,FALSE)</f>
        <v/>
      </c>
      <c r="AF206" s="380"/>
      <c r="AG206" s="97"/>
      <c r="AH206" s="92"/>
      <c r="AI206" s="94"/>
      <c r="AJ206" s="330"/>
      <c r="AL206" s="81"/>
    </row>
    <row r="207" spans="1:38" ht="12.75" customHeight="1">
      <c r="A207" s="95" t="s">
        <v>801</v>
      </c>
      <c r="B207" s="96" t="s">
        <v>1062</v>
      </c>
      <c r="C207" s="96" t="str">
        <f t="shared" si="20"/>
        <v>Yes</v>
      </c>
      <c r="D207" s="96" t="str">
        <f>VLOOKUP(A207,'Tox Summary'!$O$3:$R$824,3,FALSE)</f>
        <v>Yes</v>
      </c>
      <c r="E207" s="97">
        <f>VLOOKUP(A207,'Parameters Summary'!$B$2:$AB$826,4,FALSE)</f>
        <v>84.162999999999997</v>
      </c>
      <c r="F207" s="97" t="str">
        <f>VLOOKUP(A207,'Parameters Summary'!$B$2:$AB$826,5,FALSE)</f>
        <v>PHYSPROP</v>
      </c>
      <c r="G207" s="93">
        <f>VLOOKUP(A207,'Parameters Summary'!$B$2:$AB$826,9,FALSE)</f>
        <v>96.86</v>
      </c>
      <c r="H207" s="93" t="str">
        <f>VLOOKUP(A207,'Parameters Summary'!$B$2:$AB$826,10,FALSE)</f>
        <v>PHYSPROP</v>
      </c>
      <c r="I207" s="93">
        <f>VLOOKUP(A207,'Parameters Summary'!$B$2:$AB$826,24,FALSE)</f>
        <v>55</v>
      </c>
      <c r="J207" s="97" t="str">
        <f>VLOOKUP(A207,'Parameters Summary'!$B$2:$AB$826,25,FALSE)</f>
        <v>PHYSPROP</v>
      </c>
      <c r="K207" s="97" t="str">
        <f>VLOOKUP(A207,'Tox Summary'!$O$3:$S$827,2,FALSE)</f>
        <v/>
      </c>
      <c r="L207" s="93">
        <f>VLOOKUP(A207,'Parameters Summary'!$B$2:$AB$826,7,FALSE)</f>
        <v>0.15</v>
      </c>
      <c r="M207" s="93" t="str">
        <f>VLOOKUP(A207,'Parameters Summary'!$B$2:$AB$826,8,FALSE)</f>
        <v>PHYSPROP</v>
      </c>
      <c r="N207" s="91">
        <f>VLOOKUP(A207,'Parameters Summary'!$B$2:$AB$826,6,FALSE)</f>
        <v>6.1324611999999998</v>
      </c>
      <c r="O207" s="91">
        <f t="shared" si="18"/>
        <v>6.1324611999999998</v>
      </c>
      <c r="P207" s="91">
        <f t="shared" si="21"/>
        <v>6.1324611999999998</v>
      </c>
      <c r="Q207" s="91">
        <f t="shared" si="19"/>
        <v>6.1324611999999998</v>
      </c>
      <c r="R207" s="91">
        <f t="shared" si="22"/>
        <v>6.1324611999999998</v>
      </c>
      <c r="S207" s="91">
        <f t="shared" si="23"/>
        <v>438650736.91155797</v>
      </c>
      <c r="T207" s="93">
        <f>VLOOKUP(A207,'Parameters Summary'!$B$2:$AB$826,15,FALSE)</f>
        <v>7.99729E-2</v>
      </c>
      <c r="U207" s="93" t="str">
        <f>VLOOKUP(A207,'Parameters Summary'!$B$2:$AB$826,17,FALSE)</f>
        <v>WATER9 (U.S. EPA, 2001)</v>
      </c>
      <c r="V207" s="93">
        <f>VLOOKUP(A207,'Parameters Summary'!$B$2:$AB$826,16,FALSE)</f>
        <v>9.1076999999999992E-6</v>
      </c>
      <c r="W207" s="379" t="str">
        <f>VLOOKUP(A207,'Parameters Summary'!$B$2:$AB$826,17,FALSE)</f>
        <v>WATER9 (U.S. EPA, 2001)</v>
      </c>
      <c r="X207" s="290">
        <v>353.7</v>
      </c>
      <c r="Y207" s="96" t="s">
        <v>2217</v>
      </c>
      <c r="Z207" s="96">
        <v>553.4</v>
      </c>
      <c r="AA207" s="96" t="s">
        <v>2218</v>
      </c>
      <c r="AB207" s="96">
        <v>7153.6</v>
      </c>
      <c r="AC207" s="96" t="s">
        <v>2218</v>
      </c>
      <c r="AD207" s="93">
        <f>VLOOKUP(A207,'Parameters Summary'!$B$2:$AB$826,20,FALSE)</f>
        <v>145.80000000000001</v>
      </c>
      <c r="AE207" s="97" t="str">
        <f>VLOOKUP(A207,'Parameters Summary'!$B$2:$AB$826,21,FALSE)</f>
        <v>EPI</v>
      </c>
      <c r="AF207" s="380"/>
      <c r="AG207" s="97"/>
      <c r="AH207" s="92"/>
      <c r="AI207" s="94"/>
      <c r="AJ207" s="330"/>
      <c r="AL207" s="81"/>
    </row>
    <row r="208" spans="1:38" ht="12.75" customHeight="1">
      <c r="A208" s="96" t="s">
        <v>802</v>
      </c>
      <c r="B208" s="96" t="s">
        <v>1063</v>
      </c>
      <c r="C208" s="96" t="str">
        <f t="shared" si="20"/>
        <v>No</v>
      </c>
      <c r="D208" s="96" t="str">
        <f>VLOOKUP(A208,'Tox Summary'!$O$3:$R$824,3,FALSE)</f>
        <v>No</v>
      </c>
      <c r="E208" s="97">
        <f>VLOOKUP(A208,'Parameters Summary'!$B$2:$AB$826,4,FALSE)</f>
        <v>513.09</v>
      </c>
      <c r="F208" s="97" t="str">
        <f>VLOOKUP(A208,'Parameters Summary'!$B$2:$AB$826,5,FALSE)</f>
        <v>PHYSPROP</v>
      </c>
      <c r="G208" s="93">
        <f>VLOOKUP(A208,'Parameters Summary'!$B$2:$AB$826,9,FALSE)</f>
        <v>3.4599999999999999E-6</v>
      </c>
      <c r="H208" s="93" t="str">
        <f>VLOOKUP(A208,'Parameters Summary'!$B$2:$AB$826,10,FALSE)</f>
        <v>PHYSPROP</v>
      </c>
      <c r="I208" s="93">
        <f>VLOOKUP(A208,'Parameters Summary'!$B$2:$AB$826,24,FALSE)</f>
        <v>5.4960000000000002E-2</v>
      </c>
      <c r="J208" s="97" t="str">
        <f>VLOOKUP(A208,'Parameters Summary'!$B$2:$AB$826,25,FALSE)</f>
        <v>PHYSPROP</v>
      </c>
      <c r="K208" s="97" t="str">
        <f>VLOOKUP(A208,'Tox Summary'!$O$3:$S$827,2,FALSE)</f>
        <v/>
      </c>
      <c r="L208" s="93">
        <f>VLOOKUP(A208,'Parameters Summary'!$B$2:$AB$826,7,FALSE)</f>
        <v>9.5900000000000005E-7</v>
      </c>
      <c r="M208" s="93" t="str">
        <f>VLOOKUP(A208,'Parameters Summary'!$B$2:$AB$826,8,FALSE)</f>
        <v>PHYSPROP</v>
      </c>
      <c r="N208" s="91">
        <f>VLOOKUP(A208,'Parameters Summary'!$B$2:$AB$826,6,FALSE)</f>
        <v>3.9199999999999997E-5</v>
      </c>
      <c r="O208" s="91" t="str">
        <f t="shared" si="18"/>
        <v/>
      </c>
      <c r="P208" s="91">
        <f t="shared" si="21"/>
        <v>3.9199999999999997E-5</v>
      </c>
      <c r="Q208" s="91" t="str">
        <f t="shared" si="19"/>
        <v/>
      </c>
      <c r="R208" s="91">
        <f t="shared" si="22"/>
        <v>3.9199999999999997E-5</v>
      </c>
      <c r="S208" s="91" t="str">
        <f t="shared" si="23"/>
        <v/>
      </c>
      <c r="T208" s="93">
        <f>VLOOKUP(A208,'Parameters Summary'!$B$2:$AB$826,15,FALSE)</f>
        <v>2.9645399999999999E-2</v>
      </c>
      <c r="U208" s="93" t="str">
        <f>VLOOKUP(A208,'Parameters Summary'!$B$2:$AB$826,17,FALSE)</f>
        <v>WATER9 (U.S. EPA, 2001)</v>
      </c>
      <c r="V208" s="93">
        <f>VLOOKUP(A208,'Parameters Summary'!$B$2:$AB$826,16,FALSE)</f>
        <v>3.4638000000000002E-6</v>
      </c>
      <c r="W208" s="379" t="str">
        <f>VLOOKUP(A208,'Parameters Summary'!$B$2:$AB$826,17,FALSE)</f>
        <v>WATER9 (U.S. EPA, 2001)</v>
      </c>
      <c r="X208" s="347"/>
      <c r="Y208" s="96"/>
      <c r="Z208" s="96" t="s">
        <v>1653</v>
      </c>
      <c r="AA208" s="96"/>
      <c r="AB208" s="96" t="s">
        <v>1651</v>
      </c>
      <c r="AC208" s="96"/>
      <c r="AD208" s="93">
        <f>VLOOKUP(A208,'Parameters Summary'!$B$2:$AB$826,20,FALSE)</f>
        <v>2807</v>
      </c>
      <c r="AE208" s="97" t="str">
        <f>VLOOKUP(A208,'Parameters Summary'!$B$2:$AB$826,21,FALSE)</f>
        <v>EPI</v>
      </c>
      <c r="AF208" s="97"/>
      <c r="AG208" s="94"/>
      <c r="AH208" s="92"/>
      <c r="AI208" s="94" t="s">
        <v>2143</v>
      </c>
      <c r="AJ208" s="330"/>
      <c r="AL208" s="81"/>
    </row>
    <row r="209" spans="1:38" ht="12.75" customHeight="1">
      <c r="A209" s="95" t="s">
        <v>803</v>
      </c>
      <c r="B209" s="96" t="s">
        <v>1064</v>
      </c>
      <c r="C209" s="96" t="str">
        <f t="shared" si="20"/>
        <v>Yes</v>
      </c>
      <c r="D209" s="96" t="str">
        <f>VLOOKUP(A209,'Tox Summary'!$O$3:$R$824,3,FALSE)</f>
        <v>No</v>
      </c>
      <c r="E209" s="97">
        <f>VLOOKUP(A209,'Parameters Summary'!$B$2:$AB$826,4,FALSE)</f>
        <v>98.146000000000001</v>
      </c>
      <c r="F209" s="97" t="str">
        <f>VLOOKUP(A209,'Parameters Summary'!$B$2:$AB$826,5,FALSE)</f>
        <v>PHYSPROP</v>
      </c>
      <c r="G209" s="93">
        <f>VLOOKUP(A209,'Parameters Summary'!$B$2:$AB$826,9,FALSE)</f>
        <v>4.33</v>
      </c>
      <c r="H209" s="93" t="str">
        <f>VLOOKUP(A209,'Parameters Summary'!$B$2:$AB$826,10,FALSE)</f>
        <v>PHYSPROP</v>
      </c>
      <c r="I209" s="93">
        <f>VLOOKUP(A209,'Parameters Summary'!$B$2:$AB$826,24,FALSE)</f>
        <v>25000</v>
      </c>
      <c r="J209" s="97" t="str">
        <f>VLOOKUP(A209,'Parameters Summary'!$B$2:$AB$826,25,FALSE)</f>
        <v>PHYSPROP</v>
      </c>
      <c r="K209" s="97" t="str">
        <f>VLOOKUP(A209,'Tox Summary'!$O$3:$S$827,2,FALSE)</f>
        <v/>
      </c>
      <c r="L209" s="93">
        <f>VLOOKUP(A209,'Parameters Summary'!$B$2:$AB$826,7,FALSE)</f>
        <v>9.0000000000000002E-6</v>
      </c>
      <c r="M209" s="93" t="str">
        <f>VLOOKUP(A209,'Parameters Summary'!$B$2:$AB$826,8,FALSE)</f>
        <v>PHYSPROP</v>
      </c>
      <c r="N209" s="91">
        <f>VLOOKUP(A209,'Parameters Summary'!$B$2:$AB$826,6,FALSE)</f>
        <v>3.679E-4</v>
      </c>
      <c r="O209" s="91">
        <f t="shared" si="18"/>
        <v>3.679E-4</v>
      </c>
      <c r="P209" s="91">
        <f t="shared" si="21"/>
        <v>3.679E-4</v>
      </c>
      <c r="Q209" s="91">
        <f t="shared" si="19"/>
        <v>3.679E-4</v>
      </c>
      <c r="R209" s="91">
        <f t="shared" si="22"/>
        <v>3.679E-4</v>
      </c>
      <c r="S209" s="91">
        <f t="shared" si="23"/>
        <v>22867236.938809413</v>
      </c>
      <c r="T209" s="93">
        <f>VLOOKUP(A209,'Parameters Summary'!$B$2:$AB$826,15,FALSE)</f>
        <v>7.6759900000000006E-2</v>
      </c>
      <c r="U209" s="93" t="str">
        <f>VLOOKUP(A209,'Parameters Summary'!$B$2:$AB$826,17,FALSE)</f>
        <v>WATER9 (U.S. EPA, 2001)</v>
      </c>
      <c r="V209" s="93">
        <f>VLOOKUP(A209,'Parameters Summary'!$B$2:$AB$826,16,FALSE)</f>
        <v>9.3795000000000006E-6</v>
      </c>
      <c r="W209" s="379" t="str">
        <f>VLOOKUP(A209,'Parameters Summary'!$B$2:$AB$826,17,FALSE)</f>
        <v>WATER9 (U.S. EPA, 2001)</v>
      </c>
      <c r="X209" s="290">
        <f>155.4+273.15</f>
        <v>428.54999999999995</v>
      </c>
      <c r="Y209" s="96" t="s">
        <v>553</v>
      </c>
      <c r="Z209" s="96">
        <v>629</v>
      </c>
      <c r="AA209" s="96" t="s">
        <v>2215</v>
      </c>
      <c r="AB209" s="96">
        <f>45.06*238.846</f>
        <v>10762.40076</v>
      </c>
      <c r="AC209" s="96" t="s">
        <v>2218</v>
      </c>
      <c r="AD209" s="93">
        <f>VLOOKUP(A209,'Parameters Summary'!$B$2:$AB$826,20,FALSE)</f>
        <v>17.38</v>
      </c>
      <c r="AE209" s="97" t="str">
        <f>VLOOKUP(A209,'Parameters Summary'!$B$2:$AB$826,21,FALSE)</f>
        <v>EPI</v>
      </c>
      <c r="AF209" s="380">
        <v>1.1000000000000001</v>
      </c>
      <c r="AG209" s="97" t="s">
        <v>302</v>
      </c>
      <c r="AH209" s="92"/>
      <c r="AI209" s="94" t="s">
        <v>2144</v>
      </c>
      <c r="AJ209" s="330"/>
      <c r="AL209" s="81"/>
    </row>
    <row r="210" spans="1:38" ht="12.75" customHeight="1">
      <c r="A210" s="95" t="s">
        <v>1991</v>
      </c>
      <c r="B210" s="96" t="s">
        <v>1990</v>
      </c>
      <c r="C210" s="96" t="str">
        <f t="shared" si="20"/>
        <v>Yes</v>
      </c>
      <c r="D210" s="96" t="str">
        <f>VLOOKUP(A210,'Tox Summary'!$O$3:$R$824,3,FALSE)</f>
        <v>No</v>
      </c>
      <c r="E210" s="97">
        <f>VLOOKUP(A210,'Parameters Summary'!$B$2:$AB$826,4,FALSE)</f>
        <v>82.147000000000006</v>
      </c>
      <c r="F210" s="97" t="str">
        <f>VLOOKUP(A210,'Parameters Summary'!$B$2:$AB$826,5,FALSE)</f>
        <v>PHYSPROP</v>
      </c>
      <c r="G210" s="93">
        <f>VLOOKUP(A210,'Parameters Summary'!$B$2:$AB$826,9,FALSE)</f>
        <v>89</v>
      </c>
      <c r="H210" s="93" t="str">
        <f>VLOOKUP(A210,'Parameters Summary'!$B$2:$AB$826,10,FALSE)</f>
        <v>PHYSPROP</v>
      </c>
      <c r="I210" s="93">
        <f>VLOOKUP(A210,'Parameters Summary'!$B$2:$AB$826,24,FALSE)</f>
        <v>213</v>
      </c>
      <c r="J210" s="97" t="str">
        <f>VLOOKUP(A210,'Parameters Summary'!$B$2:$AB$826,25,FALSE)</f>
        <v>PHYSPROP</v>
      </c>
      <c r="K210" s="97" t="str">
        <f>VLOOKUP(A210,'Tox Summary'!$O$3:$S$827,2,FALSE)</f>
        <v/>
      </c>
      <c r="L210" s="93">
        <f>VLOOKUP(A210,'Parameters Summary'!$B$2:$AB$826,7,FALSE)</f>
        <v>4.5499999999999999E-2</v>
      </c>
      <c r="M210" s="93" t="str">
        <f>VLOOKUP(A210,'Parameters Summary'!$B$2:$AB$826,8,FALSE)</f>
        <v>PHYSPROP</v>
      </c>
      <c r="N210" s="91">
        <f>VLOOKUP(A210,'Parameters Summary'!$B$2:$AB$826,6,FALSE)</f>
        <v>1.8601799000000001</v>
      </c>
      <c r="O210" s="91">
        <f t="shared" si="18"/>
        <v>1.8601799000000001</v>
      </c>
      <c r="P210" s="91">
        <f t="shared" si="21"/>
        <v>1.8601799000000001</v>
      </c>
      <c r="Q210" s="91">
        <f t="shared" si="19"/>
        <v>1.8601799000000001</v>
      </c>
      <c r="R210" s="91">
        <f t="shared" si="22"/>
        <v>1.8601799000000001</v>
      </c>
      <c r="S210" s="91">
        <f t="shared" si="23"/>
        <v>393400497.98154211</v>
      </c>
      <c r="T210" s="93">
        <f>VLOOKUP(A210,'Parameters Summary'!$B$2:$AB$826,15,FALSE)</f>
        <v>8.31876E-2</v>
      </c>
      <c r="U210" s="93" t="str">
        <f>VLOOKUP(A210,'Parameters Summary'!$B$2:$AB$826,17,FALSE)</f>
        <v>WATER9 (U.S. EPA, 2001)</v>
      </c>
      <c r="V210" s="93">
        <f>VLOOKUP(A210,'Parameters Summary'!$B$2:$AB$826,16,FALSE)</f>
        <v>9.4975000000000001E-6</v>
      </c>
      <c r="W210" s="379" t="str">
        <f>VLOOKUP(A210,'Parameters Summary'!$B$2:$AB$826,17,FALSE)</f>
        <v>WATER9 (U.S. EPA, 2001)</v>
      </c>
      <c r="X210" s="290">
        <v>356.15</v>
      </c>
      <c r="Y210" s="96" t="s">
        <v>2215</v>
      </c>
      <c r="Z210" s="96">
        <v>560.54999999999995</v>
      </c>
      <c r="AA210" s="96" t="s">
        <v>2215</v>
      </c>
      <c r="AB210" s="96">
        <v>7279.94</v>
      </c>
      <c r="AC210" s="96" t="s">
        <v>2218</v>
      </c>
      <c r="AD210" s="93">
        <f>VLOOKUP(A210,'Parameters Summary'!$B$2:$AB$826,20,FALSE)</f>
        <v>145.80000000000001</v>
      </c>
      <c r="AE210" s="97" t="str">
        <f>VLOOKUP(A210,'Parameters Summary'!$B$2:$AB$826,21,FALSE)</f>
        <v>EPI</v>
      </c>
      <c r="AF210" s="380"/>
      <c r="AG210" s="97"/>
      <c r="AH210" s="92"/>
      <c r="AI210" s="96" t="s">
        <v>2145</v>
      </c>
      <c r="AJ210" s="330"/>
      <c r="AL210" s="81"/>
    </row>
    <row r="211" spans="1:38" ht="12.75" customHeight="1">
      <c r="A211" s="96" t="s">
        <v>804</v>
      </c>
      <c r="B211" s="96" t="s">
        <v>1065</v>
      </c>
      <c r="C211" s="96" t="str">
        <f t="shared" si="20"/>
        <v>Yes</v>
      </c>
      <c r="D211" s="96" t="str">
        <f>VLOOKUP(A211,'Tox Summary'!$O$3:$R$824,3,FALSE)</f>
        <v>No</v>
      </c>
      <c r="E211" s="97">
        <f>VLOOKUP(A211,'Parameters Summary'!$B$2:$AB$826,4,FALSE)</f>
        <v>99.177000000000007</v>
      </c>
      <c r="F211" s="97" t="str">
        <f>VLOOKUP(A211,'Parameters Summary'!$B$2:$AB$826,5,FALSE)</f>
        <v>PHYSPROP</v>
      </c>
      <c r="G211" s="93">
        <f>VLOOKUP(A211,'Parameters Summary'!$B$2:$AB$826,9,FALSE)</f>
        <v>10.1</v>
      </c>
      <c r="H211" s="93" t="str">
        <f>VLOOKUP(A211,'Parameters Summary'!$B$2:$AB$826,10,FALSE)</f>
        <v>PHYSPROP</v>
      </c>
      <c r="I211" s="93">
        <f>VLOOKUP(A211,'Parameters Summary'!$B$2:$AB$826,24,FALSE)</f>
        <v>1000000</v>
      </c>
      <c r="J211" s="97" t="str">
        <f>VLOOKUP(A211,'Parameters Summary'!$B$2:$AB$826,25,FALSE)</f>
        <v>PHYSPROP</v>
      </c>
      <c r="K211" s="97" t="str">
        <f>VLOOKUP(A211,'Tox Summary'!$O$3:$S$827,2,FALSE)</f>
        <v/>
      </c>
      <c r="L211" s="93">
        <f>VLOOKUP(A211,'Parameters Summary'!$B$2:$AB$826,7,FALSE)</f>
        <v>4.16E-6</v>
      </c>
      <c r="M211" s="93" t="str">
        <f>VLOOKUP(A211,'Parameters Summary'!$B$2:$AB$826,8,FALSE)</f>
        <v>PHYSPROP</v>
      </c>
      <c r="N211" s="91">
        <f>VLOOKUP(A211,'Parameters Summary'!$B$2:$AB$826,6,FALSE)</f>
        <v>1.7009999999999999E-4</v>
      </c>
      <c r="O211" s="91">
        <f t="shared" si="18"/>
        <v>1.7009999999999999E-4</v>
      </c>
      <c r="P211" s="91">
        <f t="shared" si="21"/>
        <v>1.7009999999999999E-4</v>
      </c>
      <c r="Q211" s="91">
        <f t="shared" si="19"/>
        <v>1.7009999999999999E-4</v>
      </c>
      <c r="R211" s="91">
        <f t="shared" si="22"/>
        <v>1.7009999999999999E-4</v>
      </c>
      <c r="S211" s="91">
        <f t="shared" si="23"/>
        <v>53899598.73277127</v>
      </c>
      <c r="T211" s="93">
        <f>VLOOKUP(A211,'Parameters Summary'!$B$2:$AB$826,15,FALSE)</f>
        <v>7.1294499999999997E-2</v>
      </c>
      <c r="U211" s="93" t="str">
        <f>VLOOKUP(A211,'Parameters Summary'!$B$2:$AB$826,17,FALSE)</f>
        <v>WATER9 (U.S. EPA, 2001)</v>
      </c>
      <c r="V211" s="93">
        <f>VLOOKUP(A211,'Parameters Summary'!$B$2:$AB$826,16,FALSE)</f>
        <v>8.5393999999999999E-6</v>
      </c>
      <c r="W211" s="379" t="str">
        <f>VLOOKUP(A211,'Parameters Summary'!$B$2:$AB$826,17,FALSE)</f>
        <v>WATER9 (U.S. EPA, 2001)</v>
      </c>
      <c r="X211" s="290">
        <v>407.15</v>
      </c>
      <c r="Y211" s="96" t="s">
        <v>553</v>
      </c>
      <c r="Z211" s="96">
        <f>1.5*X211</f>
        <v>610.72499999999991</v>
      </c>
      <c r="AA211" s="96" t="s">
        <v>2220</v>
      </c>
      <c r="AB211" s="96">
        <v>10444.549999999999</v>
      </c>
      <c r="AC211" s="96" t="s">
        <v>2213</v>
      </c>
      <c r="AD211" s="93">
        <f>VLOOKUP(A211,'Parameters Summary'!$B$2:$AB$826,20,FALSE)</f>
        <v>32.17</v>
      </c>
      <c r="AE211" s="97" t="str">
        <f>VLOOKUP(A211,'Parameters Summary'!$B$2:$AB$826,21,FALSE)</f>
        <v>EPI</v>
      </c>
      <c r="AF211" s="97"/>
      <c r="AG211" s="94"/>
      <c r="AH211" s="92"/>
      <c r="AI211" s="96"/>
      <c r="AJ211" s="330"/>
      <c r="AL211" s="81"/>
    </row>
    <row r="212" spans="1:38" ht="12.75" customHeight="1">
      <c r="A212" s="96" t="s">
        <v>681</v>
      </c>
      <c r="B212" s="96" t="s">
        <v>2305</v>
      </c>
      <c r="C212" s="96" t="str">
        <f t="shared" si="20"/>
        <v>No</v>
      </c>
      <c r="D212" s="96" t="str">
        <f>VLOOKUP(A212,'Tox Summary'!$O$3:$R$824,3,FALSE)</f>
        <v>No</v>
      </c>
      <c r="E212" s="97">
        <f>VLOOKUP(A212,'Parameters Summary'!$B$2:$AB$826,4,FALSE)</f>
        <v>434.3</v>
      </c>
      <c r="F212" s="97" t="str">
        <f>VLOOKUP(A212,'Parameters Summary'!$B$2:$AB$826,5,FALSE)</f>
        <v>PHYSPROP</v>
      </c>
      <c r="G212" s="93">
        <f>VLOOKUP(A212,'Parameters Summary'!$B$2:$AB$826,9,FALSE)</f>
        <v>1.5E-10</v>
      </c>
      <c r="H212" s="93" t="str">
        <f>VLOOKUP(A212,'Parameters Summary'!$B$2:$AB$826,10,FALSE)</f>
        <v>PHYSPROP</v>
      </c>
      <c r="I212" s="93">
        <f>VLOOKUP(A212,'Parameters Summary'!$B$2:$AB$826,24,FALSE)</f>
        <v>3.0000000000000001E-3</v>
      </c>
      <c r="J212" s="97" t="str">
        <f>VLOOKUP(A212,'Parameters Summary'!$B$2:$AB$826,25,FALSE)</f>
        <v>PHYSPROP</v>
      </c>
      <c r="K212" s="97" t="str">
        <f>VLOOKUP(A212,'Tox Summary'!$O$3:$S$827,2,FALSE)</f>
        <v/>
      </c>
      <c r="L212" s="93">
        <f>VLOOKUP(A212,'Parameters Summary'!$B$2:$AB$826,7,FALSE)</f>
        <v>2.9000000000000002E-8</v>
      </c>
      <c r="M212" s="93" t="str">
        <f>VLOOKUP(A212,'Parameters Summary'!$B$2:$AB$826,8,FALSE)</f>
        <v>EPI</v>
      </c>
      <c r="N212" s="91">
        <f>VLOOKUP(A212,'Parameters Summary'!$B$2:$AB$826,6,FALSE)</f>
        <v>1.1855999999999999E-6</v>
      </c>
      <c r="O212" s="91" t="str">
        <f t="shared" si="18"/>
        <v/>
      </c>
      <c r="P212" s="91">
        <f t="shared" si="21"/>
        <v>1.1855999999999999E-6</v>
      </c>
      <c r="Q212" s="91" t="str">
        <f t="shared" si="19"/>
        <v/>
      </c>
      <c r="R212" s="91">
        <f t="shared" si="22"/>
        <v>1.1855999999999999E-6</v>
      </c>
      <c r="S212" s="91" t="str">
        <f t="shared" si="23"/>
        <v/>
      </c>
      <c r="T212" s="93">
        <f>VLOOKUP(A212,'Parameters Summary'!$B$2:$AB$826,15,FALSE)</f>
        <v>3.3130399999999997E-2</v>
      </c>
      <c r="U212" s="93" t="str">
        <f>VLOOKUP(A212,'Parameters Summary'!$B$2:$AB$826,17,FALSE)</f>
        <v>WATER9 (U.S. EPA, 2001)</v>
      </c>
      <c r="V212" s="93">
        <f>VLOOKUP(A212,'Parameters Summary'!$B$2:$AB$826,16,FALSE)</f>
        <v>3.8709999999999999E-6</v>
      </c>
      <c r="W212" s="379" t="str">
        <f>VLOOKUP(A212,'Parameters Summary'!$B$2:$AB$826,17,FALSE)</f>
        <v>WATER9 (U.S. EPA, 2001)</v>
      </c>
      <c r="X212" s="347"/>
      <c r="Y212" s="96"/>
      <c r="Z212" s="96" t="s">
        <v>1653</v>
      </c>
      <c r="AA212" s="96"/>
      <c r="AB212" s="96" t="s">
        <v>1651</v>
      </c>
      <c r="AC212" s="96"/>
      <c r="AD212" s="93">
        <f>VLOOKUP(A212,'Parameters Summary'!$B$2:$AB$826,20,FALSE)</f>
        <v>130600</v>
      </c>
      <c r="AE212" s="97" t="str">
        <f>VLOOKUP(A212,'Parameters Summary'!$B$2:$AB$826,21,FALSE)</f>
        <v>EPI</v>
      </c>
      <c r="AF212" s="97"/>
      <c r="AG212" s="94"/>
      <c r="AH212" s="92"/>
      <c r="AI212" s="96" t="s">
        <v>2146</v>
      </c>
      <c r="AJ212" s="330"/>
      <c r="AL212" s="81"/>
    </row>
    <row r="213" spans="1:38" ht="12.75" customHeight="1">
      <c r="A213" s="96" t="s">
        <v>805</v>
      </c>
      <c r="B213" s="96" t="s">
        <v>2306</v>
      </c>
      <c r="C213" s="96" t="str">
        <f t="shared" si="20"/>
        <v>No</v>
      </c>
      <c r="D213" s="96" t="str">
        <f>VLOOKUP(A213,'Tox Summary'!$O$3:$R$824,3,FALSE)</f>
        <v>Yes</v>
      </c>
      <c r="E213" s="97">
        <f>VLOOKUP(A213,'Parameters Summary'!$B$2:$AB$826,4,FALSE)</f>
        <v>449.86</v>
      </c>
      <c r="F213" s="97" t="str">
        <f>VLOOKUP(A213,'Parameters Summary'!$B$2:$AB$826,5,FALSE)</f>
        <v>PHYSPROP</v>
      </c>
      <c r="G213" s="93">
        <f>VLOOKUP(A213,'Parameters Summary'!$B$2:$AB$826,9,FALSE)</f>
        <v>1.5E-9</v>
      </c>
      <c r="H213" s="93" t="str">
        <f>VLOOKUP(A213,'Parameters Summary'!$B$2:$AB$826,10,FALSE)</f>
        <v>PHYSPROP</v>
      </c>
      <c r="I213" s="93">
        <f>VLOOKUP(A213,'Parameters Summary'!$B$2:$AB$826,24,FALSE)</f>
        <v>5.0000000000000001E-3</v>
      </c>
      <c r="J213" s="97" t="str">
        <f>VLOOKUP(A213,'Parameters Summary'!$B$2:$AB$826,25,FALSE)</f>
        <v>PHYSPROP</v>
      </c>
      <c r="K213" s="97" t="str">
        <f>VLOOKUP(A213,'Tox Summary'!$O$3:$S$827,2,FALSE)</f>
        <v/>
      </c>
      <c r="L213" s="93">
        <f>VLOOKUP(A213,'Parameters Summary'!$B$2:$AB$826,7,FALSE)</f>
        <v>1.48E-6</v>
      </c>
      <c r="M213" s="93" t="str">
        <f>VLOOKUP(A213,'Parameters Summary'!$B$2:$AB$826,8,FALSE)</f>
        <v>EPI</v>
      </c>
      <c r="N213" s="91">
        <f>VLOOKUP(A213,'Parameters Summary'!$B$2:$AB$826,6,FALSE)</f>
        <v>6.05E-5</v>
      </c>
      <c r="O213" s="91" t="str">
        <f t="shared" si="18"/>
        <v/>
      </c>
      <c r="P213" s="91">
        <f t="shared" si="21"/>
        <v>6.05E-5</v>
      </c>
      <c r="Q213" s="91" t="str">
        <f t="shared" si="19"/>
        <v/>
      </c>
      <c r="R213" s="91">
        <f t="shared" si="22"/>
        <v>6.05E-5</v>
      </c>
      <c r="S213" s="91" t="str">
        <f t="shared" si="23"/>
        <v/>
      </c>
      <c r="T213" s="93">
        <f>VLOOKUP(A213,'Parameters Summary'!$B$2:$AB$826,15,FALSE)</f>
        <v>3.2362000000000002E-2</v>
      </c>
      <c r="U213" s="93" t="str">
        <f>VLOOKUP(A213,'Parameters Summary'!$B$2:$AB$826,17,FALSE)</f>
        <v>WATER9 (U.S. EPA, 2001)</v>
      </c>
      <c r="V213" s="93">
        <f>VLOOKUP(A213,'Parameters Summary'!$B$2:$AB$826,16,FALSE)</f>
        <v>3.7811999999999999E-6</v>
      </c>
      <c r="W213" s="379" t="str">
        <f>VLOOKUP(A213,'Parameters Summary'!$B$2:$AB$826,17,FALSE)</f>
        <v>WATER9 (U.S. EPA, 2001)</v>
      </c>
      <c r="X213" s="290">
        <f>273.15+189</f>
        <v>462.15</v>
      </c>
      <c r="Y213" s="96" t="s">
        <v>553</v>
      </c>
      <c r="Z213" s="96">
        <f>1.5*X213</f>
        <v>693.22499999999991</v>
      </c>
      <c r="AA213" s="96" t="s">
        <v>2220</v>
      </c>
      <c r="AB213" s="96" t="s">
        <v>1651</v>
      </c>
      <c r="AC213" s="96"/>
      <c r="AD213" s="93">
        <f>VLOOKUP(A213,'Parameters Summary'!$B$2:$AB$826,20,FALSE)</f>
        <v>341300</v>
      </c>
      <c r="AE213" s="97" t="str">
        <f>VLOOKUP(A213,'Parameters Summary'!$B$2:$AB$826,21,FALSE)</f>
        <v>EPI</v>
      </c>
      <c r="AF213" s="97"/>
      <c r="AG213" s="94"/>
      <c r="AH213" s="92"/>
      <c r="AI213" s="96"/>
      <c r="AJ213" s="330"/>
      <c r="AL213" s="81"/>
    </row>
    <row r="214" spans="1:38" ht="12.75" customHeight="1">
      <c r="A214" s="96" t="s">
        <v>806</v>
      </c>
      <c r="B214" s="96" t="s">
        <v>1066</v>
      </c>
      <c r="C214" s="96" t="str">
        <f t="shared" si="20"/>
        <v>No</v>
      </c>
      <c r="D214" s="96" t="str">
        <f>VLOOKUP(A214,'Tox Summary'!$O$3:$R$824,3,FALSE)</f>
        <v>Yes</v>
      </c>
      <c r="E214" s="97">
        <f>VLOOKUP(A214,'Parameters Summary'!$B$2:$AB$826,4,FALSE)</f>
        <v>416.31</v>
      </c>
      <c r="F214" s="97" t="str">
        <f>VLOOKUP(A214,'Parameters Summary'!$B$2:$AB$826,5,FALSE)</f>
        <v>PHYSPROP</v>
      </c>
      <c r="G214" s="93">
        <f>VLOOKUP(A214,'Parameters Summary'!$B$2:$AB$826,9,FALSE)</f>
        <v>3.0699999999999999E-9</v>
      </c>
      <c r="H214" s="93" t="str">
        <f>VLOOKUP(A214,'Parameters Summary'!$B$2:$AB$826,10,FALSE)</f>
        <v>PHYSPROP</v>
      </c>
      <c r="I214" s="93">
        <f>VLOOKUP(A214,'Parameters Summary'!$B$2:$AB$826,24,FALSE)</f>
        <v>4.0000000000000001E-3</v>
      </c>
      <c r="J214" s="97" t="str">
        <f>VLOOKUP(A214,'Parameters Summary'!$B$2:$AB$826,25,FALSE)</f>
        <v>PHYSPROP</v>
      </c>
      <c r="K214" s="97" t="str">
        <f>VLOOKUP(A214,'Tox Summary'!$O$3:$S$827,2,FALSE)</f>
        <v/>
      </c>
      <c r="L214" s="93">
        <f>VLOOKUP(A214,'Parameters Summary'!$B$2:$AB$826,7,FALSE)</f>
        <v>4.2E-7</v>
      </c>
      <c r="M214" s="93" t="str">
        <f>VLOOKUP(A214,'Parameters Summary'!$B$2:$AB$826,8,FALSE)</f>
        <v>EPI</v>
      </c>
      <c r="N214" s="91">
        <f>VLOOKUP(A214,'Parameters Summary'!$B$2:$AB$826,6,FALSE)</f>
        <v>1.7200000000000001E-5</v>
      </c>
      <c r="O214" s="91" t="str">
        <f t="shared" si="18"/>
        <v/>
      </c>
      <c r="P214" s="91">
        <f t="shared" si="21"/>
        <v>1.7200000000000001E-5</v>
      </c>
      <c r="Q214" s="91" t="str">
        <f t="shared" si="19"/>
        <v/>
      </c>
      <c r="R214" s="91">
        <f t="shared" si="22"/>
        <v>1.7200000000000001E-5</v>
      </c>
      <c r="S214" s="91" t="str">
        <f t="shared" si="23"/>
        <v/>
      </c>
      <c r="T214" s="93">
        <f>VLOOKUP(A214,'Parameters Summary'!$B$2:$AB$826,15,FALSE)</f>
        <v>1.8904600000000001E-2</v>
      </c>
      <c r="U214" s="93" t="str">
        <f>VLOOKUP(A214,'Parameters Summary'!$B$2:$AB$826,17,FALSE)</f>
        <v>WATER9 (U.S. EPA, 2001)</v>
      </c>
      <c r="V214" s="93">
        <f>VLOOKUP(A214,'Parameters Summary'!$B$2:$AB$826,16,FALSE)</f>
        <v>4.6534000000000002E-6</v>
      </c>
      <c r="W214" s="379" t="str">
        <f>VLOOKUP(A214,'Parameters Summary'!$B$2:$AB$826,17,FALSE)</f>
        <v>WATER9 (U.S. EPA, 2001)</v>
      </c>
      <c r="X214" s="347"/>
      <c r="Y214" s="96"/>
      <c r="Z214" s="96" t="s">
        <v>1653</v>
      </c>
      <c r="AA214" s="96"/>
      <c r="AB214" s="96" t="s">
        <v>1651</v>
      </c>
      <c r="AC214" s="96"/>
      <c r="AD214" s="93">
        <f>VLOOKUP(A214,'Parameters Summary'!$B$2:$AB$826,20,FALSE)</f>
        <v>79750</v>
      </c>
      <c r="AE214" s="97" t="str">
        <f>VLOOKUP(A214,'Parameters Summary'!$B$2:$AB$826,21,FALSE)</f>
        <v>EPI</v>
      </c>
      <c r="AF214" s="97"/>
      <c r="AG214" s="94"/>
      <c r="AH214" s="92"/>
      <c r="AI214" s="96" t="s">
        <v>2147</v>
      </c>
      <c r="AJ214" s="330"/>
      <c r="AL214" s="81"/>
    </row>
    <row r="215" spans="1:38" ht="12.75" customHeight="1">
      <c r="A215" s="96" t="s">
        <v>807</v>
      </c>
      <c r="B215" s="96" t="s">
        <v>1067</v>
      </c>
      <c r="C215" s="96" t="str">
        <f t="shared" si="20"/>
        <v>No</v>
      </c>
      <c r="D215" s="96" t="str">
        <f>VLOOKUP(A215,'Tox Summary'!$O$3:$R$824,3,FALSE)</f>
        <v>Yes</v>
      </c>
      <c r="E215" s="97">
        <f>VLOOKUP(A215,'Parameters Summary'!$B$2:$AB$826,4,FALSE)</f>
        <v>166.19</v>
      </c>
      <c r="F215" s="97" t="str">
        <f>VLOOKUP(A215,'Parameters Summary'!$B$2:$AB$826,5,FALSE)</f>
        <v>PHYSPROP</v>
      </c>
      <c r="G215" s="93">
        <f>VLOOKUP(A215,'Parameters Summary'!$B$2:$AB$826,9,FALSE)</f>
        <v>3.36E-9</v>
      </c>
      <c r="H215" s="93" t="str">
        <f>VLOOKUP(A215,'Parameters Summary'!$B$2:$AB$826,10,FALSE)</f>
        <v>PHYSPROP</v>
      </c>
      <c r="I215" s="93">
        <f>VLOOKUP(A215,'Parameters Summary'!$B$2:$AB$826,24,FALSE)</f>
        <v>13000</v>
      </c>
      <c r="J215" s="97" t="str">
        <f>VLOOKUP(A215,'Parameters Summary'!$B$2:$AB$826,25,FALSE)</f>
        <v>PHYSPROP</v>
      </c>
      <c r="K215" s="97" t="str">
        <f>VLOOKUP(A215,'Tox Summary'!$O$3:$S$827,2,FALSE)</f>
        <v/>
      </c>
      <c r="L215" s="93">
        <f>VLOOKUP(A215,'Parameters Summary'!$B$2:$AB$826,7,FALSE)</f>
        <v>5.6499999999999999E-14</v>
      </c>
      <c r="M215" s="93" t="str">
        <f>VLOOKUP(A215,'Parameters Summary'!$B$2:$AB$826,8,FALSE)</f>
        <v>EPI</v>
      </c>
      <c r="N215" s="91">
        <f>VLOOKUP(A215,'Parameters Summary'!$B$2:$AB$826,6,FALSE)</f>
        <v>2.3100000000000001E-12</v>
      </c>
      <c r="O215" s="91" t="str">
        <f t="shared" si="18"/>
        <v/>
      </c>
      <c r="P215" s="91">
        <f t="shared" si="21"/>
        <v>2.3100000000000001E-12</v>
      </c>
      <c r="Q215" s="91" t="str">
        <f t="shared" si="19"/>
        <v/>
      </c>
      <c r="R215" s="91">
        <f t="shared" si="22"/>
        <v>2.3100000000000001E-12</v>
      </c>
      <c r="S215" s="91" t="str">
        <f t="shared" si="23"/>
        <v/>
      </c>
      <c r="T215" s="93">
        <f>VLOOKUP(A215,'Parameters Summary'!$B$2:$AB$826,15,FALSE)</f>
        <v>6.2856499999999996E-2</v>
      </c>
      <c r="U215" s="93" t="str">
        <f>VLOOKUP(A215,'Parameters Summary'!$B$2:$AB$826,17,FALSE)</f>
        <v>WATER9 (U.S. EPA, 2001)</v>
      </c>
      <c r="V215" s="93">
        <f>VLOOKUP(A215,'Parameters Summary'!$B$2:$AB$826,16,FALSE)</f>
        <v>7.3443000000000001E-6</v>
      </c>
      <c r="W215" s="379" t="str">
        <f>VLOOKUP(A215,'Parameters Summary'!$B$2:$AB$826,17,FALSE)</f>
        <v>WATER9 (U.S. EPA, 2001)</v>
      </c>
      <c r="X215" s="347"/>
      <c r="Y215" s="96"/>
      <c r="Z215" s="96" t="s">
        <v>1653</v>
      </c>
      <c r="AA215" s="96"/>
      <c r="AB215" s="96" t="s">
        <v>1651</v>
      </c>
      <c r="AC215" s="96"/>
      <c r="AD215" s="93">
        <f>VLOOKUP(A215,'Parameters Summary'!$B$2:$AB$826,20,FALSE)</f>
        <v>28.73</v>
      </c>
      <c r="AE215" s="97" t="str">
        <f>VLOOKUP(A215,'Parameters Summary'!$B$2:$AB$826,21,FALSE)</f>
        <v>EPI</v>
      </c>
      <c r="AF215" s="97"/>
      <c r="AG215" s="94"/>
      <c r="AH215" s="92"/>
      <c r="AI215" s="96"/>
      <c r="AJ215" s="330"/>
      <c r="AL215" s="81"/>
    </row>
    <row r="216" spans="1:38" ht="12.75" customHeight="1">
      <c r="A216" s="96" t="s">
        <v>812</v>
      </c>
      <c r="B216" s="96" t="s">
        <v>1068</v>
      </c>
      <c r="C216" s="96" t="str">
        <f t="shared" si="20"/>
        <v>No</v>
      </c>
      <c r="D216" s="96" t="str">
        <f>VLOOKUP(A216,'Tox Summary'!$O$3:$R$824,3,FALSE)</f>
        <v>No</v>
      </c>
      <c r="E216" s="97">
        <f>VLOOKUP(A216,'Parameters Summary'!$B$2:$AB$826,4,FALSE)</f>
        <v>142.97</v>
      </c>
      <c r="F216" s="97" t="str">
        <f>VLOOKUP(A216,'Parameters Summary'!$B$2:$AB$826,5,FALSE)</f>
        <v>PHYSPROP</v>
      </c>
      <c r="G216" s="93">
        <f>VLOOKUP(A216,'Parameters Summary'!$B$2:$AB$826,9,FALSE)</f>
        <v>0.151</v>
      </c>
      <c r="H216" s="93" t="str">
        <f>VLOOKUP(A216,'Parameters Summary'!$B$2:$AB$826,10,FALSE)</f>
        <v>EPI</v>
      </c>
      <c r="I216" s="93">
        <f>VLOOKUP(A216,'Parameters Summary'!$B$2:$AB$826,24,FALSE)</f>
        <v>502000</v>
      </c>
      <c r="J216" s="97" t="str">
        <f>VLOOKUP(A216,'Parameters Summary'!$B$2:$AB$826,25,FALSE)</f>
        <v>PHYSPROP</v>
      </c>
      <c r="K216" s="97">
        <f>VLOOKUP(A216,'Tox Summary'!$O$3:$S$827,2,FALSE)</f>
        <v>200</v>
      </c>
      <c r="L216" s="93">
        <f>VLOOKUP(A216,'Parameters Summary'!$B$2:$AB$826,7,FALSE)</f>
        <v>5.6599999999999997E-8</v>
      </c>
      <c r="M216" s="93" t="str">
        <f>VLOOKUP(A216,'Parameters Summary'!$B$2:$AB$826,8,FALSE)</f>
        <v>EPI</v>
      </c>
      <c r="N216" s="91">
        <f>VLOOKUP(A216,'Parameters Summary'!$B$2:$AB$826,6,FALSE)</f>
        <v>2.3140000000000002E-6</v>
      </c>
      <c r="O216" s="91" t="str">
        <f t="shared" si="18"/>
        <v/>
      </c>
      <c r="P216" s="91">
        <f t="shared" si="21"/>
        <v>2.3140000000000002E-6</v>
      </c>
      <c r="Q216" s="91" t="str">
        <f t="shared" si="19"/>
        <v/>
      </c>
      <c r="R216" s="91">
        <f t="shared" si="22"/>
        <v>2.3140000000000002E-6</v>
      </c>
      <c r="S216" s="91" t="str">
        <f t="shared" si="23"/>
        <v/>
      </c>
      <c r="T216" s="93">
        <f>VLOOKUP(A216,'Parameters Summary'!$B$2:$AB$826,15,FALSE)</f>
        <v>6.0081299999999997E-2</v>
      </c>
      <c r="U216" s="93" t="str">
        <f>VLOOKUP(A216,'Parameters Summary'!$B$2:$AB$826,17,FALSE)</f>
        <v>WATER9 (U.S. EPA, 2001)</v>
      </c>
      <c r="V216" s="93">
        <f>VLOOKUP(A216,'Parameters Summary'!$B$2:$AB$826,16,FALSE)</f>
        <v>9.4134000000000004E-6</v>
      </c>
      <c r="W216" s="379" t="str">
        <f>VLOOKUP(A216,'Parameters Summary'!$B$2:$AB$826,17,FALSE)</f>
        <v>WATER9 (U.S. EPA, 2001)</v>
      </c>
      <c r="X216" s="290">
        <v>460.65</v>
      </c>
      <c r="Y216" s="96" t="s">
        <v>553</v>
      </c>
      <c r="Z216" s="96">
        <f>1.5*X216</f>
        <v>690.97499999999991</v>
      </c>
      <c r="AA216" s="96" t="s">
        <v>2220</v>
      </c>
      <c r="AB216" s="96" t="s">
        <v>1651</v>
      </c>
      <c r="AC216" s="96"/>
      <c r="AD216" s="93">
        <f>VLOOKUP(A216,'Parameters Summary'!$B$2:$AB$826,20,FALSE)</f>
        <v>3.2309999999999999</v>
      </c>
      <c r="AE216" s="97" t="str">
        <f>VLOOKUP(A216,'Parameters Summary'!$B$2:$AB$826,21,FALSE)</f>
        <v>EPI</v>
      </c>
      <c r="AF216" s="97"/>
      <c r="AG216" s="94"/>
      <c r="AH216" s="92"/>
      <c r="AI216" s="96"/>
      <c r="AJ216" s="330"/>
      <c r="AL216" s="81"/>
    </row>
    <row r="217" spans="1:38" ht="12.75" customHeight="1">
      <c r="A217" s="96" t="s">
        <v>631</v>
      </c>
      <c r="B217" s="96" t="s">
        <v>2307</v>
      </c>
      <c r="C217" s="96" t="str">
        <f t="shared" si="20"/>
        <v>No</v>
      </c>
      <c r="D217" s="96" t="str">
        <f>VLOOKUP(A217,'Tox Summary'!$O$3:$R$824,3,FALSE)</f>
        <v>No</v>
      </c>
      <c r="E217" s="97">
        <f>VLOOKUP(A217,'Parameters Summary'!$B$2:$AB$826,4,FALSE)</f>
        <v>160.16999999999999</v>
      </c>
      <c r="F217" s="97" t="str">
        <f>VLOOKUP(A217,'Parameters Summary'!$B$2:$AB$826,5,FALSE)</f>
        <v>PHYSPROP</v>
      </c>
      <c r="G217" s="93">
        <f>VLOOKUP(A217,'Parameters Summary'!$B$2:$AB$826,9,FALSE)</f>
        <v>2.0000000000000001E-4</v>
      </c>
      <c r="H217" s="93" t="str">
        <f>VLOOKUP(A217,'Parameters Summary'!$B$2:$AB$826,10,FALSE)</f>
        <v>PHYSPROP</v>
      </c>
      <c r="I217" s="93">
        <f>VLOOKUP(A217,'Parameters Summary'!$B$2:$AB$826,24,FALSE)</f>
        <v>100000</v>
      </c>
      <c r="J217" s="97" t="str">
        <f>VLOOKUP(A217,'Parameters Summary'!$B$2:$AB$826,25,FALSE)</f>
        <v>PHYSPROP</v>
      </c>
      <c r="K217" s="97" t="str">
        <f>VLOOKUP(A217,'Tox Summary'!$O$3:$S$827,2,FALSE)</f>
        <v/>
      </c>
      <c r="L217" s="93">
        <f>VLOOKUP(A217,'Parameters Summary'!$B$2:$AB$826,7,FALSE)</f>
        <v>4.2299999999999999E-10</v>
      </c>
      <c r="M217" s="93" t="str">
        <f>VLOOKUP(A217,'Parameters Summary'!$B$2:$AB$826,8,FALSE)</f>
        <v>EPI</v>
      </c>
      <c r="N217" s="91">
        <f>VLOOKUP(A217,'Parameters Summary'!$B$2:$AB$826,6,FALSE)</f>
        <v>1.7293999999999999E-8</v>
      </c>
      <c r="O217" s="91" t="str">
        <f t="shared" si="18"/>
        <v/>
      </c>
      <c r="P217" s="91">
        <f t="shared" si="21"/>
        <v>1.7293999999999999E-8</v>
      </c>
      <c r="Q217" s="91" t="str">
        <f t="shared" si="19"/>
        <v/>
      </c>
      <c r="R217" s="91">
        <f t="shared" si="22"/>
        <v>1.7293999999999999E-8</v>
      </c>
      <c r="S217" s="91" t="str">
        <f t="shared" si="23"/>
        <v/>
      </c>
      <c r="T217" s="93">
        <f>VLOOKUP(A217,'Parameters Summary'!$B$2:$AB$826,15,FALSE)</f>
        <v>6.4421800000000001E-2</v>
      </c>
      <c r="U217" s="93" t="str">
        <f>VLOOKUP(A217,'Parameters Summary'!$B$2:$AB$826,17,FALSE)</f>
        <v>WATER9 (U.S. EPA, 2001)</v>
      </c>
      <c r="V217" s="93">
        <f>VLOOKUP(A217,'Parameters Summary'!$B$2:$AB$826,16,FALSE)</f>
        <v>7.5271999999999997E-6</v>
      </c>
      <c r="W217" s="379" t="str">
        <f>VLOOKUP(A217,'Parameters Summary'!$B$2:$AB$826,17,FALSE)</f>
        <v>WATER9 (U.S. EPA, 2001)</v>
      </c>
      <c r="X217" s="347"/>
      <c r="Y217" s="96"/>
      <c r="Z217" s="96" t="s">
        <v>1653</v>
      </c>
      <c r="AA217" s="96"/>
      <c r="AB217" s="96" t="s">
        <v>1651</v>
      </c>
      <c r="AC217" s="96"/>
      <c r="AD217" s="93">
        <f>VLOOKUP(A217,'Parameters Summary'!$B$2:$AB$826,20,FALSE)</f>
        <v>10</v>
      </c>
      <c r="AE217" s="97" t="str">
        <f>VLOOKUP(A217,'Parameters Summary'!$B$2:$AB$826,21,FALSE)</f>
        <v>EPI</v>
      </c>
      <c r="AF217" s="97"/>
      <c r="AG217" s="94"/>
      <c r="AH217" s="92"/>
      <c r="AI217" s="94"/>
      <c r="AJ217" s="330"/>
      <c r="AL217" s="81"/>
    </row>
    <row r="218" spans="1:38" ht="12.75" customHeight="1">
      <c r="A218" s="96" t="s">
        <v>808</v>
      </c>
      <c r="B218" s="96" t="s">
        <v>435</v>
      </c>
      <c r="C218" s="96" t="str">
        <f t="shared" si="20"/>
        <v>No</v>
      </c>
      <c r="D218" s="96" t="str">
        <f>VLOOKUP(A218,'Tox Summary'!$O$3:$R$824,3,FALSE)</f>
        <v>No</v>
      </c>
      <c r="E218" s="97">
        <f>VLOOKUP(A218,'Parameters Summary'!$B$2:$AB$826,4,FALSE)</f>
        <v>320.05</v>
      </c>
      <c r="F218" s="97" t="str">
        <f>VLOOKUP(A218,'Parameters Summary'!$B$2:$AB$826,5,FALSE)</f>
        <v>PHYSPROP</v>
      </c>
      <c r="G218" s="93">
        <f>VLOOKUP(A218,'Parameters Summary'!$B$2:$AB$826,9,FALSE)</f>
        <v>1.35E-6</v>
      </c>
      <c r="H218" s="93" t="str">
        <f>VLOOKUP(A218,'Parameters Summary'!$B$2:$AB$826,10,FALSE)</f>
        <v>PHYSPROP</v>
      </c>
      <c r="I218" s="93">
        <f>VLOOKUP(A218,'Parameters Summary'!$B$2:$AB$826,24,FALSE)</f>
        <v>0.09</v>
      </c>
      <c r="J218" s="97" t="str">
        <f>VLOOKUP(A218,'Parameters Summary'!$B$2:$AB$826,25,FALSE)</f>
        <v>PHYSPROP</v>
      </c>
      <c r="K218" s="97" t="str">
        <f>VLOOKUP(A218,'Tox Summary'!$O$3:$S$827,2,FALSE)</f>
        <v/>
      </c>
      <c r="L218" s="93">
        <f>VLOOKUP(A218,'Parameters Summary'!$B$2:$AB$826,7,FALSE)</f>
        <v>6.6000000000000003E-6</v>
      </c>
      <c r="M218" s="93" t="str">
        <f>VLOOKUP(A218,'Parameters Summary'!$B$2:$AB$826,8,FALSE)</f>
        <v>PHYSPROP</v>
      </c>
      <c r="N218" s="91">
        <f>VLOOKUP(A218,'Parameters Summary'!$B$2:$AB$826,6,FALSE)</f>
        <v>2.698E-4</v>
      </c>
      <c r="O218" s="91" t="str">
        <f t="shared" si="18"/>
        <v/>
      </c>
      <c r="P218" s="91">
        <f t="shared" si="21"/>
        <v>2.698E-4</v>
      </c>
      <c r="Q218" s="91" t="str">
        <f t="shared" si="19"/>
        <v/>
      </c>
      <c r="R218" s="91">
        <f t="shared" si="22"/>
        <v>2.698E-4</v>
      </c>
      <c r="S218" s="91" t="str">
        <f t="shared" si="23"/>
        <v/>
      </c>
      <c r="T218" s="93">
        <f>VLOOKUP(A218,'Parameters Summary'!$B$2:$AB$826,15,FALSE)</f>
        <v>4.0607699999999997E-2</v>
      </c>
      <c r="U218" s="93" t="str">
        <f>VLOOKUP(A218,'Parameters Summary'!$B$2:$AB$826,17,FALSE)</f>
        <v>WATER9 (U.S. EPA, 2001)</v>
      </c>
      <c r="V218" s="93">
        <f>VLOOKUP(A218,'Parameters Summary'!$B$2:$AB$826,16,FALSE)</f>
        <v>4.7446999999999997E-6</v>
      </c>
      <c r="W218" s="379" t="str">
        <f>VLOOKUP(A218,'Parameters Summary'!$B$2:$AB$826,17,FALSE)</f>
        <v>WATER9 (U.S. EPA, 2001)</v>
      </c>
      <c r="X218" s="290">
        <v>623.15</v>
      </c>
      <c r="Y218" s="96" t="s">
        <v>553</v>
      </c>
      <c r="Z218" s="96">
        <f t="shared" ref="Z218:Z224" si="24">1.5*X218</f>
        <v>934.72499999999991</v>
      </c>
      <c r="AA218" s="96" t="s">
        <v>2220</v>
      </c>
      <c r="AB218" s="96" t="s">
        <v>1651</v>
      </c>
      <c r="AC218" s="96"/>
      <c r="AD218" s="93">
        <f>VLOOKUP(A218,'Parameters Summary'!$B$2:$AB$826,20,FALSE)</f>
        <v>117500</v>
      </c>
      <c r="AE218" s="97" t="str">
        <f>VLOOKUP(A218,'Parameters Summary'!$B$2:$AB$826,21,FALSE)</f>
        <v>EPI</v>
      </c>
      <c r="AF218" s="97"/>
      <c r="AG218" s="94"/>
      <c r="AH218" s="92"/>
      <c r="AI218" s="94"/>
      <c r="AJ218" s="330"/>
      <c r="AL218" s="81"/>
    </row>
    <row r="219" spans="1:38" ht="12.75" customHeight="1">
      <c r="A219" s="95" t="s">
        <v>809</v>
      </c>
      <c r="B219" s="96" t="s">
        <v>1069</v>
      </c>
      <c r="C219" s="96" t="str">
        <f t="shared" si="20"/>
        <v>Yes</v>
      </c>
      <c r="D219" s="96" t="str">
        <f>VLOOKUP(A219,'Tox Summary'!$O$3:$R$824,3,FALSE)</f>
        <v>Yes</v>
      </c>
      <c r="E219" s="97">
        <f>VLOOKUP(A219,'Parameters Summary'!$B$2:$AB$826,4,FALSE)</f>
        <v>318.02999999999997</v>
      </c>
      <c r="F219" s="97" t="str">
        <f>VLOOKUP(A219,'Parameters Summary'!$B$2:$AB$826,5,FALSE)</f>
        <v>PHYSPROP</v>
      </c>
      <c r="G219" s="93">
        <f>VLOOKUP(A219,'Parameters Summary'!$B$2:$AB$826,9,FALSE)</f>
        <v>6.0000000000000002E-6</v>
      </c>
      <c r="H219" s="93" t="str">
        <f>VLOOKUP(A219,'Parameters Summary'!$B$2:$AB$826,10,FALSE)</f>
        <v>EPI</v>
      </c>
      <c r="I219" s="93">
        <f>VLOOKUP(A219,'Parameters Summary'!$B$2:$AB$826,24,FALSE)</f>
        <v>0.04</v>
      </c>
      <c r="J219" s="97" t="str">
        <f>VLOOKUP(A219,'Parameters Summary'!$B$2:$AB$826,25,FALSE)</f>
        <v>PHYSPROP</v>
      </c>
      <c r="K219" s="97" t="str">
        <f>VLOOKUP(A219,'Tox Summary'!$O$3:$S$827,2,FALSE)</f>
        <v/>
      </c>
      <c r="L219" s="93">
        <f>VLOOKUP(A219,'Parameters Summary'!$B$2:$AB$826,7,FALSE)</f>
        <v>4.1600000000000002E-5</v>
      </c>
      <c r="M219" s="93" t="str">
        <f>VLOOKUP(A219,'Parameters Summary'!$B$2:$AB$826,8,FALSE)</f>
        <v>PHYSPROP</v>
      </c>
      <c r="N219" s="91">
        <f>VLOOKUP(A219,'Parameters Summary'!$B$2:$AB$826,6,FALSE)</f>
        <v>1.7007000000000001E-3</v>
      </c>
      <c r="O219" s="91">
        <f t="shared" si="18"/>
        <v>1.7007000000000001E-3</v>
      </c>
      <c r="P219" s="91">
        <f t="shared" si="21"/>
        <v>1.7007000000000001E-3</v>
      </c>
      <c r="Q219" s="91">
        <f t="shared" si="19"/>
        <v>1.7007000000000001E-3</v>
      </c>
      <c r="R219" s="91">
        <f t="shared" si="22"/>
        <v>1.7007000000000001E-3</v>
      </c>
      <c r="S219" s="91">
        <f t="shared" si="23"/>
        <v>102.67684859252986</v>
      </c>
      <c r="T219" s="93">
        <f>VLOOKUP(A219,'Parameters Summary'!$B$2:$AB$826,15,FALSE)</f>
        <v>2.29959E-2</v>
      </c>
      <c r="U219" s="93" t="str">
        <f>VLOOKUP(A219,'Parameters Summary'!$B$2:$AB$826,17,FALSE)</f>
        <v>WATER9 (U.S. EPA, 2001)</v>
      </c>
      <c r="V219" s="93">
        <f>VLOOKUP(A219,'Parameters Summary'!$B$2:$AB$826,16,FALSE)</f>
        <v>5.8591999999999997E-6</v>
      </c>
      <c r="W219" s="379" t="str">
        <f>VLOOKUP(A219,'Parameters Summary'!$B$2:$AB$826,17,FALSE)</f>
        <v>WATER9 (U.S. EPA, 2001)</v>
      </c>
      <c r="X219" s="290">
        <f>336+273.15</f>
        <v>609.15</v>
      </c>
      <c r="Y219" s="96" t="s">
        <v>553</v>
      </c>
      <c r="Z219" s="96">
        <f t="shared" si="24"/>
        <v>913.72499999999991</v>
      </c>
      <c r="AA219" s="96" t="s">
        <v>2220</v>
      </c>
      <c r="AB219" s="96">
        <v>15000</v>
      </c>
      <c r="AC219" s="96" t="s">
        <v>2227</v>
      </c>
      <c r="AD219" s="93">
        <f>VLOOKUP(A219,'Parameters Summary'!$B$2:$AB$826,20,FALSE)</f>
        <v>117500</v>
      </c>
      <c r="AE219" s="97" t="str">
        <f>VLOOKUP(A219,'Parameters Summary'!$B$2:$AB$826,21,FALSE)</f>
        <v>EPI</v>
      </c>
      <c r="AF219" s="380"/>
      <c r="AG219" s="97"/>
      <c r="AH219" s="92"/>
      <c r="AI219" s="94"/>
      <c r="AJ219" s="330"/>
      <c r="AL219" s="81"/>
    </row>
    <row r="220" spans="1:38" ht="12.75" customHeight="1">
      <c r="A220" s="96" t="s">
        <v>810</v>
      </c>
      <c r="B220" s="96" t="s">
        <v>436</v>
      </c>
      <c r="C220" s="96" t="str">
        <f t="shared" si="20"/>
        <v>No</v>
      </c>
      <c r="D220" s="96" t="str">
        <f>VLOOKUP(A220,'Tox Summary'!$O$3:$R$824,3,FALSE)</f>
        <v>No</v>
      </c>
      <c r="E220" s="97">
        <f>VLOOKUP(A220,'Parameters Summary'!$B$2:$AB$826,4,FALSE)</f>
        <v>354.49</v>
      </c>
      <c r="F220" s="97" t="str">
        <f>VLOOKUP(A220,'Parameters Summary'!$B$2:$AB$826,5,FALSE)</f>
        <v>PHYSPROP</v>
      </c>
      <c r="G220" s="93">
        <f>VLOOKUP(A220,'Parameters Summary'!$B$2:$AB$826,9,FALSE)</f>
        <v>1.6E-7</v>
      </c>
      <c r="H220" s="93" t="str">
        <f>VLOOKUP(A220,'Parameters Summary'!$B$2:$AB$826,10,FALSE)</f>
        <v>PHYSPROP</v>
      </c>
      <c r="I220" s="93">
        <f>VLOOKUP(A220,'Parameters Summary'!$B$2:$AB$826,24,FALSE)</f>
        <v>5.4999999999999997E-3</v>
      </c>
      <c r="J220" s="97" t="str">
        <f>VLOOKUP(A220,'Parameters Summary'!$B$2:$AB$826,25,FALSE)</f>
        <v>PHYSPROP</v>
      </c>
      <c r="K220" s="97" t="str">
        <f>VLOOKUP(A220,'Tox Summary'!$O$3:$S$827,2,FALSE)</f>
        <v/>
      </c>
      <c r="L220" s="93">
        <f>VLOOKUP(A220,'Parameters Summary'!$B$2:$AB$826,7,FALSE)</f>
        <v>8.32E-6</v>
      </c>
      <c r="M220" s="93" t="str">
        <f>VLOOKUP(A220,'Parameters Summary'!$B$2:$AB$826,8,FALSE)</f>
        <v>PHYSPROP</v>
      </c>
      <c r="N220" s="91">
        <f>VLOOKUP(A220,'Parameters Summary'!$B$2:$AB$826,6,FALSE)</f>
        <v>3.4010000000000003E-4</v>
      </c>
      <c r="O220" s="91" t="str">
        <f t="shared" si="18"/>
        <v/>
      </c>
      <c r="P220" s="91">
        <f t="shared" si="21"/>
        <v>3.4010000000000003E-4</v>
      </c>
      <c r="Q220" s="91" t="str">
        <f t="shared" si="19"/>
        <v/>
      </c>
      <c r="R220" s="91">
        <f t="shared" si="22"/>
        <v>3.4010000000000003E-4</v>
      </c>
      <c r="S220" s="91" t="str">
        <f t="shared" si="23"/>
        <v/>
      </c>
      <c r="T220" s="93">
        <f>VLOOKUP(A220,'Parameters Summary'!$B$2:$AB$826,15,FALSE)</f>
        <v>3.7933000000000001E-2</v>
      </c>
      <c r="U220" s="93" t="str">
        <f>VLOOKUP(A220,'Parameters Summary'!$B$2:$AB$826,17,FALSE)</f>
        <v>WATER9 (U.S. EPA, 2001)</v>
      </c>
      <c r="V220" s="93">
        <f>VLOOKUP(A220,'Parameters Summary'!$B$2:$AB$826,16,FALSE)</f>
        <v>4.4321999999999997E-6</v>
      </c>
      <c r="W220" s="379" t="str">
        <f>VLOOKUP(A220,'Parameters Summary'!$B$2:$AB$826,17,FALSE)</f>
        <v>WATER9 (U.S. EPA, 2001)</v>
      </c>
      <c r="X220" s="290">
        <v>533.15</v>
      </c>
      <c r="Y220" s="96" t="s">
        <v>553</v>
      </c>
      <c r="Z220" s="96">
        <f t="shared" si="24"/>
        <v>799.72499999999991</v>
      </c>
      <c r="AA220" s="96" t="s">
        <v>2220</v>
      </c>
      <c r="AB220" s="96" t="s">
        <v>1651</v>
      </c>
      <c r="AC220" s="96"/>
      <c r="AD220" s="93">
        <f>VLOOKUP(A220,'Parameters Summary'!$B$2:$AB$826,20,FALSE)</f>
        <v>168600</v>
      </c>
      <c r="AE220" s="97" t="str">
        <f>VLOOKUP(A220,'Parameters Summary'!$B$2:$AB$826,21,FALSE)</f>
        <v>EPI</v>
      </c>
      <c r="AF220" s="97"/>
      <c r="AG220" s="94"/>
      <c r="AH220" s="92"/>
      <c r="AI220" s="94"/>
      <c r="AJ220" s="330"/>
      <c r="AL220" s="81"/>
    </row>
    <row r="221" spans="1:38" ht="12.75" customHeight="1">
      <c r="A221" s="96" t="s">
        <v>813</v>
      </c>
      <c r="B221" s="96" t="s">
        <v>527</v>
      </c>
      <c r="C221" s="96" t="str">
        <f t="shared" si="20"/>
        <v>No</v>
      </c>
      <c r="D221" s="96" t="str">
        <f>VLOOKUP(A221,'Tox Summary'!$O$3:$R$824,3,FALSE)</f>
        <v>No</v>
      </c>
      <c r="E221" s="97">
        <f>VLOOKUP(A221,'Parameters Summary'!$B$2:$AB$826,4,FALSE)</f>
        <v>959.17</v>
      </c>
      <c r="F221" s="97" t="str">
        <f>VLOOKUP(A221,'Parameters Summary'!$B$2:$AB$826,5,FALSE)</f>
        <v>PHYSPROP</v>
      </c>
      <c r="G221" s="93">
        <f>VLOOKUP(A221,'Parameters Summary'!$B$2:$AB$826,9,FALSE)</f>
        <v>4.6700000000000001E-12</v>
      </c>
      <c r="H221" s="93" t="str">
        <f>VLOOKUP(A221,'Parameters Summary'!$B$2:$AB$826,10,FALSE)</f>
        <v>PHYSPROP</v>
      </c>
      <c r="I221" s="93">
        <f>VLOOKUP(A221,'Parameters Summary'!$B$2:$AB$826,24,FALSE)</f>
        <v>1E-4</v>
      </c>
      <c r="J221" s="97" t="str">
        <f>VLOOKUP(A221,'Parameters Summary'!$B$2:$AB$826,25,FALSE)</f>
        <v>PHYSPROP</v>
      </c>
      <c r="K221" s="97" t="str">
        <f>VLOOKUP(A221,'Tox Summary'!$O$3:$S$827,2,FALSE)</f>
        <v/>
      </c>
      <c r="L221" s="93">
        <f>VLOOKUP(A221,'Parameters Summary'!$B$2:$AB$826,7,FALSE)</f>
        <v>1.1900000000000001E-8</v>
      </c>
      <c r="M221" s="93" t="str">
        <f>VLOOKUP(A221,'Parameters Summary'!$B$2:$AB$826,8,FALSE)</f>
        <v>PHYSPROP</v>
      </c>
      <c r="N221" s="91">
        <f>VLOOKUP(A221,'Parameters Summary'!$B$2:$AB$826,6,FALSE)</f>
        <v>4.8650999999999998E-7</v>
      </c>
      <c r="O221" s="91" t="str">
        <f t="shared" si="18"/>
        <v/>
      </c>
      <c r="P221" s="91">
        <f t="shared" si="21"/>
        <v>4.8650999999999998E-7</v>
      </c>
      <c r="Q221" s="91" t="str">
        <f t="shared" si="19"/>
        <v/>
      </c>
      <c r="R221" s="91">
        <f t="shared" si="22"/>
        <v>4.8650999999999998E-7</v>
      </c>
      <c r="S221" s="91" t="str">
        <f t="shared" si="23"/>
        <v/>
      </c>
      <c r="T221" s="93">
        <f>VLOOKUP(A221,'Parameters Summary'!$B$2:$AB$826,15,FALSE)</f>
        <v>1.8924099999999999E-2</v>
      </c>
      <c r="U221" s="93" t="str">
        <f>VLOOKUP(A221,'Parameters Summary'!$B$2:$AB$826,17,FALSE)</f>
        <v>WATER9 (U.S. EPA, 2001)</v>
      </c>
      <c r="V221" s="93">
        <f>VLOOKUP(A221,'Parameters Summary'!$B$2:$AB$826,16,FALSE)</f>
        <v>4.7688E-6</v>
      </c>
      <c r="W221" s="379" t="str">
        <f>VLOOKUP(A221,'Parameters Summary'!$B$2:$AB$826,17,FALSE)</f>
        <v>WATER9 (U.S. EPA, 2001)</v>
      </c>
      <c r="X221" s="290">
        <v>803.15</v>
      </c>
      <c r="Y221" s="96" t="s">
        <v>553</v>
      </c>
      <c r="Z221" s="96">
        <f t="shared" si="24"/>
        <v>1204.7249999999999</v>
      </c>
      <c r="AA221" s="96" t="s">
        <v>2220</v>
      </c>
      <c r="AB221" s="96" t="s">
        <v>1651</v>
      </c>
      <c r="AC221" s="96"/>
      <c r="AD221" s="93">
        <f>VLOOKUP(A221,'Parameters Summary'!$B$2:$AB$826,20,FALSE)</f>
        <v>276200</v>
      </c>
      <c r="AE221" s="97" t="str">
        <f>VLOOKUP(A221,'Parameters Summary'!$B$2:$AB$826,21,FALSE)</f>
        <v>EPI</v>
      </c>
      <c r="AF221" s="97"/>
      <c r="AG221" s="94"/>
      <c r="AH221" s="92"/>
      <c r="AI221" s="94" t="s">
        <v>2148</v>
      </c>
      <c r="AJ221" s="330"/>
      <c r="AL221" s="81"/>
    </row>
    <row r="222" spans="1:38" ht="12.75" customHeight="1">
      <c r="A222" s="96" t="s">
        <v>814</v>
      </c>
      <c r="B222" s="96" t="s">
        <v>1070</v>
      </c>
      <c r="C222" s="96" t="str">
        <f t="shared" si="20"/>
        <v>No</v>
      </c>
      <c r="D222" s="96" t="str">
        <f>VLOOKUP(A222,'Tox Summary'!$O$3:$R$824,3,FALSE)</f>
        <v>No</v>
      </c>
      <c r="E222" s="97">
        <f>VLOOKUP(A222,'Parameters Summary'!$B$2:$AB$826,4,FALSE)</f>
        <v>516.67999999999995</v>
      </c>
      <c r="F222" s="97" t="str">
        <f>VLOOKUP(A222,'Parameters Summary'!$B$2:$AB$826,5,FALSE)</f>
        <v>PHYSPROP</v>
      </c>
      <c r="G222" s="93">
        <f>VLOOKUP(A222,'Parameters Summary'!$B$2:$AB$826,9,FALSE)</f>
        <v>3.4000000000000002E-4</v>
      </c>
      <c r="H222" s="93" t="str">
        <f>VLOOKUP(A222,'Parameters Summary'!$B$2:$AB$826,10,FALSE)</f>
        <v>PHYSPROP</v>
      </c>
      <c r="I222" s="93">
        <f>VLOOKUP(A222,'Parameters Summary'!$B$2:$AB$826,24,FALSE)</f>
        <v>666</v>
      </c>
      <c r="J222" s="97" t="str">
        <f>VLOOKUP(A222,'Parameters Summary'!$B$2:$AB$826,25,FALSE)</f>
        <v>PHYSPROP</v>
      </c>
      <c r="K222" s="97" t="str">
        <f>VLOOKUP(A222,'Tox Summary'!$O$3:$S$827,2,FALSE)</f>
        <v/>
      </c>
      <c r="L222" s="93">
        <f>VLOOKUP(A222,'Parameters Summary'!$B$2:$AB$826,7,FALSE)</f>
        <v>3.8199999999999998E-6</v>
      </c>
      <c r="M222" s="93" t="str">
        <f>VLOOKUP(A222,'Parameters Summary'!$B$2:$AB$826,8,FALSE)</f>
        <v>PHYSPROP</v>
      </c>
      <c r="N222" s="91">
        <f>VLOOKUP(A222,'Parameters Summary'!$B$2:$AB$826,6,FALSE)</f>
        <v>1.562E-4</v>
      </c>
      <c r="O222" s="91" t="str">
        <f t="shared" si="18"/>
        <v/>
      </c>
      <c r="P222" s="91">
        <f t="shared" si="21"/>
        <v>1.562E-4</v>
      </c>
      <c r="Q222" s="91" t="str">
        <f t="shared" si="19"/>
        <v/>
      </c>
      <c r="R222" s="91">
        <f t="shared" si="22"/>
        <v>1.562E-4</v>
      </c>
      <c r="S222" s="91" t="str">
        <f t="shared" si="23"/>
        <v/>
      </c>
      <c r="T222" s="93">
        <f>VLOOKUP(A222,'Parameters Summary'!$B$2:$AB$826,15,FALSE)</f>
        <v>1.5964200000000001E-2</v>
      </c>
      <c r="U222" s="93" t="str">
        <f>VLOOKUP(A222,'Parameters Summary'!$B$2:$AB$826,17,FALSE)</f>
        <v>WATER9 (U.S. EPA, 2001)</v>
      </c>
      <c r="V222" s="93">
        <f>VLOOKUP(A222,'Parameters Summary'!$B$2:$AB$826,16,FALSE)</f>
        <v>3.8271000000000002E-6</v>
      </c>
      <c r="W222" s="379" t="str">
        <f>VLOOKUP(A222,'Parameters Summary'!$B$2:$AB$826,17,FALSE)</f>
        <v>WATER9 (U.S. EPA, 2001)</v>
      </c>
      <c r="X222" s="290">
        <v>407.15</v>
      </c>
      <c r="Y222" s="96" t="s">
        <v>553</v>
      </c>
      <c r="Z222" s="96">
        <f t="shared" si="24"/>
        <v>610.72499999999991</v>
      </c>
      <c r="AA222" s="96" t="s">
        <v>2220</v>
      </c>
      <c r="AB222" s="96" t="s">
        <v>1651</v>
      </c>
      <c r="AC222" s="96"/>
      <c r="AD222" s="93" t="str">
        <f>VLOOKUP(A222,'Parameters Summary'!$B$2:$AB$826,20,FALSE)</f>
        <v xml:space="preserve"> </v>
      </c>
      <c r="AE222" s="97" t="str">
        <f>VLOOKUP(A222,'Parameters Summary'!$B$2:$AB$826,21,FALSE)</f>
        <v/>
      </c>
      <c r="AF222" s="97"/>
      <c r="AG222" s="94"/>
      <c r="AH222" s="92"/>
      <c r="AI222" s="94" t="s">
        <v>2149</v>
      </c>
      <c r="AJ222" s="330"/>
      <c r="AL222" s="81"/>
    </row>
    <row r="223" spans="1:38" ht="12.75" customHeight="1">
      <c r="A223" s="96" t="s">
        <v>815</v>
      </c>
      <c r="B223" s="96" t="s">
        <v>1071</v>
      </c>
      <c r="C223" s="96" t="str">
        <f t="shared" si="20"/>
        <v>No</v>
      </c>
      <c r="D223" s="96" t="str">
        <f>VLOOKUP(A223,'Tox Summary'!$O$3:$R$824,3,FALSE)</f>
        <v>No</v>
      </c>
      <c r="E223" s="97">
        <f>VLOOKUP(A223,'Parameters Summary'!$B$2:$AB$826,4,FALSE)</f>
        <v>370.58</v>
      </c>
      <c r="F223" s="97" t="str">
        <f>VLOOKUP(A223,'Parameters Summary'!$B$2:$AB$826,5,FALSE)</f>
        <v>PHYSPROP</v>
      </c>
      <c r="G223" s="93">
        <f>VLOOKUP(A223,'Parameters Summary'!$B$2:$AB$826,9,FALSE)</f>
        <v>8.5000000000000001E-7</v>
      </c>
      <c r="H223" s="93" t="str">
        <f>VLOOKUP(A223,'Parameters Summary'!$B$2:$AB$826,10,FALSE)</f>
        <v>PHYSPROP</v>
      </c>
      <c r="I223" s="93">
        <f>VLOOKUP(A223,'Parameters Summary'!$B$2:$AB$826,24,FALSE)</f>
        <v>0.78</v>
      </c>
      <c r="J223" s="97" t="str">
        <f>VLOOKUP(A223,'Parameters Summary'!$B$2:$AB$826,25,FALSE)</f>
        <v>PHYSPROP</v>
      </c>
      <c r="K223" s="97">
        <f>VLOOKUP(A223,'Tox Summary'!$O$3:$S$827,2,FALSE)</f>
        <v>400</v>
      </c>
      <c r="L223" s="93">
        <f>VLOOKUP(A223,'Parameters Summary'!$B$2:$AB$826,7,FALSE)</f>
        <v>4.34E-7</v>
      </c>
      <c r="M223" s="93" t="str">
        <f>VLOOKUP(A223,'Parameters Summary'!$B$2:$AB$826,8,FALSE)</f>
        <v>PHYSPROP</v>
      </c>
      <c r="N223" s="91">
        <f>VLOOKUP(A223,'Parameters Summary'!$B$2:$AB$826,6,FALSE)</f>
        <v>1.77E-5</v>
      </c>
      <c r="O223" s="91" t="str">
        <f t="shared" si="18"/>
        <v/>
      </c>
      <c r="P223" s="91">
        <f t="shared" si="21"/>
        <v>1.77E-5</v>
      </c>
      <c r="Q223" s="91" t="str">
        <f t="shared" si="19"/>
        <v/>
      </c>
      <c r="R223" s="91">
        <f t="shared" si="22"/>
        <v>1.77E-5</v>
      </c>
      <c r="S223" s="91" t="str">
        <f t="shared" si="23"/>
        <v/>
      </c>
      <c r="T223" s="93">
        <f>VLOOKUP(A223,'Parameters Summary'!$B$2:$AB$826,15,FALSE)</f>
        <v>1.7290799999999999E-2</v>
      </c>
      <c r="U223" s="93" t="str">
        <f>VLOOKUP(A223,'Parameters Summary'!$B$2:$AB$826,17,FALSE)</f>
        <v>WATER9 (U.S. EPA, 2001)</v>
      </c>
      <c r="V223" s="93">
        <f>VLOOKUP(A223,'Parameters Summary'!$B$2:$AB$826,16,FALSE)</f>
        <v>4.1570000000000002E-6</v>
      </c>
      <c r="W223" s="379" t="str">
        <f>VLOOKUP(A223,'Parameters Summary'!$B$2:$AB$826,17,FALSE)</f>
        <v>WATER9 (U.S. EPA, 2001)</v>
      </c>
      <c r="X223" s="290">
        <v>690.15</v>
      </c>
      <c r="Y223" s="96" t="s">
        <v>553</v>
      </c>
      <c r="Z223" s="96">
        <f t="shared" si="24"/>
        <v>1035.2249999999999</v>
      </c>
      <c r="AA223" s="96" t="s">
        <v>2220</v>
      </c>
      <c r="AB223" s="96" t="s">
        <v>1651</v>
      </c>
      <c r="AC223" s="96"/>
      <c r="AD223" s="93">
        <f>VLOOKUP(A223,'Parameters Summary'!$B$2:$AB$826,20,FALSE)</f>
        <v>36000</v>
      </c>
      <c r="AE223" s="97" t="str">
        <f>VLOOKUP(A223,'Parameters Summary'!$B$2:$AB$826,21,FALSE)</f>
        <v>EPI</v>
      </c>
      <c r="AF223" s="97"/>
      <c r="AG223" s="94"/>
      <c r="AH223" s="92"/>
      <c r="AI223" s="96"/>
      <c r="AJ223" s="330"/>
      <c r="AL223" s="81"/>
    </row>
    <row r="224" spans="1:38" ht="12.75" customHeight="1">
      <c r="A224" s="96" t="s">
        <v>816</v>
      </c>
      <c r="B224" s="96" t="s">
        <v>1072</v>
      </c>
      <c r="C224" s="96" t="str">
        <f t="shared" si="20"/>
        <v>No</v>
      </c>
      <c r="D224" s="96" t="str">
        <f>VLOOKUP(A224,'Tox Summary'!$O$3:$R$824,3,FALSE)</f>
        <v>Yes</v>
      </c>
      <c r="E224" s="97">
        <f>VLOOKUP(A224,'Parameters Summary'!$B$2:$AB$826,4,FALSE)</f>
        <v>270.22000000000003</v>
      </c>
      <c r="F224" s="97" t="str">
        <f>VLOOKUP(A224,'Parameters Summary'!$B$2:$AB$826,5,FALSE)</f>
        <v>PHYSPROP</v>
      </c>
      <c r="G224" s="93">
        <f>VLOOKUP(A224,'Parameters Summary'!$B$2:$AB$826,9,FALSE)</f>
        <v>1.4999999999999999E-4</v>
      </c>
      <c r="H224" s="93" t="str">
        <f>VLOOKUP(A224,'Parameters Summary'!$B$2:$AB$826,10,FALSE)</f>
        <v>PHYSPROP</v>
      </c>
      <c r="I224" s="93">
        <f>VLOOKUP(A224,'Parameters Summary'!$B$2:$AB$826,24,FALSE)</f>
        <v>14</v>
      </c>
      <c r="J224" s="97" t="str">
        <f>VLOOKUP(A224,'Parameters Summary'!$B$2:$AB$826,25,FALSE)</f>
        <v>PHYSPROP</v>
      </c>
      <c r="K224" s="97" t="str">
        <f>VLOOKUP(A224,'Tox Summary'!$O$3:$S$827,2,FALSE)</f>
        <v/>
      </c>
      <c r="L224" s="93">
        <f>VLOOKUP(A224,'Parameters Summary'!$B$2:$AB$826,7,FALSE)</f>
        <v>3.8E-6</v>
      </c>
      <c r="M224" s="93" t="str">
        <f>VLOOKUP(A224,'Parameters Summary'!$B$2:$AB$826,8,FALSE)</f>
        <v>EPI</v>
      </c>
      <c r="N224" s="91">
        <f>VLOOKUP(A224,'Parameters Summary'!$B$2:$AB$826,6,FALSE)</f>
        <v>1.5540000000000001E-4</v>
      </c>
      <c r="O224" s="91" t="str">
        <f t="shared" si="18"/>
        <v/>
      </c>
      <c r="P224" s="91">
        <f t="shared" si="21"/>
        <v>1.5540000000000001E-4</v>
      </c>
      <c r="Q224" s="91" t="str">
        <f t="shared" si="19"/>
        <v/>
      </c>
      <c r="R224" s="91">
        <f t="shared" si="22"/>
        <v>1.5540000000000001E-4</v>
      </c>
      <c r="S224" s="91" t="str">
        <f t="shared" si="23"/>
        <v/>
      </c>
      <c r="T224" s="93">
        <f>VLOOKUP(A224,'Parameters Summary'!$B$2:$AB$826,15,FALSE)</f>
        <v>4.54578E-2</v>
      </c>
      <c r="U224" s="93" t="str">
        <f>VLOOKUP(A224,'Parameters Summary'!$B$2:$AB$826,17,FALSE)</f>
        <v>WATER9 (U.S. EPA, 2001)</v>
      </c>
      <c r="V224" s="93">
        <f>VLOOKUP(A224,'Parameters Summary'!$B$2:$AB$826,16,FALSE)</f>
        <v>5.3113999999999997E-6</v>
      </c>
      <c r="W224" s="379" t="str">
        <f>VLOOKUP(A224,'Parameters Summary'!$B$2:$AB$826,17,FALSE)</f>
        <v>WATER9 (U.S. EPA, 2001)</v>
      </c>
      <c r="X224" s="290">
        <v>423.15</v>
      </c>
      <c r="Y224" s="96" t="s">
        <v>553</v>
      </c>
      <c r="Z224" s="96">
        <f t="shared" si="24"/>
        <v>634.72499999999991</v>
      </c>
      <c r="AA224" s="96" t="s">
        <v>2220</v>
      </c>
      <c r="AB224" s="96" t="s">
        <v>1651</v>
      </c>
      <c r="AC224" s="96"/>
      <c r="AD224" s="93">
        <f>VLOOKUP(A224,'Parameters Summary'!$B$2:$AB$826,20,FALSE)</f>
        <v>644.29999999999995</v>
      </c>
      <c r="AE224" s="97" t="str">
        <f>VLOOKUP(A224,'Parameters Summary'!$B$2:$AB$826,21,FALSE)</f>
        <v>EPI</v>
      </c>
      <c r="AF224" s="97"/>
      <c r="AG224" s="94"/>
      <c r="AH224" s="92"/>
      <c r="AI224" s="94"/>
      <c r="AJ224" s="330"/>
      <c r="AL224" s="81"/>
    </row>
    <row r="225" spans="1:38" ht="12.75" customHeight="1">
      <c r="A225" s="96" t="s">
        <v>1584</v>
      </c>
      <c r="B225" s="96" t="s">
        <v>2384</v>
      </c>
      <c r="C225" s="96" t="str">
        <f t="shared" si="20"/>
        <v>No</v>
      </c>
      <c r="D225" s="96" t="str">
        <f>VLOOKUP(A225,'Tox Summary'!$O$3:$R$824,3,FALSE)</f>
        <v>No</v>
      </c>
      <c r="E225" s="97">
        <f>VLOOKUP(A225,'Parameters Summary'!$B$2:$AB$826,4,FALSE)</f>
        <v>132.06</v>
      </c>
      <c r="F225" s="97" t="str">
        <f>VLOOKUP(A225,'Parameters Summary'!$B$2:$AB$826,5,FALSE)</f>
        <v>EPI</v>
      </c>
      <c r="G225" s="93" t="s">
        <v>2439</v>
      </c>
      <c r="H225" s="93" t="str">
        <f>VLOOKUP(A225,'Parameters Summary'!$B$2:$AB$826,10,FALSE)</f>
        <v/>
      </c>
      <c r="I225" s="93" t="s">
        <v>2440</v>
      </c>
      <c r="J225" s="97" t="str">
        <f>VLOOKUP(A225,'Parameters Summary'!$B$2:$AB$826,25,FALSE)</f>
        <v/>
      </c>
      <c r="K225" s="97" t="str">
        <f>VLOOKUP(A225,'Tox Summary'!$O$3:$S$827,2,FALSE)</f>
        <v/>
      </c>
      <c r="L225" s="93" t="s">
        <v>2298</v>
      </c>
      <c r="M225" s="93" t="str">
        <f>VLOOKUP(A225,'Parameters Summary'!$B$2:$AB$826,8,FALSE)</f>
        <v/>
      </c>
      <c r="N225" s="91" t="str">
        <f>VLOOKUP(A225,'Parameters Summary'!$B$2:$AB$826,6,FALSE)</f>
        <v xml:space="preserve"> </v>
      </c>
      <c r="O225" s="91" t="str">
        <f t="shared" si="18"/>
        <v/>
      </c>
      <c r="P225" s="91" t="str">
        <f t="shared" si="21"/>
        <v xml:space="preserve"> </v>
      </c>
      <c r="Q225" s="91" t="str">
        <f t="shared" si="19"/>
        <v/>
      </c>
      <c r="R225" s="91" t="str">
        <f t="shared" si="22"/>
        <v xml:space="preserve"> </v>
      </c>
      <c r="S225" s="91" t="str">
        <f t="shared" si="23"/>
        <v/>
      </c>
      <c r="T225" s="93" t="str">
        <f>VLOOKUP(A225,'Parameters Summary'!$B$2:$AB$826,15,FALSE)</f>
        <v xml:space="preserve"> </v>
      </c>
      <c r="U225" s="93" t="str">
        <f>VLOOKUP(A225,'Parameters Summary'!$B$2:$AB$826,17,FALSE)</f>
        <v/>
      </c>
      <c r="V225" s="93" t="str">
        <f>VLOOKUP(A225,'Parameters Summary'!$B$2:$AB$826,16,FALSE)</f>
        <v xml:space="preserve"> </v>
      </c>
      <c r="W225" s="379" t="str">
        <f>VLOOKUP(A225,'Parameters Summary'!$B$2:$AB$826,17,FALSE)</f>
        <v/>
      </c>
      <c r="X225" s="347"/>
      <c r="Y225" s="96"/>
      <c r="Z225" s="96" t="s">
        <v>1653</v>
      </c>
      <c r="AA225" s="96"/>
      <c r="AB225" s="96" t="s">
        <v>1651</v>
      </c>
      <c r="AC225" s="96"/>
      <c r="AD225" s="93" t="str">
        <f>VLOOKUP(A225,'Parameters Summary'!$B$2:$AB$826,20,FALSE)</f>
        <v xml:space="preserve"> </v>
      </c>
      <c r="AE225" s="97" t="str">
        <f>VLOOKUP(A225,'Parameters Summary'!$B$2:$AB$826,21,FALSE)</f>
        <v/>
      </c>
      <c r="AF225" s="97"/>
      <c r="AG225" s="94"/>
      <c r="AH225" s="92"/>
      <c r="AI225" s="94" t="s">
        <v>2151</v>
      </c>
      <c r="AJ225" s="330"/>
      <c r="AL225" s="81"/>
    </row>
    <row r="226" spans="1:38" ht="12.75" customHeight="1">
      <c r="A226" s="96" t="s">
        <v>817</v>
      </c>
      <c r="B226" s="96" t="s">
        <v>1073</v>
      </c>
      <c r="C226" s="96" t="str">
        <f t="shared" si="20"/>
        <v>No</v>
      </c>
      <c r="D226" s="96" t="str">
        <f>VLOOKUP(A226,'Tox Summary'!$O$3:$R$824,3,FALSE)</f>
        <v>No</v>
      </c>
      <c r="E226" s="97">
        <f>VLOOKUP(A226,'Parameters Summary'!$B$2:$AB$826,4,FALSE)</f>
        <v>304.35000000000002</v>
      </c>
      <c r="F226" s="97" t="str">
        <f>VLOOKUP(A226,'Parameters Summary'!$B$2:$AB$826,5,FALSE)</f>
        <v>PHYSPROP</v>
      </c>
      <c r="G226" s="93">
        <f>VLOOKUP(A226,'Parameters Summary'!$B$2:$AB$826,9,FALSE)</f>
        <v>9.0099999999999995E-5</v>
      </c>
      <c r="H226" s="93" t="str">
        <f>VLOOKUP(A226,'Parameters Summary'!$B$2:$AB$826,10,FALSE)</f>
        <v>PHYSPROP</v>
      </c>
      <c r="I226" s="93">
        <f>VLOOKUP(A226,'Parameters Summary'!$B$2:$AB$826,24,FALSE)</f>
        <v>40</v>
      </c>
      <c r="J226" s="97" t="str">
        <f>VLOOKUP(A226,'Parameters Summary'!$B$2:$AB$826,25,FALSE)</f>
        <v>PHYSPROP</v>
      </c>
      <c r="K226" s="97" t="str">
        <f>VLOOKUP(A226,'Tox Summary'!$O$3:$S$827,2,FALSE)</f>
        <v/>
      </c>
      <c r="L226" s="93">
        <f>VLOOKUP(A226,'Parameters Summary'!$B$2:$AB$826,7,FALSE)</f>
        <v>1.1300000000000001E-7</v>
      </c>
      <c r="M226" s="93" t="str">
        <f>VLOOKUP(A226,'Parameters Summary'!$B$2:$AB$826,8,FALSE)</f>
        <v>PHYSPROP</v>
      </c>
      <c r="N226" s="91">
        <f>VLOOKUP(A226,'Parameters Summary'!$B$2:$AB$826,6,FALSE)</f>
        <v>4.6198000000000002E-6</v>
      </c>
      <c r="O226" s="91" t="str">
        <f t="shared" si="18"/>
        <v/>
      </c>
      <c r="P226" s="91">
        <f t="shared" si="21"/>
        <v>4.6198000000000002E-6</v>
      </c>
      <c r="Q226" s="91" t="str">
        <f t="shared" si="19"/>
        <v/>
      </c>
      <c r="R226" s="91">
        <f t="shared" si="22"/>
        <v>4.6198000000000002E-6</v>
      </c>
      <c r="S226" s="91" t="str">
        <f t="shared" si="23"/>
        <v/>
      </c>
      <c r="T226" s="93">
        <f>VLOOKUP(A226,'Parameters Summary'!$B$2:$AB$826,15,FALSE)</f>
        <v>2.1026400000000001E-2</v>
      </c>
      <c r="U226" s="93" t="str">
        <f>VLOOKUP(A226,'Parameters Summary'!$B$2:$AB$826,17,FALSE)</f>
        <v>WATER9 (U.S. EPA, 2001)</v>
      </c>
      <c r="V226" s="93">
        <f>VLOOKUP(A226,'Parameters Summary'!$B$2:$AB$826,16,FALSE)</f>
        <v>5.2259000000000002E-6</v>
      </c>
      <c r="W226" s="379" t="str">
        <f>VLOOKUP(A226,'Parameters Summary'!$B$2:$AB$826,17,FALSE)</f>
        <v>WATER9 (U.S. EPA, 2001)</v>
      </c>
      <c r="X226" s="290">
        <v>398.15</v>
      </c>
      <c r="Y226" s="96" t="s">
        <v>553</v>
      </c>
      <c r="Z226" s="96">
        <f>1.5*X226</f>
        <v>597.22499999999991</v>
      </c>
      <c r="AA226" s="96" t="s">
        <v>2220</v>
      </c>
      <c r="AB226" s="96" t="s">
        <v>1651</v>
      </c>
      <c r="AC226" s="96"/>
      <c r="AD226" s="93">
        <f>VLOOKUP(A226,'Parameters Summary'!$B$2:$AB$826,20,FALSE)</f>
        <v>3034</v>
      </c>
      <c r="AE226" s="97" t="str">
        <f>VLOOKUP(A226,'Parameters Summary'!$B$2:$AB$826,21,FALSE)</f>
        <v>EPI</v>
      </c>
      <c r="AF226" s="97"/>
      <c r="AG226" s="94"/>
      <c r="AH226" s="92"/>
      <c r="AI226" s="94"/>
      <c r="AJ226" s="330"/>
      <c r="AL226" s="81"/>
    </row>
    <row r="227" spans="1:38" ht="12.75" customHeight="1">
      <c r="A227" s="96" t="s">
        <v>209</v>
      </c>
      <c r="B227" s="96" t="s">
        <v>2353</v>
      </c>
      <c r="C227" s="96" t="str">
        <f t="shared" si="20"/>
        <v>No</v>
      </c>
      <c r="D227" s="96" t="str">
        <f>VLOOKUP(A227,'Tox Summary'!$O$3:$R$824,3,FALSE)</f>
        <v>No</v>
      </c>
      <c r="E227" s="97">
        <f>VLOOKUP(A227,'Parameters Summary'!$B$2:$AB$826,4,FALSE)</f>
        <v>278.36</v>
      </c>
      <c r="F227" s="97" t="str">
        <f>VLOOKUP(A227,'Parameters Summary'!$B$2:$AB$826,5,FALSE)</f>
        <v>PHYSPROP</v>
      </c>
      <c r="G227" s="93">
        <f>VLOOKUP(A227,'Parameters Summary'!$B$2:$AB$826,9,FALSE)</f>
        <v>9.5499999999999991E-10</v>
      </c>
      <c r="H227" s="93" t="str">
        <f>VLOOKUP(A227,'Parameters Summary'!$B$2:$AB$826,10,FALSE)</f>
        <v>EPI</v>
      </c>
      <c r="I227" s="93">
        <f>VLOOKUP(A227,'Parameters Summary'!$B$2:$AB$826,24,FALSE)</f>
        <v>2.49E-3</v>
      </c>
      <c r="J227" s="97" t="str">
        <f>VLOOKUP(A227,'Parameters Summary'!$B$2:$AB$826,25,FALSE)</f>
        <v>PHYSPROP</v>
      </c>
      <c r="K227" s="97" t="str">
        <f>VLOOKUP(A227,'Tox Summary'!$O$3:$S$827,2,FALSE)</f>
        <v/>
      </c>
      <c r="L227" s="93">
        <f>VLOOKUP(A227,'Parameters Summary'!$B$2:$AB$826,7,FALSE)</f>
        <v>1.4100000000000001E-7</v>
      </c>
      <c r="M227" s="93" t="str">
        <f>VLOOKUP(A227,'Parameters Summary'!$B$2:$AB$826,8,FALSE)</f>
        <v>EPI</v>
      </c>
      <c r="N227" s="91">
        <f>VLOOKUP(A227,'Parameters Summary'!$B$2:$AB$826,6,FALSE)</f>
        <v>5.7644999999999996E-6</v>
      </c>
      <c r="O227" s="91" t="str">
        <f t="shared" si="18"/>
        <v/>
      </c>
      <c r="P227" s="91">
        <f t="shared" si="21"/>
        <v>5.7644999999999996E-6</v>
      </c>
      <c r="Q227" s="91" t="str">
        <f t="shared" si="19"/>
        <v/>
      </c>
      <c r="R227" s="91">
        <f t="shared" si="22"/>
        <v>5.7644999999999996E-6</v>
      </c>
      <c r="S227" s="91" t="str">
        <f t="shared" si="23"/>
        <v/>
      </c>
      <c r="T227" s="93">
        <f>VLOOKUP(A227,'Parameters Summary'!$B$2:$AB$826,15,FALSE)</f>
        <v>4.4567200000000001E-2</v>
      </c>
      <c r="U227" s="93" t="str">
        <f>VLOOKUP(A227,'Parameters Summary'!$B$2:$AB$826,17,FALSE)</f>
        <v>WATER9 (U.S. EPA, 2001)</v>
      </c>
      <c r="V227" s="93">
        <f>VLOOKUP(A227,'Parameters Summary'!$B$2:$AB$826,16,FALSE)</f>
        <v>5.2073000000000001E-6</v>
      </c>
      <c r="W227" s="379" t="str">
        <f>VLOOKUP(A227,'Parameters Summary'!$B$2:$AB$826,17,FALSE)</f>
        <v>WATER9 (U.S. EPA, 2001)</v>
      </c>
      <c r="X227" s="290">
        <v>797.15</v>
      </c>
      <c r="Y227" s="96" t="s">
        <v>553</v>
      </c>
      <c r="Z227" s="96" t="s">
        <v>1653</v>
      </c>
      <c r="AA227" s="96"/>
      <c r="AB227" s="96" t="s">
        <v>1651</v>
      </c>
      <c r="AC227" s="96"/>
      <c r="AD227" s="93">
        <f>VLOOKUP(A227,'Parameters Summary'!$B$2:$AB$826,20,FALSE)</f>
        <v>1912000</v>
      </c>
      <c r="AE227" s="97" t="str">
        <f>VLOOKUP(A227,'Parameters Summary'!$B$2:$AB$826,21,FALSE)</f>
        <v>EPI</v>
      </c>
      <c r="AF227" s="97"/>
      <c r="AG227" s="94"/>
      <c r="AH227" s="92"/>
      <c r="AI227" s="94"/>
      <c r="AJ227" s="330"/>
      <c r="AL227" s="81"/>
    </row>
    <row r="228" spans="1:38" ht="12.75" customHeight="1">
      <c r="A228" s="96" t="s">
        <v>210</v>
      </c>
      <c r="B228" s="96" t="s">
        <v>2354</v>
      </c>
      <c r="C228" s="96" t="str">
        <f t="shared" si="20"/>
        <v>No</v>
      </c>
      <c r="D228" s="96" t="str">
        <f>VLOOKUP(A228,'Tox Summary'!$O$3:$R$824,3,FALSE)</f>
        <v>No</v>
      </c>
      <c r="E228" s="97">
        <f>VLOOKUP(A228,'Parameters Summary'!$B$2:$AB$826,4,FALSE)</f>
        <v>302.38</v>
      </c>
      <c r="F228" s="97" t="str">
        <f>VLOOKUP(A228,'Parameters Summary'!$B$2:$AB$826,5,FALSE)</f>
        <v>PHYSPROP</v>
      </c>
      <c r="G228" s="93">
        <f>VLOOKUP(A228,'Parameters Summary'!$B$2:$AB$826,9,FALSE)</f>
        <v>7.0300000000000005E-11</v>
      </c>
      <c r="H228" s="93" t="str">
        <f>VLOOKUP(A228,'Parameters Summary'!$B$2:$AB$826,10,FALSE)</f>
        <v>PHYSPROP</v>
      </c>
      <c r="I228" s="93">
        <f>VLOOKUP(A228,'Parameters Summary'!$B$2:$AB$826,24,FALSE)</f>
        <v>8.0199999999999998E-5</v>
      </c>
      <c r="J228" s="97" t="str">
        <f>VLOOKUP(A228,'Parameters Summary'!$B$2:$AB$826,25,FALSE)</f>
        <v>PHYSPROP</v>
      </c>
      <c r="K228" s="97" t="str">
        <f>VLOOKUP(A228,'Tox Summary'!$O$3:$S$827,2,FALSE)</f>
        <v/>
      </c>
      <c r="L228" s="93">
        <f>VLOOKUP(A228,'Parameters Summary'!$B$2:$AB$826,7,FALSE)</f>
        <v>1.4100000000000001E-8</v>
      </c>
      <c r="M228" s="93" t="str">
        <f>VLOOKUP(A228,'Parameters Summary'!$B$2:$AB$826,8,FALSE)</f>
        <v>PHYSPROP</v>
      </c>
      <c r="N228" s="91">
        <f>VLOOKUP(A228,'Parameters Summary'!$B$2:$AB$826,6,FALSE)</f>
        <v>5.7645E-7</v>
      </c>
      <c r="O228" s="91" t="str">
        <f t="shared" si="18"/>
        <v/>
      </c>
      <c r="P228" s="91">
        <f t="shared" si="21"/>
        <v>5.7645E-7</v>
      </c>
      <c r="Q228" s="91" t="str">
        <f t="shared" si="19"/>
        <v/>
      </c>
      <c r="R228" s="91">
        <f t="shared" si="22"/>
        <v>5.7645E-7</v>
      </c>
      <c r="S228" s="91" t="str">
        <f t="shared" si="23"/>
        <v/>
      </c>
      <c r="T228" s="93">
        <f>VLOOKUP(A228,'Parameters Summary'!$B$2:$AB$826,15,FALSE)</f>
        <v>4.2174700000000002E-2</v>
      </c>
      <c r="U228" s="93" t="str">
        <f>VLOOKUP(A228,'Parameters Summary'!$B$2:$AB$826,17,FALSE)</f>
        <v>WATER9 (U.S. EPA, 2001)</v>
      </c>
      <c r="V228" s="93">
        <f>VLOOKUP(A228,'Parameters Summary'!$B$2:$AB$826,16,FALSE)</f>
        <v>4.9277999999999996E-6</v>
      </c>
      <c r="W228" s="379" t="str">
        <f>VLOOKUP(A228,'Parameters Summary'!$B$2:$AB$826,17,FALSE)</f>
        <v>WATER9 (U.S. EPA, 2001)</v>
      </c>
      <c r="X228" s="347"/>
      <c r="Y228" s="96"/>
      <c r="Z228" s="96" t="s">
        <v>1653</v>
      </c>
      <c r="AA228" s="96"/>
      <c r="AB228" s="96" t="s">
        <v>1651</v>
      </c>
      <c r="AC228" s="96"/>
      <c r="AD228" s="93">
        <f>VLOOKUP(A228,'Parameters Summary'!$B$2:$AB$826,20,FALSE)</f>
        <v>6479000</v>
      </c>
      <c r="AE228" s="97" t="str">
        <f>VLOOKUP(A228,'Parameters Summary'!$B$2:$AB$826,21,FALSE)</f>
        <v>EPI</v>
      </c>
      <c r="AF228" s="97"/>
      <c r="AG228" s="94"/>
      <c r="AH228" s="92"/>
      <c r="AI228" s="96"/>
      <c r="AJ228" s="330"/>
      <c r="AL228" s="81"/>
    </row>
    <row r="229" spans="1:38" ht="12.75" customHeight="1">
      <c r="A229" s="95" t="s">
        <v>945</v>
      </c>
      <c r="B229" s="96" t="s">
        <v>2330</v>
      </c>
      <c r="C229" s="96" t="str">
        <f t="shared" si="20"/>
        <v>Yes</v>
      </c>
      <c r="D229" s="96" t="str">
        <f>VLOOKUP(A229,'Tox Summary'!$O$3:$R$824,3,FALSE)</f>
        <v>Yes</v>
      </c>
      <c r="E229" s="97">
        <f>VLOOKUP(A229,'Parameters Summary'!$B$2:$AB$826,4,FALSE)</f>
        <v>168.2</v>
      </c>
      <c r="F229" s="97" t="str">
        <f>VLOOKUP(A229,'Parameters Summary'!$B$2:$AB$826,5,FALSE)</f>
        <v>PHYSPROP</v>
      </c>
      <c r="G229" s="93">
        <f>VLOOKUP(A229,'Parameters Summary'!$B$2:$AB$826,9,FALSE)</f>
        <v>2.48E-3</v>
      </c>
      <c r="H229" s="93" t="str">
        <f>VLOOKUP(A229,'Parameters Summary'!$B$2:$AB$826,10,FALSE)</f>
        <v>PHYSPROP</v>
      </c>
      <c r="I229" s="93">
        <f>VLOOKUP(A229,'Parameters Summary'!$B$2:$AB$826,24,FALSE)</f>
        <v>3.1</v>
      </c>
      <c r="J229" s="97" t="str">
        <f>VLOOKUP(A229,'Parameters Summary'!$B$2:$AB$826,25,FALSE)</f>
        <v>PHYSPROP</v>
      </c>
      <c r="K229" s="97" t="str">
        <f>VLOOKUP(A229,'Tox Summary'!$O$3:$S$827,2,FALSE)</f>
        <v/>
      </c>
      <c r="L229" s="93">
        <f>VLOOKUP(A229,'Parameters Summary'!$B$2:$AB$826,7,FALSE)</f>
        <v>2.13E-4</v>
      </c>
      <c r="M229" s="93" t="str">
        <f>VLOOKUP(A229,'Parameters Summary'!$B$2:$AB$826,8,FALSE)</f>
        <v>EPI</v>
      </c>
      <c r="N229" s="91">
        <f>VLOOKUP(A229,'Parameters Summary'!$B$2:$AB$826,6,FALSE)</f>
        <v>8.7080999999999999E-3</v>
      </c>
      <c r="O229" s="91">
        <f t="shared" si="18"/>
        <v>8.7080999999999999E-3</v>
      </c>
      <c r="P229" s="91">
        <f t="shared" si="21"/>
        <v>8.7080999999999999E-3</v>
      </c>
      <c r="Q229" s="91">
        <f t="shared" si="19"/>
        <v>8.7080999999999999E-3</v>
      </c>
      <c r="R229" s="91">
        <f t="shared" si="22"/>
        <v>8.7080999999999999E-3</v>
      </c>
      <c r="S229" s="91">
        <f t="shared" si="23"/>
        <v>22445.581608911911</v>
      </c>
      <c r="T229" s="93">
        <f>VLOOKUP(A229,'Parameters Summary'!$B$2:$AB$826,15,FALSE)</f>
        <v>6.5066299999999994E-2</v>
      </c>
      <c r="U229" s="93" t="str">
        <f>VLOOKUP(A229,'Parameters Summary'!$B$2:$AB$826,17,FALSE)</f>
        <v>WATER9 (U.S. EPA, 2001)</v>
      </c>
      <c r="V229" s="93">
        <f>VLOOKUP(A229,'Parameters Summary'!$B$2:$AB$826,16,FALSE)</f>
        <v>7.3772999999999997E-6</v>
      </c>
      <c r="W229" s="379" t="str">
        <f>VLOOKUP(A229,'Parameters Summary'!$B$2:$AB$826,17,FALSE)</f>
        <v>WATER9 (U.S. EPA, 2001)</v>
      </c>
      <c r="X229" s="290">
        <v>560</v>
      </c>
      <c r="Y229" s="96" t="s">
        <v>553</v>
      </c>
      <c r="Z229" s="96">
        <v>824</v>
      </c>
      <c r="AA229" s="96" t="s">
        <v>2215</v>
      </c>
      <c r="AB229" s="96">
        <v>66400</v>
      </c>
      <c r="AC229" s="96" t="s">
        <v>2215</v>
      </c>
      <c r="AD229" s="93">
        <f>VLOOKUP(A229,'Parameters Summary'!$B$2:$AB$826,20,FALSE)</f>
        <v>9161</v>
      </c>
      <c r="AE229" s="97" t="str">
        <f>VLOOKUP(A229,'Parameters Summary'!$B$2:$AB$826,21,FALSE)</f>
        <v>EPI</v>
      </c>
      <c r="AF229" s="381"/>
      <c r="AG229" s="91"/>
      <c r="AH229" s="92"/>
      <c r="AI229" s="96"/>
      <c r="AJ229" s="330"/>
      <c r="AL229" s="81"/>
    </row>
    <row r="230" spans="1:38" ht="12.75" customHeight="1">
      <c r="A230" s="95" t="s">
        <v>2045</v>
      </c>
      <c r="B230" s="96" t="s">
        <v>2044</v>
      </c>
      <c r="C230" s="96" t="str">
        <f t="shared" si="20"/>
        <v>Yes</v>
      </c>
      <c r="D230" s="96" t="str">
        <f>VLOOKUP(A230,'Tox Summary'!$O$3:$R$824,3,FALSE)</f>
        <v>No</v>
      </c>
      <c r="E230" s="97">
        <f>VLOOKUP(A230,'Parameters Summary'!$B$2:$AB$826,4,FALSE)</f>
        <v>184.26</v>
      </c>
      <c r="F230" s="97" t="str">
        <f>VLOOKUP(A230,'Parameters Summary'!$B$2:$AB$826,5,FALSE)</f>
        <v>PHYSPROP</v>
      </c>
      <c r="G230" s="93">
        <f>VLOOKUP(A230,'Parameters Summary'!$B$2:$AB$826,9,FALSE)</f>
        <v>2.05E-4</v>
      </c>
      <c r="H230" s="93" t="str">
        <f>VLOOKUP(A230,'Parameters Summary'!$B$2:$AB$826,10,FALSE)</f>
        <v>EPI</v>
      </c>
      <c r="I230" s="93">
        <f>VLOOKUP(A230,'Parameters Summary'!$B$2:$AB$826,24,FALSE)</f>
        <v>1.47</v>
      </c>
      <c r="J230" s="97" t="str">
        <f>VLOOKUP(A230,'Parameters Summary'!$B$2:$AB$826,25,FALSE)</f>
        <v>PHYSPROP</v>
      </c>
      <c r="K230" s="97" t="str">
        <f>VLOOKUP(A230,'Tox Summary'!$O$3:$S$827,2,FALSE)</f>
        <v/>
      </c>
      <c r="L230" s="93">
        <f>VLOOKUP(A230,'Parameters Summary'!$B$2:$AB$826,7,FALSE)</f>
        <v>3.3800000000000002E-5</v>
      </c>
      <c r="M230" s="93" t="str">
        <f>VLOOKUP(A230,'Parameters Summary'!$B$2:$AB$826,8,FALSE)</f>
        <v>EPI</v>
      </c>
      <c r="N230" s="91">
        <f>VLOOKUP(A230,'Parameters Summary'!$B$2:$AB$826,6,FALSE)</f>
        <v>1.3818000000000001E-3</v>
      </c>
      <c r="O230" s="91">
        <f t="shared" si="18"/>
        <v>1.3818000000000001E-3</v>
      </c>
      <c r="P230" s="91">
        <f t="shared" si="21"/>
        <v>1.3818000000000001E-3</v>
      </c>
      <c r="Q230" s="91">
        <f t="shared" si="19"/>
        <v>1.3818000000000001E-3</v>
      </c>
      <c r="R230" s="91">
        <f t="shared" si="22"/>
        <v>1.3818000000000001E-3</v>
      </c>
      <c r="S230" s="91">
        <f t="shared" si="23"/>
        <v>2032.5354028132604</v>
      </c>
      <c r="T230" s="93">
        <f>VLOOKUP(A230,'Parameters Summary'!$B$2:$AB$826,15,FALSE)</f>
        <v>3.5547500000000003E-2</v>
      </c>
      <c r="U230" s="93" t="str">
        <f>VLOOKUP(A230,'Parameters Summary'!$B$2:$AB$826,17,FALSE)</f>
        <v>WATER9 (U.S. EPA, 2001)</v>
      </c>
      <c r="V230" s="93">
        <f>VLOOKUP(A230,'Parameters Summary'!$B$2:$AB$826,16,FALSE)</f>
        <v>7.5958000000000002E-6</v>
      </c>
      <c r="W230" s="379" t="str">
        <f>VLOOKUP(A230,'Parameters Summary'!$B$2:$AB$826,17,FALSE)</f>
        <v>WATER9 (U.S. EPA, 2001)</v>
      </c>
      <c r="X230" s="290">
        <v>605.65</v>
      </c>
      <c r="Y230" s="96" t="s">
        <v>553</v>
      </c>
      <c r="Z230" s="96">
        <v>908.47499999999991</v>
      </c>
      <c r="AA230" s="96" t="s">
        <v>2218</v>
      </c>
      <c r="AB230" s="96">
        <v>22299.235181644359</v>
      </c>
      <c r="AC230" s="96" t="s">
        <v>2226</v>
      </c>
      <c r="AD230" s="93">
        <f>VLOOKUP(A230,'Parameters Summary'!$B$2:$AB$826,20,FALSE)</f>
        <v>9161</v>
      </c>
      <c r="AE230" s="97" t="str">
        <f>VLOOKUP(A230,'Parameters Summary'!$B$2:$AB$826,21,FALSE)</f>
        <v>EPI</v>
      </c>
      <c r="AF230" s="381"/>
      <c r="AG230" s="91"/>
      <c r="AH230" s="92"/>
      <c r="AI230" s="94" t="s">
        <v>2152</v>
      </c>
      <c r="AJ230" s="330"/>
      <c r="AL230" s="81"/>
    </row>
    <row r="231" spans="1:38">
      <c r="A231" s="95" t="s">
        <v>818</v>
      </c>
      <c r="B231" s="96" t="s">
        <v>1074</v>
      </c>
      <c r="C231" s="96" t="str">
        <f t="shared" si="20"/>
        <v>Yes</v>
      </c>
      <c r="D231" s="96" t="str">
        <f>VLOOKUP(A231,'Tox Summary'!$O$3:$R$824,3,FALSE)</f>
        <v>No</v>
      </c>
      <c r="E231" s="97">
        <f>VLOOKUP(A231,'Parameters Summary'!$B$2:$AB$826,4,FALSE)</f>
        <v>236.33</v>
      </c>
      <c r="F231" s="97" t="str">
        <f>VLOOKUP(A231,'Parameters Summary'!$B$2:$AB$826,5,FALSE)</f>
        <v>PHYSPROP</v>
      </c>
      <c r="G231" s="93">
        <f>VLOOKUP(A231,'Parameters Summary'!$B$2:$AB$826,9,FALSE)</f>
        <v>0.57999999999999996</v>
      </c>
      <c r="H231" s="93" t="str">
        <f>VLOOKUP(A231,'Parameters Summary'!$B$2:$AB$826,10,FALSE)</f>
        <v>PHYSPROP</v>
      </c>
      <c r="I231" s="93">
        <f>VLOOKUP(A231,'Parameters Summary'!$B$2:$AB$826,24,FALSE)</f>
        <v>1230</v>
      </c>
      <c r="J231" s="97" t="str">
        <f>VLOOKUP(A231,'Parameters Summary'!$B$2:$AB$826,25,FALSE)</f>
        <v>PHYSPROP</v>
      </c>
      <c r="K231" s="97">
        <f>VLOOKUP(A231,'Tox Summary'!$O$3:$S$827,2,FALSE)</f>
        <v>0.2</v>
      </c>
      <c r="L231" s="93">
        <f>VLOOKUP(A231,'Parameters Summary'!$B$2:$AB$826,7,FALSE)</f>
        <v>1.47E-4</v>
      </c>
      <c r="M231" s="93" t="str">
        <f>VLOOKUP(A231,'Parameters Summary'!$B$2:$AB$826,8,FALSE)</f>
        <v>EPI</v>
      </c>
      <c r="N231" s="91">
        <f>VLOOKUP(A231,'Parameters Summary'!$B$2:$AB$826,6,FALSE)</f>
        <v>6.0098E-3</v>
      </c>
      <c r="O231" s="91">
        <f t="shared" si="18"/>
        <v>6.0098E-3</v>
      </c>
      <c r="P231" s="91">
        <f t="shared" si="21"/>
        <v>6.0098E-3</v>
      </c>
      <c r="Q231" s="91">
        <f t="shared" si="19"/>
        <v>6.0098E-3</v>
      </c>
      <c r="R231" s="91">
        <f t="shared" si="22"/>
        <v>6.0098E-3</v>
      </c>
      <c r="S231" s="91">
        <f t="shared" si="23"/>
        <v>7375645.5806926489</v>
      </c>
      <c r="T231" s="93">
        <f>VLOOKUP(A231,'Parameters Summary'!$B$2:$AB$826,15,FALSE)</f>
        <v>3.21351E-2</v>
      </c>
      <c r="U231" s="93" t="str">
        <f>VLOOKUP(A231,'Parameters Summary'!$B$2:$AB$826,17,FALSE)</f>
        <v>WATER9 (U.S. EPA, 2001)</v>
      </c>
      <c r="V231" s="93">
        <f>VLOOKUP(A231,'Parameters Summary'!$B$2:$AB$826,16,FALSE)</f>
        <v>8.9047999999999999E-6</v>
      </c>
      <c r="W231" s="379" t="str">
        <f>VLOOKUP(A231,'Parameters Summary'!$B$2:$AB$826,17,FALSE)</f>
        <v>WATER9 (U.S. EPA, 2001)</v>
      </c>
      <c r="X231" s="290">
        <v>469</v>
      </c>
      <c r="Y231" s="96" t="s">
        <v>553</v>
      </c>
      <c r="Z231" s="96">
        <f>3*X231/2</f>
        <v>703.5</v>
      </c>
      <c r="AA231" s="96" t="s">
        <v>2220</v>
      </c>
      <c r="AB231" s="96">
        <v>9960.0450000000001</v>
      </c>
      <c r="AC231" s="96" t="s">
        <v>2222</v>
      </c>
      <c r="AD231" s="93">
        <f>VLOOKUP(A231,'Parameters Summary'!$B$2:$AB$826,20,FALSE)</f>
        <v>115.8</v>
      </c>
      <c r="AE231" s="97" t="str">
        <f>VLOOKUP(A231,'Parameters Summary'!$B$2:$AB$826,21,FALSE)</f>
        <v>EPI</v>
      </c>
      <c r="AF231" s="380"/>
      <c r="AG231" s="97"/>
      <c r="AH231" s="92"/>
      <c r="AI231" s="94"/>
      <c r="AJ231" s="330"/>
      <c r="AL231" s="81"/>
    </row>
    <row r="232" spans="1:38" ht="12.75" customHeight="1">
      <c r="A232" s="96" t="s">
        <v>2115</v>
      </c>
      <c r="B232" s="96" t="s">
        <v>2114</v>
      </c>
      <c r="C232" s="96" t="str">
        <f t="shared" si="20"/>
        <v>Yes</v>
      </c>
      <c r="D232" s="96" t="str">
        <f>VLOOKUP(A232,'Tox Summary'!$O$3:$R$824,3,FALSE)</f>
        <v>Yes</v>
      </c>
      <c r="E232" s="97">
        <f>VLOOKUP(A232,'Parameters Summary'!$B$2:$AB$826,4,FALSE)</f>
        <v>235.91</v>
      </c>
      <c r="F232" s="97" t="str">
        <f>VLOOKUP(A232,'Parameters Summary'!$B$2:$AB$826,5,FALSE)</f>
        <v>PHYSPROP</v>
      </c>
      <c r="G232" s="93">
        <f>VLOOKUP(A232,'Parameters Summary'!$B$2:$AB$826,9,FALSE)</f>
        <v>0.26860000000000001</v>
      </c>
      <c r="H232" s="93" t="str">
        <f>VLOOKUP(A232,'Parameters Summary'!$B$2:$AB$826,10,FALSE)</f>
        <v>PHYSPROP</v>
      </c>
      <c r="I232" s="93">
        <f>VLOOKUP(A232,'Parameters Summary'!$B$2:$AB$826,24,FALSE)</f>
        <v>67.5</v>
      </c>
      <c r="J232" s="97" t="str">
        <f>VLOOKUP(A232,'Parameters Summary'!$B$2:$AB$826,25,FALSE)</f>
        <v>PHYSPROP</v>
      </c>
      <c r="K232" s="97" t="str">
        <f>VLOOKUP(A232,'Tox Summary'!$O$3:$S$827,2,FALSE)</f>
        <v/>
      </c>
      <c r="L232" s="93">
        <f>VLOOKUP(A232,'Parameters Summary'!$B$2:$AB$826,7,FALSE)</f>
        <v>1.24E-3</v>
      </c>
      <c r="M232" s="93" t="str">
        <f>VLOOKUP(A232,'Parameters Summary'!$B$2:$AB$826,8,FALSE)</f>
        <v>EPI</v>
      </c>
      <c r="N232" s="91">
        <f>VLOOKUP(A232,'Parameters Summary'!$B$2:$AB$826,6,FALSE)</f>
        <v>5.0700000000000002E-2</v>
      </c>
      <c r="O232" s="91" t="str">
        <f t="shared" si="18"/>
        <v/>
      </c>
      <c r="P232" s="91">
        <f t="shared" si="21"/>
        <v>5.0700000000000002E-2</v>
      </c>
      <c r="Q232" s="91" t="str">
        <f t="shared" si="19"/>
        <v/>
      </c>
      <c r="R232" s="91">
        <f t="shared" si="22"/>
        <v>5.0700000000000002E-2</v>
      </c>
      <c r="S232" s="91" t="str">
        <f t="shared" si="23"/>
        <v/>
      </c>
      <c r="T232" s="93">
        <f>VLOOKUP(A232,'Parameters Summary'!$B$2:$AB$826,15,FALSE)</f>
        <v>3.1185399999999999E-2</v>
      </c>
      <c r="U232" s="93" t="str">
        <f>VLOOKUP(A232,'Parameters Summary'!$B$2:$AB$826,17,FALSE)</f>
        <v>WATER9 (U.S. EPA, 2001)</v>
      </c>
      <c r="V232" s="93">
        <f>VLOOKUP(A232,'Parameters Summary'!$B$2:$AB$826,16,FALSE)</f>
        <v>8.5498000000000007E-6</v>
      </c>
      <c r="W232" s="379" t="str">
        <f>VLOOKUP(A232,'Parameters Summary'!$B$2:$AB$826,17,FALSE)</f>
        <v>WATER9 (U.S. EPA, 2001)</v>
      </c>
      <c r="X232" s="290">
        <v>491.15</v>
      </c>
      <c r="Y232" s="96" t="s">
        <v>553</v>
      </c>
      <c r="Z232" s="96">
        <f>1.5*X232</f>
        <v>736.72499999999991</v>
      </c>
      <c r="AA232" s="96" t="s">
        <v>2220</v>
      </c>
      <c r="AB232" s="96" t="s">
        <v>1651</v>
      </c>
      <c r="AC232" s="96"/>
      <c r="AD232" s="93">
        <f>VLOOKUP(A232,'Parameters Summary'!$B$2:$AB$826,20,FALSE)</f>
        <v>375.3</v>
      </c>
      <c r="AE232" s="97" t="str">
        <f>VLOOKUP(A232,'Parameters Summary'!$B$2:$AB$826,21,FALSE)</f>
        <v>EPI</v>
      </c>
      <c r="AF232" s="97"/>
      <c r="AG232" s="94"/>
      <c r="AH232" s="92"/>
      <c r="AI232" s="94"/>
      <c r="AJ232" s="330"/>
      <c r="AL232" s="81"/>
    </row>
    <row r="233" spans="1:38" ht="12.75" customHeight="1">
      <c r="A233" s="96" t="s">
        <v>819</v>
      </c>
      <c r="B233" s="96" t="s">
        <v>1075</v>
      </c>
      <c r="C233" s="96" t="str">
        <f t="shared" si="20"/>
        <v>Yes</v>
      </c>
      <c r="D233" s="96" t="str">
        <f>VLOOKUP(A233,'Tox Summary'!$O$3:$R$824,3,FALSE)</f>
        <v>Yes</v>
      </c>
      <c r="E233" s="97">
        <f>VLOOKUP(A233,'Parameters Summary'!$B$2:$AB$826,4,FALSE)</f>
        <v>235.91</v>
      </c>
      <c r="F233" s="97" t="str">
        <f>VLOOKUP(A233,'Parameters Summary'!$B$2:$AB$826,5,FALSE)</f>
        <v>PHYSPROP</v>
      </c>
      <c r="G233" s="93">
        <f>VLOOKUP(A233,'Parameters Summary'!$B$2:$AB$826,9,FALSE)</f>
        <v>5.7500000000000002E-2</v>
      </c>
      <c r="H233" s="93" t="str">
        <f>VLOOKUP(A233,'Parameters Summary'!$B$2:$AB$826,10,FALSE)</f>
        <v>PHYSPROP</v>
      </c>
      <c r="I233" s="93">
        <f>VLOOKUP(A233,'Parameters Summary'!$B$2:$AB$826,24,FALSE)</f>
        <v>20</v>
      </c>
      <c r="J233" s="97" t="str">
        <f>VLOOKUP(A233,'Parameters Summary'!$B$2:$AB$826,25,FALSE)</f>
        <v>PHYSPROP</v>
      </c>
      <c r="K233" s="97" t="str">
        <f>VLOOKUP(A233,'Tox Summary'!$O$3:$S$827,2,FALSE)</f>
        <v/>
      </c>
      <c r="L233" s="93">
        <f>VLOOKUP(A233,'Parameters Summary'!$B$2:$AB$826,7,FALSE)</f>
        <v>8.9300000000000002E-4</v>
      </c>
      <c r="M233" s="93" t="str">
        <f>VLOOKUP(A233,'Parameters Summary'!$B$2:$AB$826,8,FALSE)</f>
        <v>EPI</v>
      </c>
      <c r="N233" s="91">
        <f>VLOOKUP(A233,'Parameters Summary'!$B$2:$AB$826,6,FALSE)</f>
        <v>3.6508600000000002E-2</v>
      </c>
      <c r="O233" s="91" t="str">
        <f t="shared" si="18"/>
        <v/>
      </c>
      <c r="P233" s="91">
        <f t="shared" si="21"/>
        <v>3.6508600000000002E-2</v>
      </c>
      <c r="Q233" s="91" t="str">
        <f t="shared" si="19"/>
        <v/>
      </c>
      <c r="R233" s="91">
        <f t="shared" si="22"/>
        <v>3.6508600000000002E-2</v>
      </c>
      <c r="S233" s="91" t="str">
        <f t="shared" si="23"/>
        <v/>
      </c>
      <c r="T233" s="93">
        <f>VLOOKUP(A233,'Parameters Summary'!$B$2:$AB$826,15,FALSE)</f>
        <v>3.32755E-2</v>
      </c>
      <c r="U233" s="93" t="str">
        <f>VLOOKUP(A233,'Parameters Summary'!$B$2:$AB$826,17,FALSE)</f>
        <v>WATER9 (U.S. EPA, 2001)</v>
      </c>
      <c r="V233" s="93">
        <f>VLOOKUP(A233,'Parameters Summary'!$B$2:$AB$826,16,FALSE)</f>
        <v>9.3369000000000003E-6</v>
      </c>
      <c r="W233" s="379" t="str">
        <f>VLOOKUP(A233,'Parameters Summary'!$B$2:$AB$826,17,FALSE)</f>
        <v>WATER9 (U.S. EPA, 2001)</v>
      </c>
      <c r="X233" s="290">
        <v>491.65</v>
      </c>
      <c r="Y233" s="96" t="s">
        <v>553</v>
      </c>
      <c r="Z233" s="96">
        <f>1.5*X233</f>
        <v>737.47499999999991</v>
      </c>
      <c r="AA233" s="96" t="s">
        <v>2220</v>
      </c>
      <c r="AB233" s="96" t="s">
        <v>1651</v>
      </c>
      <c r="AC233" s="96"/>
      <c r="AD233" s="93">
        <f>VLOOKUP(A233,'Parameters Summary'!$B$2:$AB$826,20,FALSE)</f>
        <v>375.3</v>
      </c>
      <c r="AE233" s="97" t="str">
        <f>VLOOKUP(A233,'Parameters Summary'!$B$2:$AB$826,21,FALSE)</f>
        <v>EPI</v>
      </c>
      <c r="AF233" s="97"/>
      <c r="AG233" s="94"/>
      <c r="AH233" s="92"/>
      <c r="AI233" s="94"/>
      <c r="AJ233" s="330"/>
      <c r="AL233" s="81"/>
    </row>
    <row r="234" spans="1:38" ht="12.75" customHeight="1">
      <c r="A234" s="95" t="s">
        <v>820</v>
      </c>
      <c r="B234" s="96" t="s">
        <v>1076</v>
      </c>
      <c r="C234" s="96" t="str">
        <f t="shared" si="20"/>
        <v>Yes</v>
      </c>
      <c r="D234" s="96" t="str">
        <f>VLOOKUP(A234,'Tox Summary'!$O$3:$R$824,3,FALSE)</f>
        <v>No</v>
      </c>
      <c r="E234" s="97">
        <f>VLOOKUP(A234,'Parameters Summary'!$B$2:$AB$826,4,FALSE)</f>
        <v>208.28</v>
      </c>
      <c r="F234" s="97" t="str">
        <f>VLOOKUP(A234,'Parameters Summary'!$B$2:$AB$826,5,FALSE)</f>
        <v>PHYSPROP</v>
      </c>
      <c r="G234" s="93">
        <f>VLOOKUP(A234,'Parameters Summary'!$B$2:$AB$826,9,FALSE)</f>
        <v>5.54</v>
      </c>
      <c r="H234" s="93" t="str">
        <f>VLOOKUP(A234,'Parameters Summary'!$B$2:$AB$826,10,FALSE)</f>
        <v>PHYSPROP</v>
      </c>
      <c r="I234" s="93">
        <f>VLOOKUP(A234,'Parameters Summary'!$B$2:$AB$826,24,FALSE)</f>
        <v>2700</v>
      </c>
      <c r="J234" s="97" t="str">
        <f>VLOOKUP(A234,'Parameters Summary'!$B$2:$AB$826,25,FALSE)</f>
        <v>PHYSPROP</v>
      </c>
      <c r="K234" s="97" t="str">
        <f>VLOOKUP(A234,'Tox Summary'!$O$3:$S$827,2,FALSE)</f>
        <v>8.0E+01(F)</v>
      </c>
      <c r="L234" s="93">
        <f>VLOOKUP(A234,'Parameters Summary'!$B$2:$AB$826,7,FALSE)</f>
        <v>7.8299999999999995E-4</v>
      </c>
      <c r="M234" s="93" t="str">
        <f>VLOOKUP(A234,'Parameters Summary'!$B$2:$AB$826,8,FALSE)</f>
        <v>PHYSPROP</v>
      </c>
      <c r="N234" s="91">
        <f>VLOOKUP(A234,'Parameters Summary'!$B$2:$AB$826,6,FALSE)</f>
        <v>3.2011400000000002E-2</v>
      </c>
      <c r="O234" s="91">
        <f t="shared" si="18"/>
        <v>3.2011400000000002E-2</v>
      </c>
      <c r="P234" s="91">
        <f t="shared" si="21"/>
        <v>3.2011400000000002E-2</v>
      </c>
      <c r="Q234" s="91">
        <f t="shared" si="19"/>
        <v>3.2011400000000002E-2</v>
      </c>
      <c r="R234" s="91">
        <f t="shared" si="22"/>
        <v>3.2011400000000002E-2</v>
      </c>
      <c r="S234" s="91">
        <f t="shared" si="23"/>
        <v>62088408.063013315</v>
      </c>
      <c r="T234" s="93">
        <f>VLOOKUP(A234,'Parameters Summary'!$B$2:$AB$826,15,FALSE)</f>
        <v>3.6635599999999997E-2</v>
      </c>
      <c r="U234" s="93" t="str">
        <f>VLOOKUP(A234,'Parameters Summary'!$B$2:$AB$826,17,FALSE)</f>
        <v>WATER9 (U.S. EPA, 2001)</v>
      </c>
      <c r="V234" s="93">
        <f>VLOOKUP(A234,'Parameters Summary'!$B$2:$AB$826,16,FALSE)</f>
        <v>1.06E-5</v>
      </c>
      <c r="W234" s="379" t="str">
        <f>VLOOKUP(A234,'Parameters Summary'!$B$2:$AB$826,17,FALSE)</f>
        <v>WATER9 (U.S. EPA, 2001)</v>
      </c>
      <c r="X234" s="290">
        <v>393</v>
      </c>
      <c r="Y234" s="96" t="s">
        <v>553</v>
      </c>
      <c r="Z234" s="96">
        <v>678.2</v>
      </c>
      <c r="AA234" s="96" t="s">
        <v>2227</v>
      </c>
      <c r="AB234" s="96">
        <v>5900</v>
      </c>
      <c r="AC234" s="96" t="s">
        <v>2227</v>
      </c>
      <c r="AD234" s="93">
        <f>VLOOKUP(A234,'Parameters Summary'!$B$2:$AB$826,20,FALSE)</f>
        <v>31.82</v>
      </c>
      <c r="AE234" s="97" t="str">
        <f>VLOOKUP(A234,'Parameters Summary'!$B$2:$AB$826,21,FALSE)</f>
        <v>EPI</v>
      </c>
      <c r="AF234" s="380"/>
      <c r="AG234" s="97"/>
      <c r="AH234" s="92"/>
      <c r="AI234" s="94"/>
      <c r="AJ234" s="330"/>
      <c r="AL234" s="81"/>
    </row>
    <row r="235" spans="1:38" ht="12.75" customHeight="1">
      <c r="A235" s="95" t="s">
        <v>821</v>
      </c>
      <c r="B235" s="96" t="s">
        <v>1077</v>
      </c>
      <c r="C235" s="96" t="str">
        <f t="shared" si="20"/>
        <v>Yes</v>
      </c>
      <c r="D235" s="96" t="str">
        <f>VLOOKUP(A235,'Tox Summary'!$O$3:$R$824,3,FALSE)</f>
        <v>No</v>
      </c>
      <c r="E235" s="97">
        <f>VLOOKUP(A235,'Parameters Summary'!$B$2:$AB$826,4,FALSE)</f>
        <v>187.86</v>
      </c>
      <c r="F235" s="97" t="str">
        <f>VLOOKUP(A235,'Parameters Summary'!$B$2:$AB$826,5,FALSE)</f>
        <v>PHYSPROP</v>
      </c>
      <c r="G235" s="93">
        <f>VLOOKUP(A235,'Parameters Summary'!$B$2:$AB$826,9,FALSE)</f>
        <v>11.2</v>
      </c>
      <c r="H235" s="93" t="str">
        <f>VLOOKUP(A235,'Parameters Summary'!$B$2:$AB$826,10,FALSE)</f>
        <v>PHYSPROP</v>
      </c>
      <c r="I235" s="93">
        <f>VLOOKUP(A235,'Parameters Summary'!$B$2:$AB$826,24,FALSE)</f>
        <v>3910</v>
      </c>
      <c r="J235" s="97" t="str">
        <f>VLOOKUP(A235,'Parameters Summary'!$B$2:$AB$826,25,FALSE)</f>
        <v>PHYSPROP</v>
      </c>
      <c r="K235" s="97">
        <f>VLOOKUP(A235,'Tox Summary'!$O$3:$S$827,2,FALSE)</f>
        <v>0.05</v>
      </c>
      <c r="L235" s="93">
        <f>VLOOKUP(A235,'Parameters Summary'!$B$2:$AB$826,7,FALSE)</f>
        <v>6.4999999999999997E-4</v>
      </c>
      <c r="M235" s="93" t="str">
        <f>VLOOKUP(A235,'Parameters Summary'!$B$2:$AB$826,8,FALSE)</f>
        <v>PHYSPROP</v>
      </c>
      <c r="N235" s="91">
        <f>VLOOKUP(A235,'Parameters Summary'!$B$2:$AB$826,6,FALSE)</f>
        <v>2.6574E-2</v>
      </c>
      <c r="O235" s="91">
        <f t="shared" si="18"/>
        <v>2.6574E-2</v>
      </c>
      <c r="P235" s="91">
        <f t="shared" si="21"/>
        <v>2.6574E-2</v>
      </c>
      <c r="Q235" s="91">
        <f t="shared" si="19"/>
        <v>2.6574E-2</v>
      </c>
      <c r="R235" s="91">
        <f t="shared" si="22"/>
        <v>2.6574E-2</v>
      </c>
      <c r="S235" s="91">
        <f t="shared" si="23"/>
        <v>113215406.87872098</v>
      </c>
      <c r="T235" s="93">
        <f>VLOOKUP(A235,'Parameters Summary'!$B$2:$AB$826,15,FALSE)</f>
        <v>4.3034799999999998E-2</v>
      </c>
      <c r="U235" s="93" t="str">
        <f>VLOOKUP(A235,'Parameters Summary'!$B$2:$AB$826,17,FALSE)</f>
        <v>WATER9 (U.S. EPA, 2001)</v>
      </c>
      <c r="V235" s="93">
        <f>VLOOKUP(A235,'Parameters Summary'!$B$2:$AB$826,16,FALSE)</f>
        <v>1.04E-5</v>
      </c>
      <c r="W235" s="379" t="str">
        <f>VLOOKUP(A235,'Parameters Summary'!$B$2:$AB$826,17,FALSE)</f>
        <v>WATER9 (U.S. EPA, 2001)</v>
      </c>
      <c r="X235" s="290">
        <v>404.6</v>
      </c>
      <c r="Y235" s="96" t="s">
        <v>553</v>
      </c>
      <c r="Z235" s="96">
        <v>583</v>
      </c>
      <c r="AA235" s="96" t="s">
        <v>2221</v>
      </c>
      <c r="AB235" s="96">
        <v>8310.0300000000007</v>
      </c>
      <c r="AC235" s="96" t="s">
        <v>2221</v>
      </c>
      <c r="AD235" s="93">
        <f>VLOOKUP(A235,'Parameters Summary'!$B$2:$AB$826,20,FALSE)</f>
        <v>39.6</v>
      </c>
      <c r="AE235" s="97" t="str">
        <f>VLOOKUP(A235,'Parameters Summary'!$B$2:$AB$826,21,FALSE)</f>
        <v>EPI</v>
      </c>
      <c r="AF235" s="380"/>
      <c r="AG235" s="97"/>
      <c r="AH235" s="92"/>
      <c r="AI235" s="94"/>
      <c r="AJ235" s="330"/>
      <c r="AL235" s="81"/>
    </row>
    <row r="236" spans="1:38" ht="12.75" customHeight="1">
      <c r="A236" s="95" t="s">
        <v>822</v>
      </c>
      <c r="B236" s="96" t="s">
        <v>1078</v>
      </c>
      <c r="C236" s="96" t="str">
        <f t="shared" si="20"/>
        <v>Yes</v>
      </c>
      <c r="D236" s="96" t="str">
        <f>VLOOKUP(A236,'Tox Summary'!$O$3:$R$824,3,FALSE)</f>
        <v>Yes</v>
      </c>
      <c r="E236" s="97">
        <f>VLOOKUP(A236,'Parameters Summary'!$B$2:$AB$826,4,FALSE)</f>
        <v>173.84</v>
      </c>
      <c r="F236" s="97" t="str">
        <f>VLOOKUP(A236,'Parameters Summary'!$B$2:$AB$826,5,FALSE)</f>
        <v>PHYSPROP</v>
      </c>
      <c r="G236" s="93">
        <f>VLOOKUP(A236,'Parameters Summary'!$B$2:$AB$826,9,FALSE)</f>
        <v>44.4</v>
      </c>
      <c r="H236" s="93" t="str">
        <f>VLOOKUP(A236,'Parameters Summary'!$B$2:$AB$826,10,FALSE)</f>
        <v>PHYSPROP</v>
      </c>
      <c r="I236" s="93">
        <f>VLOOKUP(A236,'Parameters Summary'!$B$2:$AB$826,24,FALSE)</f>
        <v>11900</v>
      </c>
      <c r="J236" s="97" t="str">
        <f>VLOOKUP(A236,'Parameters Summary'!$B$2:$AB$826,25,FALSE)</f>
        <v>PHYSPROP</v>
      </c>
      <c r="K236" s="97" t="str">
        <f>VLOOKUP(A236,'Tox Summary'!$O$3:$S$827,2,FALSE)</f>
        <v/>
      </c>
      <c r="L236" s="93">
        <f>VLOOKUP(A236,'Parameters Summary'!$B$2:$AB$826,7,FALSE)</f>
        <v>8.2200000000000003E-4</v>
      </c>
      <c r="M236" s="93" t="str">
        <f>VLOOKUP(A236,'Parameters Summary'!$B$2:$AB$826,8,FALSE)</f>
        <v>PHYSPROP</v>
      </c>
      <c r="N236" s="91">
        <f>VLOOKUP(A236,'Parameters Summary'!$B$2:$AB$826,6,FALSE)</f>
        <v>3.3605900000000001E-2</v>
      </c>
      <c r="O236" s="91">
        <f t="shared" si="18"/>
        <v>3.3605900000000001E-2</v>
      </c>
      <c r="P236" s="91">
        <f t="shared" si="21"/>
        <v>3.3605900000000001E-2</v>
      </c>
      <c r="Q236" s="91">
        <f t="shared" si="19"/>
        <v>3.3605900000000001E-2</v>
      </c>
      <c r="R236" s="91">
        <f t="shared" si="22"/>
        <v>3.3605900000000001E-2</v>
      </c>
      <c r="S236" s="91">
        <f t="shared" si="23"/>
        <v>415322896.76762533</v>
      </c>
      <c r="T236" s="93">
        <f>VLOOKUP(A236,'Parameters Summary'!$B$2:$AB$826,15,FALSE)</f>
        <v>5.51373E-2</v>
      </c>
      <c r="U236" s="93" t="str">
        <f>VLOOKUP(A236,'Parameters Summary'!$B$2:$AB$826,17,FALSE)</f>
        <v>WATER9 (U.S. EPA, 2001)</v>
      </c>
      <c r="V236" s="93">
        <f>VLOOKUP(A236,'Parameters Summary'!$B$2:$AB$826,16,FALSE)</f>
        <v>1.19E-5</v>
      </c>
      <c r="W236" s="379" t="str">
        <f>VLOOKUP(A236,'Parameters Summary'!$B$2:$AB$826,17,FALSE)</f>
        <v>WATER9 (U.S. EPA, 2001)</v>
      </c>
      <c r="X236" s="290">
        <v>370</v>
      </c>
      <c r="Y236" s="96" t="s">
        <v>553</v>
      </c>
      <c r="Z236" s="96">
        <v>583</v>
      </c>
      <c r="AA236" s="96" t="s">
        <v>2215</v>
      </c>
      <c r="AB236" s="96">
        <v>7867.88</v>
      </c>
      <c r="AC236" s="96" t="s">
        <v>2221</v>
      </c>
      <c r="AD236" s="93">
        <f>VLOOKUP(A236,'Parameters Summary'!$B$2:$AB$826,20,FALSE)</f>
        <v>21.73</v>
      </c>
      <c r="AE236" s="97" t="str">
        <f>VLOOKUP(A236,'Parameters Summary'!$B$2:$AB$826,21,FALSE)</f>
        <v>EPI</v>
      </c>
      <c r="AF236" s="380"/>
      <c r="AG236" s="97"/>
      <c r="AH236" s="92"/>
      <c r="AI236" s="94"/>
      <c r="AJ236" s="330"/>
      <c r="AL236" s="81"/>
    </row>
    <row r="237" spans="1:38" ht="12.75" customHeight="1">
      <c r="A237" s="96" t="s">
        <v>823</v>
      </c>
      <c r="B237" s="96" t="s">
        <v>2342</v>
      </c>
      <c r="C237" s="96" t="str">
        <f t="shared" si="20"/>
        <v>No</v>
      </c>
      <c r="D237" s="96" t="str">
        <f>VLOOKUP(A237,'Tox Summary'!$O$3:$R$824,3,FALSE)</f>
        <v>Yes</v>
      </c>
      <c r="E237" s="97">
        <f>VLOOKUP(A237,'Parameters Summary'!$B$2:$AB$826,4,FALSE)</f>
        <v>278.35000000000002</v>
      </c>
      <c r="F237" s="97" t="str">
        <f>VLOOKUP(A237,'Parameters Summary'!$B$2:$AB$826,5,FALSE)</f>
        <v>PHYSPROP</v>
      </c>
      <c r="G237" s="93">
        <f>VLOOKUP(A237,'Parameters Summary'!$B$2:$AB$826,9,FALSE)</f>
        <v>2.0100000000000001E-5</v>
      </c>
      <c r="H237" s="93" t="str">
        <f>VLOOKUP(A237,'Parameters Summary'!$B$2:$AB$826,10,FALSE)</f>
        <v>PHYSPROP</v>
      </c>
      <c r="I237" s="93">
        <f>VLOOKUP(A237,'Parameters Summary'!$B$2:$AB$826,24,FALSE)</f>
        <v>11.2</v>
      </c>
      <c r="J237" s="97" t="str">
        <f>VLOOKUP(A237,'Parameters Summary'!$B$2:$AB$826,25,FALSE)</f>
        <v>PHYSPROP</v>
      </c>
      <c r="K237" s="97" t="str">
        <f>VLOOKUP(A237,'Tox Summary'!$O$3:$S$827,2,FALSE)</f>
        <v/>
      </c>
      <c r="L237" s="93">
        <f>VLOOKUP(A237,'Parameters Summary'!$B$2:$AB$826,7,FALSE)</f>
        <v>1.81E-6</v>
      </c>
      <c r="M237" s="93" t="str">
        <f>VLOOKUP(A237,'Parameters Summary'!$B$2:$AB$826,8,FALSE)</f>
        <v>PHYSPROP</v>
      </c>
      <c r="N237" s="91">
        <f>VLOOKUP(A237,'Parameters Summary'!$B$2:$AB$826,6,FALSE)</f>
        <v>7.3999999999999996E-5</v>
      </c>
      <c r="O237" s="91" t="str">
        <f t="shared" si="18"/>
        <v/>
      </c>
      <c r="P237" s="91">
        <f t="shared" si="21"/>
        <v>7.3999999999999996E-5</v>
      </c>
      <c r="Q237" s="91" t="str">
        <f t="shared" si="19"/>
        <v/>
      </c>
      <c r="R237" s="91">
        <f t="shared" si="22"/>
        <v>7.3999999999999996E-5</v>
      </c>
      <c r="S237" s="91" t="str">
        <f t="shared" si="23"/>
        <v/>
      </c>
      <c r="T237" s="93">
        <f>VLOOKUP(A237,'Parameters Summary'!$B$2:$AB$826,15,FALSE)</f>
        <v>2.1436199999999999E-2</v>
      </c>
      <c r="U237" s="93" t="str">
        <f>VLOOKUP(A237,'Parameters Summary'!$B$2:$AB$826,17,FALSE)</f>
        <v>WATER9 (U.S. EPA, 2001)</v>
      </c>
      <c r="V237" s="93">
        <f>VLOOKUP(A237,'Parameters Summary'!$B$2:$AB$826,16,FALSE)</f>
        <v>5.3255000000000001E-6</v>
      </c>
      <c r="W237" s="379" t="str">
        <f>VLOOKUP(A237,'Parameters Summary'!$B$2:$AB$826,17,FALSE)</f>
        <v>WATER9 (U.S. EPA, 2001)</v>
      </c>
      <c r="X237" s="290">
        <v>613.15</v>
      </c>
      <c r="Y237" s="96" t="s">
        <v>553</v>
      </c>
      <c r="Z237" s="96" t="s">
        <v>1653</v>
      </c>
      <c r="AA237" s="96"/>
      <c r="AB237" s="96" t="s">
        <v>1651</v>
      </c>
      <c r="AC237" s="96"/>
      <c r="AD237" s="93">
        <f>VLOOKUP(A237,'Parameters Summary'!$B$2:$AB$826,20,FALSE)</f>
        <v>1157</v>
      </c>
      <c r="AE237" s="97" t="str">
        <f>VLOOKUP(A237,'Parameters Summary'!$B$2:$AB$826,21,FALSE)</f>
        <v>EPI</v>
      </c>
      <c r="AF237" s="97"/>
      <c r="AG237" s="94"/>
      <c r="AH237" s="92"/>
      <c r="AI237" s="96"/>
      <c r="AJ237" s="330"/>
      <c r="AL237" s="81"/>
    </row>
    <row r="238" spans="1:38" ht="12.75" customHeight="1">
      <c r="A238" s="96" t="s">
        <v>2168</v>
      </c>
      <c r="B238" s="96" t="s">
        <v>1079</v>
      </c>
      <c r="C238" s="96" t="str">
        <f t="shared" si="20"/>
        <v>No</v>
      </c>
      <c r="D238" s="96" t="str">
        <f>VLOOKUP(A238,'Tox Summary'!$O$3:$R$824,3,FALSE)</f>
        <v>Yes</v>
      </c>
      <c r="E238" s="97" t="str">
        <f>VLOOKUP(A238,'Parameters Summary'!$B$2:$AB$826,4,FALSE)</f>
        <v xml:space="preserve"> </v>
      </c>
      <c r="F238" s="97" t="str">
        <f>VLOOKUP(A238,'Parameters Summary'!$B$2:$AB$826,5,FALSE)</f>
        <v/>
      </c>
      <c r="G238" s="93" t="s">
        <v>2439</v>
      </c>
      <c r="H238" s="93" t="str">
        <f>VLOOKUP(A238,'Parameters Summary'!$B$2:$AB$826,10,FALSE)</f>
        <v/>
      </c>
      <c r="I238" s="93" t="s">
        <v>2440</v>
      </c>
      <c r="J238" s="97" t="str">
        <f>VLOOKUP(A238,'Parameters Summary'!$B$2:$AB$826,25,FALSE)</f>
        <v/>
      </c>
      <c r="K238" s="97" t="str">
        <f>VLOOKUP(A238,'Tox Summary'!$O$3:$S$827,2,FALSE)</f>
        <v/>
      </c>
      <c r="L238" s="93" t="s">
        <v>2298</v>
      </c>
      <c r="M238" s="93" t="str">
        <f>VLOOKUP(A238,'Parameters Summary'!$B$2:$AB$826,8,FALSE)</f>
        <v/>
      </c>
      <c r="N238" s="91" t="str">
        <f>VLOOKUP(A238,'Parameters Summary'!$B$2:$AB$826,6,FALSE)</f>
        <v xml:space="preserve"> </v>
      </c>
      <c r="O238" s="91" t="str">
        <f t="shared" si="18"/>
        <v/>
      </c>
      <c r="P238" s="91" t="str">
        <f t="shared" si="21"/>
        <v xml:space="preserve"> </v>
      </c>
      <c r="Q238" s="91" t="str">
        <f t="shared" si="19"/>
        <v/>
      </c>
      <c r="R238" s="91" t="str">
        <f t="shared" si="22"/>
        <v xml:space="preserve"> </v>
      </c>
      <c r="S238" s="91" t="str">
        <f t="shared" si="23"/>
        <v/>
      </c>
      <c r="T238" s="93" t="str">
        <f>VLOOKUP(A238,'Parameters Summary'!$B$2:$AB$826,15,FALSE)</f>
        <v xml:space="preserve"> </v>
      </c>
      <c r="U238" s="93" t="str">
        <f>VLOOKUP(A238,'Parameters Summary'!$B$2:$AB$826,17,FALSE)</f>
        <v/>
      </c>
      <c r="V238" s="93" t="str">
        <f>VLOOKUP(A238,'Parameters Summary'!$B$2:$AB$826,16,FALSE)</f>
        <v xml:space="preserve"> </v>
      </c>
      <c r="W238" s="379" t="str">
        <f>VLOOKUP(A238,'Parameters Summary'!$B$2:$AB$826,17,FALSE)</f>
        <v/>
      </c>
      <c r="X238" s="347"/>
      <c r="Y238" s="96"/>
      <c r="Z238" s="96" t="s">
        <v>1653</v>
      </c>
      <c r="AA238" s="96"/>
      <c r="AB238" s="96" t="s">
        <v>1651</v>
      </c>
      <c r="AC238" s="96"/>
      <c r="AD238" s="93" t="str">
        <f>VLOOKUP(A238,'Parameters Summary'!$B$2:$AB$826,20,FALSE)</f>
        <v xml:space="preserve"> </v>
      </c>
      <c r="AE238" s="97" t="str">
        <f>VLOOKUP(A238,'Parameters Summary'!$B$2:$AB$826,21,FALSE)</f>
        <v/>
      </c>
      <c r="AF238" s="97"/>
      <c r="AG238" s="94"/>
      <c r="AH238" s="92"/>
      <c r="AI238" s="94"/>
      <c r="AJ238" s="330"/>
      <c r="AL238" s="81"/>
    </row>
    <row r="239" spans="1:38" ht="12.75" customHeight="1">
      <c r="A239" s="96" t="s">
        <v>1585</v>
      </c>
      <c r="B239" s="96" t="s">
        <v>2385</v>
      </c>
      <c r="C239" s="96" t="str">
        <f t="shared" si="20"/>
        <v>No</v>
      </c>
      <c r="D239" s="96" t="str">
        <f>VLOOKUP(A239,'Tox Summary'!$O$3:$R$824,3,FALSE)</f>
        <v>No</v>
      </c>
      <c r="E239" s="97">
        <f>VLOOKUP(A239,'Parameters Summary'!$B$2:$AB$826,4,FALSE)</f>
        <v>136.06</v>
      </c>
      <c r="F239" s="97" t="str">
        <f>VLOOKUP(A239,'Parameters Summary'!$B$2:$AB$826,5,FALSE)</f>
        <v>EPI</v>
      </c>
      <c r="G239" s="93" t="s">
        <v>2439</v>
      </c>
      <c r="H239" s="93" t="str">
        <f>VLOOKUP(A239,'Parameters Summary'!$B$2:$AB$826,10,FALSE)</f>
        <v/>
      </c>
      <c r="I239" s="93" t="s">
        <v>2440</v>
      </c>
      <c r="J239" s="97" t="str">
        <f>VLOOKUP(A239,'Parameters Summary'!$B$2:$AB$826,25,FALSE)</f>
        <v/>
      </c>
      <c r="K239" s="97" t="str">
        <f>VLOOKUP(A239,'Tox Summary'!$O$3:$S$827,2,FALSE)</f>
        <v/>
      </c>
      <c r="L239" s="93" t="s">
        <v>2298</v>
      </c>
      <c r="M239" s="93" t="str">
        <f>VLOOKUP(A239,'Parameters Summary'!$B$2:$AB$826,8,FALSE)</f>
        <v/>
      </c>
      <c r="N239" s="91" t="str">
        <f>VLOOKUP(A239,'Parameters Summary'!$B$2:$AB$826,6,FALSE)</f>
        <v xml:space="preserve"> </v>
      </c>
      <c r="O239" s="91" t="str">
        <f t="shared" si="18"/>
        <v/>
      </c>
      <c r="P239" s="91" t="str">
        <f t="shared" si="21"/>
        <v xml:space="preserve"> </v>
      </c>
      <c r="Q239" s="91" t="str">
        <f t="shared" si="19"/>
        <v/>
      </c>
      <c r="R239" s="91" t="str">
        <f t="shared" si="22"/>
        <v xml:space="preserve"> </v>
      </c>
      <c r="S239" s="91" t="str">
        <f t="shared" si="23"/>
        <v/>
      </c>
      <c r="T239" s="93" t="str">
        <f>VLOOKUP(A239,'Parameters Summary'!$B$2:$AB$826,15,FALSE)</f>
        <v xml:space="preserve"> </v>
      </c>
      <c r="U239" s="93" t="str">
        <f>VLOOKUP(A239,'Parameters Summary'!$B$2:$AB$826,17,FALSE)</f>
        <v/>
      </c>
      <c r="V239" s="93" t="str">
        <f>VLOOKUP(A239,'Parameters Summary'!$B$2:$AB$826,16,FALSE)</f>
        <v xml:space="preserve"> </v>
      </c>
      <c r="W239" s="379" t="str">
        <f>VLOOKUP(A239,'Parameters Summary'!$B$2:$AB$826,17,FALSE)</f>
        <v/>
      </c>
      <c r="X239" s="347"/>
      <c r="Y239" s="96"/>
      <c r="Z239" s="96" t="s">
        <v>1653</v>
      </c>
      <c r="AA239" s="96"/>
      <c r="AB239" s="96" t="s">
        <v>1651</v>
      </c>
      <c r="AC239" s="96"/>
      <c r="AD239" s="93" t="str">
        <f>VLOOKUP(A239,'Parameters Summary'!$B$2:$AB$826,20,FALSE)</f>
        <v xml:space="preserve"> </v>
      </c>
      <c r="AE239" s="97" t="str">
        <f>VLOOKUP(A239,'Parameters Summary'!$B$2:$AB$826,21,FALSE)</f>
        <v/>
      </c>
      <c r="AF239" s="97"/>
      <c r="AG239" s="94"/>
      <c r="AH239" s="92"/>
      <c r="AI239" s="96"/>
      <c r="AJ239" s="330"/>
      <c r="AL239" s="81"/>
    </row>
    <row r="240" spans="1:38" ht="12.75" customHeight="1">
      <c r="A240" s="96" t="s">
        <v>824</v>
      </c>
      <c r="B240" s="96" t="s">
        <v>1080</v>
      </c>
      <c r="C240" s="96" t="str">
        <f t="shared" si="20"/>
        <v>No</v>
      </c>
      <c r="D240" s="96" t="str">
        <f>VLOOKUP(A240,'Tox Summary'!$O$3:$R$824,3,FALSE)</f>
        <v>Yes</v>
      </c>
      <c r="E240" s="97">
        <f>VLOOKUP(A240,'Parameters Summary'!$B$2:$AB$826,4,FALSE)</f>
        <v>221.04</v>
      </c>
      <c r="F240" s="97" t="str">
        <f>VLOOKUP(A240,'Parameters Summary'!$B$2:$AB$826,5,FALSE)</f>
        <v>PHYSPROP</v>
      </c>
      <c r="G240" s="93">
        <f>VLOOKUP(A240,'Parameters Summary'!$B$2:$AB$826,9,FALSE)</f>
        <v>1.2500000000000001E-5</v>
      </c>
      <c r="H240" s="93" t="str">
        <f>VLOOKUP(A240,'Parameters Summary'!$B$2:$AB$826,10,FALSE)</f>
        <v>PHYSPROP</v>
      </c>
      <c r="I240" s="93">
        <f>VLOOKUP(A240,'Parameters Summary'!$B$2:$AB$826,24,FALSE)</f>
        <v>8310</v>
      </c>
      <c r="J240" s="97" t="str">
        <f>VLOOKUP(A240,'Parameters Summary'!$B$2:$AB$826,25,FALSE)</f>
        <v>PHYSPROP</v>
      </c>
      <c r="K240" s="97" t="str">
        <f>VLOOKUP(A240,'Tox Summary'!$O$3:$S$827,2,FALSE)</f>
        <v/>
      </c>
      <c r="L240" s="93">
        <f>VLOOKUP(A240,'Parameters Summary'!$B$2:$AB$826,7,FALSE)</f>
        <v>2.1799999999999999E-9</v>
      </c>
      <c r="M240" s="93" t="str">
        <f>VLOOKUP(A240,'Parameters Summary'!$B$2:$AB$826,8,FALSE)</f>
        <v>EPI</v>
      </c>
      <c r="N240" s="91">
        <f>VLOOKUP(A240,'Parameters Summary'!$B$2:$AB$826,6,FALSE)</f>
        <v>8.9124999999999999E-8</v>
      </c>
      <c r="O240" s="91" t="str">
        <f t="shared" si="18"/>
        <v/>
      </c>
      <c r="P240" s="91">
        <f t="shared" si="21"/>
        <v>8.9124999999999999E-8</v>
      </c>
      <c r="Q240" s="91" t="str">
        <f t="shared" si="19"/>
        <v/>
      </c>
      <c r="R240" s="91">
        <f t="shared" si="22"/>
        <v>8.9124999999999999E-8</v>
      </c>
      <c r="S240" s="91" t="str">
        <f t="shared" si="23"/>
        <v/>
      </c>
      <c r="T240" s="93">
        <f>VLOOKUP(A240,'Parameters Summary'!$B$2:$AB$826,15,FALSE)</f>
        <v>2.9224300000000002E-2</v>
      </c>
      <c r="U240" s="93" t="str">
        <f>VLOOKUP(A240,'Parameters Summary'!$B$2:$AB$826,17,FALSE)</f>
        <v>WATER9 (U.S. EPA, 2001)</v>
      </c>
      <c r="V240" s="93">
        <f>VLOOKUP(A240,'Parameters Summary'!$B$2:$AB$826,16,FALSE)</f>
        <v>7.8005999999999995E-6</v>
      </c>
      <c r="W240" s="379" t="str">
        <f>VLOOKUP(A240,'Parameters Summary'!$B$2:$AB$826,17,FALSE)</f>
        <v>WATER9 (U.S. EPA, 2001)</v>
      </c>
      <c r="X240" s="347"/>
      <c r="Y240" s="96"/>
      <c r="Z240" s="96" t="s">
        <v>1653</v>
      </c>
      <c r="AA240" s="96"/>
      <c r="AB240" s="96" t="s">
        <v>1651</v>
      </c>
      <c r="AC240" s="96"/>
      <c r="AD240" s="93">
        <f>VLOOKUP(A240,'Parameters Summary'!$B$2:$AB$826,20,FALSE)</f>
        <v>29.01</v>
      </c>
      <c r="AE240" s="97" t="str">
        <f>VLOOKUP(A240,'Parameters Summary'!$B$2:$AB$826,21,FALSE)</f>
        <v>EPI</v>
      </c>
      <c r="AF240" s="97"/>
      <c r="AG240" s="94"/>
      <c r="AH240" s="92"/>
      <c r="AI240" s="94"/>
      <c r="AJ240" s="330"/>
      <c r="AL240" s="81"/>
    </row>
    <row r="241" spans="1:38" ht="12.75" customHeight="1">
      <c r="A241" s="95" t="s">
        <v>825</v>
      </c>
      <c r="B241" s="96" t="s">
        <v>1081</v>
      </c>
      <c r="C241" s="96" t="str">
        <f t="shared" si="20"/>
        <v>Yes</v>
      </c>
      <c r="D241" s="96" t="str">
        <f>VLOOKUP(A241,'Tox Summary'!$O$3:$R$824,3,FALSE)</f>
        <v>No</v>
      </c>
      <c r="E241" s="97">
        <f>VLOOKUP(A241,'Parameters Summary'!$B$2:$AB$826,4,FALSE)</f>
        <v>125</v>
      </c>
      <c r="F241" s="97" t="str">
        <f>VLOOKUP(A241,'Parameters Summary'!$B$2:$AB$826,5,FALSE)</f>
        <v>PHYSPROP</v>
      </c>
      <c r="G241" s="93">
        <f>VLOOKUP(A241,'Parameters Summary'!$B$2:$AB$826,9,FALSE)</f>
        <v>3</v>
      </c>
      <c r="H241" s="93" t="str">
        <f>VLOOKUP(A241,'Parameters Summary'!$B$2:$AB$826,10,FALSE)</f>
        <v>EPI</v>
      </c>
      <c r="I241" s="93">
        <f>VLOOKUP(A241,'Parameters Summary'!$B$2:$AB$826,24,FALSE)</f>
        <v>580</v>
      </c>
      <c r="J241" s="97" t="str">
        <f>VLOOKUP(A241,'Parameters Summary'!$B$2:$AB$826,25,FALSE)</f>
        <v>PHYSPROP</v>
      </c>
      <c r="K241" s="97" t="str">
        <f>VLOOKUP(A241,'Tox Summary'!$O$3:$S$827,2,FALSE)</f>
        <v/>
      </c>
      <c r="L241" s="93">
        <f>VLOOKUP(A241,'Parameters Summary'!$B$2:$AB$826,7,FALSE)</f>
        <v>8.5100000000000002E-3</v>
      </c>
      <c r="M241" s="93" t="str">
        <f>VLOOKUP(A241,'Parameters Summary'!$B$2:$AB$826,8,FALSE)</f>
        <v>PHYSPROP</v>
      </c>
      <c r="N241" s="91">
        <f>VLOOKUP(A241,'Parameters Summary'!$B$2:$AB$826,6,FALSE)</f>
        <v>0.34791499999999997</v>
      </c>
      <c r="O241" s="91" t="str">
        <f t="shared" si="18"/>
        <v/>
      </c>
      <c r="P241" s="91">
        <f t="shared" si="21"/>
        <v>0.34791499999999997</v>
      </c>
      <c r="Q241" s="91" t="str">
        <f t="shared" si="19"/>
        <v/>
      </c>
      <c r="R241" s="91">
        <f t="shared" si="22"/>
        <v>0.34791499999999997</v>
      </c>
      <c r="S241" s="91" t="str">
        <f t="shared" si="23"/>
        <v/>
      </c>
      <c r="T241" s="93">
        <f>VLOOKUP(A241,'Parameters Summary'!$B$2:$AB$826,15,FALSE)</f>
        <v>6.65047E-2</v>
      </c>
      <c r="U241" s="93" t="str">
        <f>VLOOKUP(A241,'Parameters Summary'!$B$2:$AB$826,17,FALSE)</f>
        <v>WATER9 (U.S. EPA, 2001)</v>
      </c>
      <c r="V241" s="93">
        <f>VLOOKUP(A241,'Parameters Summary'!$B$2:$AB$826,16,FALSE)</f>
        <v>9.2900000000000008E-6</v>
      </c>
      <c r="W241" s="379" t="str">
        <f>VLOOKUP(A241,'Parameters Summary'!$B$2:$AB$826,17,FALSE)</f>
        <v>WATER9 (U.S. EPA, 2001)</v>
      </c>
      <c r="X241" s="290">
        <v>431</v>
      </c>
      <c r="Y241" s="96" t="s">
        <v>2218</v>
      </c>
      <c r="Z241" s="96">
        <f>3*X241/2</f>
        <v>646.5</v>
      </c>
      <c r="AA241" s="96" t="s">
        <v>2220</v>
      </c>
      <c r="AB241" s="96" t="s">
        <v>1651</v>
      </c>
      <c r="AC241" s="96"/>
      <c r="AD241" s="93">
        <f>VLOOKUP(A241,'Parameters Summary'!$B$2:$AB$826,20,FALSE)</f>
        <v>131.5</v>
      </c>
      <c r="AE241" s="97" t="str">
        <f>VLOOKUP(A241,'Parameters Summary'!$B$2:$AB$826,21,FALSE)</f>
        <v>EPI</v>
      </c>
      <c r="AF241" s="380"/>
      <c r="AG241" s="97"/>
      <c r="AH241" s="92"/>
      <c r="AI241" s="94"/>
      <c r="AJ241" s="330"/>
      <c r="AL241" s="81"/>
    </row>
    <row r="242" spans="1:38" ht="12.75" customHeight="1">
      <c r="A242" s="95" t="s">
        <v>826</v>
      </c>
      <c r="B242" s="96" t="s">
        <v>576</v>
      </c>
      <c r="C242" s="96" t="str">
        <f t="shared" si="20"/>
        <v>Yes</v>
      </c>
      <c r="D242" s="96" t="str">
        <f>VLOOKUP(A242,'Tox Summary'!$O$3:$R$824,3,FALSE)</f>
        <v>Yes</v>
      </c>
      <c r="E242" s="97">
        <f>VLOOKUP(A242,'Parameters Summary'!$B$2:$AB$826,4,FALSE)</f>
        <v>125</v>
      </c>
      <c r="F242" s="97" t="str">
        <f>VLOOKUP(A242,'Parameters Summary'!$B$2:$AB$826,5,FALSE)</f>
        <v>PHYSPROP</v>
      </c>
      <c r="G242" s="93">
        <f>VLOOKUP(A242,'Parameters Summary'!$B$2:$AB$826,9,FALSE)</f>
        <v>4.0940000000000003</v>
      </c>
      <c r="H242" s="93" t="str">
        <f>VLOOKUP(A242,'Parameters Summary'!$B$2:$AB$826,10,FALSE)</f>
        <v>PHYSPROP</v>
      </c>
      <c r="I242" s="93">
        <f>VLOOKUP(A242,'Parameters Summary'!$B$2:$AB$826,24,FALSE)</f>
        <v>580.20000000000005</v>
      </c>
      <c r="J242" s="97" t="str">
        <f>VLOOKUP(A242,'Parameters Summary'!$B$2:$AB$826,25,FALSE)</f>
        <v>PHYSPROP</v>
      </c>
      <c r="K242" s="97" t="str">
        <f>VLOOKUP(A242,'Tox Summary'!$O$3:$S$827,2,FALSE)</f>
        <v/>
      </c>
      <c r="L242" s="93">
        <f>VLOOKUP(A242,'Parameters Summary'!$B$2:$AB$826,7,FALSE)</f>
        <v>6.6399999999999999E-4</v>
      </c>
      <c r="M242" s="93" t="str">
        <f>VLOOKUP(A242,'Parameters Summary'!$B$2:$AB$826,8,FALSE)</f>
        <v>EPI</v>
      </c>
      <c r="N242" s="91">
        <f>VLOOKUP(A242,'Parameters Summary'!$B$2:$AB$826,6,FALSE)</f>
        <v>2.7146400000000001E-2</v>
      </c>
      <c r="O242" s="91">
        <f t="shared" si="18"/>
        <v>2.7146400000000001E-2</v>
      </c>
      <c r="P242" s="91">
        <f t="shared" si="21"/>
        <v>2.7146400000000001E-2</v>
      </c>
      <c r="Q242" s="91">
        <f t="shared" si="19"/>
        <v>2.7146400000000001E-2</v>
      </c>
      <c r="R242" s="91">
        <f t="shared" si="22"/>
        <v>2.7146400000000001E-2</v>
      </c>
      <c r="S242" s="91">
        <f t="shared" si="23"/>
        <v>27536646.053950444</v>
      </c>
      <c r="T242" s="93">
        <f>VLOOKUP(A242,'Parameters Summary'!$B$2:$AB$826,15,FALSE)</f>
        <v>6.65047E-2</v>
      </c>
      <c r="U242" s="93" t="str">
        <f>VLOOKUP(A242,'Parameters Summary'!$B$2:$AB$826,17,FALSE)</f>
        <v>WATER9 (U.S. EPA, 2001)</v>
      </c>
      <c r="V242" s="93">
        <f>VLOOKUP(A242,'Parameters Summary'!$B$2:$AB$826,16,FALSE)</f>
        <v>9.2900000000000008E-6</v>
      </c>
      <c r="W242" s="379" t="str">
        <f>VLOOKUP(A242,'Parameters Summary'!$B$2:$AB$826,17,FALSE)</f>
        <v>WATER9 (U.S. EPA, 2001)</v>
      </c>
      <c r="X242" s="290">
        <v>425.5</v>
      </c>
      <c r="Y242" s="96" t="s">
        <v>2217</v>
      </c>
      <c r="Z242" s="96">
        <v>640</v>
      </c>
      <c r="AA242" s="96" t="s">
        <v>2215</v>
      </c>
      <c r="AB242" s="96">
        <v>9125</v>
      </c>
      <c r="AC242" s="96" t="s">
        <v>2218</v>
      </c>
      <c r="AD242" s="93">
        <f>VLOOKUP(A242,'Parameters Summary'!$B$2:$AB$826,20,FALSE)</f>
        <v>131.5</v>
      </c>
      <c r="AE242" s="97" t="str">
        <f>VLOOKUP(A242,'Parameters Summary'!$B$2:$AB$826,21,FALSE)</f>
        <v>EPI</v>
      </c>
      <c r="AF242" s="380"/>
      <c r="AG242" s="97"/>
      <c r="AH242" s="92"/>
      <c r="AI242" s="94"/>
      <c r="AJ242" s="330"/>
      <c r="AL242" s="81"/>
    </row>
    <row r="243" spans="1:38" ht="12.75" customHeight="1">
      <c r="A243" s="95" t="s">
        <v>827</v>
      </c>
      <c r="B243" s="96" t="s">
        <v>577</v>
      </c>
      <c r="C243" s="96" t="str">
        <f t="shared" si="20"/>
        <v>Yes</v>
      </c>
      <c r="D243" s="96" t="str">
        <f>VLOOKUP(A243,'Tox Summary'!$O$3:$R$824,3,FALSE)</f>
        <v>Yes</v>
      </c>
      <c r="E243" s="97">
        <f>VLOOKUP(A243,'Parameters Summary'!$B$2:$AB$826,4,FALSE)</f>
        <v>125</v>
      </c>
      <c r="F243" s="97" t="str">
        <f>VLOOKUP(A243,'Parameters Summary'!$B$2:$AB$826,5,FALSE)</f>
        <v>PHYSPROP</v>
      </c>
      <c r="G243" s="93">
        <f>VLOOKUP(A243,'Parameters Summary'!$B$2:$AB$826,9,FALSE)</f>
        <v>3.43</v>
      </c>
      <c r="H243" s="93" t="str">
        <f>VLOOKUP(A243,'Parameters Summary'!$B$2:$AB$826,10,FALSE)</f>
        <v>PHYSPROP</v>
      </c>
      <c r="I243" s="93">
        <f>VLOOKUP(A243,'Parameters Summary'!$B$2:$AB$826,24,FALSE)</f>
        <v>850</v>
      </c>
      <c r="J243" s="97" t="str">
        <f>VLOOKUP(A243,'Parameters Summary'!$B$2:$AB$826,25,FALSE)</f>
        <v>PHYSPROP</v>
      </c>
      <c r="K243" s="97" t="str">
        <f>VLOOKUP(A243,'Tox Summary'!$O$3:$S$827,2,FALSE)</f>
        <v/>
      </c>
      <c r="L243" s="93">
        <f>VLOOKUP(A243,'Parameters Summary'!$B$2:$AB$826,7,FALSE)</f>
        <v>6.6399999999999999E-4</v>
      </c>
      <c r="M243" s="93" t="str">
        <f>VLOOKUP(A243,'Parameters Summary'!$B$2:$AB$826,8,FALSE)</f>
        <v>EPI</v>
      </c>
      <c r="N243" s="91">
        <f>VLOOKUP(A243,'Parameters Summary'!$B$2:$AB$826,6,FALSE)</f>
        <v>2.7146400000000001E-2</v>
      </c>
      <c r="O243" s="91">
        <f t="shared" si="18"/>
        <v>2.7146400000000001E-2</v>
      </c>
      <c r="P243" s="91">
        <f t="shared" si="21"/>
        <v>2.7146400000000001E-2</v>
      </c>
      <c r="Q243" s="91">
        <f t="shared" si="19"/>
        <v>2.7146400000000001E-2</v>
      </c>
      <c r="R243" s="91">
        <f t="shared" si="22"/>
        <v>2.7146400000000001E-2</v>
      </c>
      <c r="S243" s="91">
        <f t="shared" si="23"/>
        <v>23070516.845395707</v>
      </c>
      <c r="T243" s="93">
        <f>VLOOKUP(A243,'Parameters Summary'!$B$2:$AB$826,15,FALSE)</f>
        <v>6.6381800000000005E-2</v>
      </c>
      <c r="U243" s="93" t="str">
        <f>VLOOKUP(A243,'Parameters Summary'!$B$2:$AB$826,17,FALSE)</f>
        <v>WATER9 (U.S. EPA, 2001)</v>
      </c>
      <c r="V243" s="93">
        <f>VLOOKUP(A243,'Parameters Summary'!$B$2:$AB$826,16,FALSE)</f>
        <v>9.2665000000000001E-6</v>
      </c>
      <c r="W243" s="379" t="str">
        <f>VLOOKUP(A243,'Parameters Summary'!$B$2:$AB$826,17,FALSE)</f>
        <v>WATER9 (U.S. EPA, 2001)</v>
      </c>
      <c r="X243" s="290">
        <v>428.4</v>
      </c>
      <c r="Y243" s="96" t="s">
        <v>2217</v>
      </c>
      <c r="Z243" s="96">
        <v>646</v>
      </c>
      <c r="AA243" s="96" t="s">
        <v>2215</v>
      </c>
      <c r="AB243" s="96">
        <v>9125</v>
      </c>
      <c r="AC243" s="96" t="s">
        <v>2218</v>
      </c>
      <c r="AD243" s="93">
        <f>VLOOKUP(A243,'Parameters Summary'!$B$2:$AB$826,20,FALSE)</f>
        <v>131.5</v>
      </c>
      <c r="AE243" s="97" t="str">
        <f>VLOOKUP(A243,'Parameters Summary'!$B$2:$AB$826,21,FALSE)</f>
        <v>EPI</v>
      </c>
      <c r="AF243" s="380"/>
      <c r="AG243" s="97"/>
      <c r="AH243" s="92"/>
      <c r="AI243" s="96"/>
      <c r="AJ243" s="330"/>
      <c r="AL243" s="81"/>
    </row>
    <row r="244" spans="1:38" ht="12.75" customHeight="1">
      <c r="A244" s="96" t="s">
        <v>828</v>
      </c>
      <c r="B244" s="96" t="s">
        <v>1082</v>
      </c>
      <c r="C244" s="96" t="str">
        <f t="shared" si="20"/>
        <v>No</v>
      </c>
      <c r="D244" s="96" t="str">
        <f>VLOOKUP(A244,'Tox Summary'!$O$3:$R$824,3,FALSE)</f>
        <v>Yes</v>
      </c>
      <c r="E244" s="97">
        <f>VLOOKUP(A244,'Parameters Summary'!$B$2:$AB$826,4,FALSE)</f>
        <v>128.94</v>
      </c>
      <c r="F244" s="97" t="str">
        <f>VLOOKUP(A244,'Parameters Summary'!$B$2:$AB$826,5,FALSE)</f>
        <v>PHYSPROP</v>
      </c>
      <c r="G244" s="93">
        <f>VLOOKUP(A244,'Parameters Summary'!$B$2:$AB$826,9,FALSE)</f>
        <v>0.1787</v>
      </c>
      <c r="H244" s="93" t="str">
        <f>VLOOKUP(A244,'Parameters Summary'!$B$2:$AB$826,10,FALSE)</f>
        <v>PHYSPROP</v>
      </c>
      <c r="I244" s="93">
        <f>VLOOKUP(A244,'Parameters Summary'!$B$2:$AB$826,24,FALSE)</f>
        <v>1000000</v>
      </c>
      <c r="J244" s="97" t="str">
        <f>VLOOKUP(A244,'Parameters Summary'!$B$2:$AB$826,25,FALSE)</f>
        <v>PHYSPROP</v>
      </c>
      <c r="K244" s="97">
        <f>VLOOKUP(A244,'Tox Summary'!$O$3:$S$827,2,FALSE)</f>
        <v>60</v>
      </c>
      <c r="L244" s="93">
        <f>VLOOKUP(A244,'Parameters Summary'!$B$2:$AB$826,7,FALSE)</f>
        <v>8.3799999999999996E-9</v>
      </c>
      <c r="M244" s="93" t="str">
        <f>VLOOKUP(A244,'Parameters Summary'!$B$2:$AB$826,8,FALSE)</f>
        <v>PHYSPROP</v>
      </c>
      <c r="N244" s="91">
        <f>VLOOKUP(A244,'Parameters Summary'!$B$2:$AB$826,6,FALSE)</f>
        <v>3.4260000000000001E-7</v>
      </c>
      <c r="O244" s="91" t="str">
        <f t="shared" si="18"/>
        <v/>
      </c>
      <c r="P244" s="91">
        <f t="shared" si="21"/>
        <v>3.4260000000000001E-7</v>
      </c>
      <c r="Q244" s="91" t="str">
        <f t="shared" si="19"/>
        <v/>
      </c>
      <c r="R244" s="91">
        <f t="shared" si="22"/>
        <v>3.4260000000000001E-7</v>
      </c>
      <c r="S244" s="91" t="str">
        <f t="shared" si="23"/>
        <v/>
      </c>
      <c r="T244" s="93">
        <f>VLOOKUP(A244,'Parameters Summary'!$B$2:$AB$826,15,FALSE)</f>
        <v>7.2234300000000001E-2</v>
      </c>
      <c r="U244" s="93" t="str">
        <f>VLOOKUP(A244,'Parameters Summary'!$B$2:$AB$826,17,FALSE)</f>
        <v>WATER9 (U.S. EPA, 2001)</v>
      </c>
      <c r="V244" s="93">
        <f>VLOOKUP(A244,'Parameters Summary'!$B$2:$AB$826,16,FALSE)</f>
        <v>1.08E-5</v>
      </c>
      <c r="W244" s="379" t="str">
        <f>VLOOKUP(A244,'Parameters Summary'!$B$2:$AB$826,17,FALSE)</f>
        <v>WATER9 (U.S. EPA, 2001)</v>
      </c>
      <c r="X244" s="290">
        <v>467.15</v>
      </c>
      <c r="Y244" s="96" t="s">
        <v>553</v>
      </c>
      <c r="Z244" s="96">
        <f>1.5*X244</f>
        <v>700.72499999999991</v>
      </c>
      <c r="AA244" s="96" t="s">
        <v>2220</v>
      </c>
      <c r="AB244" s="96" t="s">
        <v>1651</v>
      </c>
      <c r="AC244" s="96"/>
      <c r="AD244" s="93">
        <f>VLOOKUP(A244,'Parameters Summary'!$B$2:$AB$826,20,FALSE)</f>
        <v>2.2519999999999998</v>
      </c>
      <c r="AE244" s="97" t="str">
        <f>VLOOKUP(A244,'Parameters Summary'!$B$2:$AB$826,21,FALSE)</f>
        <v>EPI</v>
      </c>
      <c r="AF244" s="97"/>
      <c r="AG244" s="94"/>
      <c r="AH244" s="92"/>
      <c r="AI244" s="96"/>
      <c r="AJ244" s="330"/>
      <c r="AL244" s="81"/>
    </row>
    <row r="245" spans="1:38" ht="12.75" customHeight="1">
      <c r="A245" s="95" t="s">
        <v>829</v>
      </c>
      <c r="B245" s="96" t="s">
        <v>1083</v>
      </c>
      <c r="C245" s="96" t="str">
        <f t="shared" si="20"/>
        <v>Yes</v>
      </c>
      <c r="D245" s="96" t="str">
        <f>VLOOKUP(A245,'Tox Summary'!$O$3:$R$824,3,FALSE)</f>
        <v>No</v>
      </c>
      <c r="E245" s="97">
        <f>VLOOKUP(A245,'Parameters Summary'!$B$2:$AB$826,4,FALSE)</f>
        <v>147</v>
      </c>
      <c r="F245" s="97" t="str">
        <f>VLOOKUP(A245,'Parameters Summary'!$B$2:$AB$826,5,FALSE)</f>
        <v>PHYSPROP</v>
      </c>
      <c r="G245" s="93">
        <f>VLOOKUP(A245,'Parameters Summary'!$B$2:$AB$826,9,FALSE)</f>
        <v>1.36</v>
      </c>
      <c r="H245" s="93" t="str">
        <f>VLOOKUP(A245,'Parameters Summary'!$B$2:$AB$826,10,FALSE)</f>
        <v>PHYSPROP</v>
      </c>
      <c r="I245" s="93">
        <f>VLOOKUP(A245,'Parameters Summary'!$B$2:$AB$826,24,FALSE)</f>
        <v>156</v>
      </c>
      <c r="J245" s="97" t="str">
        <f>VLOOKUP(A245,'Parameters Summary'!$B$2:$AB$826,25,FALSE)</f>
        <v>PHYSPROP</v>
      </c>
      <c r="K245" s="97">
        <f>VLOOKUP(A245,'Tox Summary'!$O$3:$S$827,2,FALSE)</f>
        <v>600</v>
      </c>
      <c r="L245" s="93">
        <f>VLOOKUP(A245,'Parameters Summary'!$B$2:$AB$826,7,FALSE)</f>
        <v>1.92E-3</v>
      </c>
      <c r="M245" s="93" t="str">
        <f>VLOOKUP(A245,'Parameters Summary'!$B$2:$AB$826,8,FALSE)</f>
        <v>PHYSPROP</v>
      </c>
      <c r="N245" s="91">
        <f>VLOOKUP(A245,'Parameters Summary'!$B$2:$AB$826,6,FALSE)</f>
        <v>7.8495499999999996E-2</v>
      </c>
      <c r="O245" s="91">
        <f t="shared" si="18"/>
        <v>7.8495499999999996E-2</v>
      </c>
      <c r="P245" s="91">
        <f t="shared" si="21"/>
        <v>7.8495499999999996E-2</v>
      </c>
      <c r="Q245" s="91">
        <f t="shared" si="19"/>
        <v>7.8495499999999996E-2</v>
      </c>
      <c r="R245" s="91">
        <f t="shared" si="22"/>
        <v>7.8495499999999996E-2</v>
      </c>
      <c r="S245" s="91">
        <f t="shared" si="23"/>
        <v>10757452.426195942</v>
      </c>
      <c r="T245" s="93">
        <f>VLOOKUP(A245,'Parameters Summary'!$B$2:$AB$826,15,FALSE)</f>
        <v>5.6170299999999999E-2</v>
      </c>
      <c r="U245" s="93" t="str">
        <f>VLOOKUP(A245,'Parameters Summary'!$B$2:$AB$826,17,FALSE)</f>
        <v>WATER9 (U.S. EPA, 2001)</v>
      </c>
      <c r="V245" s="93">
        <f>VLOOKUP(A245,'Parameters Summary'!$B$2:$AB$826,16,FALSE)</f>
        <v>8.9213000000000005E-6</v>
      </c>
      <c r="W245" s="379" t="str">
        <f>VLOOKUP(A245,'Parameters Summary'!$B$2:$AB$826,17,FALSE)</f>
        <v>WATER9 (U.S. EPA, 2001)</v>
      </c>
      <c r="X245" s="290">
        <v>453</v>
      </c>
      <c r="Y245" s="96" t="s">
        <v>553</v>
      </c>
      <c r="Z245" s="96">
        <v>705</v>
      </c>
      <c r="AA245" s="96" t="s">
        <v>2227</v>
      </c>
      <c r="AB245" s="96">
        <v>9700</v>
      </c>
      <c r="AC245" s="96" t="s">
        <v>2227</v>
      </c>
      <c r="AD245" s="93">
        <f>VLOOKUP(A245,'Parameters Summary'!$B$2:$AB$826,20,FALSE)</f>
        <v>382.9</v>
      </c>
      <c r="AE245" s="97" t="str">
        <f>VLOOKUP(A245,'Parameters Summary'!$B$2:$AB$826,21,FALSE)</f>
        <v>EPI</v>
      </c>
      <c r="AF245" s="380">
        <v>2.2000000000000002</v>
      </c>
      <c r="AG245" s="97" t="s">
        <v>302</v>
      </c>
      <c r="AH245" s="92"/>
      <c r="AI245" s="96"/>
      <c r="AJ245" s="330"/>
      <c r="AL245" s="81"/>
    </row>
    <row r="246" spans="1:38" ht="12.75" customHeight="1">
      <c r="A246" s="95" t="s">
        <v>830</v>
      </c>
      <c r="B246" s="96" t="s">
        <v>1084</v>
      </c>
      <c r="C246" s="96" t="str">
        <f t="shared" si="20"/>
        <v>Yes</v>
      </c>
      <c r="D246" s="96" t="str">
        <f>VLOOKUP(A246,'Tox Summary'!$O$3:$R$824,3,FALSE)</f>
        <v>Yes</v>
      </c>
      <c r="E246" s="97">
        <f>VLOOKUP(A246,'Parameters Summary'!$B$2:$AB$826,4,FALSE)</f>
        <v>147</v>
      </c>
      <c r="F246" s="97" t="str">
        <f>VLOOKUP(A246,'Parameters Summary'!$B$2:$AB$826,5,FALSE)</f>
        <v>PHYSPROP</v>
      </c>
      <c r="G246" s="93">
        <f>VLOOKUP(A246,'Parameters Summary'!$B$2:$AB$826,9,FALSE)</f>
        <v>1.74</v>
      </c>
      <c r="H246" s="93" t="str">
        <f>VLOOKUP(A246,'Parameters Summary'!$B$2:$AB$826,10,FALSE)</f>
        <v>PHYSPROP</v>
      </c>
      <c r="I246" s="93">
        <f>VLOOKUP(A246,'Parameters Summary'!$B$2:$AB$826,24,FALSE)</f>
        <v>81.3</v>
      </c>
      <c r="J246" s="97" t="str">
        <f>VLOOKUP(A246,'Parameters Summary'!$B$2:$AB$826,25,FALSE)</f>
        <v>PHYSPROP</v>
      </c>
      <c r="K246" s="97">
        <f>VLOOKUP(A246,'Tox Summary'!$O$3:$S$827,2,FALSE)</f>
        <v>75</v>
      </c>
      <c r="L246" s="93">
        <f>VLOOKUP(A246,'Parameters Summary'!$B$2:$AB$826,7,FALSE)</f>
        <v>2.4099999999999998E-3</v>
      </c>
      <c r="M246" s="93" t="str">
        <f>VLOOKUP(A246,'Parameters Summary'!$B$2:$AB$826,8,FALSE)</f>
        <v>PHYSPROP</v>
      </c>
      <c r="N246" s="91">
        <f>VLOOKUP(A246,'Parameters Summary'!$B$2:$AB$826,6,FALSE)</f>
        <v>9.8528199999999996E-2</v>
      </c>
      <c r="O246" s="91">
        <f t="shared" si="18"/>
        <v>9.8528199999999996E-2</v>
      </c>
      <c r="P246" s="91">
        <f t="shared" si="21"/>
        <v>9.8528199999999996E-2</v>
      </c>
      <c r="Q246" s="91">
        <f t="shared" si="19"/>
        <v>9.8528199999999996E-2</v>
      </c>
      <c r="R246" s="91">
        <f t="shared" si="22"/>
        <v>9.8528199999999996E-2</v>
      </c>
      <c r="S246" s="91">
        <f t="shared" si="23"/>
        <v>13763211.192338923</v>
      </c>
      <c r="T246" s="93">
        <f>VLOOKUP(A246,'Parameters Summary'!$B$2:$AB$826,15,FALSE)</f>
        <v>5.5042899999999999E-2</v>
      </c>
      <c r="U246" s="93" t="str">
        <f>VLOOKUP(A246,'Parameters Summary'!$B$2:$AB$826,17,FALSE)</f>
        <v>WATER9 (U.S. EPA, 2001)</v>
      </c>
      <c r="V246" s="93">
        <f>VLOOKUP(A246,'Parameters Summary'!$B$2:$AB$826,16,FALSE)</f>
        <v>8.6796999999999992E-6</v>
      </c>
      <c r="W246" s="379" t="str">
        <f>VLOOKUP(A246,'Parameters Summary'!$B$2:$AB$826,17,FALSE)</f>
        <v>WATER9 (U.S. EPA, 2001)</v>
      </c>
      <c r="X246" s="290">
        <v>447</v>
      </c>
      <c r="Y246" s="96" t="s">
        <v>553</v>
      </c>
      <c r="Z246" s="96">
        <v>684.75</v>
      </c>
      <c r="AA246" s="96" t="s">
        <v>2227</v>
      </c>
      <c r="AB246" s="96">
        <v>9271</v>
      </c>
      <c r="AC246" s="96" t="s">
        <v>2227</v>
      </c>
      <c r="AD246" s="93">
        <f>VLOOKUP(A246,'Parameters Summary'!$B$2:$AB$826,20,FALSE)</f>
        <v>375.3</v>
      </c>
      <c r="AE246" s="97" t="str">
        <f>VLOOKUP(A246,'Parameters Summary'!$B$2:$AB$826,21,FALSE)</f>
        <v>EPI</v>
      </c>
      <c r="AF246" s="380">
        <v>2.5</v>
      </c>
      <c r="AG246" s="97" t="s">
        <v>302</v>
      </c>
      <c r="AH246" s="92"/>
      <c r="AI246" s="96"/>
      <c r="AJ246" s="330"/>
      <c r="AL246" s="81"/>
    </row>
    <row r="247" spans="1:38" ht="12.75" customHeight="1">
      <c r="A247" s="96" t="s">
        <v>831</v>
      </c>
      <c r="B247" s="96" t="s">
        <v>1085</v>
      </c>
      <c r="C247" s="96" t="str">
        <f t="shared" si="20"/>
        <v>No</v>
      </c>
      <c r="D247" s="96" t="str">
        <f>VLOOKUP(A247,'Tox Summary'!$O$3:$R$824,3,FALSE)</f>
        <v>Yes</v>
      </c>
      <c r="E247" s="97">
        <f>VLOOKUP(A247,'Parameters Summary'!$B$2:$AB$826,4,FALSE)</f>
        <v>253.13</v>
      </c>
      <c r="F247" s="97" t="str">
        <f>VLOOKUP(A247,'Parameters Summary'!$B$2:$AB$826,5,FALSE)</f>
        <v>PHYSPROP</v>
      </c>
      <c r="G247" s="93">
        <f>VLOOKUP(A247,'Parameters Summary'!$B$2:$AB$826,9,FALSE)</f>
        <v>2.5600000000000002E-7</v>
      </c>
      <c r="H247" s="93" t="str">
        <f>VLOOKUP(A247,'Parameters Summary'!$B$2:$AB$826,10,FALSE)</f>
        <v>PHYSPROP</v>
      </c>
      <c r="I247" s="93">
        <f>VLOOKUP(A247,'Parameters Summary'!$B$2:$AB$826,24,FALSE)</f>
        <v>3.1</v>
      </c>
      <c r="J247" s="97" t="str">
        <f>VLOOKUP(A247,'Parameters Summary'!$B$2:$AB$826,25,FALSE)</f>
        <v>PHYSPROP</v>
      </c>
      <c r="K247" s="97" t="str">
        <f>VLOOKUP(A247,'Tox Summary'!$O$3:$S$827,2,FALSE)</f>
        <v/>
      </c>
      <c r="L247" s="93">
        <f>VLOOKUP(A247,'Parameters Summary'!$B$2:$AB$826,7,FALSE)</f>
        <v>2.84E-11</v>
      </c>
      <c r="M247" s="93" t="str">
        <f>VLOOKUP(A247,'Parameters Summary'!$B$2:$AB$826,8,FALSE)</f>
        <v>PHYSPROP</v>
      </c>
      <c r="N247" s="91">
        <f>VLOOKUP(A247,'Parameters Summary'!$B$2:$AB$826,6,FALSE)</f>
        <v>1.1611000000000001E-9</v>
      </c>
      <c r="O247" s="91" t="str">
        <f t="shared" si="18"/>
        <v/>
      </c>
      <c r="P247" s="91">
        <f t="shared" si="21"/>
        <v>1.1611000000000001E-9</v>
      </c>
      <c r="Q247" s="91" t="str">
        <f t="shared" si="19"/>
        <v/>
      </c>
      <c r="R247" s="91">
        <f t="shared" si="22"/>
        <v>1.1611000000000001E-9</v>
      </c>
      <c r="S247" s="91" t="str">
        <f t="shared" si="23"/>
        <v/>
      </c>
      <c r="T247" s="93">
        <f>VLOOKUP(A247,'Parameters Summary'!$B$2:$AB$826,15,FALSE)</f>
        <v>4.7481500000000003E-2</v>
      </c>
      <c r="U247" s="93" t="str">
        <f>VLOOKUP(A247,'Parameters Summary'!$B$2:$AB$826,17,FALSE)</f>
        <v>WATER9 (U.S. EPA, 2001)</v>
      </c>
      <c r="V247" s="93">
        <f>VLOOKUP(A247,'Parameters Summary'!$B$2:$AB$826,16,FALSE)</f>
        <v>5.5477999999999996E-6</v>
      </c>
      <c r="W247" s="379" t="str">
        <f>VLOOKUP(A247,'Parameters Summary'!$B$2:$AB$826,17,FALSE)</f>
        <v>WATER9 (U.S. EPA, 2001)</v>
      </c>
      <c r="X247" s="290">
        <v>641.15</v>
      </c>
      <c r="Y247" s="96" t="s">
        <v>553</v>
      </c>
      <c r="Z247" s="96">
        <f>1.5*X247</f>
        <v>961.72499999999991</v>
      </c>
      <c r="AA247" s="96" t="s">
        <v>2220</v>
      </c>
      <c r="AB247" s="96" t="s">
        <v>1651</v>
      </c>
      <c r="AC247" s="96"/>
      <c r="AD247" s="93">
        <f>VLOOKUP(A247,'Parameters Summary'!$B$2:$AB$826,20,FALSE)</f>
        <v>3190</v>
      </c>
      <c r="AE247" s="97" t="str">
        <f>VLOOKUP(A247,'Parameters Summary'!$B$2:$AB$826,21,FALSE)</f>
        <v>EPI</v>
      </c>
      <c r="AF247" s="97"/>
      <c r="AG247" s="94"/>
      <c r="AH247" s="92"/>
      <c r="AI247" s="96"/>
      <c r="AJ247" s="330"/>
      <c r="AL247" s="81"/>
    </row>
    <row r="248" spans="1:38" ht="12.75" customHeight="1">
      <c r="A248" s="96" t="s">
        <v>832</v>
      </c>
      <c r="B248" s="96" t="s">
        <v>578</v>
      </c>
      <c r="C248" s="96" t="str">
        <f t="shared" si="20"/>
        <v>No</v>
      </c>
      <c r="D248" s="96" t="str">
        <f>VLOOKUP(A248,'Tox Summary'!$O$3:$R$824,3,FALSE)</f>
        <v>Yes</v>
      </c>
      <c r="E248" s="97">
        <f>VLOOKUP(A248,'Parameters Summary'!$B$2:$AB$826,4,FALSE)</f>
        <v>251.11</v>
      </c>
      <c r="F248" s="97" t="str">
        <f>VLOOKUP(A248,'Parameters Summary'!$B$2:$AB$826,5,FALSE)</f>
        <v>PHYSPROP</v>
      </c>
      <c r="G248" s="93">
        <f>VLOOKUP(A248,'Parameters Summary'!$B$2:$AB$826,9,FALSE)</f>
        <v>6.3899999999999998E-6</v>
      </c>
      <c r="H248" s="93" t="str">
        <f>VLOOKUP(A248,'Parameters Summary'!$B$2:$AB$826,10,FALSE)</f>
        <v>PHYSPROP</v>
      </c>
      <c r="I248" s="93">
        <f>VLOOKUP(A248,'Parameters Summary'!$B$2:$AB$826,24,FALSE)</f>
        <v>0.82930000000000004</v>
      </c>
      <c r="J248" s="97" t="str">
        <f>VLOOKUP(A248,'Parameters Summary'!$B$2:$AB$826,25,FALSE)</f>
        <v>PHYSPROP</v>
      </c>
      <c r="K248" s="97" t="str">
        <f>VLOOKUP(A248,'Tox Summary'!$O$3:$S$827,2,FALSE)</f>
        <v/>
      </c>
      <c r="L248" s="93">
        <f>VLOOKUP(A248,'Parameters Summary'!$B$2:$AB$826,7,FALSE)</f>
        <v>1.0699999999999999E-6</v>
      </c>
      <c r="M248" s="93" t="str">
        <f>VLOOKUP(A248,'Parameters Summary'!$B$2:$AB$826,8,FALSE)</f>
        <v>PHYSPROP</v>
      </c>
      <c r="N248" s="91">
        <f>VLOOKUP(A248,'Parameters Summary'!$B$2:$AB$826,6,FALSE)</f>
        <v>4.3699999999999998E-5</v>
      </c>
      <c r="O248" s="91" t="str">
        <f t="shared" si="18"/>
        <v/>
      </c>
      <c r="P248" s="91">
        <f t="shared" si="21"/>
        <v>4.3699999999999998E-5</v>
      </c>
      <c r="Q248" s="91" t="str">
        <f t="shared" si="19"/>
        <v/>
      </c>
      <c r="R248" s="91">
        <f t="shared" si="22"/>
        <v>4.3699999999999998E-5</v>
      </c>
      <c r="S248" s="91" t="str">
        <f t="shared" si="23"/>
        <v/>
      </c>
      <c r="T248" s="93">
        <f>VLOOKUP(A248,'Parameters Summary'!$B$2:$AB$826,15,FALSE)</f>
        <v>2.63929E-2</v>
      </c>
      <c r="U248" s="93" t="str">
        <f>VLOOKUP(A248,'Parameters Summary'!$B$2:$AB$826,17,FALSE)</f>
        <v>WATER9 (U.S. EPA, 2001)</v>
      </c>
      <c r="V248" s="93">
        <f>VLOOKUP(A248,'Parameters Summary'!$B$2:$AB$826,16,FALSE)</f>
        <v>6.8893000000000003E-6</v>
      </c>
      <c r="W248" s="379" t="str">
        <f>VLOOKUP(A248,'Parameters Summary'!$B$2:$AB$826,17,FALSE)</f>
        <v>WATER9 (U.S. EPA, 2001)</v>
      </c>
      <c r="X248" s="290">
        <v>626.15</v>
      </c>
      <c r="Y248" s="96" t="s">
        <v>553</v>
      </c>
      <c r="Z248" s="96">
        <f>1.5*X248</f>
        <v>939.22499999999991</v>
      </c>
      <c r="AA248" s="96" t="s">
        <v>2220</v>
      </c>
      <c r="AB248" s="96" t="s">
        <v>1651</v>
      </c>
      <c r="AC248" s="96"/>
      <c r="AD248" s="93">
        <f>VLOOKUP(A248,'Parameters Summary'!$B$2:$AB$826,20,FALSE)</f>
        <v>2927</v>
      </c>
      <c r="AE248" s="97" t="str">
        <f>VLOOKUP(A248,'Parameters Summary'!$B$2:$AB$826,21,FALSE)</f>
        <v>EPI</v>
      </c>
      <c r="AF248" s="97"/>
      <c r="AG248" s="94"/>
      <c r="AH248" s="92"/>
      <c r="AI248" s="96"/>
      <c r="AJ248" s="330"/>
      <c r="AL248" s="81"/>
    </row>
    <row r="249" spans="1:38" ht="12.75" customHeight="1">
      <c r="A249" s="95" t="s">
        <v>833</v>
      </c>
      <c r="B249" s="96" t="s">
        <v>1438</v>
      </c>
      <c r="C249" s="96" t="str">
        <f t="shared" si="20"/>
        <v>Yes</v>
      </c>
      <c r="D249" s="96" t="str">
        <f>VLOOKUP(A249,'Tox Summary'!$O$3:$R$824,3,FALSE)</f>
        <v>Yes</v>
      </c>
      <c r="E249" s="97">
        <f>VLOOKUP(A249,'Parameters Summary'!$B$2:$AB$826,4,FALSE)</f>
        <v>120.91</v>
      </c>
      <c r="F249" s="97" t="str">
        <f>VLOOKUP(A249,'Parameters Summary'!$B$2:$AB$826,5,FALSE)</f>
        <v>PHYSPROP</v>
      </c>
      <c r="G249" s="93">
        <f>VLOOKUP(A249,'Parameters Summary'!$B$2:$AB$826,9,FALSE)</f>
        <v>4848</v>
      </c>
      <c r="H249" s="93" t="str">
        <f>VLOOKUP(A249,'Parameters Summary'!$B$2:$AB$826,10,FALSE)</f>
        <v>PHYSPROP</v>
      </c>
      <c r="I249" s="93">
        <f>VLOOKUP(A249,'Parameters Summary'!$B$2:$AB$826,24,FALSE)</f>
        <v>280</v>
      </c>
      <c r="J249" s="97" t="str">
        <f>VLOOKUP(A249,'Parameters Summary'!$B$2:$AB$826,25,FALSE)</f>
        <v>PHYSPROP</v>
      </c>
      <c r="K249" s="97" t="str">
        <f>VLOOKUP(A249,'Tox Summary'!$O$3:$S$827,2,FALSE)</f>
        <v/>
      </c>
      <c r="L249" s="93">
        <f>VLOOKUP(A249,'Parameters Summary'!$B$2:$AB$826,7,FALSE)</f>
        <v>0.34300000000000003</v>
      </c>
      <c r="M249" s="93" t="str">
        <f>VLOOKUP(A249,'Parameters Summary'!$B$2:$AB$826,8,FALSE)</f>
        <v>PHYSPROP</v>
      </c>
      <c r="N249" s="91">
        <f>VLOOKUP(A249,'Parameters Summary'!$B$2:$AB$826,6,FALSE)</f>
        <v>14.022895</v>
      </c>
      <c r="O249" s="91">
        <f t="shared" si="18"/>
        <v>14.022895</v>
      </c>
      <c r="P249" s="91">
        <f t="shared" si="21"/>
        <v>14.022895</v>
      </c>
      <c r="Q249" s="91">
        <f t="shared" si="19"/>
        <v>14.022895</v>
      </c>
      <c r="R249" s="91">
        <f t="shared" si="22"/>
        <v>14.022895</v>
      </c>
      <c r="S249" s="91">
        <f t="shared" si="23"/>
        <v>31541186280.428921</v>
      </c>
      <c r="T249" s="93">
        <f>VLOOKUP(A249,'Parameters Summary'!$B$2:$AB$826,15,FALSE)</f>
        <v>7.6029299999999994E-2</v>
      </c>
      <c r="U249" s="93" t="str">
        <f>VLOOKUP(A249,'Parameters Summary'!$B$2:$AB$826,17,FALSE)</f>
        <v>WATER9 (U.S. EPA, 2001)</v>
      </c>
      <c r="V249" s="93">
        <f>VLOOKUP(A249,'Parameters Summary'!$B$2:$AB$826,16,FALSE)</f>
        <v>1.08E-5</v>
      </c>
      <c r="W249" s="379" t="str">
        <f>VLOOKUP(A249,'Parameters Summary'!$B$2:$AB$826,17,FALSE)</f>
        <v>WATER9 (U.S. EPA, 2001)</v>
      </c>
      <c r="X249" s="290">
        <v>243.2</v>
      </c>
      <c r="Y249" s="96" t="s">
        <v>553</v>
      </c>
      <c r="Z249" s="96">
        <v>384.95</v>
      </c>
      <c r="AA249" s="96" t="s">
        <v>2221</v>
      </c>
      <c r="AB249" s="96">
        <v>9421.3608799999984</v>
      </c>
      <c r="AC249" s="96" t="s">
        <v>2215</v>
      </c>
      <c r="AD249" s="93">
        <f>VLOOKUP(A249,'Parameters Summary'!$B$2:$AB$826,20,FALSE)</f>
        <v>43.89</v>
      </c>
      <c r="AE249" s="97" t="str">
        <f>VLOOKUP(A249,'Parameters Summary'!$B$2:$AB$826,21,FALSE)</f>
        <v>EPI</v>
      </c>
      <c r="AF249" s="380"/>
      <c r="AG249" s="97"/>
      <c r="AH249" s="92"/>
      <c r="AI249" s="96"/>
      <c r="AJ249" s="330"/>
      <c r="AL249" s="81"/>
    </row>
    <row r="250" spans="1:38" ht="12.75" customHeight="1">
      <c r="A250" s="95" t="s">
        <v>834</v>
      </c>
      <c r="B250" s="96" t="s">
        <v>1086</v>
      </c>
      <c r="C250" s="96" t="str">
        <f t="shared" si="20"/>
        <v>Yes</v>
      </c>
      <c r="D250" s="96" t="str">
        <f>VLOOKUP(A250,'Tox Summary'!$O$3:$R$824,3,FALSE)</f>
        <v>No</v>
      </c>
      <c r="E250" s="97">
        <f>VLOOKUP(A250,'Parameters Summary'!$B$2:$AB$826,4,FALSE)</f>
        <v>98.96</v>
      </c>
      <c r="F250" s="97" t="str">
        <f>VLOOKUP(A250,'Parameters Summary'!$B$2:$AB$826,5,FALSE)</f>
        <v>PHYSPROP</v>
      </c>
      <c r="G250" s="93">
        <f>VLOOKUP(A250,'Parameters Summary'!$B$2:$AB$826,9,FALSE)</f>
        <v>227.3</v>
      </c>
      <c r="H250" s="93" t="str">
        <f>VLOOKUP(A250,'Parameters Summary'!$B$2:$AB$826,10,FALSE)</f>
        <v>PHYSPROP</v>
      </c>
      <c r="I250" s="93">
        <f>VLOOKUP(A250,'Parameters Summary'!$B$2:$AB$826,24,FALSE)</f>
        <v>5040</v>
      </c>
      <c r="J250" s="97" t="str">
        <f>VLOOKUP(A250,'Parameters Summary'!$B$2:$AB$826,25,FALSE)</f>
        <v>PHYSPROP</v>
      </c>
      <c r="K250" s="97" t="str">
        <f>VLOOKUP(A250,'Tox Summary'!$O$3:$S$827,2,FALSE)</f>
        <v/>
      </c>
      <c r="L250" s="93">
        <f>VLOOKUP(A250,'Parameters Summary'!$B$2:$AB$826,7,FALSE)</f>
        <v>5.62E-3</v>
      </c>
      <c r="M250" s="93" t="str">
        <f>VLOOKUP(A250,'Parameters Summary'!$B$2:$AB$826,8,FALSE)</f>
        <v>PHYSPROP</v>
      </c>
      <c r="N250" s="91">
        <f>VLOOKUP(A250,'Parameters Summary'!$B$2:$AB$826,6,FALSE)</f>
        <v>0.22976289999999999</v>
      </c>
      <c r="O250" s="91">
        <f t="shared" si="18"/>
        <v>0.22976289999999999</v>
      </c>
      <c r="P250" s="91">
        <f t="shared" si="21"/>
        <v>0.22976289999999999</v>
      </c>
      <c r="Q250" s="91">
        <f t="shared" si="19"/>
        <v>0.22976289999999999</v>
      </c>
      <c r="R250" s="91">
        <f t="shared" si="22"/>
        <v>0.22976289999999999</v>
      </c>
      <c r="S250" s="91">
        <f t="shared" si="23"/>
        <v>1210353731.260006</v>
      </c>
      <c r="T250" s="93">
        <f>VLOOKUP(A250,'Parameters Summary'!$B$2:$AB$826,15,FALSE)</f>
        <v>8.36446E-2</v>
      </c>
      <c r="U250" s="93" t="str">
        <f>VLOOKUP(A250,'Parameters Summary'!$B$2:$AB$826,17,FALSE)</f>
        <v>WATER9 (U.S. EPA, 2001)</v>
      </c>
      <c r="V250" s="93">
        <f>VLOOKUP(A250,'Parameters Summary'!$B$2:$AB$826,16,FALSE)</f>
        <v>1.06E-5</v>
      </c>
      <c r="W250" s="379" t="str">
        <f>VLOOKUP(A250,'Parameters Summary'!$B$2:$AB$826,17,FALSE)</f>
        <v>WATER9 (U.S. EPA, 2001)</v>
      </c>
      <c r="X250" s="290">
        <v>330.4</v>
      </c>
      <c r="Y250" s="96" t="s">
        <v>553</v>
      </c>
      <c r="Z250" s="96">
        <v>523</v>
      </c>
      <c r="AA250" s="96" t="s">
        <v>2227</v>
      </c>
      <c r="AB250" s="96">
        <v>6895</v>
      </c>
      <c r="AC250" s="96" t="s">
        <v>2227</v>
      </c>
      <c r="AD250" s="93">
        <f>VLOOKUP(A250,'Parameters Summary'!$B$2:$AB$826,20,FALSE)</f>
        <v>31.82</v>
      </c>
      <c r="AE250" s="97" t="str">
        <f>VLOOKUP(A250,'Parameters Summary'!$B$2:$AB$826,21,FALSE)</f>
        <v>EPI</v>
      </c>
      <c r="AF250" s="380">
        <v>5.4</v>
      </c>
      <c r="AG250" s="97" t="s">
        <v>302</v>
      </c>
      <c r="AH250" s="92"/>
      <c r="AI250" s="96"/>
      <c r="AJ250" s="330"/>
      <c r="AL250" s="81"/>
    </row>
    <row r="251" spans="1:38" ht="12.75" customHeight="1">
      <c r="A251" s="95" t="s">
        <v>835</v>
      </c>
      <c r="B251" s="96" t="s">
        <v>1087</v>
      </c>
      <c r="C251" s="96" t="str">
        <f t="shared" si="20"/>
        <v>Yes</v>
      </c>
      <c r="D251" s="96" t="str">
        <f>VLOOKUP(A251,'Tox Summary'!$O$3:$R$824,3,FALSE)</f>
        <v>No</v>
      </c>
      <c r="E251" s="97">
        <f>VLOOKUP(A251,'Parameters Summary'!$B$2:$AB$826,4,FALSE)</f>
        <v>98.96</v>
      </c>
      <c r="F251" s="97" t="str">
        <f>VLOOKUP(A251,'Parameters Summary'!$B$2:$AB$826,5,FALSE)</f>
        <v>PHYSPROP</v>
      </c>
      <c r="G251" s="93">
        <f>VLOOKUP(A251,'Parameters Summary'!$B$2:$AB$826,9,FALSE)</f>
        <v>78.900000000000006</v>
      </c>
      <c r="H251" s="93" t="str">
        <f>VLOOKUP(A251,'Parameters Summary'!$B$2:$AB$826,10,FALSE)</f>
        <v>PHYSPROP</v>
      </c>
      <c r="I251" s="93">
        <f>VLOOKUP(A251,'Parameters Summary'!$B$2:$AB$826,24,FALSE)</f>
        <v>8600</v>
      </c>
      <c r="J251" s="97" t="str">
        <f>VLOOKUP(A251,'Parameters Summary'!$B$2:$AB$826,25,FALSE)</f>
        <v>PHYSPROP</v>
      </c>
      <c r="K251" s="97">
        <f>VLOOKUP(A251,'Tox Summary'!$O$3:$S$827,2,FALSE)</f>
        <v>5</v>
      </c>
      <c r="L251" s="93">
        <f>VLOOKUP(A251,'Parameters Summary'!$B$2:$AB$826,7,FALSE)</f>
        <v>1.1800000000000001E-3</v>
      </c>
      <c r="M251" s="93" t="str">
        <f>VLOOKUP(A251,'Parameters Summary'!$B$2:$AB$826,8,FALSE)</f>
        <v>PHYSPROP</v>
      </c>
      <c r="N251" s="91">
        <f>VLOOKUP(A251,'Parameters Summary'!$B$2:$AB$826,6,FALSE)</f>
        <v>4.8242E-2</v>
      </c>
      <c r="O251" s="91">
        <f t="shared" si="18"/>
        <v>4.8242E-2</v>
      </c>
      <c r="P251" s="91">
        <f t="shared" si="21"/>
        <v>4.8242E-2</v>
      </c>
      <c r="Q251" s="91">
        <f t="shared" si="19"/>
        <v>4.8242E-2</v>
      </c>
      <c r="R251" s="91">
        <f t="shared" si="22"/>
        <v>4.8242E-2</v>
      </c>
      <c r="S251" s="91">
        <f t="shared" si="23"/>
        <v>420135985.02602059</v>
      </c>
      <c r="T251" s="93">
        <f>VLOOKUP(A251,'Parameters Summary'!$B$2:$AB$826,15,FALSE)</f>
        <v>8.5722099999999996E-2</v>
      </c>
      <c r="U251" s="93" t="str">
        <f>VLOOKUP(A251,'Parameters Summary'!$B$2:$AB$826,17,FALSE)</f>
        <v>WATER9 (U.S. EPA, 2001)</v>
      </c>
      <c r="V251" s="93">
        <f>VLOOKUP(A251,'Parameters Summary'!$B$2:$AB$826,16,FALSE)</f>
        <v>1.1E-5</v>
      </c>
      <c r="W251" s="379" t="str">
        <f>VLOOKUP(A251,'Parameters Summary'!$B$2:$AB$826,17,FALSE)</f>
        <v>WATER9 (U.S. EPA, 2001)</v>
      </c>
      <c r="X251" s="290">
        <v>356.5</v>
      </c>
      <c r="Y251" s="96" t="s">
        <v>553</v>
      </c>
      <c r="Z251" s="96">
        <v>561</v>
      </c>
      <c r="AA251" s="96" t="s">
        <v>2227</v>
      </c>
      <c r="AB251" s="96">
        <v>7643</v>
      </c>
      <c r="AC251" s="96" t="s">
        <v>2227</v>
      </c>
      <c r="AD251" s="93">
        <f>VLOOKUP(A251,'Parameters Summary'!$B$2:$AB$826,20,FALSE)</f>
        <v>39.6</v>
      </c>
      <c r="AE251" s="97" t="str">
        <f>VLOOKUP(A251,'Parameters Summary'!$B$2:$AB$826,21,FALSE)</f>
        <v>EPI</v>
      </c>
      <c r="AF251" s="380">
        <v>6.2</v>
      </c>
      <c r="AG251" s="97" t="s">
        <v>302</v>
      </c>
      <c r="AH251" s="92"/>
      <c r="AI251" s="96"/>
      <c r="AJ251" s="330"/>
      <c r="AL251" s="81"/>
    </row>
    <row r="252" spans="1:38" ht="12.75" customHeight="1">
      <c r="A252" s="95" t="s">
        <v>836</v>
      </c>
      <c r="B252" s="96" t="s">
        <v>444</v>
      </c>
      <c r="C252" s="96" t="str">
        <f t="shared" si="20"/>
        <v>Yes</v>
      </c>
      <c r="D252" s="96" t="str">
        <f>VLOOKUP(A252,'Tox Summary'!$O$3:$R$824,3,FALSE)</f>
        <v>No</v>
      </c>
      <c r="E252" s="97">
        <f>VLOOKUP(A252,'Parameters Summary'!$B$2:$AB$826,4,FALSE)</f>
        <v>96.944000000000003</v>
      </c>
      <c r="F252" s="97" t="str">
        <f>VLOOKUP(A252,'Parameters Summary'!$B$2:$AB$826,5,FALSE)</f>
        <v>PHYSPROP</v>
      </c>
      <c r="G252" s="93">
        <f>VLOOKUP(A252,'Parameters Summary'!$B$2:$AB$826,9,FALSE)</f>
        <v>600</v>
      </c>
      <c r="H252" s="93" t="str">
        <f>VLOOKUP(A252,'Parameters Summary'!$B$2:$AB$826,10,FALSE)</f>
        <v>PHYSPROP</v>
      </c>
      <c r="I252" s="93">
        <f>VLOOKUP(A252,'Parameters Summary'!$B$2:$AB$826,24,FALSE)</f>
        <v>2420</v>
      </c>
      <c r="J252" s="97" t="str">
        <f>VLOOKUP(A252,'Parameters Summary'!$B$2:$AB$826,25,FALSE)</f>
        <v>PHYSPROP</v>
      </c>
      <c r="K252" s="97">
        <f>VLOOKUP(A252,'Tox Summary'!$O$3:$S$827,2,FALSE)</f>
        <v>7</v>
      </c>
      <c r="L252" s="93">
        <f>VLOOKUP(A252,'Parameters Summary'!$B$2:$AB$826,7,FALSE)</f>
        <v>2.6100000000000002E-2</v>
      </c>
      <c r="M252" s="93" t="str">
        <f>VLOOKUP(A252,'Parameters Summary'!$B$2:$AB$826,8,FALSE)</f>
        <v>PHYSPROP</v>
      </c>
      <c r="N252" s="91">
        <f>VLOOKUP(A252,'Parameters Summary'!$B$2:$AB$826,6,FALSE)</f>
        <v>1.0670481999999999</v>
      </c>
      <c r="O252" s="91">
        <f t="shared" si="18"/>
        <v>1.0670481999999999</v>
      </c>
      <c r="P252" s="91">
        <f t="shared" si="21"/>
        <v>1.0670481999999999</v>
      </c>
      <c r="Q252" s="91">
        <f t="shared" si="19"/>
        <v>1.0670481999999999</v>
      </c>
      <c r="R252" s="91">
        <f t="shared" si="22"/>
        <v>1.0670481999999999</v>
      </c>
      <c r="S252" s="91">
        <f t="shared" si="23"/>
        <v>3129863349.3551598</v>
      </c>
      <c r="T252" s="93">
        <f>VLOOKUP(A252,'Parameters Summary'!$B$2:$AB$826,15,FALSE)</f>
        <v>8.6310700000000004E-2</v>
      </c>
      <c r="U252" s="93" t="str">
        <f>VLOOKUP(A252,'Parameters Summary'!$B$2:$AB$826,17,FALSE)</f>
        <v>WATER9 (U.S. EPA, 2001)</v>
      </c>
      <c r="V252" s="93">
        <f>VLOOKUP(A252,'Parameters Summary'!$B$2:$AB$826,16,FALSE)</f>
        <v>1.1E-5</v>
      </c>
      <c r="W252" s="379" t="str">
        <f>VLOOKUP(A252,'Parameters Summary'!$B$2:$AB$826,17,FALSE)</f>
        <v>WATER9 (U.S. EPA, 2001)</v>
      </c>
      <c r="X252" s="290">
        <v>304.60000000000002</v>
      </c>
      <c r="Y252" s="96" t="s">
        <v>553</v>
      </c>
      <c r="Z252" s="96">
        <v>576.04999999999995</v>
      </c>
      <c r="AA252" s="96" t="s">
        <v>2227</v>
      </c>
      <c r="AB252" s="96">
        <v>6247</v>
      </c>
      <c r="AC252" s="96" t="s">
        <v>2227</v>
      </c>
      <c r="AD252" s="93">
        <f>VLOOKUP(A252,'Parameters Summary'!$B$2:$AB$826,20,FALSE)</f>
        <v>31.82</v>
      </c>
      <c r="AE252" s="97" t="str">
        <f>VLOOKUP(A252,'Parameters Summary'!$B$2:$AB$826,21,FALSE)</f>
        <v>EPI</v>
      </c>
      <c r="AF252" s="380">
        <v>6.5</v>
      </c>
      <c r="AG252" s="97" t="s">
        <v>302</v>
      </c>
      <c r="AH252" s="92"/>
      <c r="AI252" s="96"/>
      <c r="AJ252" s="330"/>
      <c r="AL252" s="81"/>
    </row>
    <row r="253" spans="1:38" ht="12.75" customHeight="1">
      <c r="A253" s="95" t="s">
        <v>837</v>
      </c>
      <c r="B253" s="96" t="s">
        <v>1088</v>
      </c>
      <c r="C253" s="96" t="str">
        <f t="shared" si="20"/>
        <v>Yes</v>
      </c>
      <c r="D253" s="96" t="str">
        <f>VLOOKUP(A253,'Tox Summary'!$O$3:$R$824,3,FALSE)</f>
        <v>No</v>
      </c>
      <c r="E253" s="97">
        <f>VLOOKUP(A253,'Parameters Summary'!$B$2:$AB$826,4,FALSE)</f>
        <v>96.944000000000003</v>
      </c>
      <c r="F253" s="97" t="str">
        <f>VLOOKUP(A253,'Parameters Summary'!$B$2:$AB$826,5,FALSE)</f>
        <v>PHYSPROP</v>
      </c>
      <c r="G253" s="93">
        <f>VLOOKUP(A253,'Parameters Summary'!$B$2:$AB$826,9,FALSE)</f>
        <v>200</v>
      </c>
      <c r="H253" s="93" t="str">
        <f>VLOOKUP(A253,'Parameters Summary'!$B$2:$AB$826,10,FALSE)</f>
        <v>PHYSPROP</v>
      </c>
      <c r="I253" s="93">
        <f>VLOOKUP(A253,'Parameters Summary'!$B$2:$AB$826,24,FALSE)</f>
        <v>6410</v>
      </c>
      <c r="J253" s="97" t="str">
        <f>VLOOKUP(A253,'Parameters Summary'!$B$2:$AB$826,25,FALSE)</f>
        <v>PHYSPROP</v>
      </c>
      <c r="K253" s="97">
        <f>VLOOKUP(A253,'Tox Summary'!$O$3:$S$827,2,FALSE)</f>
        <v>70</v>
      </c>
      <c r="L253" s="93">
        <f>VLOOKUP(A253,'Parameters Summary'!$B$2:$AB$826,7,FALSE)</f>
        <v>4.0800000000000003E-3</v>
      </c>
      <c r="M253" s="93" t="str">
        <f>VLOOKUP(A253,'Parameters Summary'!$B$2:$AB$826,8,FALSE)</f>
        <v>PHYSPROP</v>
      </c>
      <c r="N253" s="91">
        <f>VLOOKUP(A253,'Parameters Summary'!$B$2:$AB$826,6,FALSE)</f>
        <v>0.1668029</v>
      </c>
      <c r="O253" s="91">
        <f t="shared" si="18"/>
        <v>0.1668029</v>
      </c>
      <c r="P253" s="91">
        <f t="shared" si="21"/>
        <v>0.1668029</v>
      </c>
      <c r="Q253" s="91">
        <f t="shared" si="19"/>
        <v>0.1668029</v>
      </c>
      <c r="R253" s="91">
        <f t="shared" si="22"/>
        <v>0.1668029</v>
      </c>
      <c r="S253" s="91">
        <f t="shared" si="23"/>
        <v>1043287783.1183865</v>
      </c>
      <c r="T253" s="93">
        <f>VLOOKUP(A253,'Parameters Summary'!$B$2:$AB$826,15,FALSE)</f>
        <v>8.8405600000000001E-2</v>
      </c>
      <c r="U253" s="93" t="str">
        <f>VLOOKUP(A253,'Parameters Summary'!$B$2:$AB$826,17,FALSE)</f>
        <v>WATER9 (U.S. EPA, 2001)</v>
      </c>
      <c r="V253" s="93">
        <f>VLOOKUP(A253,'Parameters Summary'!$B$2:$AB$826,16,FALSE)</f>
        <v>1.13E-5</v>
      </c>
      <c r="W253" s="379" t="str">
        <f>VLOOKUP(A253,'Parameters Summary'!$B$2:$AB$826,17,FALSE)</f>
        <v>WATER9 (U.S. EPA, 2001)</v>
      </c>
      <c r="X253" s="290">
        <v>328</v>
      </c>
      <c r="Y253" s="96" t="s">
        <v>553</v>
      </c>
      <c r="Z253" s="96">
        <v>544</v>
      </c>
      <c r="AA253" s="96" t="s">
        <v>2227</v>
      </c>
      <c r="AB253" s="96">
        <v>7192</v>
      </c>
      <c r="AC253" s="96" t="s">
        <v>2227</v>
      </c>
      <c r="AD253" s="93">
        <f>VLOOKUP(A253,'Parameters Summary'!$B$2:$AB$826,20,FALSE)</f>
        <v>39.6</v>
      </c>
      <c r="AE253" s="97" t="str">
        <f>VLOOKUP(A253,'Parameters Summary'!$B$2:$AB$826,21,FALSE)</f>
        <v>EPI</v>
      </c>
      <c r="AF253" s="380">
        <v>9.6999999999999993</v>
      </c>
      <c r="AG253" s="97" t="s">
        <v>522</v>
      </c>
      <c r="AH253" s="92"/>
      <c r="AI253" s="96"/>
      <c r="AJ253" s="330"/>
      <c r="AL253" s="81"/>
    </row>
    <row r="254" spans="1:38" ht="12.75" customHeight="1">
      <c r="A254" s="95" t="s">
        <v>838</v>
      </c>
      <c r="B254" s="96" t="s">
        <v>1089</v>
      </c>
      <c r="C254" s="96" t="str">
        <f t="shared" si="20"/>
        <v>Yes</v>
      </c>
      <c r="D254" s="96" t="str">
        <f>VLOOKUP(A254,'Tox Summary'!$O$3:$R$824,3,FALSE)</f>
        <v>No</v>
      </c>
      <c r="E254" s="97">
        <f>VLOOKUP(A254,'Parameters Summary'!$B$2:$AB$826,4,FALSE)</f>
        <v>96.944000000000003</v>
      </c>
      <c r="F254" s="97" t="str">
        <f>VLOOKUP(A254,'Parameters Summary'!$B$2:$AB$826,5,FALSE)</f>
        <v>PHYSPROP</v>
      </c>
      <c r="G254" s="93">
        <f>VLOOKUP(A254,'Parameters Summary'!$B$2:$AB$826,9,FALSE)</f>
        <v>331</v>
      </c>
      <c r="H254" s="93" t="str">
        <f>VLOOKUP(A254,'Parameters Summary'!$B$2:$AB$826,10,FALSE)</f>
        <v>EPI</v>
      </c>
      <c r="I254" s="93">
        <f>VLOOKUP(A254,'Parameters Summary'!$B$2:$AB$826,24,FALSE)</f>
        <v>4520</v>
      </c>
      <c r="J254" s="97" t="str">
        <f>VLOOKUP(A254,'Parameters Summary'!$B$2:$AB$826,25,FALSE)</f>
        <v>PHYSPROP</v>
      </c>
      <c r="K254" s="97">
        <f>VLOOKUP(A254,'Tox Summary'!$O$3:$S$827,2,FALSE)</f>
        <v>100</v>
      </c>
      <c r="L254" s="93">
        <f>VLOOKUP(A254,'Parameters Summary'!$B$2:$AB$826,7,FALSE)</f>
        <v>9.3799999999999994E-3</v>
      </c>
      <c r="M254" s="93" t="str">
        <f>VLOOKUP(A254,'Parameters Summary'!$B$2:$AB$826,8,FALSE)</f>
        <v>PHYSPROP</v>
      </c>
      <c r="N254" s="91">
        <f>VLOOKUP(A254,'Parameters Summary'!$B$2:$AB$826,6,FALSE)</f>
        <v>0.38348320000000002</v>
      </c>
      <c r="O254" s="91">
        <f t="shared" si="18"/>
        <v>0.38348320000000002</v>
      </c>
      <c r="P254" s="91">
        <f t="shared" si="21"/>
        <v>0.38348320000000002</v>
      </c>
      <c r="Q254" s="91">
        <f t="shared" si="19"/>
        <v>0.38348320000000002</v>
      </c>
      <c r="R254" s="91">
        <f t="shared" si="22"/>
        <v>0.38348320000000002</v>
      </c>
      <c r="S254" s="91">
        <f t="shared" si="23"/>
        <v>1726641281.0609298</v>
      </c>
      <c r="T254" s="93">
        <f>VLOOKUP(A254,'Parameters Summary'!$B$2:$AB$826,15,FALSE)</f>
        <v>8.7609400000000004E-2</v>
      </c>
      <c r="U254" s="93" t="str">
        <f>VLOOKUP(A254,'Parameters Summary'!$B$2:$AB$826,17,FALSE)</f>
        <v>WATER9 (U.S. EPA, 2001)</v>
      </c>
      <c r="V254" s="93">
        <f>VLOOKUP(A254,'Parameters Summary'!$B$2:$AB$826,16,FALSE)</f>
        <v>1.1199999999999999E-5</v>
      </c>
      <c r="W254" s="379" t="str">
        <f>VLOOKUP(A254,'Parameters Summary'!$B$2:$AB$826,17,FALSE)</f>
        <v>WATER9 (U.S. EPA, 2001)</v>
      </c>
      <c r="X254" s="290">
        <v>328</v>
      </c>
      <c r="Y254" s="96" t="s">
        <v>553</v>
      </c>
      <c r="Z254" s="96">
        <v>516.5</v>
      </c>
      <c r="AA254" s="96" t="s">
        <v>2227</v>
      </c>
      <c r="AB254" s="96">
        <v>6717</v>
      </c>
      <c r="AC254" s="96" t="s">
        <v>2227</v>
      </c>
      <c r="AD254" s="93">
        <f>VLOOKUP(A254,'Parameters Summary'!$B$2:$AB$826,20,FALSE)</f>
        <v>39.6</v>
      </c>
      <c r="AE254" s="97" t="str">
        <f>VLOOKUP(A254,'Parameters Summary'!$B$2:$AB$826,21,FALSE)</f>
        <v>EPI</v>
      </c>
      <c r="AF254" s="380">
        <v>9.6999999999999993</v>
      </c>
      <c r="AG254" s="97" t="s">
        <v>522</v>
      </c>
      <c r="AH254" s="92"/>
      <c r="AI254" s="96"/>
      <c r="AJ254" s="330"/>
      <c r="AL254" s="81"/>
    </row>
    <row r="255" spans="1:38" ht="12.75" customHeight="1">
      <c r="A255" s="96" t="s">
        <v>839</v>
      </c>
      <c r="B255" s="96" t="s">
        <v>1090</v>
      </c>
      <c r="C255" s="96" t="str">
        <f t="shared" si="20"/>
        <v>No</v>
      </c>
      <c r="D255" s="96" t="str">
        <f>VLOOKUP(A255,'Tox Summary'!$O$3:$R$824,3,FALSE)</f>
        <v>Yes</v>
      </c>
      <c r="E255" s="97">
        <f>VLOOKUP(A255,'Parameters Summary'!$B$2:$AB$826,4,FALSE)</f>
        <v>163</v>
      </c>
      <c r="F255" s="97" t="str">
        <f>VLOOKUP(A255,'Parameters Summary'!$B$2:$AB$826,5,FALSE)</f>
        <v>PHYSPROP</v>
      </c>
      <c r="G255" s="93">
        <f>VLOOKUP(A255,'Parameters Summary'!$B$2:$AB$826,9,FALSE)</f>
        <v>0.09</v>
      </c>
      <c r="H255" s="93" t="str">
        <f>VLOOKUP(A255,'Parameters Summary'!$B$2:$AB$826,10,FALSE)</f>
        <v>PHYSPROP</v>
      </c>
      <c r="I255" s="93">
        <f>VLOOKUP(A255,'Parameters Summary'!$B$2:$AB$826,24,FALSE)</f>
        <v>5550</v>
      </c>
      <c r="J255" s="97" t="str">
        <f>VLOOKUP(A255,'Parameters Summary'!$B$2:$AB$826,25,FALSE)</f>
        <v>PHYSPROP</v>
      </c>
      <c r="K255" s="97" t="str">
        <f>VLOOKUP(A255,'Tox Summary'!$O$3:$S$827,2,FALSE)</f>
        <v/>
      </c>
      <c r="L255" s="93">
        <f>VLOOKUP(A255,'Parameters Summary'!$B$2:$AB$826,7,FALSE)</f>
        <v>4.2899999999999996E-6</v>
      </c>
      <c r="M255" s="93" t="str">
        <f>VLOOKUP(A255,'Parameters Summary'!$B$2:$AB$826,8,FALSE)</f>
        <v>EPI</v>
      </c>
      <c r="N255" s="91">
        <f>VLOOKUP(A255,'Parameters Summary'!$B$2:$AB$826,6,FALSE)</f>
        <v>1.7540000000000001E-4</v>
      </c>
      <c r="O255" s="91" t="str">
        <f t="shared" si="18"/>
        <v/>
      </c>
      <c r="P255" s="91">
        <f t="shared" si="21"/>
        <v>1.7540000000000001E-4</v>
      </c>
      <c r="Q255" s="91" t="str">
        <f t="shared" si="19"/>
        <v/>
      </c>
      <c r="R255" s="91">
        <f t="shared" si="22"/>
        <v>1.7540000000000001E-4</v>
      </c>
      <c r="S255" s="91" t="str">
        <f t="shared" si="23"/>
        <v/>
      </c>
      <c r="T255" s="93">
        <f>VLOOKUP(A255,'Parameters Summary'!$B$2:$AB$826,15,FALSE)</f>
        <v>4.8576800000000003E-2</v>
      </c>
      <c r="U255" s="93" t="str">
        <f>VLOOKUP(A255,'Parameters Summary'!$B$2:$AB$826,17,FALSE)</f>
        <v>WATER9 (U.S. EPA, 2001)</v>
      </c>
      <c r="V255" s="93">
        <f>VLOOKUP(A255,'Parameters Summary'!$B$2:$AB$826,16,FALSE)</f>
        <v>8.6787000000000004E-6</v>
      </c>
      <c r="W255" s="379" t="str">
        <f>VLOOKUP(A255,'Parameters Summary'!$B$2:$AB$826,17,FALSE)</f>
        <v>WATER9 (U.S. EPA, 2001)</v>
      </c>
      <c r="X255" s="290">
        <v>483.15</v>
      </c>
      <c r="Y255" s="96" t="s">
        <v>553</v>
      </c>
      <c r="Z255" s="96">
        <f>1.5*X255</f>
        <v>724.72499999999991</v>
      </c>
      <c r="AA255" s="96" t="s">
        <v>2220</v>
      </c>
      <c r="AB255" s="96" t="s">
        <v>1651</v>
      </c>
      <c r="AC255" s="96"/>
      <c r="AD255" s="93">
        <f>VLOOKUP(A255,'Parameters Summary'!$B$2:$AB$826,20,FALSE)</f>
        <v>147</v>
      </c>
      <c r="AE255" s="97" t="str">
        <f>VLOOKUP(A255,'Parameters Summary'!$B$2:$AB$826,21,FALSE)</f>
        <v>SSL</v>
      </c>
      <c r="AF255" s="97"/>
      <c r="AG255" s="94"/>
      <c r="AH255" s="92"/>
      <c r="AI255" s="96"/>
      <c r="AJ255" s="330"/>
      <c r="AL255" s="81"/>
    </row>
    <row r="256" spans="1:38" ht="12.75" customHeight="1">
      <c r="A256" s="96" t="s">
        <v>840</v>
      </c>
      <c r="B256" s="96" t="s">
        <v>1091</v>
      </c>
      <c r="C256" s="96" t="str">
        <f t="shared" si="20"/>
        <v>No</v>
      </c>
      <c r="D256" s="96" t="str">
        <f>VLOOKUP(A256,'Tox Summary'!$O$3:$R$824,3,FALSE)</f>
        <v>No</v>
      </c>
      <c r="E256" s="97">
        <f>VLOOKUP(A256,'Parameters Summary'!$B$2:$AB$826,4,FALSE)</f>
        <v>221.04</v>
      </c>
      <c r="F256" s="97" t="str">
        <f>VLOOKUP(A256,'Parameters Summary'!$B$2:$AB$826,5,FALSE)</f>
        <v>PHYSPROP</v>
      </c>
      <c r="G256" s="93">
        <f>VLOOKUP(A256,'Parameters Summary'!$B$2:$AB$826,9,FALSE)</f>
        <v>8.25E-5</v>
      </c>
      <c r="H256" s="93" t="str">
        <f>VLOOKUP(A256,'Parameters Summary'!$B$2:$AB$826,10,FALSE)</f>
        <v>PHYSPROP</v>
      </c>
      <c r="I256" s="93">
        <f>VLOOKUP(A256,'Parameters Summary'!$B$2:$AB$826,24,FALSE)</f>
        <v>677</v>
      </c>
      <c r="J256" s="97" t="str">
        <f>VLOOKUP(A256,'Parameters Summary'!$B$2:$AB$826,25,FALSE)</f>
        <v>PHYSPROP</v>
      </c>
      <c r="K256" s="97">
        <f>VLOOKUP(A256,'Tox Summary'!$O$3:$S$827,2,FALSE)</f>
        <v>70</v>
      </c>
      <c r="L256" s="93">
        <f>VLOOKUP(A256,'Parameters Summary'!$B$2:$AB$826,7,FALSE)</f>
        <v>3.5399999999999999E-8</v>
      </c>
      <c r="M256" s="93" t="str">
        <f>VLOOKUP(A256,'Parameters Summary'!$B$2:$AB$826,8,FALSE)</f>
        <v>EPI</v>
      </c>
      <c r="N256" s="91">
        <f>VLOOKUP(A256,'Parameters Summary'!$B$2:$AB$826,6,FALSE)</f>
        <v>1.4473000000000001E-6</v>
      </c>
      <c r="O256" s="91" t="str">
        <f t="shared" si="18"/>
        <v/>
      </c>
      <c r="P256" s="91">
        <f t="shared" si="21"/>
        <v>1.4473000000000001E-6</v>
      </c>
      <c r="Q256" s="91" t="str">
        <f t="shared" si="19"/>
        <v/>
      </c>
      <c r="R256" s="91">
        <f t="shared" si="22"/>
        <v>1.4473000000000001E-6</v>
      </c>
      <c r="S256" s="91" t="str">
        <f t="shared" si="23"/>
        <v/>
      </c>
      <c r="T256" s="93">
        <f>VLOOKUP(A256,'Parameters Summary'!$B$2:$AB$826,15,FALSE)</f>
        <v>2.7917899999999999E-2</v>
      </c>
      <c r="U256" s="93" t="str">
        <f>VLOOKUP(A256,'Parameters Summary'!$B$2:$AB$826,17,FALSE)</f>
        <v>WATER9 (U.S. EPA, 2001)</v>
      </c>
      <c r="V256" s="93">
        <f>VLOOKUP(A256,'Parameters Summary'!$B$2:$AB$826,16,FALSE)</f>
        <v>7.3444999999999997E-6</v>
      </c>
      <c r="W256" s="379" t="str">
        <f>VLOOKUP(A256,'Parameters Summary'!$B$2:$AB$826,17,FALSE)</f>
        <v>WATER9 (U.S. EPA, 2001)</v>
      </c>
      <c r="X256" s="290">
        <v>433.15</v>
      </c>
      <c r="Y256" s="96" t="s">
        <v>553</v>
      </c>
      <c r="Z256" s="96">
        <f>1.5*X256</f>
        <v>649.72499999999991</v>
      </c>
      <c r="AA256" s="96" t="s">
        <v>2220</v>
      </c>
      <c r="AB256" s="96" t="s">
        <v>1651</v>
      </c>
      <c r="AC256" s="96"/>
      <c r="AD256" s="93">
        <f>VLOOKUP(A256,'Parameters Summary'!$B$2:$AB$826,20,FALSE)</f>
        <v>29.63</v>
      </c>
      <c r="AE256" s="97" t="str">
        <f>VLOOKUP(A256,'Parameters Summary'!$B$2:$AB$826,21,FALSE)</f>
        <v>EPI</v>
      </c>
      <c r="AF256" s="97"/>
      <c r="AG256" s="94"/>
      <c r="AH256" s="92"/>
      <c r="AI256" s="96"/>
      <c r="AJ256" s="330"/>
      <c r="AL256" s="81"/>
    </row>
    <row r="257" spans="1:38" ht="12.75" customHeight="1">
      <c r="A257" s="96" t="s">
        <v>841</v>
      </c>
      <c r="B257" s="96" t="s">
        <v>2428</v>
      </c>
      <c r="C257" s="96" t="str">
        <f t="shared" si="20"/>
        <v>No</v>
      </c>
      <c r="D257" s="96" t="str">
        <f>VLOOKUP(A257,'Tox Summary'!$O$3:$R$824,3,FALSE)</f>
        <v>No</v>
      </c>
      <c r="E257" s="97">
        <f>VLOOKUP(A257,'Parameters Summary'!$B$2:$AB$826,4,FALSE)</f>
        <v>249.1</v>
      </c>
      <c r="F257" s="97" t="str">
        <f>VLOOKUP(A257,'Parameters Summary'!$B$2:$AB$826,5,FALSE)</f>
        <v>PHYSPROP</v>
      </c>
      <c r="G257" s="93">
        <f>VLOOKUP(A257,'Parameters Summary'!$B$2:$AB$826,9,FALSE)</f>
        <v>1.11E-5</v>
      </c>
      <c r="H257" s="93" t="str">
        <f>VLOOKUP(A257,'Parameters Summary'!$B$2:$AB$826,10,FALSE)</f>
        <v>PHYSPROP</v>
      </c>
      <c r="I257" s="93">
        <f>VLOOKUP(A257,'Parameters Summary'!$B$2:$AB$826,24,FALSE)</f>
        <v>46</v>
      </c>
      <c r="J257" s="97" t="str">
        <f>VLOOKUP(A257,'Parameters Summary'!$B$2:$AB$826,25,FALSE)</f>
        <v>PHYSPROP</v>
      </c>
      <c r="K257" s="97" t="str">
        <f>VLOOKUP(A257,'Tox Summary'!$O$3:$S$827,2,FALSE)</f>
        <v/>
      </c>
      <c r="L257" s="93">
        <f>VLOOKUP(A257,'Parameters Summary'!$B$2:$AB$826,7,FALSE)</f>
        <v>2.2900000000000002E-9</v>
      </c>
      <c r="M257" s="93" t="str">
        <f>VLOOKUP(A257,'Parameters Summary'!$B$2:$AB$826,8,FALSE)</f>
        <v>PHYSPROP</v>
      </c>
      <c r="N257" s="91">
        <f>VLOOKUP(A257,'Parameters Summary'!$B$2:$AB$826,6,FALSE)</f>
        <v>9.3622000000000003E-8</v>
      </c>
      <c r="O257" s="91" t="str">
        <f t="shared" si="18"/>
        <v/>
      </c>
      <c r="P257" s="91">
        <f t="shared" si="21"/>
        <v>9.3622000000000003E-8</v>
      </c>
      <c r="Q257" s="91" t="str">
        <f t="shared" si="19"/>
        <v/>
      </c>
      <c r="R257" s="91">
        <f t="shared" si="22"/>
        <v>9.3622000000000003E-8</v>
      </c>
      <c r="S257" s="91" t="str">
        <f t="shared" si="23"/>
        <v/>
      </c>
      <c r="T257" s="93">
        <f>VLOOKUP(A257,'Parameters Summary'!$B$2:$AB$826,15,FALSE)</f>
        <v>2.58052E-2</v>
      </c>
      <c r="U257" s="93" t="str">
        <f>VLOOKUP(A257,'Parameters Summary'!$B$2:$AB$826,17,FALSE)</f>
        <v>WATER9 (U.S. EPA, 2001)</v>
      </c>
      <c r="V257" s="93">
        <f>VLOOKUP(A257,'Parameters Summary'!$B$2:$AB$826,16,FALSE)</f>
        <v>6.6879E-6</v>
      </c>
      <c r="W257" s="379" t="str">
        <f>VLOOKUP(A257,'Parameters Summary'!$B$2:$AB$826,17,FALSE)</f>
        <v>WATER9 (U.S. EPA, 2001)</v>
      </c>
      <c r="X257" s="290">
        <v>597.5</v>
      </c>
      <c r="Y257" s="96" t="s">
        <v>553</v>
      </c>
      <c r="Z257" s="96">
        <f>1.5*X257</f>
        <v>896.25</v>
      </c>
      <c r="AA257" s="96" t="s">
        <v>2220</v>
      </c>
      <c r="AB257" s="96" t="s">
        <v>1651</v>
      </c>
      <c r="AC257" s="96"/>
      <c r="AD257" s="93">
        <f>VLOOKUP(A257,'Parameters Summary'!$B$2:$AB$826,20,FALSE)</f>
        <v>370</v>
      </c>
      <c r="AE257" s="97" t="str">
        <f>VLOOKUP(A257,'Parameters Summary'!$B$2:$AB$826,21,FALSE)</f>
        <v>PubChem</v>
      </c>
      <c r="AF257" s="97"/>
      <c r="AG257" s="94"/>
      <c r="AH257" s="92"/>
      <c r="AI257" s="96"/>
      <c r="AJ257" s="330"/>
      <c r="AL257" s="81"/>
    </row>
    <row r="258" spans="1:38" ht="12.75" customHeight="1">
      <c r="A258" s="95" t="s">
        <v>842</v>
      </c>
      <c r="B258" s="96" t="s">
        <v>445</v>
      </c>
      <c r="C258" s="96" t="str">
        <f t="shared" si="20"/>
        <v>Yes</v>
      </c>
      <c r="D258" s="96" t="str">
        <f>VLOOKUP(A258,'Tox Summary'!$O$3:$R$824,3,FALSE)</f>
        <v>No</v>
      </c>
      <c r="E258" s="97">
        <f>VLOOKUP(A258,'Parameters Summary'!$B$2:$AB$826,4,FALSE)</f>
        <v>112.99</v>
      </c>
      <c r="F258" s="97" t="str">
        <f>VLOOKUP(A258,'Parameters Summary'!$B$2:$AB$826,5,FALSE)</f>
        <v>PHYSPROP</v>
      </c>
      <c r="G258" s="93">
        <f>VLOOKUP(A258,'Parameters Summary'!$B$2:$AB$826,9,FALSE)</f>
        <v>53.3</v>
      </c>
      <c r="H258" s="93" t="str">
        <f>VLOOKUP(A258,'Parameters Summary'!$B$2:$AB$826,10,FALSE)</f>
        <v>PHYSPROP</v>
      </c>
      <c r="I258" s="93">
        <f>VLOOKUP(A258,'Parameters Summary'!$B$2:$AB$826,24,FALSE)</f>
        <v>2800</v>
      </c>
      <c r="J258" s="97" t="str">
        <f>VLOOKUP(A258,'Parameters Summary'!$B$2:$AB$826,25,FALSE)</f>
        <v>PHYSPROP</v>
      </c>
      <c r="K258" s="97">
        <f>VLOOKUP(A258,'Tox Summary'!$O$3:$S$827,2,FALSE)</f>
        <v>5</v>
      </c>
      <c r="L258" s="93">
        <f>VLOOKUP(A258,'Parameters Summary'!$B$2:$AB$826,7,FALSE)</f>
        <v>2.82E-3</v>
      </c>
      <c r="M258" s="93" t="str">
        <f>VLOOKUP(A258,'Parameters Summary'!$B$2:$AB$826,8,FALSE)</f>
        <v>PHYSPROP</v>
      </c>
      <c r="N258" s="91">
        <f>VLOOKUP(A258,'Parameters Summary'!$B$2:$AB$826,6,FALSE)</f>
        <v>0.1152903</v>
      </c>
      <c r="O258" s="91">
        <f t="shared" si="18"/>
        <v>0.1152903</v>
      </c>
      <c r="P258" s="91">
        <f t="shared" si="21"/>
        <v>0.1152903</v>
      </c>
      <c r="Q258" s="91">
        <f t="shared" si="19"/>
        <v>0.1152903</v>
      </c>
      <c r="R258" s="91">
        <f t="shared" si="22"/>
        <v>0.1152903</v>
      </c>
      <c r="S258" s="91">
        <f t="shared" si="23"/>
        <v>324056254.97995377</v>
      </c>
      <c r="T258" s="93">
        <f>VLOOKUP(A258,'Parameters Summary'!$B$2:$AB$826,15,FALSE)</f>
        <v>7.3340199999999994E-2</v>
      </c>
      <c r="U258" s="93" t="str">
        <f>VLOOKUP(A258,'Parameters Summary'!$B$2:$AB$826,17,FALSE)</f>
        <v>WATER9 (U.S. EPA, 2001)</v>
      </c>
      <c r="V258" s="93">
        <f>VLOOKUP(A258,'Parameters Summary'!$B$2:$AB$826,16,FALSE)</f>
        <v>9.7251999999999997E-6</v>
      </c>
      <c r="W258" s="379" t="str">
        <f>VLOOKUP(A258,'Parameters Summary'!$B$2:$AB$826,17,FALSE)</f>
        <v>WATER9 (U.S. EPA, 2001)</v>
      </c>
      <c r="X258" s="290">
        <v>368.5</v>
      </c>
      <c r="Y258" s="96" t="s">
        <v>553</v>
      </c>
      <c r="Z258" s="96">
        <v>572</v>
      </c>
      <c r="AA258" s="96" t="s">
        <v>2227</v>
      </c>
      <c r="AB258" s="96">
        <v>7590</v>
      </c>
      <c r="AC258" s="96" t="s">
        <v>2227</v>
      </c>
      <c r="AD258" s="93">
        <f>VLOOKUP(A258,'Parameters Summary'!$B$2:$AB$826,20,FALSE)</f>
        <v>60.7</v>
      </c>
      <c r="AE258" s="97" t="str">
        <f>VLOOKUP(A258,'Parameters Summary'!$B$2:$AB$826,21,FALSE)</f>
        <v>EPI</v>
      </c>
      <c r="AF258" s="380">
        <v>3.4</v>
      </c>
      <c r="AG258" s="97" t="s">
        <v>302</v>
      </c>
      <c r="AH258" s="92"/>
      <c r="AI258" s="96"/>
      <c r="AJ258" s="330"/>
      <c r="AL258" s="81"/>
    </row>
    <row r="259" spans="1:38" ht="12.75" customHeight="1">
      <c r="A259" s="95" t="s">
        <v>843</v>
      </c>
      <c r="B259" s="96" t="s">
        <v>1092</v>
      </c>
      <c r="C259" s="96" t="str">
        <f t="shared" si="20"/>
        <v>Yes</v>
      </c>
      <c r="D259" s="96" t="str">
        <f>VLOOKUP(A259,'Tox Summary'!$O$3:$R$824,3,FALSE)</f>
        <v>Yes</v>
      </c>
      <c r="E259" s="97">
        <f>VLOOKUP(A259,'Parameters Summary'!$B$2:$AB$826,4,FALSE)</f>
        <v>112.99</v>
      </c>
      <c r="F259" s="97" t="str">
        <f>VLOOKUP(A259,'Parameters Summary'!$B$2:$AB$826,5,FALSE)</f>
        <v>PHYSPROP</v>
      </c>
      <c r="G259" s="93">
        <f>VLOOKUP(A259,'Parameters Summary'!$B$2:$AB$826,9,FALSE)</f>
        <v>18.16</v>
      </c>
      <c r="H259" s="93" t="str">
        <f>VLOOKUP(A259,'Parameters Summary'!$B$2:$AB$826,10,FALSE)</f>
        <v>PHYSPROP</v>
      </c>
      <c r="I259" s="93">
        <f>VLOOKUP(A259,'Parameters Summary'!$B$2:$AB$826,24,FALSE)</f>
        <v>2750</v>
      </c>
      <c r="J259" s="97" t="str">
        <f>VLOOKUP(A259,'Parameters Summary'!$B$2:$AB$826,25,FALSE)</f>
        <v>PHYSPROP</v>
      </c>
      <c r="K259" s="97" t="str">
        <f>VLOOKUP(A259,'Tox Summary'!$O$3:$S$827,2,FALSE)</f>
        <v/>
      </c>
      <c r="L259" s="93">
        <f>VLOOKUP(A259,'Parameters Summary'!$B$2:$AB$826,7,FALSE)</f>
        <v>9.7599999999999998E-4</v>
      </c>
      <c r="M259" s="93" t="str">
        <f>VLOOKUP(A259,'Parameters Summary'!$B$2:$AB$826,8,FALSE)</f>
        <v>PHYSPROP</v>
      </c>
      <c r="N259" s="91">
        <f>VLOOKUP(A259,'Parameters Summary'!$B$2:$AB$826,6,FALSE)</f>
        <v>3.9901899999999997E-2</v>
      </c>
      <c r="O259" s="91">
        <f t="shared" si="18"/>
        <v>3.9901899999999997E-2</v>
      </c>
      <c r="P259" s="91">
        <f t="shared" si="21"/>
        <v>3.9901899999999997E-2</v>
      </c>
      <c r="Q259" s="91">
        <f t="shared" si="19"/>
        <v>3.9901899999999997E-2</v>
      </c>
      <c r="R259" s="91">
        <f t="shared" si="22"/>
        <v>3.9901899999999997E-2</v>
      </c>
      <c r="S259" s="91">
        <f t="shared" si="23"/>
        <v>110410161.17140639</v>
      </c>
      <c r="T259" s="93">
        <f>VLOOKUP(A259,'Parameters Summary'!$B$2:$AB$826,15,FALSE)</f>
        <v>7.3873800000000003E-2</v>
      </c>
      <c r="U259" s="93" t="str">
        <f>VLOOKUP(A259,'Parameters Summary'!$B$2:$AB$826,17,FALSE)</f>
        <v>WATER9 (U.S. EPA, 2001)</v>
      </c>
      <c r="V259" s="93">
        <f>VLOOKUP(A259,'Parameters Summary'!$B$2:$AB$826,16,FALSE)</f>
        <v>9.8230000000000006E-6</v>
      </c>
      <c r="W259" s="379" t="str">
        <f>VLOOKUP(A259,'Parameters Summary'!$B$2:$AB$826,17,FALSE)</f>
        <v>WATER9 (U.S. EPA, 2001)</v>
      </c>
      <c r="X259" s="290">
        <v>393.9</v>
      </c>
      <c r="Y259" s="96" t="s">
        <v>2217</v>
      </c>
      <c r="Z259" s="96">
        <v>590.84999999999991</v>
      </c>
      <c r="AA259" s="96" t="s">
        <v>2220</v>
      </c>
      <c r="AB259" s="96">
        <v>8102.51</v>
      </c>
      <c r="AC259" s="96" t="s">
        <v>2218</v>
      </c>
      <c r="AD259" s="93">
        <f>VLOOKUP(A259,'Parameters Summary'!$B$2:$AB$826,20,FALSE)</f>
        <v>72.17</v>
      </c>
      <c r="AE259" s="97" t="str">
        <f>VLOOKUP(A259,'Parameters Summary'!$B$2:$AB$826,21,FALSE)</f>
        <v>EPI</v>
      </c>
      <c r="AF259" s="380"/>
      <c r="AG259" s="97"/>
      <c r="AH259" s="92"/>
      <c r="AI259" s="96"/>
      <c r="AJ259" s="330"/>
      <c r="AL259" s="81"/>
    </row>
    <row r="260" spans="1:38" ht="12.75" customHeight="1">
      <c r="A260" s="96" t="s">
        <v>844</v>
      </c>
      <c r="B260" s="96" t="s">
        <v>1093</v>
      </c>
      <c r="C260" s="96" t="str">
        <f t="shared" si="20"/>
        <v>No</v>
      </c>
      <c r="D260" s="96" t="str">
        <f>VLOOKUP(A260,'Tox Summary'!$O$3:$R$824,3,FALSE)</f>
        <v>Yes</v>
      </c>
      <c r="E260" s="97">
        <f>VLOOKUP(A260,'Parameters Summary'!$B$2:$AB$826,4,FALSE)</f>
        <v>128.99</v>
      </c>
      <c r="F260" s="97" t="str">
        <f>VLOOKUP(A260,'Parameters Summary'!$B$2:$AB$826,5,FALSE)</f>
        <v>PHYSPROP</v>
      </c>
      <c r="G260" s="93">
        <f>VLOOKUP(A260,'Parameters Summary'!$B$2:$AB$826,9,FALSE)</f>
        <v>0.184</v>
      </c>
      <c r="H260" s="93" t="str">
        <f>VLOOKUP(A260,'Parameters Summary'!$B$2:$AB$826,10,FALSE)</f>
        <v>PHYSPROP</v>
      </c>
      <c r="I260" s="93">
        <f>VLOOKUP(A260,'Parameters Summary'!$B$2:$AB$826,24,FALSE)</f>
        <v>64220</v>
      </c>
      <c r="J260" s="97" t="str">
        <f>VLOOKUP(A260,'Parameters Summary'!$B$2:$AB$826,25,FALSE)</f>
        <v>PHYSPROP</v>
      </c>
      <c r="K260" s="97" t="str">
        <f>VLOOKUP(A260,'Tox Summary'!$O$3:$S$827,2,FALSE)</f>
        <v/>
      </c>
      <c r="L260" s="93">
        <f>VLOOKUP(A260,'Parameters Summary'!$B$2:$AB$826,7,FALSE)</f>
        <v>3.6E-9</v>
      </c>
      <c r="M260" s="93" t="str">
        <f>VLOOKUP(A260,'Parameters Summary'!$B$2:$AB$826,8,FALSE)</f>
        <v>PHYSPROP</v>
      </c>
      <c r="N260" s="91">
        <f>VLOOKUP(A260,'Parameters Summary'!$B$2:$AB$826,6,FALSE)</f>
        <v>1.4718E-7</v>
      </c>
      <c r="O260" s="91" t="str">
        <f t="shared" si="18"/>
        <v/>
      </c>
      <c r="P260" s="91">
        <f t="shared" si="21"/>
        <v>1.4718E-7</v>
      </c>
      <c r="Q260" s="91" t="str">
        <f t="shared" si="19"/>
        <v/>
      </c>
      <c r="R260" s="91">
        <f t="shared" si="22"/>
        <v>1.4718E-7</v>
      </c>
      <c r="S260" s="91" t="str">
        <f t="shared" si="23"/>
        <v/>
      </c>
      <c r="T260" s="93">
        <f>VLOOKUP(A260,'Parameters Summary'!$B$2:$AB$826,15,FALSE)</f>
        <v>6.8016599999999997E-2</v>
      </c>
      <c r="U260" s="93" t="str">
        <f>VLOOKUP(A260,'Parameters Summary'!$B$2:$AB$826,17,FALSE)</f>
        <v>WATER9 (U.S. EPA, 2001)</v>
      </c>
      <c r="V260" s="93">
        <f>VLOOKUP(A260,'Parameters Summary'!$B$2:$AB$826,16,FALSE)</f>
        <v>9.8900000000000002E-6</v>
      </c>
      <c r="W260" s="379" t="str">
        <f>VLOOKUP(A260,'Parameters Summary'!$B$2:$AB$826,17,FALSE)</f>
        <v>WATER9 (U.S. EPA, 2001)</v>
      </c>
      <c r="X260" s="290">
        <v>457.15</v>
      </c>
      <c r="Y260" s="96" t="s">
        <v>553</v>
      </c>
      <c r="Z260" s="96">
        <f>1.5*X260</f>
        <v>685.72499999999991</v>
      </c>
      <c r="AA260" s="96" t="s">
        <v>2220</v>
      </c>
      <c r="AB260" s="96" t="s">
        <v>1651</v>
      </c>
      <c r="AC260" s="96"/>
      <c r="AD260" s="93">
        <f>VLOOKUP(A260,'Parameters Summary'!$B$2:$AB$826,20,FALSE)</f>
        <v>5.5679999999999996</v>
      </c>
      <c r="AE260" s="97" t="str">
        <f>VLOOKUP(A260,'Parameters Summary'!$B$2:$AB$826,21,FALSE)</f>
        <v>EPI</v>
      </c>
      <c r="AF260" s="97"/>
      <c r="AG260" s="94"/>
      <c r="AH260" s="92"/>
      <c r="AI260" s="96"/>
      <c r="AJ260" s="330"/>
      <c r="AL260" s="81"/>
    </row>
    <row r="261" spans="1:38" ht="12.75" customHeight="1">
      <c r="A261" s="95" t="s">
        <v>845</v>
      </c>
      <c r="B261" s="96" t="s">
        <v>1094</v>
      </c>
      <c r="C261" s="96" t="str">
        <f t="shared" si="20"/>
        <v>Yes</v>
      </c>
      <c r="D261" s="96" t="str">
        <f>VLOOKUP(A261,'Tox Summary'!$O$3:$R$824,3,FALSE)</f>
        <v>No</v>
      </c>
      <c r="E261" s="97">
        <f>VLOOKUP(A261,'Parameters Summary'!$B$2:$AB$826,4,FALSE)</f>
        <v>110.97</v>
      </c>
      <c r="F261" s="97" t="str">
        <f>VLOOKUP(A261,'Parameters Summary'!$B$2:$AB$826,5,FALSE)</f>
        <v>PHYSPROP</v>
      </c>
      <c r="G261" s="93">
        <f>VLOOKUP(A261,'Parameters Summary'!$B$2:$AB$826,9,FALSE)</f>
        <v>34</v>
      </c>
      <c r="H261" s="93" t="str">
        <f>VLOOKUP(A261,'Parameters Summary'!$B$2:$AB$826,10,FALSE)</f>
        <v>PHYSPROP</v>
      </c>
      <c r="I261" s="93">
        <f>VLOOKUP(A261,'Parameters Summary'!$B$2:$AB$826,24,FALSE)</f>
        <v>2800</v>
      </c>
      <c r="J261" s="97" t="str">
        <f>VLOOKUP(A261,'Parameters Summary'!$B$2:$AB$826,25,FALSE)</f>
        <v>PHYSPROP</v>
      </c>
      <c r="K261" s="97" t="str">
        <f>VLOOKUP(A261,'Tox Summary'!$O$3:$S$827,2,FALSE)</f>
        <v/>
      </c>
      <c r="L261" s="93">
        <f>VLOOKUP(A261,'Parameters Summary'!$B$2:$AB$826,7,FALSE)</f>
        <v>3.5500000000000002E-3</v>
      </c>
      <c r="M261" s="93" t="str">
        <f>VLOOKUP(A261,'Parameters Summary'!$B$2:$AB$826,8,FALSE)</f>
        <v>PHYSPROP</v>
      </c>
      <c r="N261" s="91">
        <f>VLOOKUP(A261,'Parameters Summary'!$B$2:$AB$826,6,FALSE)</f>
        <v>0.14513490000000001</v>
      </c>
      <c r="O261" s="91">
        <f t="shared" si="18"/>
        <v>0.14513490000000001</v>
      </c>
      <c r="P261" s="91">
        <f t="shared" si="21"/>
        <v>0.14513490000000001</v>
      </c>
      <c r="Q261" s="91">
        <f t="shared" si="19"/>
        <v>0.14513490000000001</v>
      </c>
      <c r="R261" s="91">
        <f t="shared" si="22"/>
        <v>0.14513490000000001</v>
      </c>
      <c r="S261" s="91">
        <f t="shared" si="23"/>
        <v>203019472.06376931</v>
      </c>
      <c r="T261" s="93">
        <f>VLOOKUP(A261,'Parameters Summary'!$B$2:$AB$826,15,FALSE)</f>
        <v>7.6272499999999993E-2</v>
      </c>
      <c r="U261" s="93" t="str">
        <f>VLOOKUP(A261,'Parameters Summary'!$B$2:$AB$826,17,FALSE)</f>
        <v>WATER9 (U.S. EPA, 2001)</v>
      </c>
      <c r="V261" s="93">
        <f>VLOOKUP(A261,'Parameters Summary'!$B$2:$AB$826,16,FALSE)</f>
        <v>1.01E-5</v>
      </c>
      <c r="W261" s="379" t="str">
        <f>VLOOKUP(A261,'Parameters Summary'!$B$2:$AB$826,17,FALSE)</f>
        <v>WATER9 (U.S. EPA, 2001)</v>
      </c>
      <c r="X261" s="290">
        <v>385</v>
      </c>
      <c r="Y261" s="96" t="s">
        <v>553</v>
      </c>
      <c r="Z261" s="96">
        <v>587.38</v>
      </c>
      <c r="AA261" s="96" t="s">
        <v>2227</v>
      </c>
      <c r="AB261" s="96">
        <v>7900</v>
      </c>
      <c r="AC261" s="96" t="s">
        <v>2227</v>
      </c>
      <c r="AD261" s="93">
        <f>VLOOKUP(A261,'Parameters Summary'!$B$2:$AB$826,20,FALSE)</f>
        <v>72.17</v>
      </c>
      <c r="AE261" s="97" t="str">
        <f>VLOOKUP(A261,'Parameters Summary'!$B$2:$AB$826,21,FALSE)</f>
        <v>EPI</v>
      </c>
      <c r="AF261" s="380">
        <v>5.3</v>
      </c>
      <c r="AG261" s="97" t="s">
        <v>302</v>
      </c>
      <c r="AH261" s="92"/>
      <c r="AI261" s="96"/>
      <c r="AJ261" s="330"/>
      <c r="AL261" s="81"/>
    </row>
    <row r="262" spans="1:38" ht="12.75" customHeight="1">
      <c r="A262" s="96" t="s">
        <v>846</v>
      </c>
      <c r="B262" s="96" t="s">
        <v>1403</v>
      </c>
      <c r="C262" s="96" t="str">
        <f t="shared" si="20"/>
        <v>No</v>
      </c>
      <c r="D262" s="96" t="str">
        <f>VLOOKUP(A262,'Tox Summary'!$O$3:$R$824,3,FALSE)</f>
        <v>Yes</v>
      </c>
      <c r="E262" s="97">
        <f>VLOOKUP(A262,'Parameters Summary'!$B$2:$AB$826,4,FALSE)</f>
        <v>220.98</v>
      </c>
      <c r="F262" s="97" t="str">
        <f>VLOOKUP(A262,'Parameters Summary'!$B$2:$AB$826,5,FALSE)</f>
        <v>PHYSPROP</v>
      </c>
      <c r="G262" s="93">
        <f>VLOOKUP(A262,'Parameters Summary'!$B$2:$AB$826,9,FALSE)</f>
        <v>1.575E-2</v>
      </c>
      <c r="H262" s="93" t="str">
        <f>VLOOKUP(A262,'Parameters Summary'!$B$2:$AB$826,10,FALSE)</f>
        <v>PHYSPROP</v>
      </c>
      <c r="I262" s="93">
        <f>VLOOKUP(A262,'Parameters Summary'!$B$2:$AB$826,24,FALSE)</f>
        <v>8000</v>
      </c>
      <c r="J262" s="97" t="str">
        <f>VLOOKUP(A262,'Parameters Summary'!$B$2:$AB$826,25,FALSE)</f>
        <v>PHYSPROP</v>
      </c>
      <c r="K262" s="97" t="str">
        <f>VLOOKUP(A262,'Tox Summary'!$O$3:$S$827,2,FALSE)</f>
        <v/>
      </c>
      <c r="L262" s="93">
        <f>VLOOKUP(A262,'Parameters Summary'!$B$2:$AB$826,7,FALSE)</f>
        <v>5.7400000000000003E-7</v>
      </c>
      <c r="M262" s="93" t="str">
        <f>VLOOKUP(A262,'Parameters Summary'!$B$2:$AB$826,8,FALSE)</f>
        <v>EPI</v>
      </c>
      <c r="N262" s="91">
        <f>VLOOKUP(A262,'Parameters Summary'!$B$2:$AB$826,6,FALSE)</f>
        <v>2.3499999999999999E-5</v>
      </c>
      <c r="O262" s="91" t="str">
        <f t="shared" si="18"/>
        <v/>
      </c>
      <c r="P262" s="91">
        <f t="shared" si="21"/>
        <v>2.3499999999999999E-5</v>
      </c>
      <c r="Q262" s="91" t="str">
        <f t="shared" si="19"/>
        <v/>
      </c>
      <c r="R262" s="91">
        <f t="shared" si="22"/>
        <v>2.3499999999999999E-5</v>
      </c>
      <c r="S262" s="91" t="str">
        <f t="shared" si="23"/>
        <v/>
      </c>
      <c r="T262" s="93">
        <f>VLOOKUP(A262,'Parameters Summary'!$B$2:$AB$826,15,FALSE)</f>
        <v>2.78768E-2</v>
      </c>
      <c r="U262" s="93" t="str">
        <f>VLOOKUP(A262,'Parameters Summary'!$B$2:$AB$826,17,FALSE)</f>
        <v>WATER9 (U.S. EPA, 2001)</v>
      </c>
      <c r="V262" s="93">
        <f>VLOOKUP(A262,'Parameters Summary'!$B$2:$AB$826,16,FALSE)</f>
        <v>7.3301999999999997E-6</v>
      </c>
      <c r="W262" s="379" t="str">
        <f>VLOOKUP(A262,'Parameters Summary'!$B$2:$AB$826,17,FALSE)</f>
        <v>WATER9 (U.S. EPA, 2001)</v>
      </c>
      <c r="X262" s="290">
        <v>507.25</v>
      </c>
      <c r="Y262" s="96" t="s">
        <v>553</v>
      </c>
      <c r="Z262" s="96">
        <f>1.5*X262</f>
        <v>760.875</v>
      </c>
      <c r="AA262" s="96" t="s">
        <v>2220</v>
      </c>
      <c r="AB262" s="96" t="s">
        <v>1651</v>
      </c>
      <c r="AC262" s="96"/>
      <c r="AD262" s="93">
        <f>VLOOKUP(A262,'Parameters Summary'!$B$2:$AB$826,20,FALSE)</f>
        <v>53.96</v>
      </c>
      <c r="AE262" s="97" t="str">
        <f>VLOOKUP(A262,'Parameters Summary'!$B$2:$AB$826,21,FALSE)</f>
        <v>EPI</v>
      </c>
      <c r="AF262" s="97"/>
      <c r="AG262" s="94"/>
      <c r="AH262" s="92"/>
      <c r="AI262" s="96"/>
      <c r="AJ262" s="330"/>
      <c r="AL262" s="81"/>
    </row>
    <row r="263" spans="1:38" ht="12.75" customHeight="1">
      <c r="A263" s="96" t="s">
        <v>694</v>
      </c>
      <c r="B263" s="96" t="s">
        <v>2308</v>
      </c>
      <c r="C263" s="96" t="str">
        <f t="shared" si="20"/>
        <v>No</v>
      </c>
      <c r="D263" s="96" t="str">
        <f>VLOOKUP(A263,'Tox Summary'!$O$3:$R$824,3,FALSE)</f>
        <v>Yes</v>
      </c>
      <c r="E263" s="97">
        <f>VLOOKUP(A263,'Parameters Summary'!$B$2:$AB$826,4,FALSE)</f>
        <v>237.19</v>
      </c>
      <c r="F263" s="97" t="str">
        <f>VLOOKUP(A263,'Parameters Summary'!$B$2:$AB$826,5,FALSE)</f>
        <v>PHYSPROP</v>
      </c>
      <c r="G263" s="93">
        <f>VLOOKUP(A263,'Parameters Summary'!$B$2:$AB$826,9,FALSE)</f>
        <v>1.6000000000000001E-4</v>
      </c>
      <c r="H263" s="93" t="str">
        <f>VLOOKUP(A263,'Parameters Summary'!$B$2:$AB$826,10,FALSE)</f>
        <v>PHYSPROP</v>
      </c>
      <c r="I263" s="93">
        <f>VLOOKUP(A263,'Parameters Summary'!$B$2:$AB$826,24,FALSE)</f>
        <v>1000000</v>
      </c>
      <c r="J263" s="97" t="str">
        <f>VLOOKUP(A263,'Parameters Summary'!$B$2:$AB$826,25,FALSE)</f>
        <v>PHYSPROP</v>
      </c>
      <c r="K263" s="97" t="str">
        <f>VLOOKUP(A263,'Tox Summary'!$O$3:$S$827,2,FALSE)</f>
        <v/>
      </c>
      <c r="L263" s="93">
        <f>VLOOKUP(A263,'Parameters Summary'!$B$2:$AB$826,7,FALSE)</f>
        <v>5.0299999999999997E-11</v>
      </c>
      <c r="M263" s="93" t="str">
        <f>VLOOKUP(A263,'Parameters Summary'!$B$2:$AB$826,8,FALSE)</f>
        <v>PHYSPROP</v>
      </c>
      <c r="N263" s="91">
        <f>VLOOKUP(A263,'Parameters Summary'!$B$2:$AB$826,6,FALSE)</f>
        <v>2.0564000000000001E-9</v>
      </c>
      <c r="O263" s="91" t="str">
        <f t="shared" si="18"/>
        <v/>
      </c>
      <c r="P263" s="91">
        <f t="shared" si="21"/>
        <v>2.0564000000000001E-9</v>
      </c>
      <c r="Q263" s="91" t="str">
        <f t="shared" si="19"/>
        <v/>
      </c>
      <c r="R263" s="91">
        <f t="shared" si="22"/>
        <v>2.0564000000000001E-9</v>
      </c>
      <c r="S263" s="91" t="str">
        <f t="shared" si="23"/>
        <v/>
      </c>
      <c r="T263" s="93">
        <f>VLOOKUP(A263,'Parameters Summary'!$B$2:$AB$826,15,FALSE)</f>
        <v>2.5047400000000001E-2</v>
      </c>
      <c r="U263" s="93" t="str">
        <f>VLOOKUP(A263,'Parameters Summary'!$B$2:$AB$826,17,FALSE)</f>
        <v>WATER9 (U.S. EPA, 2001)</v>
      </c>
      <c r="V263" s="93">
        <f>VLOOKUP(A263,'Parameters Summary'!$B$2:$AB$826,16,FALSE)</f>
        <v>6.4146999999999998E-6</v>
      </c>
      <c r="W263" s="379" t="str">
        <f>VLOOKUP(A263,'Parameters Summary'!$B$2:$AB$826,17,FALSE)</f>
        <v>WATER9 (U.S. EPA, 2001)</v>
      </c>
      <c r="X263" s="347"/>
      <c r="Y263" s="96"/>
      <c r="Z263" s="96" t="s">
        <v>1653</v>
      </c>
      <c r="AA263" s="96"/>
      <c r="AB263" s="96" t="s">
        <v>1651</v>
      </c>
      <c r="AC263" s="96"/>
      <c r="AD263" s="93">
        <f>VLOOKUP(A263,'Parameters Summary'!$B$2:$AB$826,20,FALSE)</f>
        <v>16.579999999999998</v>
      </c>
      <c r="AE263" s="97" t="str">
        <f>VLOOKUP(A263,'Parameters Summary'!$B$2:$AB$826,21,FALSE)</f>
        <v>EPI</v>
      </c>
      <c r="AF263" s="97"/>
      <c r="AG263" s="94"/>
      <c r="AH263" s="92"/>
      <c r="AI263" s="96"/>
      <c r="AJ263" s="330"/>
      <c r="AL263" s="81"/>
    </row>
    <row r="264" spans="1:38" ht="12.75" customHeight="1">
      <c r="A264" s="95" t="s">
        <v>847</v>
      </c>
      <c r="B264" s="96" t="s">
        <v>1095</v>
      </c>
      <c r="C264" s="96" t="str">
        <f t="shared" si="20"/>
        <v>Yes</v>
      </c>
      <c r="D264" s="96" t="str">
        <f>VLOOKUP(A264,'Tox Summary'!$O$3:$R$824,3,FALSE)</f>
        <v>Yes</v>
      </c>
      <c r="E264" s="97">
        <f>VLOOKUP(A264,'Parameters Summary'!$B$2:$AB$826,4,FALSE)</f>
        <v>132.21</v>
      </c>
      <c r="F264" s="97" t="str">
        <f>VLOOKUP(A264,'Parameters Summary'!$B$2:$AB$826,5,FALSE)</f>
        <v>PHYSPROP</v>
      </c>
      <c r="G264" s="93">
        <f>VLOOKUP(A264,'Parameters Summary'!$B$2:$AB$826,9,FALSE)</f>
        <v>2.29</v>
      </c>
      <c r="H264" s="93" t="str">
        <f>VLOOKUP(A264,'Parameters Summary'!$B$2:$AB$826,10,FALSE)</f>
        <v>EPI</v>
      </c>
      <c r="I264" s="93">
        <f>VLOOKUP(A264,'Parameters Summary'!$B$2:$AB$826,24,FALSE)</f>
        <v>26.47</v>
      </c>
      <c r="J264" s="97" t="str">
        <f>VLOOKUP(A264,'Parameters Summary'!$B$2:$AB$826,25,FALSE)</f>
        <v>PHYSPROP</v>
      </c>
      <c r="K264" s="97" t="str">
        <f>VLOOKUP(A264,'Tox Summary'!$O$3:$S$827,2,FALSE)</f>
        <v/>
      </c>
      <c r="L264" s="93">
        <f>VLOOKUP(A264,'Parameters Summary'!$B$2:$AB$826,7,FALSE)</f>
        <v>6.25E-2</v>
      </c>
      <c r="M264" s="93" t="str">
        <f>VLOOKUP(A264,'Parameters Summary'!$B$2:$AB$826,8,FALSE)</f>
        <v>PHYSPROP</v>
      </c>
      <c r="N264" s="91">
        <f>VLOOKUP(A264,'Parameters Summary'!$B$2:$AB$826,6,FALSE)</f>
        <v>2.5551922</v>
      </c>
      <c r="O264" s="91">
        <f t="shared" si="18"/>
        <v>2.5551922</v>
      </c>
      <c r="P264" s="91">
        <f t="shared" si="21"/>
        <v>2.5551922</v>
      </c>
      <c r="Q264" s="91">
        <f t="shared" si="19"/>
        <v>2.5551922</v>
      </c>
      <c r="R264" s="91">
        <f t="shared" si="22"/>
        <v>2.5551922</v>
      </c>
      <c r="S264" s="91">
        <f t="shared" si="23"/>
        <v>16291196.369859278</v>
      </c>
      <c r="T264" s="93">
        <f>VLOOKUP(A264,'Parameters Summary'!$B$2:$AB$826,15,FALSE)</f>
        <v>5.5745500000000003E-2</v>
      </c>
      <c r="U264" s="93" t="str">
        <f>VLOOKUP(A264,'Parameters Summary'!$B$2:$AB$826,17,FALSE)</f>
        <v>WATER9 (U.S. EPA, 2001)</v>
      </c>
      <c r="V264" s="93">
        <f>VLOOKUP(A264,'Parameters Summary'!$B$2:$AB$826,16,FALSE)</f>
        <v>7.7554000000000003E-6</v>
      </c>
      <c r="W264" s="379" t="str">
        <f>VLOOKUP(A264,'Parameters Summary'!$B$2:$AB$826,17,FALSE)</f>
        <v>WATER9 (U.S. EPA, 2001)</v>
      </c>
      <c r="X264" s="290">
        <v>443</v>
      </c>
      <c r="Y264" s="96" t="s">
        <v>2217</v>
      </c>
      <c r="Z264" s="96">
        <f>3*X264/2</f>
        <v>664.5</v>
      </c>
      <c r="AA264" s="96" t="s">
        <v>2220</v>
      </c>
      <c r="AB264" s="96">
        <v>2197.38</v>
      </c>
      <c r="AC264" s="96" t="s">
        <v>2218</v>
      </c>
      <c r="AD264" s="93">
        <f>VLOOKUP(A264,'Parameters Summary'!$B$2:$AB$826,20,FALSE)</f>
        <v>1513</v>
      </c>
      <c r="AE264" s="97" t="str">
        <f>VLOOKUP(A264,'Parameters Summary'!$B$2:$AB$826,21,FALSE)</f>
        <v>EPI</v>
      </c>
      <c r="AF264" s="380"/>
      <c r="AG264" s="97"/>
      <c r="AH264" s="92"/>
      <c r="AI264" s="96"/>
      <c r="AJ264" s="330"/>
      <c r="AL264" s="81"/>
    </row>
    <row r="265" spans="1:38" ht="12.75" customHeight="1">
      <c r="A265" s="95" t="s">
        <v>848</v>
      </c>
      <c r="B265" s="96" t="s">
        <v>437</v>
      </c>
      <c r="C265" s="96" t="str">
        <f t="shared" si="20"/>
        <v>No</v>
      </c>
      <c r="D265" s="96" t="str">
        <f>VLOOKUP(A265,'Tox Summary'!$O$3:$R$824,3,FALSE)</f>
        <v>Yes</v>
      </c>
      <c r="E265" s="97">
        <f>VLOOKUP(A265,'Parameters Summary'!$B$2:$AB$826,4,FALSE)</f>
        <v>380.91</v>
      </c>
      <c r="F265" s="97" t="str">
        <f>VLOOKUP(A265,'Parameters Summary'!$B$2:$AB$826,5,FALSE)</f>
        <v>PHYSPROP</v>
      </c>
      <c r="G265" s="93">
        <f>VLOOKUP(A265,'Parameters Summary'!$B$2:$AB$826,9,FALSE)</f>
        <v>5.8900000000000004E-6</v>
      </c>
      <c r="H265" s="93" t="str">
        <f>VLOOKUP(A265,'Parameters Summary'!$B$2:$AB$826,10,FALSE)</f>
        <v>PHYSPROP</v>
      </c>
      <c r="I265" s="93">
        <f>VLOOKUP(A265,'Parameters Summary'!$B$2:$AB$826,24,FALSE)</f>
        <v>0.19500000000000001</v>
      </c>
      <c r="J265" s="97" t="str">
        <f>VLOOKUP(A265,'Parameters Summary'!$B$2:$AB$826,25,FALSE)</f>
        <v>PHYSPROP</v>
      </c>
      <c r="K265" s="97" t="str">
        <f>VLOOKUP(A265,'Tox Summary'!$O$3:$S$827,2,FALSE)</f>
        <v/>
      </c>
      <c r="L265" s="93">
        <f>VLOOKUP(A265,'Parameters Summary'!$B$2:$AB$826,7,FALSE)</f>
        <v>1.0000000000000001E-5</v>
      </c>
      <c r="M265" s="93" t="str">
        <f>VLOOKUP(A265,'Parameters Summary'!$B$2:$AB$826,8,FALSE)</f>
        <v>PHYSPROP</v>
      </c>
      <c r="N265" s="91">
        <f>VLOOKUP(A265,'Parameters Summary'!$B$2:$AB$826,6,FALSE)</f>
        <v>4.0880000000000002E-4</v>
      </c>
      <c r="O265" s="91">
        <f t="shared" si="18"/>
        <v>4.0880000000000002E-4</v>
      </c>
      <c r="P265" s="91">
        <f t="shared" si="21"/>
        <v>4.0880000000000002E-4</v>
      </c>
      <c r="Q265" s="91">
        <f t="shared" si="19"/>
        <v>4.0880000000000002E-4</v>
      </c>
      <c r="R265" s="91">
        <f t="shared" si="22"/>
        <v>4.0880000000000002E-4</v>
      </c>
      <c r="S265" s="91">
        <f t="shared" si="23"/>
        <v>120.72323374135117</v>
      </c>
      <c r="T265" s="93">
        <f>VLOOKUP(A265,'Parameters Summary'!$B$2:$AB$826,15,FALSE)</f>
        <v>2.3286500000000002E-2</v>
      </c>
      <c r="U265" s="93" t="str">
        <f>VLOOKUP(A265,'Parameters Summary'!$B$2:$AB$826,17,FALSE)</f>
        <v>WATER9 (U.S. EPA, 2001)</v>
      </c>
      <c r="V265" s="93">
        <f>VLOOKUP(A265,'Parameters Summary'!$B$2:$AB$826,16,FALSE)</f>
        <v>6.0062000000000002E-6</v>
      </c>
      <c r="W265" s="379" t="str">
        <f>VLOOKUP(A265,'Parameters Summary'!$B$2:$AB$826,17,FALSE)</f>
        <v>WATER9 (U.S. EPA, 2001)</v>
      </c>
      <c r="X265" s="290">
        <f>330+273.15</f>
        <v>603.15</v>
      </c>
      <c r="Y265" s="96" t="s">
        <v>553</v>
      </c>
      <c r="Z265" s="96">
        <f>1.5*X265</f>
        <v>904.72499999999991</v>
      </c>
      <c r="AA265" s="96" t="s">
        <v>2220</v>
      </c>
      <c r="AB265" s="96">
        <v>17000</v>
      </c>
      <c r="AC265" s="96" t="s">
        <v>2227</v>
      </c>
      <c r="AD265" s="93">
        <f>VLOOKUP(A265,'Parameters Summary'!$B$2:$AB$826,20,FALSE)</f>
        <v>20090</v>
      </c>
      <c r="AE265" s="97" t="str">
        <f>VLOOKUP(A265,'Parameters Summary'!$B$2:$AB$826,21,FALSE)</f>
        <v>EPI</v>
      </c>
      <c r="AF265" s="380"/>
      <c r="AG265" s="97"/>
      <c r="AH265" s="92"/>
      <c r="AI265" s="96"/>
      <c r="AJ265" s="330"/>
      <c r="AL265" s="81"/>
    </row>
    <row r="266" spans="1:38" ht="12.75" customHeight="1">
      <c r="A266" s="96" t="s">
        <v>2169</v>
      </c>
      <c r="B266" s="96" t="s">
        <v>1096</v>
      </c>
      <c r="C266" s="96" t="str">
        <f t="shared" si="20"/>
        <v>No</v>
      </c>
      <c r="D266" s="96" t="str">
        <f>VLOOKUP(A266,'Tox Summary'!$O$3:$R$824,3,FALSE)</f>
        <v>Yes</v>
      </c>
      <c r="E266" s="97" t="str">
        <f>VLOOKUP(A266,'Parameters Summary'!$B$2:$AB$826,4,FALSE)</f>
        <v xml:space="preserve"> </v>
      </c>
      <c r="F266" s="97" t="str">
        <f>VLOOKUP(A266,'Parameters Summary'!$B$2:$AB$826,5,FALSE)</f>
        <v/>
      </c>
      <c r="G266" s="93" t="s">
        <v>2439</v>
      </c>
      <c r="H266" s="93" t="str">
        <f>VLOOKUP(A266,'Parameters Summary'!$B$2:$AB$826,10,FALSE)</f>
        <v/>
      </c>
      <c r="I266" s="93" t="s">
        <v>2440</v>
      </c>
      <c r="J266" s="97" t="str">
        <f>VLOOKUP(A266,'Parameters Summary'!$B$2:$AB$826,25,FALSE)</f>
        <v/>
      </c>
      <c r="K266" s="97" t="str">
        <f>VLOOKUP(A266,'Tox Summary'!$O$3:$S$827,2,FALSE)</f>
        <v/>
      </c>
      <c r="L266" s="93" t="s">
        <v>2298</v>
      </c>
      <c r="M266" s="93" t="str">
        <f>VLOOKUP(A266,'Parameters Summary'!$B$2:$AB$826,8,FALSE)</f>
        <v/>
      </c>
      <c r="N266" s="91" t="str">
        <f>VLOOKUP(A266,'Parameters Summary'!$B$2:$AB$826,6,FALSE)</f>
        <v xml:space="preserve"> </v>
      </c>
      <c r="O266" s="91" t="str">
        <f t="shared" si="18"/>
        <v/>
      </c>
      <c r="P266" s="91" t="str">
        <f t="shared" si="21"/>
        <v xml:space="preserve"> </v>
      </c>
      <c r="Q266" s="91" t="str">
        <f t="shared" si="19"/>
        <v/>
      </c>
      <c r="R266" s="91" t="str">
        <f t="shared" si="22"/>
        <v xml:space="preserve"> </v>
      </c>
      <c r="S266" s="91" t="str">
        <f t="shared" si="23"/>
        <v/>
      </c>
      <c r="T266" s="93" t="str">
        <f>VLOOKUP(A266,'Parameters Summary'!$B$2:$AB$826,15,FALSE)</f>
        <v xml:space="preserve"> </v>
      </c>
      <c r="U266" s="93" t="str">
        <f>VLOOKUP(A266,'Parameters Summary'!$B$2:$AB$826,17,FALSE)</f>
        <v/>
      </c>
      <c r="V266" s="93" t="str">
        <f>VLOOKUP(A266,'Parameters Summary'!$B$2:$AB$826,16,FALSE)</f>
        <v xml:space="preserve"> </v>
      </c>
      <c r="W266" s="379" t="str">
        <f>VLOOKUP(A266,'Parameters Summary'!$B$2:$AB$826,17,FALSE)</f>
        <v/>
      </c>
      <c r="X266" s="347"/>
      <c r="Y266" s="96"/>
      <c r="Z266" s="96" t="s">
        <v>1653</v>
      </c>
      <c r="AA266" s="96"/>
      <c r="AB266" s="96" t="s">
        <v>1651</v>
      </c>
      <c r="AC266" s="96"/>
      <c r="AD266" s="93" t="str">
        <f>VLOOKUP(A266,'Parameters Summary'!$B$2:$AB$826,20,FALSE)</f>
        <v xml:space="preserve"> </v>
      </c>
      <c r="AE266" s="97" t="str">
        <f>VLOOKUP(A266,'Parameters Summary'!$B$2:$AB$826,21,FALSE)</f>
        <v/>
      </c>
      <c r="AF266" s="97"/>
      <c r="AG266" s="94"/>
      <c r="AH266" s="92"/>
      <c r="AI266" s="96"/>
      <c r="AJ266" s="330"/>
      <c r="AL266" s="81"/>
    </row>
    <row r="267" spans="1:38" ht="12.75" customHeight="1">
      <c r="A267" s="96" t="s">
        <v>849</v>
      </c>
      <c r="B267" s="96" t="s">
        <v>579</v>
      </c>
      <c r="C267" s="96" t="str">
        <f t="shared" si="20"/>
        <v>No</v>
      </c>
      <c r="D267" s="96" t="str">
        <f>VLOOKUP(A267,'Tox Summary'!$O$3:$R$824,3,FALSE)</f>
        <v>Yes</v>
      </c>
      <c r="E267" s="97">
        <f>VLOOKUP(A267,'Parameters Summary'!$B$2:$AB$826,4,FALSE)</f>
        <v>105.14</v>
      </c>
      <c r="F267" s="97" t="str">
        <f>VLOOKUP(A267,'Parameters Summary'!$B$2:$AB$826,5,FALSE)</f>
        <v>PHYSPROP</v>
      </c>
      <c r="G267" s="93">
        <f>VLOOKUP(A267,'Parameters Summary'!$B$2:$AB$826,9,FALSE)</f>
        <v>2.7999999999999998E-4</v>
      </c>
      <c r="H267" s="93" t="str">
        <f>VLOOKUP(A267,'Parameters Summary'!$B$2:$AB$826,10,FALSE)</f>
        <v>PHYSPROP</v>
      </c>
      <c r="I267" s="93">
        <f>VLOOKUP(A267,'Parameters Summary'!$B$2:$AB$826,24,FALSE)</f>
        <v>1000000</v>
      </c>
      <c r="J267" s="97" t="str">
        <f>VLOOKUP(A267,'Parameters Summary'!$B$2:$AB$826,25,FALSE)</f>
        <v>PHYSPROP</v>
      </c>
      <c r="K267" s="97" t="str">
        <f>VLOOKUP(A267,'Tox Summary'!$O$3:$S$827,2,FALSE)</f>
        <v/>
      </c>
      <c r="L267" s="93">
        <f>VLOOKUP(A267,'Parameters Summary'!$B$2:$AB$826,7,FALSE)</f>
        <v>3.8699999999999999E-11</v>
      </c>
      <c r="M267" s="93" t="str">
        <f>VLOOKUP(A267,'Parameters Summary'!$B$2:$AB$826,8,FALSE)</f>
        <v>EPI</v>
      </c>
      <c r="N267" s="91">
        <f>VLOOKUP(A267,'Parameters Summary'!$B$2:$AB$826,6,FALSE)</f>
        <v>1.5822E-9</v>
      </c>
      <c r="O267" s="91" t="str">
        <f t="shared" si="18"/>
        <v/>
      </c>
      <c r="P267" s="91">
        <f t="shared" si="21"/>
        <v>1.5822E-9</v>
      </c>
      <c r="Q267" s="91" t="str">
        <f t="shared" si="19"/>
        <v/>
      </c>
      <c r="R267" s="91">
        <f t="shared" si="22"/>
        <v>1.5822E-9</v>
      </c>
      <c r="S267" s="91" t="str">
        <f t="shared" si="23"/>
        <v/>
      </c>
      <c r="T267" s="93">
        <f>VLOOKUP(A267,'Parameters Summary'!$B$2:$AB$826,15,FALSE)</f>
        <v>7.6805399999999996E-2</v>
      </c>
      <c r="U267" s="93" t="str">
        <f>VLOOKUP(A267,'Parameters Summary'!$B$2:$AB$826,17,FALSE)</f>
        <v>WATER9 (U.S. EPA, 2001)</v>
      </c>
      <c r="V267" s="93">
        <f>VLOOKUP(A267,'Parameters Summary'!$B$2:$AB$826,16,FALSE)</f>
        <v>9.8229000000000004E-6</v>
      </c>
      <c r="W267" s="379" t="str">
        <f>VLOOKUP(A267,'Parameters Summary'!$B$2:$AB$826,17,FALSE)</f>
        <v>WATER9 (U.S. EPA, 2001)</v>
      </c>
      <c r="X267" s="290">
        <v>541.95000000000005</v>
      </c>
      <c r="Y267" s="96" t="s">
        <v>553</v>
      </c>
      <c r="Z267" s="96">
        <f>1.5*X267</f>
        <v>812.92500000000007</v>
      </c>
      <c r="AA267" s="96" t="s">
        <v>2220</v>
      </c>
      <c r="AB267" s="96" t="s">
        <v>1651</v>
      </c>
      <c r="AC267" s="96"/>
      <c r="AD267" s="93">
        <f>VLOOKUP(A267,'Parameters Summary'!$B$2:$AB$826,20,FALSE)</f>
        <v>1</v>
      </c>
      <c r="AE267" s="97" t="str">
        <f>VLOOKUP(A267,'Parameters Summary'!$B$2:$AB$826,21,FALSE)</f>
        <v>EPI</v>
      </c>
      <c r="AF267" s="97"/>
      <c r="AG267" s="94"/>
      <c r="AH267" s="92"/>
      <c r="AI267" s="96"/>
      <c r="AJ267" s="330"/>
      <c r="AL267" s="81"/>
    </row>
    <row r="268" spans="1:38" ht="12.75" customHeight="1">
      <c r="A268" s="96" t="s">
        <v>850</v>
      </c>
      <c r="B268" s="96" t="s">
        <v>2343</v>
      </c>
      <c r="C268" s="96" t="str">
        <f t="shared" si="20"/>
        <v>No</v>
      </c>
      <c r="D268" s="96" t="str">
        <f>VLOOKUP(A268,'Tox Summary'!$O$3:$R$824,3,FALSE)</f>
        <v>Yes</v>
      </c>
      <c r="E268" s="97">
        <f>VLOOKUP(A268,'Parameters Summary'!$B$2:$AB$826,4,FALSE)</f>
        <v>222.24</v>
      </c>
      <c r="F268" s="97" t="str">
        <f>VLOOKUP(A268,'Parameters Summary'!$B$2:$AB$826,5,FALSE)</f>
        <v>PHYSPROP</v>
      </c>
      <c r="G268" s="93">
        <f>VLOOKUP(A268,'Parameters Summary'!$B$2:$AB$826,9,FALSE)</f>
        <v>2.0999999999999999E-3</v>
      </c>
      <c r="H268" s="93" t="str">
        <f>VLOOKUP(A268,'Parameters Summary'!$B$2:$AB$826,10,FALSE)</f>
        <v>PHYSPROP</v>
      </c>
      <c r="I268" s="93">
        <f>VLOOKUP(A268,'Parameters Summary'!$B$2:$AB$826,24,FALSE)</f>
        <v>1080</v>
      </c>
      <c r="J268" s="97" t="str">
        <f>VLOOKUP(A268,'Parameters Summary'!$B$2:$AB$826,25,FALSE)</f>
        <v>PHYSPROP</v>
      </c>
      <c r="K268" s="97" t="str">
        <f>VLOOKUP(A268,'Tox Summary'!$O$3:$S$827,2,FALSE)</f>
        <v/>
      </c>
      <c r="L268" s="93">
        <f>VLOOKUP(A268,'Parameters Summary'!$B$2:$AB$826,7,FALSE)</f>
        <v>6.0999999999999998E-7</v>
      </c>
      <c r="M268" s="93" t="str">
        <f>VLOOKUP(A268,'Parameters Summary'!$B$2:$AB$826,8,FALSE)</f>
        <v>EPI</v>
      </c>
      <c r="N268" s="91">
        <f>VLOOKUP(A268,'Parameters Summary'!$B$2:$AB$826,6,FALSE)</f>
        <v>2.4899999999999999E-5</v>
      </c>
      <c r="O268" s="91" t="str">
        <f t="shared" si="18"/>
        <v/>
      </c>
      <c r="P268" s="91">
        <f t="shared" si="21"/>
        <v>2.4899999999999999E-5</v>
      </c>
      <c r="Q268" s="91" t="str">
        <f t="shared" si="19"/>
        <v/>
      </c>
      <c r="R268" s="91">
        <f t="shared" si="22"/>
        <v>2.4899999999999999E-5</v>
      </c>
      <c r="S268" s="91" t="str">
        <f t="shared" si="23"/>
        <v/>
      </c>
      <c r="T268" s="93">
        <f>VLOOKUP(A268,'Parameters Summary'!$B$2:$AB$826,15,FALSE)</f>
        <v>2.6074099999999999E-2</v>
      </c>
      <c r="U268" s="93" t="str">
        <f>VLOOKUP(A268,'Parameters Summary'!$B$2:$AB$826,17,FALSE)</f>
        <v>WATER9 (U.S. EPA, 2001)</v>
      </c>
      <c r="V268" s="93">
        <f>VLOOKUP(A268,'Parameters Summary'!$B$2:$AB$826,16,FALSE)</f>
        <v>6.7227E-6</v>
      </c>
      <c r="W268" s="379" t="str">
        <f>VLOOKUP(A268,'Parameters Summary'!$B$2:$AB$826,17,FALSE)</f>
        <v>WATER9 (U.S. EPA, 2001)</v>
      </c>
      <c r="X268" s="290">
        <v>568.15</v>
      </c>
      <c r="Y268" s="96" t="s">
        <v>553</v>
      </c>
      <c r="Z268" s="96" t="s">
        <v>1653</v>
      </c>
      <c r="AA268" s="96"/>
      <c r="AB268" s="96" t="s">
        <v>1651</v>
      </c>
      <c r="AC268" s="96"/>
      <c r="AD268" s="93">
        <f>VLOOKUP(A268,'Parameters Summary'!$B$2:$AB$826,20,FALSE)</f>
        <v>104.9</v>
      </c>
      <c r="AE268" s="97" t="str">
        <f>VLOOKUP(A268,'Parameters Summary'!$B$2:$AB$826,21,FALSE)</f>
        <v>EPI</v>
      </c>
      <c r="AF268" s="97"/>
      <c r="AG268" s="94"/>
      <c r="AH268" s="92"/>
      <c r="AI268" s="96"/>
      <c r="AJ268" s="330"/>
      <c r="AL268" s="81"/>
    </row>
    <row r="269" spans="1:38" ht="12.75" customHeight="1">
      <c r="A269" s="96" t="s">
        <v>851</v>
      </c>
      <c r="B269" s="96" t="s">
        <v>528</v>
      </c>
      <c r="C269" s="96" t="str">
        <f t="shared" si="20"/>
        <v>No</v>
      </c>
      <c r="D269" s="96" t="str">
        <f>VLOOKUP(A269,'Tox Summary'!$O$3:$R$824,3,FALSE)</f>
        <v>No</v>
      </c>
      <c r="E269" s="97">
        <f>VLOOKUP(A269,'Parameters Summary'!$B$2:$AB$826,4,FALSE)</f>
        <v>162.22999999999999</v>
      </c>
      <c r="F269" s="97" t="str">
        <f>VLOOKUP(A269,'Parameters Summary'!$B$2:$AB$826,5,FALSE)</f>
        <v>PHYSPROP</v>
      </c>
      <c r="G269" s="93">
        <f>VLOOKUP(A269,'Parameters Summary'!$B$2:$AB$826,9,FALSE)</f>
        <v>2.1899999999999999E-2</v>
      </c>
      <c r="H269" s="93" t="str">
        <f>VLOOKUP(A269,'Parameters Summary'!$B$2:$AB$826,10,FALSE)</f>
        <v>PHYSPROP</v>
      </c>
      <c r="I269" s="93">
        <f>VLOOKUP(A269,'Parameters Summary'!$B$2:$AB$826,24,FALSE)</f>
        <v>1000000</v>
      </c>
      <c r="J269" s="97" t="str">
        <f>VLOOKUP(A269,'Parameters Summary'!$B$2:$AB$826,25,FALSE)</f>
        <v>PHYSPROP</v>
      </c>
      <c r="K269" s="97" t="str">
        <f>VLOOKUP(A269,'Tox Summary'!$O$3:$S$827,2,FALSE)</f>
        <v/>
      </c>
      <c r="L269" s="93">
        <f>VLOOKUP(A269,'Parameters Summary'!$B$2:$AB$826,7,FALSE)</f>
        <v>7.2E-9</v>
      </c>
      <c r="M269" s="93" t="str">
        <f>VLOOKUP(A269,'Parameters Summary'!$B$2:$AB$826,8,FALSE)</f>
        <v>PHYSPROP</v>
      </c>
      <c r="N269" s="91">
        <f>VLOOKUP(A269,'Parameters Summary'!$B$2:$AB$826,6,FALSE)</f>
        <v>2.9436E-7</v>
      </c>
      <c r="O269" s="91" t="str">
        <f t="shared" ref="O269:O332" si="25">IF(OR(L269="No Hc25",Z269="No Tcrit",AB269="No DHv,b"),"",N269*EXP((-(AB269*((1-(Tgw+273)/Z269)/(1-X269/Z269))^(IF(X269/Z269&lt;0.57,0.3,IF(X269/Z269&gt;0.71,0.41,0.74*(X269/Z269)-0.116))))/1.9872)*(1/(Tgw+273)-1/298)))</f>
        <v/>
      </c>
      <c r="P269" s="91">
        <f t="shared" si="21"/>
        <v>2.9436E-7</v>
      </c>
      <c r="Q269" s="91" t="str">
        <f t="shared" ref="Q269:Q332" si="26">IF(OR(L269="No Hc25",Z269="No Tcrit",AB269="No DHv,b"),"",N269*EXP((-(AB269*((1-(Tgw_GW+273)/Z269)/(1-X269/Z269))^(IF(X269/Z269&lt;0.57,0.3,IF(X269/Z269&gt;0.71,0.41,0.74*(X269/Z269)-0.116))))/1.9872)*(1/(Tgw_GW+273)-1/298)))</f>
        <v/>
      </c>
      <c r="R269" s="91">
        <f t="shared" si="22"/>
        <v>2.9436E-7</v>
      </c>
      <c r="S269" s="91" t="str">
        <f t="shared" si="23"/>
        <v/>
      </c>
      <c r="T269" s="93">
        <f>VLOOKUP(A269,'Parameters Summary'!$B$2:$AB$826,15,FALSE)</f>
        <v>4.14384E-2</v>
      </c>
      <c r="U269" s="93" t="str">
        <f>VLOOKUP(A269,'Parameters Summary'!$B$2:$AB$826,17,FALSE)</f>
        <v>WATER9 (U.S. EPA, 2001)</v>
      </c>
      <c r="V269" s="93">
        <f>VLOOKUP(A269,'Parameters Summary'!$B$2:$AB$826,16,FALSE)</f>
        <v>6.9707E-6</v>
      </c>
      <c r="W269" s="379" t="str">
        <f>VLOOKUP(A269,'Parameters Summary'!$B$2:$AB$826,17,FALSE)</f>
        <v>WATER9 (U.S. EPA, 2001)</v>
      </c>
      <c r="X269" s="290">
        <v>504.15</v>
      </c>
      <c r="Y269" s="96" t="s">
        <v>553</v>
      </c>
      <c r="Z269" s="96">
        <f>1.5*X269</f>
        <v>756.22499999999991</v>
      </c>
      <c r="AA269" s="96" t="s">
        <v>2220</v>
      </c>
      <c r="AB269" s="96" t="s">
        <v>1651</v>
      </c>
      <c r="AC269" s="96"/>
      <c r="AD269" s="93">
        <f>VLOOKUP(A269,'Parameters Summary'!$B$2:$AB$826,20,FALSE)</f>
        <v>10</v>
      </c>
      <c r="AE269" s="97" t="str">
        <f>VLOOKUP(A269,'Parameters Summary'!$B$2:$AB$826,21,FALSE)</f>
        <v>EPI</v>
      </c>
      <c r="AF269" s="97"/>
      <c r="AG269" s="94"/>
      <c r="AH269" s="92"/>
      <c r="AI269" s="96"/>
      <c r="AJ269" s="330"/>
      <c r="AL269" s="81"/>
    </row>
    <row r="270" spans="1:38" ht="12.75" customHeight="1">
      <c r="A270" s="96" t="s">
        <v>852</v>
      </c>
      <c r="B270" s="96" t="s">
        <v>529</v>
      </c>
      <c r="C270" s="96" t="str">
        <f t="shared" ref="C270:C333" si="27">IF((COUNTIF(G270,"&gt;1")+COUNTIF(L270,"&gt;1E-5"))&gt;0,"Yes","No")</f>
        <v>No</v>
      </c>
      <c r="D270" s="96" t="str">
        <f>VLOOKUP(A270,'Tox Summary'!$O$3:$R$824,3,FALSE)</f>
        <v>Yes</v>
      </c>
      <c r="E270" s="97">
        <f>VLOOKUP(A270,'Parameters Summary'!$B$2:$AB$826,4,FALSE)</f>
        <v>134.18</v>
      </c>
      <c r="F270" s="97" t="str">
        <f>VLOOKUP(A270,'Parameters Summary'!$B$2:$AB$826,5,FALSE)</f>
        <v>PHYSPROP</v>
      </c>
      <c r="G270" s="93">
        <f>VLOOKUP(A270,'Parameters Summary'!$B$2:$AB$826,9,FALSE)</f>
        <v>0.126</v>
      </c>
      <c r="H270" s="93" t="str">
        <f>VLOOKUP(A270,'Parameters Summary'!$B$2:$AB$826,10,FALSE)</f>
        <v>PHYSPROP</v>
      </c>
      <c r="I270" s="93">
        <f>VLOOKUP(A270,'Parameters Summary'!$B$2:$AB$826,24,FALSE)</f>
        <v>1000000</v>
      </c>
      <c r="J270" s="97" t="str">
        <f>VLOOKUP(A270,'Parameters Summary'!$B$2:$AB$826,25,FALSE)</f>
        <v>PHYSPROP</v>
      </c>
      <c r="K270" s="97" t="str">
        <f>VLOOKUP(A270,'Tox Summary'!$O$3:$S$827,2,FALSE)</f>
        <v/>
      </c>
      <c r="L270" s="93">
        <f>VLOOKUP(A270,'Parameters Summary'!$B$2:$AB$826,7,FALSE)</f>
        <v>2.2300000000000001E-8</v>
      </c>
      <c r="M270" s="93" t="str">
        <f>VLOOKUP(A270,'Parameters Summary'!$B$2:$AB$826,8,FALSE)</f>
        <v>EPI</v>
      </c>
      <c r="N270" s="91">
        <f>VLOOKUP(A270,'Parameters Summary'!$B$2:$AB$826,6,FALSE)</f>
        <v>9.1169000000000003E-7</v>
      </c>
      <c r="O270" s="91" t="str">
        <f t="shared" si="25"/>
        <v/>
      </c>
      <c r="P270" s="91">
        <f t="shared" ref="P270:P333" si="28">IF(O270="",N270,O270)</f>
        <v>9.1169000000000003E-7</v>
      </c>
      <c r="Q270" s="91" t="str">
        <f t="shared" si="26"/>
        <v/>
      </c>
      <c r="R270" s="91">
        <f t="shared" ref="R270:R333" si="29">IF(Q270="",P270,Q270)</f>
        <v>9.1169000000000003E-7</v>
      </c>
      <c r="S270" s="91" t="str">
        <f t="shared" ref="S270:S303" si="30">IF(OR(G270="No VP",Z270="No Tcrit",AB270="No DHv,b",L270="No Hc25"),"",G270*E270*53808.7856452378*O270/N270)</f>
        <v/>
      </c>
      <c r="T270" s="93">
        <f>VLOOKUP(A270,'Parameters Summary'!$B$2:$AB$826,15,FALSE)</f>
        <v>5.6240499999999999E-2</v>
      </c>
      <c r="U270" s="93" t="str">
        <f>VLOOKUP(A270,'Parameters Summary'!$B$2:$AB$826,17,FALSE)</f>
        <v>WATER9 (U.S. EPA, 2001)</v>
      </c>
      <c r="V270" s="93">
        <f>VLOOKUP(A270,'Parameters Summary'!$B$2:$AB$826,16,FALSE)</f>
        <v>7.9734000000000006E-6</v>
      </c>
      <c r="W270" s="379" t="str">
        <f>VLOOKUP(A270,'Parameters Summary'!$B$2:$AB$826,17,FALSE)</f>
        <v>WATER9 (U.S. EPA, 2001)</v>
      </c>
      <c r="X270" s="290">
        <v>469.15</v>
      </c>
      <c r="Y270" s="96" t="s">
        <v>553</v>
      </c>
      <c r="Z270" s="96">
        <f>1.5*X270</f>
        <v>703.72499999999991</v>
      </c>
      <c r="AA270" s="96" t="s">
        <v>2220</v>
      </c>
      <c r="AB270" s="96" t="s">
        <v>1651</v>
      </c>
      <c r="AC270" s="96"/>
      <c r="AD270" s="93">
        <f>VLOOKUP(A270,'Parameters Summary'!$B$2:$AB$826,20,FALSE)</f>
        <v>1</v>
      </c>
      <c r="AE270" s="97" t="str">
        <f>VLOOKUP(A270,'Parameters Summary'!$B$2:$AB$826,21,FALSE)</f>
        <v>EPI</v>
      </c>
      <c r="AF270" s="97"/>
      <c r="AG270" s="94"/>
      <c r="AH270" s="92"/>
      <c r="AI270" s="96"/>
      <c r="AJ270" s="330"/>
      <c r="AL270" s="81"/>
    </row>
    <row r="271" spans="1:38" ht="12.75" customHeight="1">
      <c r="A271" s="96" t="s">
        <v>853</v>
      </c>
      <c r="B271" s="96" t="s">
        <v>1097</v>
      </c>
      <c r="C271" s="96" t="str">
        <f t="shared" si="27"/>
        <v>Yes</v>
      </c>
      <c r="D271" s="96" t="str">
        <f>VLOOKUP(A271,'Tox Summary'!$O$3:$R$824,3,FALSE)</f>
        <v>No</v>
      </c>
      <c r="E271" s="97">
        <f>VLOOKUP(A271,'Parameters Summary'!$B$2:$AB$826,4,FALSE)</f>
        <v>101.15</v>
      </c>
      <c r="F271" s="97" t="str">
        <f>VLOOKUP(A271,'Parameters Summary'!$B$2:$AB$826,5,FALSE)</f>
        <v>PHYSPROP</v>
      </c>
      <c r="G271" s="93">
        <f>VLOOKUP(A271,'Parameters Summary'!$B$2:$AB$826,9,FALSE)</f>
        <v>1.21</v>
      </c>
      <c r="H271" s="93" t="str">
        <f>VLOOKUP(A271,'Parameters Summary'!$B$2:$AB$826,10,FALSE)</f>
        <v>EPI</v>
      </c>
      <c r="I271" s="93">
        <f>VLOOKUP(A271,'Parameters Summary'!$B$2:$AB$826,24,FALSE)</f>
        <v>1000000</v>
      </c>
      <c r="J271" s="97" t="str">
        <f>VLOOKUP(A271,'Parameters Summary'!$B$2:$AB$826,25,FALSE)</f>
        <v>PHYSPROP</v>
      </c>
      <c r="K271" s="97" t="str">
        <f>VLOOKUP(A271,'Tox Summary'!$O$3:$S$827,2,FALSE)</f>
        <v/>
      </c>
      <c r="L271" s="93">
        <f>VLOOKUP(A271,'Parameters Summary'!$B$2:$AB$826,7,FALSE)</f>
        <v>1.3E-7</v>
      </c>
      <c r="M271" s="93" t="str">
        <f>VLOOKUP(A271,'Parameters Summary'!$B$2:$AB$826,8,FALSE)</f>
        <v>PHYSPROP</v>
      </c>
      <c r="N271" s="91">
        <f>VLOOKUP(A271,'Parameters Summary'!$B$2:$AB$826,6,FALSE)</f>
        <v>5.3148000000000003E-6</v>
      </c>
      <c r="O271" s="91">
        <f t="shared" si="25"/>
        <v>5.3148000000000003E-6</v>
      </c>
      <c r="P271" s="91">
        <f t="shared" si="28"/>
        <v>5.3148000000000003E-6</v>
      </c>
      <c r="Q271" s="91">
        <f t="shared" si="26"/>
        <v>5.3148000000000003E-6</v>
      </c>
      <c r="R271" s="91">
        <f t="shared" si="29"/>
        <v>5.3148000000000003E-6</v>
      </c>
      <c r="S271" s="91">
        <f t="shared" si="30"/>
        <v>6585737.9882991221</v>
      </c>
      <c r="T271" s="93">
        <f>VLOOKUP(A271,'Parameters Summary'!$B$2:$AB$826,15,FALSE)</f>
        <v>7.3301000000000005E-2</v>
      </c>
      <c r="U271" s="93" t="str">
        <f>VLOOKUP(A271,'Parameters Summary'!$B$2:$AB$826,17,FALSE)</f>
        <v>WATER9 (U.S. EPA, 2001)</v>
      </c>
      <c r="V271" s="93">
        <f>VLOOKUP(A271,'Parameters Summary'!$B$2:$AB$826,16,FALSE)</f>
        <v>8.9772999999999996E-6</v>
      </c>
      <c r="W271" s="379" t="str">
        <f>VLOOKUP(A271,'Parameters Summary'!$B$2:$AB$826,17,FALSE)</f>
        <v>WATER9 (U.S. EPA, 2001)</v>
      </c>
      <c r="X271" s="290">
        <v>450.65</v>
      </c>
      <c r="Y271" s="96" t="s">
        <v>553</v>
      </c>
      <c r="Z271" s="96">
        <f>1.5*X271</f>
        <v>675.97499999999991</v>
      </c>
      <c r="AA271" s="96" t="s">
        <v>2220</v>
      </c>
      <c r="AB271" s="96">
        <v>11687.38</v>
      </c>
      <c r="AC271" s="96" t="s">
        <v>2213</v>
      </c>
      <c r="AD271" s="93">
        <f>VLOOKUP(A271,'Parameters Summary'!$B$2:$AB$826,20,FALSE)</f>
        <v>2.06</v>
      </c>
      <c r="AE271" s="97" t="str">
        <f>VLOOKUP(A271,'Parameters Summary'!$B$2:$AB$826,21,FALSE)</f>
        <v>EPI</v>
      </c>
      <c r="AF271" s="97"/>
      <c r="AG271" s="94"/>
      <c r="AH271" s="92"/>
      <c r="AI271" s="96"/>
      <c r="AJ271" s="330"/>
      <c r="AL271" s="81"/>
    </row>
    <row r="272" spans="1:38" ht="12.75" customHeight="1">
      <c r="A272" s="96" t="s">
        <v>854</v>
      </c>
      <c r="B272" s="96" t="s">
        <v>1404</v>
      </c>
      <c r="C272" s="96" t="str">
        <f t="shared" si="27"/>
        <v>No</v>
      </c>
      <c r="D272" s="96" t="str">
        <f>VLOOKUP(A272,'Tox Summary'!$O$3:$R$824,3,FALSE)</f>
        <v>No</v>
      </c>
      <c r="E272" s="97">
        <f>VLOOKUP(A272,'Parameters Summary'!$B$2:$AB$826,4,FALSE)</f>
        <v>268.36</v>
      </c>
      <c r="F272" s="97" t="str">
        <f>VLOOKUP(A272,'Parameters Summary'!$B$2:$AB$826,5,FALSE)</f>
        <v>PHYSPROP</v>
      </c>
      <c r="G272" s="93">
        <f>VLOOKUP(A272,'Parameters Summary'!$B$2:$AB$826,9,FALSE)</f>
        <v>1.4100000000000001E-8</v>
      </c>
      <c r="H272" s="93" t="str">
        <f>VLOOKUP(A272,'Parameters Summary'!$B$2:$AB$826,10,FALSE)</f>
        <v>PHYSPROP</v>
      </c>
      <c r="I272" s="93">
        <f>VLOOKUP(A272,'Parameters Summary'!$B$2:$AB$826,24,FALSE)</f>
        <v>12</v>
      </c>
      <c r="J272" s="97" t="str">
        <f>VLOOKUP(A272,'Parameters Summary'!$B$2:$AB$826,25,FALSE)</f>
        <v>PHYSPROP</v>
      </c>
      <c r="K272" s="97" t="str">
        <f>VLOOKUP(A272,'Tox Summary'!$O$3:$S$827,2,FALSE)</f>
        <v/>
      </c>
      <c r="L272" s="93">
        <f>VLOOKUP(A272,'Parameters Summary'!$B$2:$AB$826,7,FALSE)</f>
        <v>5.8000000000000003E-12</v>
      </c>
      <c r="M272" s="93" t="str">
        <f>VLOOKUP(A272,'Parameters Summary'!$B$2:$AB$826,8,FALSE)</f>
        <v>PHYSPROP</v>
      </c>
      <c r="N272" s="91">
        <f>VLOOKUP(A272,'Parameters Summary'!$B$2:$AB$826,6,FALSE)</f>
        <v>2.3709999999999999E-10</v>
      </c>
      <c r="O272" s="91" t="str">
        <f t="shared" si="25"/>
        <v/>
      </c>
      <c r="P272" s="91">
        <f t="shared" si="28"/>
        <v>2.3709999999999999E-10</v>
      </c>
      <c r="Q272" s="91" t="str">
        <f t="shared" si="26"/>
        <v/>
      </c>
      <c r="R272" s="91">
        <f t="shared" si="29"/>
        <v>2.3709999999999999E-10</v>
      </c>
      <c r="S272" s="91" t="str">
        <f t="shared" si="30"/>
        <v/>
      </c>
      <c r="T272" s="93">
        <f>VLOOKUP(A272,'Parameters Summary'!$B$2:$AB$826,15,FALSE)</f>
        <v>4.5667600000000003E-2</v>
      </c>
      <c r="U272" s="93" t="str">
        <f>VLOOKUP(A272,'Parameters Summary'!$B$2:$AB$826,17,FALSE)</f>
        <v>WATER9 (U.S. EPA, 2001)</v>
      </c>
      <c r="V272" s="93">
        <f>VLOOKUP(A272,'Parameters Summary'!$B$2:$AB$826,16,FALSE)</f>
        <v>5.3359E-6</v>
      </c>
      <c r="W272" s="379" t="str">
        <f>VLOOKUP(A272,'Parameters Summary'!$B$2:$AB$826,17,FALSE)</f>
        <v>WATER9 (U.S. EPA, 2001)</v>
      </c>
      <c r="X272" s="347"/>
      <c r="Y272" s="96"/>
      <c r="Z272" s="96" t="s">
        <v>1653</v>
      </c>
      <c r="AA272" s="96"/>
      <c r="AB272" s="96" t="s">
        <v>1651</v>
      </c>
      <c r="AC272" s="96"/>
      <c r="AD272" s="93">
        <f>VLOOKUP(A272,'Parameters Summary'!$B$2:$AB$826,20,FALSE)</f>
        <v>274100</v>
      </c>
      <c r="AE272" s="97" t="str">
        <f>VLOOKUP(A272,'Parameters Summary'!$B$2:$AB$826,21,FALSE)</f>
        <v>EPI</v>
      </c>
      <c r="AF272" s="97"/>
      <c r="AG272" s="94"/>
      <c r="AH272" s="92"/>
      <c r="AI272" s="96"/>
      <c r="AJ272" s="330"/>
      <c r="AL272" s="81"/>
    </row>
    <row r="273" spans="1:38" ht="12.75" customHeight="1">
      <c r="A273" s="96" t="s">
        <v>855</v>
      </c>
      <c r="B273" s="96" t="s">
        <v>1098</v>
      </c>
      <c r="C273" s="96" t="str">
        <f t="shared" si="27"/>
        <v>No</v>
      </c>
      <c r="D273" s="96" t="str">
        <f>VLOOKUP(A273,'Tox Summary'!$O$3:$R$824,3,FALSE)</f>
        <v>Yes</v>
      </c>
      <c r="E273" s="97">
        <f>VLOOKUP(A273,'Parameters Summary'!$B$2:$AB$826,4,FALSE)</f>
        <v>360.44</v>
      </c>
      <c r="F273" s="97" t="str">
        <f>VLOOKUP(A273,'Parameters Summary'!$B$2:$AB$826,5,FALSE)</f>
        <v>PHYSPROP</v>
      </c>
      <c r="G273" s="93">
        <f>VLOOKUP(A273,'Parameters Summary'!$B$2:$AB$826,9,FALSE)</f>
        <v>4.0899999999999997E-12</v>
      </c>
      <c r="H273" s="93" t="str">
        <f>VLOOKUP(A273,'Parameters Summary'!$B$2:$AB$826,10,FALSE)</f>
        <v>PHYSPROP</v>
      </c>
      <c r="I273" s="93">
        <f>VLOOKUP(A273,'Parameters Summary'!$B$2:$AB$826,24,FALSE)</f>
        <v>817000</v>
      </c>
      <c r="J273" s="97" t="str">
        <f>VLOOKUP(A273,'Parameters Summary'!$B$2:$AB$826,25,FALSE)</f>
        <v>PHYSPROP</v>
      </c>
      <c r="K273" s="97" t="str">
        <f>VLOOKUP(A273,'Tox Summary'!$O$3:$S$827,2,FALSE)</f>
        <v/>
      </c>
      <c r="L273" s="93" t="str">
        <f>VLOOKUP(A273,'Parameters Summary'!$B$2:$AB$826,7,FALSE)</f>
        <v xml:space="preserve"> </v>
      </c>
      <c r="M273" s="93" t="str">
        <f>VLOOKUP(A273,'Parameters Summary'!$B$2:$AB$826,8,FALSE)</f>
        <v/>
      </c>
      <c r="N273" s="91" t="str">
        <f>VLOOKUP(A273,'Parameters Summary'!$B$2:$AB$826,6,FALSE)</f>
        <v xml:space="preserve"> </v>
      </c>
      <c r="O273" s="91" t="str">
        <f t="shared" si="25"/>
        <v/>
      </c>
      <c r="P273" s="91" t="str">
        <f t="shared" si="28"/>
        <v xml:space="preserve"> </v>
      </c>
      <c r="Q273" s="91" t="str">
        <f t="shared" si="26"/>
        <v/>
      </c>
      <c r="R273" s="91" t="str">
        <f t="shared" si="29"/>
        <v xml:space="preserve"> </v>
      </c>
      <c r="S273" s="91" t="str">
        <f t="shared" si="30"/>
        <v/>
      </c>
      <c r="T273" s="93">
        <f>VLOOKUP(A273,'Parameters Summary'!$B$2:$AB$826,15,FALSE)</f>
        <v>3.7514400000000003E-2</v>
      </c>
      <c r="U273" s="93" t="str">
        <f>VLOOKUP(A273,'Parameters Summary'!$B$2:$AB$826,17,FALSE)</f>
        <v>WATER9 (U.S. EPA, 2001)</v>
      </c>
      <c r="V273" s="93">
        <f>VLOOKUP(A273,'Parameters Summary'!$B$2:$AB$826,16,FALSE)</f>
        <v>4.3833E-6</v>
      </c>
      <c r="W273" s="379" t="str">
        <f>VLOOKUP(A273,'Parameters Summary'!$B$2:$AB$826,17,FALSE)</f>
        <v>WATER9 (U.S. EPA, 2001)</v>
      </c>
      <c r="X273" s="347"/>
      <c r="Y273" s="96"/>
      <c r="Z273" s="96" t="s">
        <v>1653</v>
      </c>
      <c r="AA273" s="96"/>
      <c r="AB273" s="96" t="s">
        <v>1651</v>
      </c>
      <c r="AC273" s="96"/>
      <c r="AD273" s="93">
        <f>VLOOKUP(A273,'Parameters Summary'!$B$2:$AB$826,20,FALSE)</f>
        <v>78380</v>
      </c>
      <c r="AE273" s="97" t="str">
        <f>VLOOKUP(A273,'Parameters Summary'!$B$2:$AB$826,21,FALSE)</f>
        <v>EPI</v>
      </c>
      <c r="AF273" s="97"/>
      <c r="AG273" s="94"/>
      <c r="AH273" s="92"/>
      <c r="AI273" s="96"/>
      <c r="AJ273" s="330"/>
      <c r="AL273" s="81"/>
    </row>
    <row r="274" spans="1:38" ht="12.75" customHeight="1">
      <c r="A274" s="96" t="s">
        <v>856</v>
      </c>
      <c r="B274" s="96" t="s">
        <v>1099</v>
      </c>
      <c r="C274" s="96" t="str">
        <f t="shared" si="27"/>
        <v>No</v>
      </c>
      <c r="D274" s="96" t="str">
        <f>VLOOKUP(A274,'Tox Summary'!$O$3:$R$824,3,FALSE)</f>
        <v>Yes</v>
      </c>
      <c r="E274" s="97">
        <f>VLOOKUP(A274,'Parameters Summary'!$B$2:$AB$826,4,FALSE)</f>
        <v>310.69</v>
      </c>
      <c r="F274" s="97" t="str">
        <f>VLOOKUP(A274,'Parameters Summary'!$B$2:$AB$826,5,FALSE)</f>
        <v>PHYSPROP</v>
      </c>
      <c r="G274" s="93">
        <f>VLOOKUP(A274,'Parameters Summary'!$B$2:$AB$826,9,FALSE)</f>
        <v>8.9999999999999999E-10</v>
      </c>
      <c r="H274" s="93" t="str">
        <f>VLOOKUP(A274,'Parameters Summary'!$B$2:$AB$826,10,FALSE)</f>
        <v>PHYSPROP</v>
      </c>
      <c r="I274" s="93">
        <f>VLOOKUP(A274,'Parameters Summary'!$B$2:$AB$826,24,FALSE)</f>
        <v>0.08</v>
      </c>
      <c r="J274" s="97" t="str">
        <f>VLOOKUP(A274,'Parameters Summary'!$B$2:$AB$826,25,FALSE)</f>
        <v>PHYSPROP</v>
      </c>
      <c r="K274" s="97" t="str">
        <f>VLOOKUP(A274,'Tox Summary'!$O$3:$S$827,2,FALSE)</f>
        <v/>
      </c>
      <c r="L274" s="93">
        <f>VLOOKUP(A274,'Parameters Summary'!$B$2:$AB$826,7,FALSE)</f>
        <v>4.5999999999999998E-9</v>
      </c>
      <c r="M274" s="93" t="str">
        <f>VLOOKUP(A274,'Parameters Summary'!$B$2:$AB$826,8,FALSE)</f>
        <v>EPI</v>
      </c>
      <c r="N274" s="91">
        <f>VLOOKUP(A274,'Parameters Summary'!$B$2:$AB$826,6,FALSE)</f>
        <v>1.8806E-7</v>
      </c>
      <c r="O274" s="91" t="str">
        <f t="shared" si="25"/>
        <v/>
      </c>
      <c r="P274" s="91">
        <f t="shared" si="28"/>
        <v>1.8806E-7</v>
      </c>
      <c r="Q274" s="91" t="str">
        <f t="shared" si="26"/>
        <v/>
      </c>
      <c r="R274" s="91">
        <f t="shared" si="29"/>
        <v>1.8806E-7</v>
      </c>
      <c r="S274" s="91" t="str">
        <f t="shared" si="30"/>
        <v/>
      </c>
      <c r="T274" s="93">
        <f>VLOOKUP(A274,'Parameters Summary'!$B$2:$AB$826,15,FALSE)</f>
        <v>4.1419200000000003E-2</v>
      </c>
      <c r="U274" s="93" t="str">
        <f>VLOOKUP(A274,'Parameters Summary'!$B$2:$AB$826,17,FALSE)</f>
        <v>WATER9 (U.S. EPA, 2001)</v>
      </c>
      <c r="V274" s="93">
        <f>VLOOKUP(A274,'Parameters Summary'!$B$2:$AB$826,16,FALSE)</f>
        <v>4.8395E-6</v>
      </c>
      <c r="W274" s="379" t="str">
        <f>VLOOKUP(A274,'Parameters Summary'!$B$2:$AB$826,17,FALSE)</f>
        <v>WATER9 (U.S. EPA, 2001)</v>
      </c>
      <c r="X274" s="347"/>
      <c r="Y274" s="96"/>
      <c r="Z274" s="96" t="s">
        <v>1653</v>
      </c>
      <c r="AA274" s="96"/>
      <c r="AB274" s="96" t="s">
        <v>1651</v>
      </c>
      <c r="AC274" s="96"/>
      <c r="AD274" s="93">
        <f>VLOOKUP(A274,'Parameters Summary'!$B$2:$AB$826,20,FALSE)</f>
        <v>463.2</v>
      </c>
      <c r="AE274" s="97" t="str">
        <f>VLOOKUP(A274,'Parameters Summary'!$B$2:$AB$826,21,FALSE)</f>
        <v>EPI</v>
      </c>
      <c r="AF274" s="97"/>
      <c r="AG274" s="94"/>
      <c r="AH274" s="92"/>
      <c r="AI274" s="96"/>
      <c r="AJ274" s="330"/>
      <c r="AL274" s="81"/>
    </row>
    <row r="275" spans="1:38" ht="12.75" customHeight="1">
      <c r="A275" s="95" t="s">
        <v>857</v>
      </c>
      <c r="B275" s="96" t="s">
        <v>1100</v>
      </c>
      <c r="C275" s="96" t="str">
        <f t="shared" si="27"/>
        <v>Yes</v>
      </c>
      <c r="D275" s="96" t="str">
        <f>VLOOKUP(A275,'Tox Summary'!$O$3:$R$824,3,FALSE)</f>
        <v>Yes</v>
      </c>
      <c r="E275" s="97">
        <f>VLOOKUP(A275,'Parameters Summary'!$B$2:$AB$826,4,FALSE)</f>
        <v>66.051000000000002</v>
      </c>
      <c r="F275" s="97" t="str">
        <f>VLOOKUP(A275,'Parameters Summary'!$B$2:$AB$826,5,FALSE)</f>
        <v>PHYSPROP</v>
      </c>
      <c r="G275" s="93">
        <f>VLOOKUP(A275,'Parameters Summary'!$B$2:$AB$826,9,FALSE)</f>
        <v>4550</v>
      </c>
      <c r="H275" s="93" t="str">
        <f>VLOOKUP(A275,'Parameters Summary'!$B$2:$AB$826,10,FALSE)</f>
        <v>PHYSPROP</v>
      </c>
      <c r="I275" s="93">
        <f>VLOOKUP(A275,'Parameters Summary'!$B$2:$AB$826,24,FALSE)</f>
        <v>3200</v>
      </c>
      <c r="J275" s="97" t="str">
        <f>VLOOKUP(A275,'Parameters Summary'!$B$2:$AB$826,25,FALSE)</f>
        <v>PHYSPROP</v>
      </c>
      <c r="K275" s="97" t="str">
        <f>VLOOKUP(A275,'Tox Summary'!$O$3:$S$827,2,FALSE)</f>
        <v/>
      </c>
      <c r="L275" s="93">
        <f>VLOOKUP(A275,'Parameters Summary'!$B$2:$AB$826,7,FALSE)</f>
        <v>2.0299999999999999E-2</v>
      </c>
      <c r="M275" s="93" t="str">
        <f>VLOOKUP(A275,'Parameters Summary'!$B$2:$AB$826,8,FALSE)</f>
        <v>PHYSPROP</v>
      </c>
      <c r="N275" s="91">
        <f>VLOOKUP(A275,'Parameters Summary'!$B$2:$AB$826,6,FALSE)</f>
        <v>0.82992639999999995</v>
      </c>
      <c r="O275" s="91">
        <f t="shared" si="25"/>
        <v>0.82992639999999995</v>
      </c>
      <c r="P275" s="91">
        <f t="shared" si="28"/>
        <v>0.82992639999999995</v>
      </c>
      <c r="Q275" s="91">
        <f t="shared" si="26"/>
        <v>0.82992639999999995</v>
      </c>
      <c r="R275" s="91">
        <f t="shared" si="29"/>
        <v>0.82992639999999995</v>
      </c>
      <c r="S275" s="91">
        <f t="shared" si="30"/>
        <v>16171264657.973886</v>
      </c>
      <c r="T275" s="93">
        <f>VLOOKUP(A275,'Parameters Summary'!$B$2:$AB$826,15,FALSE)</f>
        <v>0.1023145</v>
      </c>
      <c r="U275" s="93" t="str">
        <f>VLOOKUP(A275,'Parameters Summary'!$B$2:$AB$826,17,FALSE)</f>
        <v>WATER9 (U.S. EPA, 2001)</v>
      </c>
      <c r="V275" s="93">
        <f>VLOOKUP(A275,'Parameters Summary'!$B$2:$AB$826,16,FALSE)</f>
        <v>1.15E-5</v>
      </c>
      <c r="W275" s="379" t="str">
        <f>VLOOKUP(A275,'Parameters Summary'!$B$2:$AB$826,17,FALSE)</f>
        <v>WATER9 (U.S. EPA, 2001)</v>
      </c>
      <c r="X275" s="290">
        <v>248.1</v>
      </c>
      <c r="Y275" s="96" t="s">
        <v>2217</v>
      </c>
      <c r="Z275" s="96">
        <f>3*X275/2</f>
        <v>372.15</v>
      </c>
      <c r="AA275" s="96" t="s">
        <v>2220</v>
      </c>
      <c r="AB275" s="96">
        <v>5153.88</v>
      </c>
      <c r="AC275" s="96" t="s">
        <v>2218</v>
      </c>
      <c r="AD275" s="93">
        <f>VLOOKUP(A275,'Parameters Summary'!$B$2:$AB$826,20,FALSE)</f>
        <v>31.82</v>
      </c>
      <c r="AE275" s="97" t="str">
        <f>VLOOKUP(A275,'Parameters Summary'!$B$2:$AB$826,21,FALSE)</f>
        <v>EPI</v>
      </c>
      <c r="AF275" s="380"/>
      <c r="AG275" s="97"/>
      <c r="AH275" s="92"/>
      <c r="AI275" s="96"/>
      <c r="AJ275" s="330"/>
      <c r="AL275" s="81"/>
    </row>
    <row r="276" spans="1:38" ht="12.75" customHeight="1">
      <c r="A276" s="95" t="s">
        <v>858</v>
      </c>
      <c r="B276" s="96" t="s">
        <v>580</v>
      </c>
      <c r="C276" s="96" t="str">
        <f t="shared" si="27"/>
        <v>Yes</v>
      </c>
      <c r="D276" s="96" t="str">
        <f>VLOOKUP(A276,'Tox Summary'!$O$3:$R$824,3,FALSE)</f>
        <v>No</v>
      </c>
      <c r="E276" s="97">
        <f>VLOOKUP(A276,'Parameters Summary'!$B$2:$AB$826,4,FALSE)</f>
        <v>164.21</v>
      </c>
      <c r="F276" s="97" t="str">
        <f>VLOOKUP(A276,'Parameters Summary'!$B$2:$AB$826,5,FALSE)</f>
        <v>PHYSPROP</v>
      </c>
      <c r="G276" s="93">
        <f>VLOOKUP(A276,'Parameters Summary'!$B$2:$AB$826,9,FALSE)</f>
        <v>5.6000000000000001E-2</v>
      </c>
      <c r="H276" s="93" t="str">
        <f>VLOOKUP(A276,'Parameters Summary'!$B$2:$AB$826,10,FALSE)</f>
        <v>PHYSPROP</v>
      </c>
      <c r="I276" s="93">
        <f>VLOOKUP(A276,'Parameters Summary'!$B$2:$AB$826,24,FALSE)</f>
        <v>56.87</v>
      </c>
      <c r="J276" s="97" t="str">
        <f>VLOOKUP(A276,'Parameters Summary'!$B$2:$AB$826,25,FALSE)</f>
        <v>PHYSPROP</v>
      </c>
      <c r="K276" s="97" t="str">
        <f>VLOOKUP(A276,'Tox Summary'!$O$3:$S$827,2,FALSE)</f>
        <v/>
      </c>
      <c r="L276" s="93">
        <f>VLOOKUP(A276,'Parameters Summary'!$B$2:$AB$826,7,FALSE)</f>
        <v>1.22E-5</v>
      </c>
      <c r="M276" s="93" t="str">
        <f>VLOOKUP(A276,'Parameters Summary'!$B$2:$AB$826,8,FALSE)</f>
        <v>PHYSPROP</v>
      </c>
      <c r="N276" s="91">
        <f>VLOOKUP(A276,'Parameters Summary'!$B$2:$AB$826,6,FALSE)</f>
        <v>4.9879999999999998E-4</v>
      </c>
      <c r="O276" s="91" t="str">
        <f t="shared" si="25"/>
        <v/>
      </c>
      <c r="P276" s="91">
        <f t="shared" si="28"/>
        <v>4.9879999999999998E-4</v>
      </c>
      <c r="Q276" s="91" t="str">
        <f t="shared" si="26"/>
        <v/>
      </c>
      <c r="R276" s="91">
        <f t="shared" si="29"/>
        <v>4.9879999999999998E-4</v>
      </c>
      <c r="S276" s="91" t="str">
        <f t="shared" si="30"/>
        <v/>
      </c>
      <c r="T276" s="93">
        <f>VLOOKUP(A276,'Parameters Summary'!$B$2:$AB$826,15,FALSE)</f>
        <v>4.25858E-2</v>
      </c>
      <c r="U276" s="93" t="str">
        <f>VLOOKUP(A276,'Parameters Summary'!$B$2:$AB$826,17,FALSE)</f>
        <v>WATER9 (U.S. EPA, 2001)</v>
      </c>
      <c r="V276" s="93">
        <f>VLOOKUP(A276,'Parameters Summary'!$B$2:$AB$826,16,FALSE)</f>
        <v>7.3865999999999997E-6</v>
      </c>
      <c r="W276" s="379" t="str">
        <f>VLOOKUP(A276,'Parameters Summary'!$B$2:$AB$826,17,FALSE)</f>
        <v>WATER9 (U.S. EPA, 2001)</v>
      </c>
      <c r="X276" s="290">
        <v>387.5</v>
      </c>
      <c r="Y276" s="96" t="s">
        <v>2213</v>
      </c>
      <c r="Z276" s="96">
        <v>751.36</v>
      </c>
      <c r="AA276" s="96" t="s">
        <v>2202</v>
      </c>
      <c r="AB276" s="96" t="s">
        <v>1651</v>
      </c>
      <c r="AC276" s="96"/>
      <c r="AD276" s="93">
        <f>VLOOKUP(A276,'Parameters Summary'!$B$2:$AB$826,20,FALSE)</f>
        <v>207.2</v>
      </c>
      <c r="AE276" s="97" t="str">
        <f>VLOOKUP(A276,'Parameters Summary'!$B$2:$AB$826,21,FALSE)</f>
        <v>EPI</v>
      </c>
      <c r="AF276" s="380"/>
      <c r="AG276" s="97"/>
      <c r="AH276" s="92"/>
      <c r="AI276" s="96"/>
      <c r="AJ276" s="330"/>
      <c r="AL276" s="81"/>
    </row>
    <row r="277" spans="1:38" ht="12.75" customHeight="1">
      <c r="A277" s="95" t="s">
        <v>859</v>
      </c>
      <c r="B277" s="96" t="s">
        <v>530</v>
      </c>
      <c r="C277" s="96" t="str">
        <f t="shared" si="27"/>
        <v>Yes</v>
      </c>
      <c r="D277" s="96" t="str">
        <f>VLOOKUP(A277,'Tox Summary'!$O$3:$R$824,3,FALSE)</f>
        <v>No</v>
      </c>
      <c r="E277" s="97">
        <f>VLOOKUP(A277,'Parameters Summary'!$B$2:$AB$826,4,FALSE)</f>
        <v>102.18</v>
      </c>
      <c r="F277" s="97" t="str">
        <f>VLOOKUP(A277,'Parameters Summary'!$B$2:$AB$826,5,FALSE)</f>
        <v>PHYSPROP</v>
      </c>
      <c r="G277" s="93">
        <f>VLOOKUP(A277,'Parameters Summary'!$B$2:$AB$826,9,FALSE)</f>
        <v>149</v>
      </c>
      <c r="H277" s="93" t="str">
        <f>VLOOKUP(A277,'Parameters Summary'!$B$2:$AB$826,10,FALSE)</f>
        <v>PHYSPROP</v>
      </c>
      <c r="I277" s="93">
        <f>VLOOKUP(A277,'Parameters Summary'!$B$2:$AB$826,24,FALSE)</f>
        <v>8800</v>
      </c>
      <c r="J277" s="97" t="str">
        <f>VLOOKUP(A277,'Parameters Summary'!$B$2:$AB$826,25,FALSE)</f>
        <v>PHYSPROP</v>
      </c>
      <c r="K277" s="97" t="str">
        <f>VLOOKUP(A277,'Tox Summary'!$O$3:$S$827,2,FALSE)</f>
        <v/>
      </c>
      <c r="L277" s="93">
        <f>VLOOKUP(A277,'Parameters Summary'!$B$2:$AB$826,7,FALSE)</f>
        <v>2.5600000000000002E-3</v>
      </c>
      <c r="M277" s="93" t="str">
        <f>VLOOKUP(A277,'Parameters Summary'!$B$2:$AB$826,8,FALSE)</f>
        <v>PHYSPROP</v>
      </c>
      <c r="N277" s="91">
        <f>VLOOKUP(A277,'Parameters Summary'!$B$2:$AB$826,6,FALSE)</f>
        <v>0.1046607</v>
      </c>
      <c r="O277" s="91" t="str">
        <f t="shared" si="25"/>
        <v/>
      </c>
      <c r="P277" s="91">
        <f t="shared" si="28"/>
        <v>0.1046607</v>
      </c>
      <c r="Q277" s="91" t="str">
        <f t="shared" si="26"/>
        <v/>
      </c>
      <c r="R277" s="91">
        <f t="shared" si="29"/>
        <v>0.1046607</v>
      </c>
      <c r="S277" s="91" t="str">
        <f t="shared" si="30"/>
        <v/>
      </c>
      <c r="T277" s="93">
        <f>VLOOKUP(A277,'Parameters Summary'!$B$2:$AB$826,15,FALSE)</f>
        <v>6.5422599999999997E-2</v>
      </c>
      <c r="U277" s="93" t="str">
        <f>VLOOKUP(A277,'Parameters Summary'!$B$2:$AB$826,17,FALSE)</f>
        <v>WATER9 (U.S. EPA, 2001)</v>
      </c>
      <c r="V277" s="93">
        <f>VLOOKUP(A277,'Parameters Summary'!$B$2:$AB$826,16,FALSE)</f>
        <v>7.7581999999999997E-6</v>
      </c>
      <c r="W277" s="379" t="str">
        <f>VLOOKUP(A277,'Parameters Summary'!$B$2:$AB$826,17,FALSE)</f>
        <v>WATER9 (U.S. EPA, 2001)</v>
      </c>
      <c r="X277" s="290">
        <v>341.5</v>
      </c>
      <c r="Y277" s="96" t="s">
        <v>2217</v>
      </c>
      <c r="Z277" s="96">
        <v>499.9</v>
      </c>
      <c r="AA277" s="96" t="s">
        <v>2218</v>
      </c>
      <c r="AB277" s="96" t="s">
        <v>1651</v>
      </c>
      <c r="AC277" s="96"/>
      <c r="AD277" s="93">
        <f>VLOOKUP(A277,'Parameters Summary'!$B$2:$AB$826,20,FALSE)</f>
        <v>22.79</v>
      </c>
      <c r="AE277" s="97" t="str">
        <f>VLOOKUP(A277,'Parameters Summary'!$B$2:$AB$826,21,FALSE)</f>
        <v>EPI</v>
      </c>
      <c r="AF277" s="380"/>
      <c r="AG277" s="97"/>
      <c r="AH277" s="92"/>
      <c r="AI277" s="96"/>
      <c r="AJ277" s="330"/>
      <c r="AL277" s="81"/>
    </row>
    <row r="278" spans="1:38" ht="12.75" customHeight="1">
      <c r="A278" s="95" t="s">
        <v>860</v>
      </c>
      <c r="B278" s="96" t="s">
        <v>1101</v>
      </c>
      <c r="C278" s="96" t="str">
        <f t="shared" si="27"/>
        <v>Yes</v>
      </c>
      <c r="D278" s="96" t="str">
        <f>VLOOKUP(A278,'Tox Summary'!$O$3:$R$824,3,FALSE)</f>
        <v>No</v>
      </c>
      <c r="E278" s="97">
        <f>VLOOKUP(A278,'Parameters Summary'!$B$2:$AB$826,4,FALSE)</f>
        <v>180.19</v>
      </c>
      <c r="F278" s="97" t="str">
        <f>VLOOKUP(A278,'Parameters Summary'!$B$2:$AB$826,5,FALSE)</f>
        <v>PHYSPROP</v>
      </c>
      <c r="G278" s="93">
        <f>VLOOKUP(A278,'Parameters Summary'!$B$2:$AB$826,9,FALSE)</f>
        <v>0.22800000000000001</v>
      </c>
      <c r="H278" s="93" t="str">
        <f>VLOOKUP(A278,'Parameters Summary'!$B$2:$AB$826,10,FALSE)</f>
        <v>PHYSPROP</v>
      </c>
      <c r="I278" s="93">
        <f>VLOOKUP(A278,'Parameters Summary'!$B$2:$AB$826,24,FALSE)</f>
        <v>1500</v>
      </c>
      <c r="J278" s="97" t="str">
        <f>VLOOKUP(A278,'Parameters Summary'!$B$2:$AB$826,25,FALSE)</f>
        <v>PHYSPROP</v>
      </c>
      <c r="K278" s="97" t="str">
        <f>VLOOKUP(A278,'Tox Summary'!$O$3:$S$827,2,FALSE)</f>
        <v/>
      </c>
      <c r="L278" s="93">
        <f>VLOOKUP(A278,'Parameters Summary'!$B$2:$AB$826,7,FALSE)</f>
        <v>4.3800000000000001E-5</v>
      </c>
      <c r="M278" s="93" t="str">
        <f>VLOOKUP(A278,'Parameters Summary'!$B$2:$AB$826,8,FALSE)</f>
        <v>EPI</v>
      </c>
      <c r="N278" s="91">
        <f>VLOOKUP(A278,'Parameters Summary'!$B$2:$AB$826,6,FALSE)</f>
        <v>1.7907000000000001E-3</v>
      </c>
      <c r="O278" s="91" t="str">
        <f t="shared" si="25"/>
        <v/>
      </c>
      <c r="P278" s="91">
        <f t="shared" si="28"/>
        <v>1.7907000000000001E-3</v>
      </c>
      <c r="Q278" s="91" t="str">
        <f t="shared" si="26"/>
        <v/>
      </c>
      <c r="R278" s="91">
        <f t="shared" si="29"/>
        <v>1.7907000000000001E-3</v>
      </c>
      <c r="S278" s="91" t="str">
        <f t="shared" si="30"/>
        <v/>
      </c>
      <c r="T278" s="93">
        <f>VLOOKUP(A278,'Parameters Summary'!$B$2:$AB$826,15,FALSE)</f>
        <v>3.3527500000000002E-2</v>
      </c>
      <c r="U278" s="93" t="str">
        <f>VLOOKUP(A278,'Parameters Summary'!$B$2:$AB$826,17,FALSE)</f>
        <v>WATER9 (U.S. EPA, 2001)</v>
      </c>
      <c r="V278" s="93">
        <f>VLOOKUP(A278,'Parameters Summary'!$B$2:$AB$826,16,FALSE)</f>
        <v>6.6297999999999996E-6</v>
      </c>
      <c r="W278" s="379" t="str">
        <f>VLOOKUP(A278,'Parameters Summary'!$B$2:$AB$826,17,FALSE)</f>
        <v>WATER9 (U.S. EPA, 2001)</v>
      </c>
      <c r="X278" s="290">
        <v>394.05</v>
      </c>
      <c r="Y278" s="96" t="s">
        <v>2217</v>
      </c>
      <c r="Z278" s="96">
        <v>591.07500000000005</v>
      </c>
      <c r="AA278" s="96" t="s">
        <v>2220</v>
      </c>
      <c r="AB278" s="96" t="s">
        <v>1651</v>
      </c>
      <c r="AC278" s="96"/>
      <c r="AD278" s="93">
        <f>VLOOKUP(A278,'Parameters Summary'!$B$2:$AB$826,20,FALSE)</f>
        <v>42.2</v>
      </c>
      <c r="AE278" s="97" t="str">
        <f>VLOOKUP(A278,'Parameters Summary'!$B$2:$AB$826,21,FALSE)</f>
        <v>EPI</v>
      </c>
      <c r="AF278" s="380"/>
      <c r="AG278" s="97"/>
      <c r="AH278" s="92"/>
      <c r="AI278" s="96"/>
      <c r="AJ278" s="330"/>
      <c r="AL278" s="81"/>
    </row>
    <row r="279" spans="1:38" ht="12.75" customHeight="1">
      <c r="A279" s="96" t="s">
        <v>1586</v>
      </c>
      <c r="B279" s="96" t="s">
        <v>2386</v>
      </c>
      <c r="C279" s="96" t="str">
        <f t="shared" si="27"/>
        <v>No</v>
      </c>
      <c r="D279" s="96" t="str">
        <f>VLOOKUP(A279,'Tox Summary'!$O$3:$R$824,3,FALSE)</f>
        <v>No</v>
      </c>
      <c r="E279" s="97">
        <f>VLOOKUP(A279,'Parameters Summary'!$B$2:$AB$826,4,FALSE)</f>
        <v>174.33</v>
      </c>
      <c r="F279" s="97" t="str">
        <f>VLOOKUP(A279,'Parameters Summary'!$B$2:$AB$826,5,FALSE)</f>
        <v>CRC89</v>
      </c>
      <c r="G279" s="93" t="s">
        <v>2439</v>
      </c>
      <c r="H279" s="93" t="str">
        <f>VLOOKUP(A279,'Parameters Summary'!$B$2:$AB$826,10,FALSE)</f>
        <v/>
      </c>
      <c r="I279" s="93" t="s">
        <v>2440</v>
      </c>
      <c r="J279" s="97" t="str">
        <f>VLOOKUP(A279,'Parameters Summary'!$B$2:$AB$826,25,FALSE)</f>
        <v/>
      </c>
      <c r="K279" s="97" t="str">
        <f>VLOOKUP(A279,'Tox Summary'!$O$3:$S$827,2,FALSE)</f>
        <v/>
      </c>
      <c r="L279" s="93" t="s">
        <v>2298</v>
      </c>
      <c r="M279" s="93" t="str">
        <f>VLOOKUP(A279,'Parameters Summary'!$B$2:$AB$826,8,FALSE)</f>
        <v/>
      </c>
      <c r="N279" s="91" t="str">
        <f>VLOOKUP(A279,'Parameters Summary'!$B$2:$AB$826,6,FALSE)</f>
        <v xml:space="preserve"> </v>
      </c>
      <c r="O279" s="91" t="str">
        <f t="shared" si="25"/>
        <v/>
      </c>
      <c r="P279" s="91" t="str">
        <f t="shared" si="28"/>
        <v xml:space="preserve"> </v>
      </c>
      <c r="Q279" s="91" t="str">
        <f t="shared" si="26"/>
        <v/>
      </c>
      <c r="R279" s="91" t="str">
        <f t="shared" si="29"/>
        <v xml:space="preserve"> </v>
      </c>
      <c r="S279" s="91" t="str">
        <f t="shared" si="30"/>
        <v/>
      </c>
      <c r="T279" s="93" t="str">
        <f>VLOOKUP(A279,'Parameters Summary'!$B$2:$AB$826,15,FALSE)</f>
        <v xml:space="preserve"> </v>
      </c>
      <c r="U279" s="93" t="str">
        <f>VLOOKUP(A279,'Parameters Summary'!$B$2:$AB$826,17,FALSE)</f>
        <v/>
      </c>
      <c r="V279" s="93" t="str">
        <f>VLOOKUP(A279,'Parameters Summary'!$B$2:$AB$826,16,FALSE)</f>
        <v xml:space="preserve"> </v>
      </c>
      <c r="W279" s="379" t="str">
        <f>VLOOKUP(A279,'Parameters Summary'!$B$2:$AB$826,17,FALSE)</f>
        <v/>
      </c>
      <c r="X279" s="347"/>
      <c r="Y279" s="96"/>
      <c r="Z279" s="96" t="s">
        <v>1653</v>
      </c>
      <c r="AA279" s="96"/>
      <c r="AB279" s="96" t="s">
        <v>1651</v>
      </c>
      <c r="AC279" s="96"/>
      <c r="AD279" s="93" t="str">
        <f>VLOOKUP(A279,'Parameters Summary'!$B$2:$AB$826,20,FALSE)</f>
        <v xml:space="preserve"> </v>
      </c>
      <c r="AE279" s="97" t="str">
        <f>VLOOKUP(A279,'Parameters Summary'!$B$2:$AB$826,21,FALSE)</f>
        <v/>
      </c>
      <c r="AF279" s="97"/>
      <c r="AG279" s="94"/>
      <c r="AH279" s="92"/>
      <c r="AI279" s="96"/>
      <c r="AJ279" s="330"/>
      <c r="AL279" s="81"/>
    </row>
    <row r="280" spans="1:38" ht="12.75" customHeight="1">
      <c r="A280" s="96" t="s">
        <v>861</v>
      </c>
      <c r="B280" s="96" t="s">
        <v>1102</v>
      </c>
      <c r="C280" s="96" t="str">
        <f t="shared" si="27"/>
        <v>No</v>
      </c>
      <c r="D280" s="96" t="str">
        <f>VLOOKUP(A280,'Tox Summary'!$O$3:$R$824,3,FALSE)</f>
        <v>No</v>
      </c>
      <c r="E280" s="97">
        <f>VLOOKUP(A280,'Parameters Summary'!$B$2:$AB$826,4,FALSE)</f>
        <v>210.27</v>
      </c>
      <c r="F280" s="97" t="str">
        <f>VLOOKUP(A280,'Parameters Summary'!$B$2:$AB$826,5,FALSE)</f>
        <v>PHYSPROP</v>
      </c>
      <c r="G280" s="93">
        <f>VLOOKUP(A280,'Parameters Summary'!$B$2:$AB$826,9,FALSE)</f>
        <v>3.8299999999999998E-7</v>
      </c>
      <c r="H280" s="93" t="str">
        <f>VLOOKUP(A280,'Parameters Summary'!$B$2:$AB$826,10,FALSE)</f>
        <v>PHYSPROP</v>
      </c>
      <c r="I280" s="93">
        <f>VLOOKUP(A280,'Parameters Summary'!$B$2:$AB$826,24,FALSE)</f>
        <v>4600</v>
      </c>
      <c r="J280" s="97" t="str">
        <f>VLOOKUP(A280,'Parameters Summary'!$B$2:$AB$826,25,FALSE)</f>
        <v>PHYSPROP</v>
      </c>
      <c r="K280" s="97" t="str">
        <f>VLOOKUP(A280,'Tox Summary'!$O$3:$S$827,2,FALSE)</f>
        <v/>
      </c>
      <c r="L280" s="93">
        <f>VLOOKUP(A280,'Parameters Summary'!$B$2:$AB$826,7,FALSE)</f>
        <v>2.3000000000000001E-11</v>
      </c>
      <c r="M280" s="93" t="str">
        <f>VLOOKUP(A280,'Parameters Summary'!$B$2:$AB$826,8,FALSE)</f>
        <v>EPI</v>
      </c>
      <c r="N280" s="91">
        <f>VLOOKUP(A280,'Parameters Summary'!$B$2:$AB$826,6,FALSE)</f>
        <v>9.4029999999999995E-10</v>
      </c>
      <c r="O280" s="91" t="str">
        <f t="shared" si="25"/>
        <v/>
      </c>
      <c r="P280" s="91">
        <f t="shared" si="28"/>
        <v>9.4029999999999995E-10</v>
      </c>
      <c r="Q280" s="91" t="str">
        <f t="shared" si="26"/>
        <v/>
      </c>
      <c r="R280" s="91">
        <f t="shared" si="29"/>
        <v>9.4029999999999995E-10</v>
      </c>
      <c r="S280" s="91" t="str">
        <f t="shared" si="30"/>
        <v/>
      </c>
      <c r="T280" s="93">
        <f>VLOOKUP(A280,'Parameters Summary'!$B$2:$AB$826,15,FALSE)</f>
        <v>5.3732299999999997E-2</v>
      </c>
      <c r="U280" s="93" t="str">
        <f>VLOOKUP(A280,'Parameters Summary'!$B$2:$AB$826,17,FALSE)</f>
        <v>WATER9 (U.S. EPA, 2001)</v>
      </c>
      <c r="V280" s="93">
        <f>VLOOKUP(A280,'Parameters Summary'!$B$2:$AB$826,16,FALSE)</f>
        <v>6.2782000000000003E-6</v>
      </c>
      <c r="W280" s="379" t="str">
        <f>VLOOKUP(A280,'Parameters Summary'!$B$2:$AB$826,17,FALSE)</f>
        <v>WATER9 (U.S. EPA, 2001)</v>
      </c>
      <c r="X280" s="347"/>
      <c r="Y280" s="96"/>
      <c r="Z280" s="96" t="s">
        <v>1653</v>
      </c>
      <c r="AA280" s="96"/>
      <c r="AB280" s="96" t="s">
        <v>1651</v>
      </c>
      <c r="AC280" s="96"/>
      <c r="AD280" s="93">
        <f>VLOOKUP(A280,'Parameters Summary'!$B$2:$AB$826,20,FALSE)</f>
        <v>10</v>
      </c>
      <c r="AE280" s="97" t="str">
        <f>VLOOKUP(A280,'Parameters Summary'!$B$2:$AB$826,21,FALSE)</f>
        <v>EPI</v>
      </c>
      <c r="AF280" s="97"/>
      <c r="AG280" s="94"/>
      <c r="AH280" s="92"/>
      <c r="AI280" s="96"/>
      <c r="AJ280" s="330"/>
      <c r="AL280" s="81"/>
    </row>
    <row r="281" spans="1:38" ht="12.75" customHeight="1">
      <c r="A281" s="96" t="s">
        <v>862</v>
      </c>
      <c r="B281" s="96" t="s">
        <v>1103</v>
      </c>
      <c r="C281" s="96" t="str">
        <f t="shared" si="27"/>
        <v>No</v>
      </c>
      <c r="D281" s="96" t="str">
        <f>VLOOKUP(A281,'Tox Summary'!$O$3:$R$824,3,FALSE)</f>
        <v>Yes</v>
      </c>
      <c r="E281" s="97">
        <f>VLOOKUP(A281,'Parameters Summary'!$B$2:$AB$826,4,FALSE)</f>
        <v>229.26</v>
      </c>
      <c r="F281" s="97" t="str">
        <f>VLOOKUP(A281,'Parameters Summary'!$B$2:$AB$826,5,FALSE)</f>
        <v>PHYSPROP</v>
      </c>
      <c r="G281" s="93">
        <f>VLOOKUP(A281,'Parameters Summary'!$B$2:$AB$826,9,FALSE)</f>
        <v>1.88E-5</v>
      </c>
      <c r="H281" s="93" t="str">
        <f>VLOOKUP(A281,'Parameters Summary'!$B$2:$AB$826,10,FALSE)</f>
        <v>PHYSPROP</v>
      </c>
      <c r="I281" s="93">
        <f>VLOOKUP(A281,'Parameters Summary'!$B$2:$AB$826,24,FALSE)</f>
        <v>23300</v>
      </c>
      <c r="J281" s="97" t="str">
        <f>VLOOKUP(A281,'Parameters Summary'!$B$2:$AB$826,25,FALSE)</f>
        <v>PHYSPROP</v>
      </c>
      <c r="K281" s="97" t="str">
        <f>VLOOKUP(A281,'Tox Summary'!$O$3:$S$827,2,FALSE)</f>
        <v/>
      </c>
      <c r="L281" s="93">
        <f>VLOOKUP(A281,'Parameters Summary'!$B$2:$AB$826,7,FALSE)</f>
        <v>2.4299999999999999E-10</v>
      </c>
      <c r="M281" s="93" t="str">
        <f>VLOOKUP(A281,'Parameters Summary'!$B$2:$AB$826,8,FALSE)</f>
        <v>EPI</v>
      </c>
      <c r="N281" s="91">
        <f>VLOOKUP(A281,'Parameters Summary'!$B$2:$AB$826,6,FALSE)</f>
        <v>9.9345999999999992E-9</v>
      </c>
      <c r="O281" s="91" t="str">
        <f t="shared" si="25"/>
        <v/>
      </c>
      <c r="P281" s="91">
        <f t="shared" si="28"/>
        <v>9.9345999999999992E-9</v>
      </c>
      <c r="Q281" s="91" t="str">
        <f t="shared" si="26"/>
        <v/>
      </c>
      <c r="R281" s="91">
        <f t="shared" si="29"/>
        <v>9.9345999999999992E-9</v>
      </c>
      <c r="S281" s="91" t="str">
        <f t="shared" si="30"/>
        <v/>
      </c>
      <c r="T281" s="93">
        <f>VLOOKUP(A281,'Parameters Summary'!$B$2:$AB$826,15,FALSE)</f>
        <v>2.6085199999999999E-2</v>
      </c>
      <c r="U281" s="93" t="str">
        <f>VLOOKUP(A281,'Parameters Summary'!$B$2:$AB$826,17,FALSE)</f>
        <v>WATER9 (U.S. EPA, 2001)</v>
      </c>
      <c r="V281" s="93">
        <f>VLOOKUP(A281,'Parameters Summary'!$B$2:$AB$826,16,FALSE)</f>
        <v>6.742E-6</v>
      </c>
      <c r="W281" s="379" t="str">
        <f>VLOOKUP(A281,'Parameters Summary'!$B$2:$AB$826,17,FALSE)</f>
        <v>WATER9 (U.S. EPA, 2001)</v>
      </c>
      <c r="X281" s="290">
        <v>380.15</v>
      </c>
      <c r="Y281" s="96" t="s">
        <v>553</v>
      </c>
      <c r="Z281" s="96">
        <f>1.5*X281</f>
        <v>570.22499999999991</v>
      </c>
      <c r="AA281" s="96" t="s">
        <v>2220</v>
      </c>
      <c r="AB281" s="96" t="s">
        <v>1651</v>
      </c>
      <c r="AC281" s="96"/>
      <c r="AD281" s="93">
        <f>VLOOKUP(A281,'Parameters Summary'!$B$2:$AB$826,20,FALSE)</f>
        <v>12.77</v>
      </c>
      <c r="AE281" s="97" t="str">
        <f>VLOOKUP(A281,'Parameters Summary'!$B$2:$AB$826,21,FALSE)</f>
        <v>EPI</v>
      </c>
      <c r="AF281" s="97"/>
      <c r="AG281" s="94"/>
      <c r="AH281" s="92"/>
      <c r="AI281" s="96"/>
      <c r="AJ281" s="330"/>
      <c r="AL281" s="81"/>
    </row>
    <row r="282" spans="1:38" ht="12.75" customHeight="1">
      <c r="A282" s="96" t="s">
        <v>863</v>
      </c>
      <c r="B282" s="96" t="s">
        <v>1104</v>
      </c>
      <c r="C282" s="96" t="str">
        <f t="shared" si="27"/>
        <v>No</v>
      </c>
      <c r="D282" s="96" t="str">
        <f>VLOOKUP(A282,'Tox Summary'!$O$3:$R$824,3,FALSE)</f>
        <v>No</v>
      </c>
      <c r="E282" s="97">
        <f>VLOOKUP(A282,'Parameters Summary'!$B$2:$AB$826,4,FALSE)</f>
        <v>244.3</v>
      </c>
      <c r="F282" s="97" t="str">
        <f>VLOOKUP(A282,'Parameters Summary'!$B$2:$AB$826,5,FALSE)</f>
        <v>PHYSPROP</v>
      </c>
      <c r="G282" s="93">
        <f>VLOOKUP(A282,'Parameters Summary'!$B$2:$AB$826,9,FALSE)</f>
        <v>1.2499999999999999E-7</v>
      </c>
      <c r="H282" s="93" t="str">
        <f>VLOOKUP(A282,'Parameters Summary'!$B$2:$AB$826,10,FALSE)</f>
        <v>PHYSPROP</v>
      </c>
      <c r="I282" s="93">
        <f>VLOOKUP(A282,'Parameters Summary'!$B$2:$AB$826,24,FALSE)</f>
        <v>60</v>
      </c>
      <c r="J282" s="97" t="str">
        <f>VLOOKUP(A282,'Parameters Summary'!$B$2:$AB$826,25,FALSE)</f>
        <v>PHYSPROP</v>
      </c>
      <c r="K282" s="97" t="str">
        <f>VLOOKUP(A282,'Tox Summary'!$O$3:$S$827,2,FALSE)</f>
        <v/>
      </c>
      <c r="L282" s="93">
        <f>VLOOKUP(A282,'Parameters Summary'!$B$2:$AB$826,7,FALSE)</f>
        <v>4.6999999999999999E-11</v>
      </c>
      <c r="M282" s="93" t="str">
        <f>VLOOKUP(A282,'Parameters Summary'!$B$2:$AB$826,8,FALSE)</f>
        <v>PHYSPROP</v>
      </c>
      <c r="N282" s="91">
        <f>VLOOKUP(A282,'Parameters Summary'!$B$2:$AB$826,6,FALSE)</f>
        <v>1.9215E-9</v>
      </c>
      <c r="O282" s="91" t="str">
        <f t="shared" si="25"/>
        <v/>
      </c>
      <c r="P282" s="91">
        <f t="shared" si="28"/>
        <v>1.9215E-9</v>
      </c>
      <c r="Q282" s="91" t="str">
        <f t="shared" si="26"/>
        <v/>
      </c>
      <c r="R282" s="91">
        <f t="shared" si="29"/>
        <v>1.9215E-9</v>
      </c>
      <c r="S282" s="91" t="str">
        <f t="shared" si="30"/>
        <v/>
      </c>
      <c r="T282" s="93">
        <f>VLOOKUP(A282,'Parameters Summary'!$B$2:$AB$826,15,FALSE)</f>
        <v>4.8618799999999997E-2</v>
      </c>
      <c r="U282" s="93" t="str">
        <f>VLOOKUP(A282,'Parameters Summary'!$B$2:$AB$826,17,FALSE)</f>
        <v>WATER9 (U.S. EPA, 2001)</v>
      </c>
      <c r="V282" s="93">
        <f>VLOOKUP(A282,'Parameters Summary'!$B$2:$AB$826,16,FALSE)</f>
        <v>5.6806999999999997E-6</v>
      </c>
      <c r="W282" s="379" t="str">
        <f>VLOOKUP(A282,'Parameters Summary'!$B$2:$AB$826,17,FALSE)</f>
        <v>WATER9 (U.S. EPA, 2001)</v>
      </c>
      <c r="X282" s="290">
        <v>629.15</v>
      </c>
      <c r="Y282" s="96" t="s">
        <v>553</v>
      </c>
      <c r="Z282" s="96">
        <f>1.5*X282</f>
        <v>943.72499999999991</v>
      </c>
      <c r="AA282" s="96" t="s">
        <v>2220</v>
      </c>
      <c r="AB282" s="96" t="s">
        <v>1651</v>
      </c>
      <c r="AC282" s="96"/>
      <c r="AD282" s="93">
        <f>VLOOKUP(A282,'Parameters Summary'!$B$2:$AB$826,20,FALSE)</f>
        <v>508.8</v>
      </c>
      <c r="AE282" s="97" t="str">
        <f>VLOOKUP(A282,'Parameters Summary'!$B$2:$AB$826,21,FALSE)</f>
        <v>EPI</v>
      </c>
      <c r="AF282" s="97"/>
      <c r="AG282" s="94"/>
      <c r="AH282" s="92"/>
      <c r="AI282" s="96"/>
      <c r="AJ282" s="330"/>
      <c r="AL282" s="81"/>
    </row>
    <row r="283" spans="1:38" ht="12.75" customHeight="1">
      <c r="A283" s="96" t="s">
        <v>864</v>
      </c>
      <c r="B283" s="96" t="s">
        <v>1105</v>
      </c>
      <c r="C283" s="96" t="str">
        <f t="shared" si="27"/>
        <v>No</v>
      </c>
      <c r="D283" s="96" t="str">
        <f>VLOOKUP(A283,'Tox Summary'!$O$3:$R$824,3,FALSE)</f>
        <v>No</v>
      </c>
      <c r="E283" s="97">
        <f>VLOOKUP(A283,'Parameters Summary'!$B$2:$AB$826,4,FALSE)</f>
        <v>124.08</v>
      </c>
      <c r="F283" s="97" t="str">
        <f>VLOOKUP(A283,'Parameters Summary'!$B$2:$AB$826,5,FALSE)</f>
        <v>PHYSPROP</v>
      </c>
      <c r="G283" s="93">
        <f>VLOOKUP(A283,'Parameters Summary'!$B$2:$AB$826,9,FALSE)</f>
        <v>0.83299999999999996</v>
      </c>
      <c r="H283" s="93" t="str">
        <f>VLOOKUP(A283,'Parameters Summary'!$B$2:$AB$826,10,FALSE)</f>
        <v>PHYSPROP</v>
      </c>
      <c r="I283" s="93">
        <f>VLOOKUP(A283,'Parameters Summary'!$B$2:$AB$826,24,FALSE)</f>
        <v>1000000</v>
      </c>
      <c r="J283" s="97" t="str">
        <f>VLOOKUP(A283,'Parameters Summary'!$B$2:$AB$826,25,FALSE)</f>
        <v>PHYSPROP</v>
      </c>
      <c r="K283" s="97" t="str">
        <f>VLOOKUP(A283,'Tox Summary'!$O$3:$S$827,2,FALSE)</f>
        <v/>
      </c>
      <c r="L283" s="93">
        <f>VLOOKUP(A283,'Parameters Summary'!$B$2:$AB$826,7,FALSE)</f>
        <v>1.36E-7</v>
      </c>
      <c r="M283" s="93" t="str">
        <f>VLOOKUP(A283,'Parameters Summary'!$B$2:$AB$826,8,FALSE)</f>
        <v>PHYSPROP</v>
      </c>
      <c r="N283" s="91">
        <f>VLOOKUP(A283,'Parameters Summary'!$B$2:$AB$826,6,FALSE)</f>
        <v>5.5601000000000003E-6</v>
      </c>
      <c r="O283" s="91" t="str">
        <f t="shared" si="25"/>
        <v/>
      </c>
      <c r="P283" s="91">
        <f t="shared" si="28"/>
        <v>5.5601000000000003E-6</v>
      </c>
      <c r="Q283" s="91" t="str">
        <f t="shared" si="26"/>
        <v/>
      </c>
      <c r="R283" s="91">
        <f t="shared" si="29"/>
        <v>5.5601000000000003E-6</v>
      </c>
      <c r="S283" s="91" t="str">
        <f t="shared" si="30"/>
        <v/>
      </c>
      <c r="T283" s="93">
        <f>VLOOKUP(A283,'Parameters Summary'!$B$2:$AB$826,15,FALSE)</f>
        <v>6.6579600000000003E-2</v>
      </c>
      <c r="U283" s="93" t="str">
        <f>VLOOKUP(A283,'Parameters Summary'!$B$2:$AB$826,17,FALSE)</f>
        <v>WATER9 (U.S. EPA, 2001)</v>
      </c>
      <c r="V283" s="93">
        <f>VLOOKUP(A283,'Parameters Summary'!$B$2:$AB$826,16,FALSE)</f>
        <v>9.2385999999999999E-6</v>
      </c>
      <c r="W283" s="379" t="str">
        <f>VLOOKUP(A283,'Parameters Summary'!$B$2:$AB$826,17,FALSE)</f>
        <v>WATER9 (U.S. EPA, 2001)</v>
      </c>
      <c r="X283" s="290">
        <v>454.15</v>
      </c>
      <c r="Y283" s="96" t="s">
        <v>553</v>
      </c>
      <c r="Z283" s="96">
        <f>1.5*X283</f>
        <v>681.22499999999991</v>
      </c>
      <c r="AA283" s="96" t="s">
        <v>2220</v>
      </c>
      <c r="AB283" s="96" t="s">
        <v>1651</v>
      </c>
      <c r="AC283" s="96"/>
      <c r="AD283" s="93">
        <f>VLOOKUP(A283,'Parameters Summary'!$B$2:$AB$826,20,FALSE)</f>
        <v>5.407</v>
      </c>
      <c r="AE283" s="97" t="str">
        <f>VLOOKUP(A283,'Parameters Summary'!$B$2:$AB$826,21,FALSE)</f>
        <v>EPI</v>
      </c>
      <c r="AF283" s="97"/>
      <c r="AG283" s="94"/>
      <c r="AH283" s="92"/>
      <c r="AI283" s="96"/>
      <c r="AJ283" s="330"/>
      <c r="AL283" s="81"/>
    </row>
    <row r="284" spans="1:38" ht="12.75" customHeight="1">
      <c r="A284" s="96" t="s">
        <v>865</v>
      </c>
      <c r="B284" s="96" t="s">
        <v>581</v>
      </c>
      <c r="C284" s="96" t="str">
        <f t="shared" si="27"/>
        <v>No</v>
      </c>
      <c r="D284" s="96" t="str">
        <f>VLOOKUP(A284,'Tox Summary'!$O$3:$R$824,3,FALSE)</f>
        <v>No</v>
      </c>
      <c r="E284" s="97">
        <f>VLOOKUP(A284,'Parameters Summary'!$B$2:$AB$826,4,FALSE)</f>
        <v>225.3</v>
      </c>
      <c r="F284" s="97" t="str">
        <f>VLOOKUP(A284,'Parameters Summary'!$B$2:$AB$826,5,FALSE)</f>
        <v>PHYSPROP</v>
      </c>
      <c r="G284" s="93">
        <f>VLOOKUP(A284,'Parameters Summary'!$B$2:$AB$826,9,FALSE)</f>
        <v>7.0000000000000005E-8</v>
      </c>
      <c r="H284" s="93" t="str">
        <f>VLOOKUP(A284,'Parameters Summary'!$B$2:$AB$826,10,FALSE)</f>
        <v>EPI</v>
      </c>
      <c r="I284" s="93">
        <f>VLOOKUP(A284,'Parameters Summary'!$B$2:$AB$826,24,FALSE)</f>
        <v>0.23</v>
      </c>
      <c r="J284" s="97" t="str">
        <f>VLOOKUP(A284,'Parameters Summary'!$B$2:$AB$826,25,FALSE)</f>
        <v>PHYSPROP</v>
      </c>
      <c r="K284" s="97" t="str">
        <f>VLOOKUP(A284,'Tox Summary'!$O$3:$S$827,2,FALSE)</f>
        <v/>
      </c>
      <c r="L284" s="93">
        <f>VLOOKUP(A284,'Parameters Summary'!$B$2:$AB$826,7,FALSE)</f>
        <v>4.0000000000000001E-10</v>
      </c>
      <c r="M284" s="93" t="str">
        <f>VLOOKUP(A284,'Parameters Summary'!$B$2:$AB$826,8,FALSE)</f>
        <v>PHYSPROP</v>
      </c>
      <c r="N284" s="91">
        <f>VLOOKUP(A284,'Parameters Summary'!$B$2:$AB$826,6,FALSE)</f>
        <v>1.6353000000000001E-8</v>
      </c>
      <c r="O284" s="91" t="str">
        <f t="shared" si="25"/>
        <v/>
      </c>
      <c r="P284" s="91">
        <f t="shared" si="28"/>
        <v>1.6353000000000001E-8</v>
      </c>
      <c r="Q284" s="91" t="str">
        <f t="shared" si="26"/>
        <v/>
      </c>
      <c r="R284" s="91">
        <f t="shared" si="29"/>
        <v>1.6353000000000001E-8</v>
      </c>
      <c r="S284" s="91" t="str">
        <f t="shared" si="30"/>
        <v/>
      </c>
      <c r="T284" s="93">
        <f>VLOOKUP(A284,'Parameters Summary'!$B$2:$AB$826,15,FALSE)</f>
        <v>5.1315199999999998E-2</v>
      </c>
      <c r="U284" s="93" t="str">
        <f>VLOOKUP(A284,'Parameters Summary'!$B$2:$AB$826,17,FALSE)</f>
        <v>WATER9 (U.S. EPA, 2001)</v>
      </c>
      <c r="V284" s="93">
        <f>VLOOKUP(A284,'Parameters Summary'!$B$2:$AB$826,16,FALSE)</f>
        <v>5.9958000000000003E-6</v>
      </c>
      <c r="W284" s="379" t="str">
        <f>VLOOKUP(A284,'Parameters Summary'!$B$2:$AB$826,17,FALSE)</f>
        <v>WATER9 (U.S. EPA, 2001)</v>
      </c>
      <c r="X284" s="347"/>
      <c r="Y284" s="96"/>
      <c r="Z284" s="96" t="s">
        <v>1653</v>
      </c>
      <c r="AA284" s="96"/>
      <c r="AB284" s="96" t="s">
        <v>1651</v>
      </c>
      <c r="AC284" s="96"/>
      <c r="AD284" s="93">
        <f>VLOOKUP(A284,'Parameters Summary'!$B$2:$AB$826,20,FALSE)</f>
        <v>2028</v>
      </c>
      <c r="AE284" s="97" t="str">
        <f>VLOOKUP(A284,'Parameters Summary'!$B$2:$AB$826,21,FALSE)</f>
        <v>EPI</v>
      </c>
      <c r="AF284" s="97"/>
      <c r="AG284" s="94"/>
      <c r="AH284" s="92"/>
      <c r="AI284" s="96"/>
      <c r="AJ284" s="330"/>
      <c r="AL284" s="81"/>
    </row>
    <row r="285" spans="1:38" ht="12.75" customHeight="1">
      <c r="A285" s="96" t="s">
        <v>866</v>
      </c>
      <c r="B285" s="96" t="s">
        <v>1106</v>
      </c>
      <c r="C285" s="96" t="str">
        <f t="shared" si="27"/>
        <v>No</v>
      </c>
      <c r="D285" s="96" t="str">
        <f>VLOOKUP(A285,'Tox Summary'!$O$3:$R$824,3,FALSE)</f>
        <v>No</v>
      </c>
      <c r="E285" s="97">
        <f>VLOOKUP(A285,'Parameters Summary'!$B$2:$AB$826,4,FALSE)</f>
        <v>121.18</v>
      </c>
      <c r="F285" s="97" t="str">
        <f>VLOOKUP(A285,'Parameters Summary'!$B$2:$AB$826,5,FALSE)</f>
        <v>PHYSPROP</v>
      </c>
      <c r="G285" s="93">
        <f>VLOOKUP(A285,'Parameters Summary'!$B$2:$AB$826,9,FALSE)</f>
        <v>0.17799999999999999</v>
      </c>
      <c r="H285" s="93" t="str">
        <f>VLOOKUP(A285,'Parameters Summary'!$B$2:$AB$826,10,FALSE)</f>
        <v>PHYSPROP</v>
      </c>
      <c r="I285" s="93">
        <f>VLOOKUP(A285,'Parameters Summary'!$B$2:$AB$826,24,FALSE)</f>
        <v>3650</v>
      </c>
      <c r="J285" s="97" t="str">
        <f>VLOOKUP(A285,'Parameters Summary'!$B$2:$AB$826,25,FALSE)</f>
        <v>PHYSPROP</v>
      </c>
      <c r="K285" s="97" t="str">
        <f>VLOOKUP(A285,'Tox Summary'!$O$3:$S$827,2,FALSE)</f>
        <v/>
      </c>
      <c r="L285" s="93">
        <f>VLOOKUP(A285,'Parameters Summary'!$B$2:$AB$826,7,FALSE)</f>
        <v>2.3199999999999998E-6</v>
      </c>
      <c r="M285" s="93" t="str">
        <f>VLOOKUP(A285,'Parameters Summary'!$B$2:$AB$826,8,FALSE)</f>
        <v>PHYSPROP</v>
      </c>
      <c r="N285" s="91">
        <f>VLOOKUP(A285,'Parameters Summary'!$B$2:$AB$826,6,FALSE)</f>
        <v>9.48E-5</v>
      </c>
      <c r="O285" s="91" t="str">
        <f t="shared" si="25"/>
        <v/>
      </c>
      <c r="P285" s="91">
        <f t="shared" si="28"/>
        <v>9.48E-5</v>
      </c>
      <c r="Q285" s="91" t="str">
        <f t="shared" si="26"/>
        <v/>
      </c>
      <c r="R285" s="91">
        <f t="shared" si="29"/>
        <v>9.48E-5</v>
      </c>
      <c r="S285" s="91" t="str">
        <f t="shared" si="30"/>
        <v/>
      </c>
      <c r="T285" s="93">
        <f>VLOOKUP(A285,'Parameters Summary'!$B$2:$AB$826,15,FALSE)</f>
        <v>7.7588900000000002E-2</v>
      </c>
      <c r="U285" s="93" t="str">
        <f>VLOOKUP(A285,'Parameters Summary'!$B$2:$AB$826,17,FALSE)</f>
        <v>WATER9 (U.S. EPA, 2001)</v>
      </c>
      <c r="V285" s="93">
        <f>VLOOKUP(A285,'Parameters Summary'!$B$2:$AB$826,16,FALSE)</f>
        <v>9.0657000000000003E-6</v>
      </c>
      <c r="W285" s="379" t="str">
        <f>VLOOKUP(A285,'Parameters Summary'!$B$2:$AB$826,17,FALSE)</f>
        <v>WATER9 (U.S. EPA, 2001)</v>
      </c>
      <c r="X285" s="347"/>
      <c r="Y285" s="96"/>
      <c r="Z285" s="96" t="s">
        <v>1653</v>
      </c>
      <c r="AA285" s="96"/>
      <c r="AB285" s="96" t="s">
        <v>1651</v>
      </c>
      <c r="AC285" s="96"/>
      <c r="AD285" s="93">
        <f>VLOOKUP(A285,'Parameters Summary'!$B$2:$AB$826,20,FALSE)</f>
        <v>351.9</v>
      </c>
      <c r="AE285" s="97" t="str">
        <f>VLOOKUP(A285,'Parameters Summary'!$B$2:$AB$826,21,FALSE)</f>
        <v>EPI</v>
      </c>
      <c r="AF285" s="97"/>
      <c r="AG285" s="94"/>
      <c r="AH285" s="92"/>
      <c r="AI285" s="96"/>
      <c r="AJ285" s="330"/>
      <c r="AL285" s="81"/>
    </row>
    <row r="286" spans="1:38" ht="12.75" customHeight="1">
      <c r="A286" s="96" t="s">
        <v>867</v>
      </c>
      <c r="B286" s="96" t="s">
        <v>1107</v>
      </c>
      <c r="C286" s="96" t="str">
        <f t="shared" si="27"/>
        <v>No</v>
      </c>
      <c r="D286" s="96" t="str">
        <f>VLOOKUP(A286,'Tox Summary'!$O$3:$R$824,3,FALSE)</f>
        <v>Yes</v>
      </c>
      <c r="E286" s="97">
        <f>VLOOKUP(A286,'Parameters Summary'!$B$2:$AB$826,4,FALSE)</f>
        <v>121.18</v>
      </c>
      <c r="F286" s="97" t="str">
        <f>VLOOKUP(A286,'Parameters Summary'!$B$2:$AB$826,5,FALSE)</f>
        <v>PHYSPROP</v>
      </c>
      <c r="G286" s="93">
        <f>VLOOKUP(A286,'Parameters Summary'!$B$2:$AB$826,9,FALSE)</f>
        <v>0.1331</v>
      </c>
      <c r="H286" s="93" t="str">
        <f>VLOOKUP(A286,'Parameters Summary'!$B$2:$AB$826,10,FALSE)</f>
        <v>PHYSPROP</v>
      </c>
      <c r="I286" s="93">
        <f>VLOOKUP(A286,'Parameters Summary'!$B$2:$AB$826,24,FALSE)</f>
        <v>6069</v>
      </c>
      <c r="J286" s="97" t="str">
        <f>VLOOKUP(A286,'Parameters Summary'!$B$2:$AB$826,25,FALSE)</f>
        <v>PHYSPROP</v>
      </c>
      <c r="K286" s="97" t="str">
        <f>VLOOKUP(A286,'Tox Summary'!$O$3:$S$827,2,FALSE)</f>
        <v/>
      </c>
      <c r="L286" s="93">
        <f>VLOOKUP(A286,'Parameters Summary'!$B$2:$AB$826,7,FALSE)</f>
        <v>2.5000000000000002E-6</v>
      </c>
      <c r="M286" s="93" t="str">
        <f>VLOOKUP(A286,'Parameters Summary'!$B$2:$AB$826,8,FALSE)</f>
        <v>PHYSPROP</v>
      </c>
      <c r="N286" s="91">
        <f>VLOOKUP(A286,'Parameters Summary'!$B$2:$AB$826,6,FALSE)</f>
        <v>1.022E-4</v>
      </c>
      <c r="O286" s="91" t="str">
        <f t="shared" si="25"/>
        <v/>
      </c>
      <c r="P286" s="91">
        <f t="shared" si="28"/>
        <v>1.022E-4</v>
      </c>
      <c r="Q286" s="91" t="str">
        <f t="shared" si="26"/>
        <v/>
      </c>
      <c r="R286" s="91">
        <f t="shared" si="29"/>
        <v>1.022E-4</v>
      </c>
      <c r="S286" s="91" t="str">
        <f t="shared" si="30"/>
        <v/>
      </c>
      <c r="T286" s="93">
        <f>VLOOKUP(A286,'Parameters Summary'!$B$2:$AB$826,15,FALSE)</f>
        <v>6.3024899999999995E-2</v>
      </c>
      <c r="U286" s="93" t="str">
        <f>VLOOKUP(A286,'Parameters Summary'!$B$2:$AB$826,17,FALSE)</f>
        <v>WATER9 (U.S. EPA, 2001)</v>
      </c>
      <c r="V286" s="93">
        <f>VLOOKUP(A286,'Parameters Summary'!$B$2:$AB$826,16,FALSE)</f>
        <v>8.3924999999999997E-6</v>
      </c>
      <c r="W286" s="379" t="str">
        <f>VLOOKUP(A286,'Parameters Summary'!$B$2:$AB$826,17,FALSE)</f>
        <v>WATER9 (U.S. EPA, 2001)</v>
      </c>
      <c r="X286" s="290">
        <v>487.15</v>
      </c>
      <c r="Y286" s="96" t="s">
        <v>553</v>
      </c>
      <c r="Z286" s="96">
        <f>1.5*X286</f>
        <v>730.72499999999991</v>
      </c>
      <c r="AA286" s="96" t="s">
        <v>2220</v>
      </c>
      <c r="AB286" s="96" t="s">
        <v>1651</v>
      </c>
      <c r="AC286" s="96"/>
      <c r="AD286" s="93">
        <f>VLOOKUP(A286,'Parameters Summary'!$B$2:$AB$826,20,FALSE)</f>
        <v>184.5</v>
      </c>
      <c r="AE286" s="97" t="str">
        <f>VLOOKUP(A286,'Parameters Summary'!$B$2:$AB$826,21,FALSE)</f>
        <v>EPI</v>
      </c>
      <c r="AF286" s="97"/>
      <c r="AG286" s="94"/>
      <c r="AH286" s="92"/>
      <c r="AI286" s="96"/>
      <c r="AJ286" s="330"/>
      <c r="AL286" s="81"/>
    </row>
    <row r="287" spans="1:38" ht="12.75" customHeight="1">
      <c r="A287" s="95" t="s">
        <v>868</v>
      </c>
      <c r="B287" s="96" t="s">
        <v>1108</v>
      </c>
      <c r="C287" s="96" t="str">
        <f t="shared" si="27"/>
        <v>Yes</v>
      </c>
      <c r="D287" s="96" t="str">
        <f>VLOOKUP(A287,'Tox Summary'!$O$3:$R$824,3,FALSE)</f>
        <v>Yes</v>
      </c>
      <c r="E287" s="97">
        <f>VLOOKUP(A287,'Parameters Summary'!$B$2:$AB$826,4,FALSE)</f>
        <v>121.18</v>
      </c>
      <c r="F287" s="97" t="str">
        <f>VLOOKUP(A287,'Parameters Summary'!$B$2:$AB$826,5,FALSE)</f>
        <v>PHYSPROP</v>
      </c>
      <c r="G287" s="93">
        <f>VLOOKUP(A287,'Parameters Summary'!$B$2:$AB$826,9,FALSE)</f>
        <v>0.7</v>
      </c>
      <c r="H287" s="93" t="str">
        <f>VLOOKUP(A287,'Parameters Summary'!$B$2:$AB$826,10,FALSE)</f>
        <v>PHYSPROP</v>
      </c>
      <c r="I287" s="93">
        <f>VLOOKUP(A287,'Parameters Summary'!$B$2:$AB$826,24,FALSE)</f>
        <v>1450</v>
      </c>
      <c r="J287" s="97" t="str">
        <f>VLOOKUP(A287,'Parameters Summary'!$B$2:$AB$826,25,FALSE)</f>
        <v>PHYSPROP</v>
      </c>
      <c r="K287" s="97" t="str">
        <f>VLOOKUP(A287,'Tox Summary'!$O$3:$S$827,2,FALSE)</f>
        <v/>
      </c>
      <c r="L287" s="93">
        <f>VLOOKUP(A287,'Parameters Summary'!$B$2:$AB$826,7,FALSE)</f>
        <v>5.6799999999999998E-5</v>
      </c>
      <c r="M287" s="93" t="str">
        <f>VLOOKUP(A287,'Parameters Summary'!$B$2:$AB$826,8,FALSE)</f>
        <v>EPI</v>
      </c>
      <c r="N287" s="91">
        <f>VLOOKUP(A287,'Parameters Summary'!$B$2:$AB$826,6,FALSE)</f>
        <v>2.3222E-3</v>
      </c>
      <c r="O287" s="91">
        <f t="shared" si="25"/>
        <v>2.3222E-3</v>
      </c>
      <c r="P287" s="91">
        <f t="shared" si="28"/>
        <v>2.3222E-3</v>
      </c>
      <c r="Q287" s="91">
        <f t="shared" si="26"/>
        <v>2.3222E-3</v>
      </c>
      <c r="R287" s="91">
        <f t="shared" si="29"/>
        <v>2.3222E-3</v>
      </c>
      <c r="S287" s="91">
        <f t="shared" si="30"/>
        <v>4564384.0511429412</v>
      </c>
      <c r="T287" s="93">
        <f>VLOOKUP(A287,'Parameters Summary'!$B$2:$AB$826,15,FALSE)</f>
        <v>6.2541100000000002E-2</v>
      </c>
      <c r="U287" s="93" t="str">
        <f>VLOOKUP(A287,'Parameters Summary'!$B$2:$AB$826,17,FALSE)</f>
        <v>WATER9 (U.S. EPA, 2001)</v>
      </c>
      <c r="V287" s="93">
        <f>VLOOKUP(A287,'Parameters Summary'!$B$2:$AB$826,16,FALSE)</f>
        <v>8.3063000000000004E-6</v>
      </c>
      <c r="W287" s="379" t="str">
        <f>VLOOKUP(A287,'Parameters Summary'!$B$2:$AB$826,17,FALSE)</f>
        <v>WATER9 (U.S. EPA, 2001)</v>
      </c>
      <c r="X287" s="290">
        <v>466.45</v>
      </c>
      <c r="Y287" s="96" t="s">
        <v>2217</v>
      </c>
      <c r="Z287" s="96">
        <v>687</v>
      </c>
      <c r="AA287" s="96" t="s">
        <v>2218</v>
      </c>
      <c r="AB287" s="96">
        <v>12276.68</v>
      </c>
      <c r="AC287" s="96" t="s">
        <v>2218</v>
      </c>
      <c r="AD287" s="93">
        <f>VLOOKUP(A287,'Parameters Summary'!$B$2:$AB$826,20,FALSE)</f>
        <v>78.67</v>
      </c>
      <c r="AE287" s="97" t="str">
        <f>VLOOKUP(A287,'Parameters Summary'!$B$2:$AB$826,21,FALSE)</f>
        <v>EPI</v>
      </c>
      <c r="AF287" s="380"/>
      <c r="AG287" s="97"/>
      <c r="AH287" s="92"/>
      <c r="AI287" s="96"/>
      <c r="AJ287" s="330"/>
      <c r="AL287" s="81"/>
    </row>
    <row r="288" spans="1:38" ht="12.75" customHeight="1">
      <c r="A288" s="96" t="s">
        <v>211</v>
      </c>
      <c r="B288" s="96" t="s">
        <v>2355</v>
      </c>
      <c r="C288" s="96" t="str">
        <f t="shared" si="27"/>
        <v>No</v>
      </c>
      <c r="D288" s="96" t="str">
        <f>VLOOKUP(A288,'Tox Summary'!$O$3:$R$824,3,FALSE)</f>
        <v>No</v>
      </c>
      <c r="E288" s="97">
        <f>VLOOKUP(A288,'Parameters Summary'!$B$2:$AB$826,4,FALSE)</f>
        <v>256.35000000000002</v>
      </c>
      <c r="F288" s="97" t="str">
        <f>VLOOKUP(A288,'Parameters Summary'!$B$2:$AB$826,5,FALSE)</f>
        <v>PHYSPROP</v>
      </c>
      <c r="G288" s="93">
        <f>VLOOKUP(A288,'Parameters Summary'!$B$2:$AB$826,9,FALSE)</f>
        <v>6.7999999999999995E-7</v>
      </c>
      <c r="H288" s="93" t="str">
        <f>VLOOKUP(A288,'Parameters Summary'!$B$2:$AB$826,10,FALSE)</f>
        <v>PHYSPROP</v>
      </c>
      <c r="I288" s="93">
        <f>VLOOKUP(A288,'Parameters Summary'!$B$2:$AB$826,24,FALSE)</f>
        <v>6.0999999999999999E-2</v>
      </c>
      <c r="J288" s="97" t="str">
        <f>VLOOKUP(A288,'Parameters Summary'!$B$2:$AB$826,25,FALSE)</f>
        <v>PHYSPROP</v>
      </c>
      <c r="K288" s="97" t="str">
        <f>VLOOKUP(A288,'Tox Summary'!$O$3:$S$827,2,FALSE)</f>
        <v/>
      </c>
      <c r="L288" s="93">
        <f>VLOOKUP(A288,'Parameters Summary'!$B$2:$AB$826,7,FALSE)</f>
        <v>3.76E-6</v>
      </c>
      <c r="M288" s="93" t="str">
        <f>VLOOKUP(A288,'Parameters Summary'!$B$2:$AB$826,8,FALSE)</f>
        <v>EPI</v>
      </c>
      <c r="N288" s="91">
        <f>VLOOKUP(A288,'Parameters Summary'!$B$2:$AB$826,6,FALSE)</f>
        <v>1.537E-4</v>
      </c>
      <c r="O288" s="91" t="str">
        <f t="shared" si="25"/>
        <v/>
      </c>
      <c r="P288" s="91">
        <f t="shared" si="28"/>
        <v>1.537E-4</v>
      </c>
      <c r="Q288" s="91" t="str">
        <f t="shared" si="26"/>
        <v/>
      </c>
      <c r="R288" s="91">
        <f t="shared" si="29"/>
        <v>1.537E-4</v>
      </c>
      <c r="S288" s="91" t="str">
        <f t="shared" si="30"/>
        <v/>
      </c>
      <c r="T288" s="93">
        <f>VLOOKUP(A288,'Parameters Summary'!$B$2:$AB$826,15,FALSE)</f>
        <v>4.7083100000000003E-2</v>
      </c>
      <c r="U288" s="93" t="str">
        <f>VLOOKUP(A288,'Parameters Summary'!$B$2:$AB$826,17,FALSE)</f>
        <v>WATER9 (U.S. EPA, 2001)</v>
      </c>
      <c r="V288" s="93">
        <f>VLOOKUP(A288,'Parameters Summary'!$B$2:$AB$826,16,FALSE)</f>
        <v>5.5013000000000002E-6</v>
      </c>
      <c r="W288" s="379" t="str">
        <f>VLOOKUP(A288,'Parameters Summary'!$B$2:$AB$826,17,FALSE)</f>
        <v>WATER9 (U.S. EPA, 2001)</v>
      </c>
      <c r="X288" s="347"/>
      <c r="Y288" s="96"/>
      <c r="Z288" s="96" t="s">
        <v>1653</v>
      </c>
      <c r="AA288" s="96"/>
      <c r="AB288" s="96" t="s">
        <v>1651</v>
      </c>
      <c r="AC288" s="96"/>
      <c r="AD288" s="93">
        <f>VLOOKUP(A288,'Parameters Summary'!$B$2:$AB$826,20,FALSE)</f>
        <v>493600</v>
      </c>
      <c r="AE288" s="97" t="str">
        <f>VLOOKUP(A288,'Parameters Summary'!$B$2:$AB$826,21,FALSE)</f>
        <v>EPI</v>
      </c>
      <c r="AF288" s="97"/>
      <c r="AG288" s="94"/>
      <c r="AH288" s="92"/>
      <c r="AI288" s="96"/>
      <c r="AJ288" s="330"/>
      <c r="AL288" s="81"/>
    </row>
    <row r="289" spans="1:38" ht="12.75" customHeight="1">
      <c r="A289" s="96" t="s">
        <v>869</v>
      </c>
      <c r="B289" s="96" t="s">
        <v>531</v>
      </c>
      <c r="C289" s="96" t="str">
        <f t="shared" si="27"/>
        <v>No</v>
      </c>
      <c r="D289" s="96" t="str">
        <f>VLOOKUP(A289,'Tox Summary'!$O$3:$R$824,3,FALSE)</f>
        <v>Yes</v>
      </c>
      <c r="E289" s="97">
        <f>VLOOKUP(A289,'Parameters Summary'!$B$2:$AB$826,4,FALSE)</f>
        <v>212.3</v>
      </c>
      <c r="F289" s="97" t="str">
        <f>VLOOKUP(A289,'Parameters Summary'!$B$2:$AB$826,5,FALSE)</f>
        <v>PHYSPROP</v>
      </c>
      <c r="G289" s="93">
        <f>VLOOKUP(A289,'Parameters Summary'!$B$2:$AB$826,9,FALSE)</f>
        <v>6.92E-7</v>
      </c>
      <c r="H289" s="93" t="str">
        <f>VLOOKUP(A289,'Parameters Summary'!$B$2:$AB$826,10,FALSE)</f>
        <v>PHYSPROP</v>
      </c>
      <c r="I289" s="93">
        <f>VLOOKUP(A289,'Parameters Summary'!$B$2:$AB$826,24,FALSE)</f>
        <v>1300</v>
      </c>
      <c r="J289" s="97" t="str">
        <f>VLOOKUP(A289,'Parameters Summary'!$B$2:$AB$826,25,FALSE)</f>
        <v>PHYSPROP</v>
      </c>
      <c r="K289" s="97" t="str">
        <f>VLOOKUP(A289,'Tox Summary'!$O$3:$S$827,2,FALSE)</f>
        <v/>
      </c>
      <c r="L289" s="93">
        <f>VLOOKUP(A289,'Parameters Summary'!$B$2:$AB$826,7,FALSE)</f>
        <v>6.2899999999999997E-11</v>
      </c>
      <c r="M289" s="93" t="str">
        <f>VLOOKUP(A289,'Parameters Summary'!$B$2:$AB$826,8,FALSE)</f>
        <v>PHYSPROP</v>
      </c>
      <c r="N289" s="91">
        <f>VLOOKUP(A289,'Parameters Summary'!$B$2:$AB$826,6,FALSE)</f>
        <v>2.5715000000000001E-9</v>
      </c>
      <c r="O289" s="91" t="str">
        <f t="shared" si="25"/>
        <v/>
      </c>
      <c r="P289" s="91">
        <f t="shared" si="28"/>
        <v>2.5715000000000001E-9</v>
      </c>
      <c r="Q289" s="91" t="str">
        <f t="shared" si="26"/>
        <v/>
      </c>
      <c r="R289" s="91">
        <f t="shared" si="29"/>
        <v>2.5715000000000001E-9</v>
      </c>
      <c r="S289" s="91" t="str">
        <f t="shared" si="30"/>
        <v/>
      </c>
      <c r="T289" s="93">
        <f>VLOOKUP(A289,'Parameters Summary'!$B$2:$AB$826,15,FALSE)</f>
        <v>5.3389199999999998E-2</v>
      </c>
      <c r="U289" s="93" t="str">
        <f>VLOOKUP(A289,'Parameters Summary'!$B$2:$AB$826,17,FALSE)</f>
        <v>WATER9 (U.S. EPA, 2001)</v>
      </c>
      <c r="V289" s="93">
        <f>VLOOKUP(A289,'Parameters Summary'!$B$2:$AB$826,16,FALSE)</f>
        <v>6.2380999999999996E-6</v>
      </c>
      <c r="W289" s="379" t="str">
        <f>VLOOKUP(A289,'Parameters Summary'!$B$2:$AB$826,17,FALSE)</f>
        <v>WATER9 (U.S. EPA, 2001)</v>
      </c>
      <c r="X289" s="290">
        <v>612.15</v>
      </c>
      <c r="Y289" s="96" t="s">
        <v>553</v>
      </c>
      <c r="Z289" s="96">
        <f>1.5*X289</f>
        <v>918.22499999999991</v>
      </c>
      <c r="AA289" s="96" t="s">
        <v>2220</v>
      </c>
      <c r="AB289" s="96" t="s">
        <v>1651</v>
      </c>
      <c r="AC289" s="96"/>
      <c r="AD289" s="93">
        <f>VLOOKUP(A289,'Parameters Summary'!$B$2:$AB$826,20,FALSE)</f>
        <v>3190</v>
      </c>
      <c r="AE289" s="97" t="str">
        <f>VLOOKUP(A289,'Parameters Summary'!$B$2:$AB$826,21,FALSE)</f>
        <v>EPI</v>
      </c>
      <c r="AF289" s="97"/>
      <c r="AG289" s="94"/>
      <c r="AH289" s="92"/>
      <c r="AI289" s="96"/>
      <c r="AJ289" s="330"/>
      <c r="AL289" s="81"/>
    </row>
    <row r="290" spans="1:38" ht="12.75" customHeight="1">
      <c r="A290" s="95" t="s">
        <v>870</v>
      </c>
      <c r="B290" s="96" t="s">
        <v>1109</v>
      </c>
      <c r="C290" s="96" t="str">
        <f t="shared" si="27"/>
        <v>Yes</v>
      </c>
      <c r="D290" s="96" t="str">
        <f>VLOOKUP(A290,'Tox Summary'!$O$3:$R$824,3,FALSE)</f>
        <v>No</v>
      </c>
      <c r="E290" s="97">
        <f>VLOOKUP(A290,'Parameters Summary'!$B$2:$AB$826,4,FALSE)</f>
        <v>73.094999999999999</v>
      </c>
      <c r="F290" s="97" t="str">
        <f>VLOOKUP(A290,'Parameters Summary'!$B$2:$AB$826,5,FALSE)</f>
        <v>PHYSPROP</v>
      </c>
      <c r="G290" s="93">
        <f>VLOOKUP(A290,'Parameters Summary'!$B$2:$AB$826,9,FALSE)</f>
        <v>3.87</v>
      </c>
      <c r="H290" s="93" t="str">
        <f>VLOOKUP(A290,'Parameters Summary'!$B$2:$AB$826,10,FALSE)</f>
        <v>PHYSPROP</v>
      </c>
      <c r="I290" s="93">
        <f>VLOOKUP(A290,'Parameters Summary'!$B$2:$AB$826,24,FALSE)</f>
        <v>1000000</v>
      </c>
      <c r="J290" s="97" t="str">
        <f>VLOOKUP(A290,'Parameters Summary'!$B$2:$AB$826,25,FALSE)</f>
        <v>PHYSPROP</v>
      </c>
      <c r="K290" s="97" t="str">
        <f>VLOOKUP(A290,'Tox Summary'!$O$3:$S$827,2,FALSE)</f>
        <v/>
      </c>
      <c r="L290" s="93">
        <f>VLOOKUP(A290,'Parameters Summary'!$B$2:$AB$826,7,FALSE)</f>
        <v>7.3900000000000007E-8</v>
      </c>
      <c r="M290" s="93" t="str">
        <f>VLOOKUP(A290,'Parameters Summary'!$B$2:$AB$826,8,FALSE)</f>
        <v>PHYSPROP</v>
      </c>
      <c r="N290" s="91">
        <f>VLOOKUP(A290,'Parameters Summary'!$B$2:$AB$826,6,FALSE)</f>
        <v>3.0213000000000002E-6</v>
      </c>
      <c r="O290" s="91">
        <f t="shared" si="25"/>
        <v>3.0213000000000002E-6</v>
      </c>
      <c r="P290" s="91">
        <f t="shared" si="28"/>
        <v>3.0213000000000002E-6</v>
      </c>
      <c r="Q290" s="91">
        <f t="shared" si="26"/>
        <v>3.0213000000000002E-6</v>
      </c>
      <c r="R290" s="91">
        <f t="shared" si="29"/>
        <v>3.0213000000000002E-6</v>
      </c>
      <c r="S290" s="91">
        <f t="shared" si="30"/>
        <v>15221302.832678603</v>
      </c>
      <c r="T290" s="93">
        <f>VLOOKUP(A290,'Parameters Summary'!$B$2:$AB$826,15,FALSE)</f>
        <v>9.7184599999999996E-2</v>
      </c>
      <c r="U290" s="93" t="str">
        <f>VLOOKUP(A290,'Parameters Summary'!$B$2:$AB$826,17,FALSE)</f>
        <v>WATER9 (U.S. EPA, 2001)</v>
      </c>
      <c r="V290" s="93">
        <f>VLOOKUP(A290,'Parameters Summary'!$B$2:$AB$826,16,FALSE)</f>
        <v>1.1199999999999999E-5</v>
      </c>
      <c r="W290" s="379" t="str">
        <f>VLOOKUP(A290,'Parameters Summary'!$B$2:$AB$826,17,FALSE)</f>
        <v>WATER9 (U.S. EPA, 2001)</v>
      </c>
      <c r="X290" s="290">
        <f>153+273.15</f>
        <v>426.15</v>
      </c>
      <c r="Y290" s="96" t="s">
        <v>553</v>
      </c>
      <c r="Z290" s="96">
        <f>374+273.15</f>
        <v>647.15</v>
      </c>
      <c r="AA290" s="96" t="s">
        <v>2218</v>
      </c>
      <c r="AB290" s="96">
        <f>47.6*238.846</f>
        <v>11369.069600000001</v>
      </c>
      <c r="AC290" s="96" t="s">
        <v>2218</v>
      </c>
      <c r="AD290" s="93">
        <f>VLOOKUP(A290,'Parameters Summary'!$B$2:$AB$826,20,FALSE)</f>
        <v>1</v>
      </c>
      <c r="AE290" s="97" t="str">
        <f>VLOOKUP(A290,'Parameters Summary'!$B$2:$AB$826,21,FALSE)</f>
        <v>EPI</v>
      </c>
      <c r="AF290" s="380">
        <v>2.2000000000000002</v>
      </c>
      <c r="AG290" s="97" t="s">
        <v>302</v>
      </c>
      <c r="AH290" s="92"/>
      <c r="AI290" s="96"/>
      <c r="AJ290" s="330"/>
      <c r="AL290" s="81"/>
    </row>
    <row r="291" spans="1:38" ht="12.75" customHeight="1">
      <c r="A291" s="95" t="s">
        <v>871</v>
      </c>
      <c r="B291" s="96" t="s">
        <v>582</v>
      </c>
      <c r="C291" s="96" t="str">
        <f t="shared" si="27"/>
        <v>Yes</v>
      </c>
      <c r="D291" s="96" t="str">
        <f>VLOOKUP(A291,'Tox Summary'!$O$3:$R$824,3,FALSE)</f>
        <v>No</v>
      </c>
      <c r="E291" s="97">
        <f>VLOOKUP(A291,'Parameters Summary'!$B$2:$AB$826,4,FALSE)</f>
        <v>60.098999999999997</v>
      </c>
      <c r="F291" s="97" t="str">
        <f>VLOOKUP(A291,'Parameters Summary'!$B$2:$AB$826,5,FALSE)</f>
        <v>PHYSPROP</v>
      </c>
      <c r="G291" s="93">
        <f>VLOOKUP(A291,'Parameters Summary'!$B$2:$AB$826,9,FALSE)</f>
        <v>163</v>
      </c>
      <c r="H291" s="93" t="str">
        <f>VLOOKUP(A291,'Parameters Summary'!$B$2:$AB$826,10,FALSE)</f>
        <v>PHYSPROP</v>
      </c>
      <c r="I291" s="93">
        <f>VLOOKUP(A291,'Parameters Summary'!$B$2:$AB$826,24,FALSE)</f>
        <v>1000000</v>
      </c>
      <c r="J291" s="97" t="str">
        <f>VLOOKUP(A291,'Parameters Summary'!$B$2:$AB$826,25,FALSE)</f>
        <v>PHYSPROP</v>
      </c>
      <c r="K291" s="97" t="str">
        <f>VLOOKUP(A291,'Tox Summary'!$O$3:$S$827,2,FALSE)</f>
        <v/>
      </c>
      <c r="L291" s="93">
        <f>VLOOKUP(A291,'Parameters Summary'!$B$2:$AB$826,7,FALSE)</f>
        <v>1.29E-5</v>
      </c>
      <c r="M291" s="93" t="str">
        <f>VLOOKUP(A291,'Parameters Summary'!$B$2:$AB$826,8,FALSE)</f>
        <v>PHYSPROP</v>
      </c>
      <c r="N291" s="91">
        <f>VLOOKUP(A291,'Parameters Summary'!$B$2:$AB$826,6,FALSE)</f>
        <v>5.2740000000000003E-4</v>
      </c>
      <c r="O291" s="91">
        <f t="shared" si="25"/>
        <v>5.2740000000000003E-4</v>
      </c>
      <c r="P291" s="91">
        <f t="shared" si="28"/>
        <v>5.2740000000000003E-4</v>
      </c>
      <c r="Q291" s="91">
        <f t="shared" si="26"/>
        <v>5.2740000000000003E-4</v>
      </c>
      <c r="R291" s="91">
        <f t="shared" si="29"/>
        <v>5.2740000000000003E-4</v>
      </c>
      <c r="S291" s="91">
        <f t="shared" si="30"/>
        <v>527118235.98438281</v>
      </c>
      <c r="T291" s="93">
        <f>VLOOKUP(A291,'Parameters Summary'!$B$2:$AB$826,15,FALSE)</f>
        <v>0.10378569999999999</v>
      </c>
      <c r="U291" s="93" t="str">
        <f>VLOOKUP(A291,'Parameters Summary'!$B$2:$AB$826,17,FALSE)</f>
        <v>WATER9 (U.S. EPA, 2001)</v>
      </c>
      <c r="V291" s="93">
        <f>VLOOKUP(A291,'Parameters Summary'!$B$2:$AB$826,16,FALSE)</f>
        <v>1.13E-5</v>
      </c>
      <c r="W291" s="379" t="str">
        <f>VLOOKUP(A291,'Parameters Summary'!$B$2:$AB$826,17,FALSE)</f>
        <v>WATER9 (U.S. EPA, 2001)</v>
      </c>
      <c r="X291" s="290">
        <f>63.9+273.15</f>
        <v>337.04999999999995</v>
      </c>
      <c r="Y291" s="96" t="s">
        <v>553</v>
      </c>
      <c r="Z291" s="96">
        <f>250+273.15</f>
        <v>523.15</v>
      </c>
      <c r="AA291" s="96" t="s">
        <v>2218</v>
      </c>
      <c r="AB291" s="96">
        <f>32.623*238.846</f>
        <v>7791.8730579999992</v>
      </c>
      <c r="AC291" s="96" t="s">
        <v>2218</v>
      </c>
      <c r="AD291" s="93">
        <f>VLOOKUP(A291,'Parameters Summary'!$B$2:$AB$826,20,FALSE)</f>
        <v>11.95</v>
      </c>
      <c r="AE291" s="97" t="str">
        <f>VLOOKUP(A291,'Parameters Summary'!$B$2:$AB$826,21,FALSE)</f>
        <v>EPI</v>
      </c>
      <c r="AF291" s="380">
        <v>2</v>
      </c>
      <c r="AG291" s="97" t="s">
        <v>302</v>
      </c>
      <c r="AH291" s="92"/>
      <c r="AI291" s="96"/>
      <c r="AJ291" s="330"/>
      <c r="AL291" s="81"/>
    </row>
    <row r="292" spans="1:38" ht="12.75" customHeight="1">
      <c r="A292" s="95" t="s">
        <v>872</v>
      </c>
      <c r="B292" s="96" t="s">
        <v>583</v>
      </c>
      <c r="C292" s="96" t="str">
        <f t="shared" si="27"/>
        <v>Yes</v>
      </c>
      <c r="D292" s="96" t="str">
        <f>VLOOKUP(A292,'Tox Summary'!$O$3:$R$824,3,FALSE)</f>
        <v>No</v>
      </c>
      <c r="E292" s="97">
        <f>VLOOKUP(A292,'Parameters Summary'!$B$2:$AB$826,4,FALSE)</f>
        <v>60.098999999999997</v>
      </c>
      <c r="F292" s="97" t="str">
        <f>VLOOKUP(A292,'Parameters Summary'!$B$2:$AB$826,5,FALSE)</f>
        <v>PHYSPROP</v>
      </c>
      <c r="G292" s="93">
        <f>VLOOKUP(A292,'Parameters Summary'!$B$2:$AB$826,9,FALSE)</f>
        <v>69.900000000000006</v>
      </c>
      <c r="H292" s="93" t="str">
        <f>VLOOKUP(A292,'Parameters Summary'!$B$2:$AB$826,10,FALSE)</f>
        <v>PHYSPROP</v>
      </c>
      <c r="I292" s="93">
        <f>VLOOKUP(A292,'Parameters Summary'!$B$2:$AB$826,24,FALSE)</f>
        <v>1000000</v>
      </c>
      <c r="J292" s="97" t="str">
        <f>VLOOKUP(A292,'Parameters Summary'!$B$2:$AB$826,25,FALSE)</f>
        <v>PHYSPROP</v>
      </c>
      <c r="K292" s="97" t="str">
        <f>VLOOKUP(A292,'Tox Summary'!$O$3:$S$827,2,FALSE)</f>
        <v/>
      </c>
      <c r="L292" s="93">
        <f>VLOOKUP(A292,'Parameters Summary'!$B$2:$AB$826,7,FALSE)</f>
        <v>6.9499999999999994E-8</v>
      </c>
      <c r="M292" s="93" t="str">
        <f>VLOOKUP(A292,'Parameters Summary'!$B$2:$AB$826,8,FALSE)</f>
        <v>PHYSPROP</v>
      </c>
      <c r="N292" s="91">
        <f>VLOOKUP(A292,'Parameters Summary'!$B$2:$AB$826,6,FALSE)</f>
        <v>2.8414E-6</v>
      </c>
      <c r="O292" s="91" t="str">
        <f t="shared" si="25"/>
        <v/>
      </c>
      <c r="P292" s="91">
        <f t="shared" si="28"/>
        <v>2.8414E-6</v>
      </c>
      <c r="Q292" s="91" t="str">
        <f t="shared" si="26"/>
        <v/>
      </c>
      <c r="R292" s="91">
        <f t="shared" si="29"/>
        <v>2.8414E-6</v>
      </c>
      <c r="S292" s="91" t="str">
        <f t="shared" si="30"/>
        <v/>
      </c>
      <c r="T292" s="93">
        <f>VLOOKUP(A292,'Parameters Summary'!$B$2:$AB$826,15,FALSE)</f>
        <v>0.1057704</v>
      </c>
      <c r="U292" s="93" t="str">
        <f>VLOOKUP(A292,'Parameters Summary'!$B$2:$AB$826,17,FALSE)</f>
        <v>WATER9 (U.S. EPA, 2001)</v>
      </c>
      <c r="V292" s="93">
        <f>VLOOKUP(A292,'Parameters Summary'!$B$2:$AB$826,16,FALSE)</f>
        <v>1.1600000000000001E-5</v>
      </c>
      <c r="W292" s="379" t="str">
        <f>VLOOKUP(A292,'Parameters Summary'!$B$2:$AB$826,17,FALSE)</f>
        <v>WATER9 (U.S. EPA, 2001)</v>
      </c>
      <c r="X292" s="290">
        <f>81+273.15</f>
        <v>354.15</v>
      </c>
      <c r="Y292" s="96" t="s">
        <v>553</v>
      </c>
      <c r="Z292" s="96">
        <f>1.5*X292</f>
        <v>531.22499999999991</v>
      </c>
      <c r="AA292" s="96" t="s">
        <v>2220</v>
      </c>
      <c r="AB292" s="96" t="s">
        <v>1651</v>
      </c>
      <c r="AC292" s="96"/>
      <c r="AD292" s="93">
        <f>VLOOKUP(A292,'Parameters Summary'!$B$2:$AB$826,20,FALSE)</f>
        <v>14.87</v>
      </c>
      <c r="AE292" s="97" t="str">
        <f>VLOOKUP(A292,'Parameters Summary'!$B$2:$AB$826,21,FALSE)</f>
        <v>EPI</v>
      </c>
      <c r="AF292" s="380"/>
      <c r="AG292" s="97"/>
      <c r="AH292" s="92"/>
      <c r="AI292" s="96"/>
      <c r="AJ292" s="330"/>
      <c r="AL292" s="81"/>
    </row>
    <row r="293" spans="1:38" ht="12.75" customHeight="1">
      <c r="A293" s="96" t="s">
        <v>873</v>
      </c>
      <c r="B293" s="96" t="s">
        <v>1110</v>
      </c>
      <c r="C293" s="96" t="str">
        <f t="shared" si="27"/>
        <v>No</v>
      </c>
      <c r="D293" s="96" t="str">
        <f>VLOOKUP(A293,'Tox Summary'!$O$3:$R$824,3,FALSE)</f>
        <v>Yes</v>
      </c>
      <c r="E293" s="97">
        <f>VLOOKUP(A293,'Parameters Summary'!$B$2:$AB$826,4,FALSE)</f>
        <v>122.17</v>
      </c>
      <c r="F293" s="97" t="str">
        <f>VLOOKUP(A293,'Parameters Summary'!$B$2:$AB$826,5,FALSE)</f>
        <v>PHYSPROP</v>
      </c>
      <c r="G293" s="93">
        <f>VLOOKUP(A293,'Parameters Summary'!$B$2:$AB$826,9,FALSE)</f>
        <v>0.10199999999999999</v>
      </c>
      <c r="H293" s="93" t="str">
        <f>VLOOKUP(A293,'Parameters Summary'!$B$2:$AB$826,10,FALSE)</f>
        <v>PHYSPROP</v>
      </c>
      <c r="I293" s="93">
        <f>VLOOKUP(A293,'Parameters Summary'!$B$2:$AB$826,24,FALSE)</f>
        <v>7870</v>
      </c>
      <c r="J293" s="97" t="str">
        <f>VLOOKUP(A293,'Parameters Summary'!$B$2:$AB$826,25,FALSE)</f>
        <v>PHYSPROP</v>
      </c>
      <c r="K293" s="97" t="str">
        <f>VLOOKUP(A293,'Tox Summary'!$O$3:$S$827,2,FALSE)</f>
        <v/>
      </c>
      <c r="L293" s="93">
        <f>VLOOKUP(A293,'Parameters Summary'!$B$2:$AB$826,7,FALSE)</f>
        <v>9.5099999999999998E-7</v>
      </c>
      <c r="M293" s="93" t="str">
        <f>VLOOKUP(A293,'Parameters Summary'!$B$2:$AB$826,8,FALSE)</f>
        <v>PHYSPROP</v>
      </c>
      <c r="N293" s="91">
        <f>VLOOKUP(A293,'Parameters Summary'!$B$2:$AB$826,6,FALSE)</f>
        <v>3.8899999999999997E-5</v>
      </c>
      <c r="O293" s="91" t="str">
        <f t="shared" si="25"/>
        <v/>
      </c>
      <c r="P293" s="91">
        <f t="shared" si="28"/>
        <v>3.8899999999999997E-5</v>
      </c>
      <c r="Q293" s="91" t="str">
        <f t="shared" si="26"/>
        <v/>
      </c>
      <c r="R293" s="91">
        <f t="shared" si="29"/>
        <v>3.8899999999999997E-5</v>
      </c>
      <c r="S293" s="91" t="str">
        <f t="shared" si="30"/>
        <v/>
      </c>
      <c r="T293" s="93">
        <f>VLOOKUP(A293,'Parameters Summary'!$B$2:$AB$826,15,FALSE)</f>
        <v>6.2245099999999998E-2</v>
      </c>
      <c r="U293" s="93" t="str">
        <f>VLOOKUP(A293,'Parameters Summary'!$B$2:$AB$826,17,FALSE)</f>
        <v>WATER9 (U.S. EPA, 2001)</v>
      </c>
      <c r="V293" s="93">
        <f>VLOOKUP(A293,'Parameters Summary'!$B$2:$AB$826,16,FALSE)</f>
        <v>8.3140000000000004E-6</v>
      </c>
      <c r="W293" s="379" t="str">
        <f>VLOOKUP(A293,'Parameters Summary'!$B$2:$AB$826,17,FALSE)</f>
        <v>WATER9 (U.S. EPA, 2001)</v>
      </c>
      <c r="X293" s="290">
        <v>484.04999999999995</v>
      </c>
      <c r="Y293" s="96" t="s">
        <v>553</v>
      </c>
      <c r="Z293" s="96">
        <f>1.5*X293</f>
        <v>726.07499999999993</v>
      </c>
      <c r="AA293" s="96" t="s">
        <v>2220</v>
      </c>
      <c r="AB293" s="96" t="s">
        <v>1651</v>
      </c>
      <c r="AC293" s="96"/>
      <c r="AD293" s="93">
        <f>VLOOKUP(A293,'Parameters Summary'!$B$2:$AB$826,20,FALSE)</f>
        <v>491.8</v>
      </c>
      <c r="AE293" s="97" t="str">
        <f>VLOOKUP(A293,'Parameters Summary'!$B$2:$AB$826,21,FALSE)</f>
        <v>EPI</v>
      </c>
      <c r="AF293" s="97"/>
      <c r="AG293" s="94"/>
      <c r="AH293" s="92"/>
      <c r="AI293" s="96"/>
      <c r="AJ293" s="330"/>
      <c r="AL293" s="81"/>
    </row>
    <row r="294" spans="1:38" ht="12.75" customHeight="1">
      <c r="A294" s="96" t="s">
        <v>874</v>
      </c>
      <c r="B294" s="96" t="s">
        <v>1111</v>
      </c>
      <c r="C294" s="96" t="str">
        <f t="shared" si="27"/>
        <v>No</v>
      </c>
      <c r="D294" s="96" t="str">
        <f>VLOOKUP(A294,'Tox Summary'!$O$3:$R$824,3,FALSE)</f>
        <v>No</v>
      </c>
      <c r="E294" s="97">
        <f>VLOOKUP(A294,'Parameters Summary'!$B$2:$AB$826,4,FALSE)</f>
        <v>122.17</v>
      </c>
      <c r="F294" s="97" t="str">
        <f>VLOOKUP(A294,'Parameters Summary'!$B$2:$AB$826,5,FALSE)</f>
        <v>PHYSPROP</v>
      </c>
      <c r="G294" s="93">
        <f>VLOOKUP(A294,'Parameters Summary'!$B$2:$AB$826,9,FALSE)</f>
        <v>0.17100000000000001</v>
      </c>
      <c r="H294" s="93" t="str">
        <f>VLOOKUP(A294,'Parameters Summary'!$B$2:$AB$826,10,FALSE)</f>
        <v>EPI</v>
      </c>
      <c r="I294" s="93">
        <f>VLOOKUP(A294,'Parameters Summary'!$B$2:$AB$826,24,FALSE)</f>
        <v>6050</v>
      </c>
      <c r="J294" s="97" t="str">
        <f>VLOOKUP(A294,'Parameters Summary'!$B$2:$AB$826,25,FALSE)</f>
        <v>PHYSPROP</v>
      </c>
      <c r="K294" s="97" t="str">
        <f>VLOOKUP(A294,'Tox Summary'!$O$3:$S$827,2,FALSE)</f>
        <v/>
      </c>
      <c r="L294" s="93">
        <f>VLOOKUP(A294,'Parameters Summary'!$B$2:$AB$826,7,FALSE)</f>
        <v>6.6499999999999999E-6</v>
      </c>
      <c r="M294" s="93" t="str">
        <f>VLOOKUP(A294,'Parameters Summary'!$B$2:$AB$826,8,FALSE)</f>
        <v>PHYSPROP</v>
      </c>
      <c r="N294" s="91">
        <f>VLOOKUP(A294,'Parameters Summary'!$B$2:$AB$826,6,FALSE)</f>
        <v>2.719E-4</v>
      </c>
      <c r="O294" s="91" t="str">
        <f t="shared" si="25"/>
        <v/>
      </c>
      <c r="P294" s="91">
        <f t="shared" si="28"/>
        <v>2.719E-4</v>
      </c>
      <c r="Q294" s="91" t="str">
        <f t="shared" si="26"/>
        <v/>
      </c>
      <c r="R294" s="91">
        <f t="shared" si="29"/>
        <v>2.719E-4</v>
      </c>
      <c r="S294" s="91" t="str">
        <f t="shared" si="30"/>
        <v/>
      </c>
      <c r="T294" s="93">
        <f>VLOOKUP(A294,'Parameters Summary'!$B$2:$AB$826,15,FALSE)</f>
        <v>7.7169199999999993E-2</v>
      </c>
      <c r="U294" s="93" t="str">
        <f>VLOOKUP(A294,'Parameters Summary'!$B$2:$AB$826,17,FALSE)</f>
        <v>WATER9 (U.S. EPA, 2001)</v>
      </c>
      <c r="V294" s="93">
        <f>VLOOKUP(A294,'Parameters Summary'!$B$2:$AB$826,16,FALSE)</f>
        <v>9.0165999999999994E-6</v>
      </c>
      <c r="W294" s="379" t="str">
        <f>VLOOKUP(A294,'Parameters Summary'!$B$2:$AB$826,17,FALSE)</f>
        <v>WATER9 (U.S. EPA, 2001)</v>
      </c>
      <c r="X294" s="290">
        <v>474.15</v>
      </c>
      <c r="Y294" s="96" t="s">
        <v>553</v>
      </c>
      <c r="Z294" s="96">
        <f>1.5*X294</f>
        <v>711.22499999999991</v>
      </c>
      <c r="AA294" s="96" t="s">
        <v>2220</v>
      </c>
      <c r="AB294" s="96" t="s">
        <v>1651</v>
      </c>
      <c r="AC294" s="96"/>
      <c r="AD294" s="93">
        <f>VLOOKUP(A294,'Parameters Summary'!$B$2:$AB$826,20,FALSE)</f>
        <v>501.9</v>
      </c>
      <c r="AE294" s="97" t="str">
        <f>VLOOKUP(A294,'Parameters Summary'!$B$2:$AB$826,21,FALSE)</f>
        <v>EPI</v>
      </c>
      <c r="AF294" s="97"/>
      <c r="AG294" s="94"/>
      <c r="AH294" s="92"/>
      <c r="AI294" s="96"/>
      <c r="AJ294" s="330"/>
      <c r="AL294" s="81"/>
    </row>
    <row r="295" spans="1:38" ht="12.75" customHeight="1">
      <c r="A295" s="96" t="s">
        <v>875</v>
      </c>
      <c r="B295" s="96" t="s">
        <v>1112</v>
      </c>
      <c r="C295" s="96" t="str">
        <f t="shared" si="27"/>
        <v>No</v>
      </c>
      <c r="D295" s="96" t="str">
        <f>VLOOKUP(A295,'Tox Summary'!$O$3:$R$824,3,FALSE)</f>
        <v>No</v>
      </c>
      <c r="E295" s="97">
        <f>VLOOKUP(A295,'Parameters Summary'!$B$2:$AB$826,4,FALSE)</f>
        <v>122.17</v>
      </c>
      <c r="F295" s="97" t="str">
        <f>VLOOKUP(A295,'Parameters Summary'!$B$2:$AB$826,5,FALSE)</f>
        <v>PHYSPROP</v>
      </c>
      <c r="G295" s="93">
        <f>VLOOKUP(A295,'Parameters Summary'!$B$2:$AB$826,9,FALSE)</f>
        <v>3.56E-2</v>
      </c>
      <c r="H295" s="93" t="str">
        <f>VLOOKUP(A295,'Parameters Summary'!$B$2:$AB$826,10,FALSE)</f>
        <v>EPI</v>
      </c>
      <c r="I295" s="93">
        <f>VLOOKUP(A295,'Parameters Summary'!$B$2:$AB$826,24,FALSE)</f>
        <v>4760</v>
      </c>
      <c r="J295" s="97" t="str">
        <f>VLOOKUP(A295,'Parameters Summary'!$B$2:$AB$826,25,FALSE)</f>
        <v>PHYSPROP</v>
      </c>
      <c r="K295" s="97" t="str">
        <f>VLOOKUP(A295,'Tox Summary'!$O$3:$S$827,2,FALSE)</f>
        <v/>
      </c>
      <c r="L295" s="93">
        <f>VLOOKUP(A295,'Parameters Summary'!$B$2:$AB$826,7,FALSE)</f>
        <v>4.15E-7</v>
      </c>
      <c r="M295" s="93" t="str">
        <f>VLOOKUP(A295,'Parameters Summary'!$B$2:$AB$826,8,FALSE)</f>
        <v>PHYSPROP</v>
      </c>
      <c r="N295" s="91">
        <f>VLOOKUP(A295,'Parameters Summary'!$B$2:$AB$826,6,FALSE)</f>
        <v>1.7E-5</v>
      </c>
      <c r="O295" s="91" t="str">
        <f t="shared" si="25"/>
        <v/>
      </c>
      <c r="P295" s="91">
        <f t="shared" si="28"/>
        <v>1.7E-5</v>
      </c>
      <c r="Q295" s="91" t="str">
        <f t="shared" si="26"/>
        <v/>
      </c>
      <c r="R295" s="91">
        <f t="shared" si="29"/>
        <v>1.7E-5</v>
      </c>
      <c r="S295" s="91" t="str">
        <f t="shared" si="30"/>
        <v/>
      </c>
      <c r="T295" s="93">
        <f>VLOOKUP(A295,'Parameters Summary'!$B$2:$AB$826,15,FALSE)</f>
        <v>6.2761800000000006E-2</v>
      </c>
      <c r="U295" s="93" t="str">
        <f>VLOOKUP(A295,'Parameters Summary'!$B$2:$AB$826,17,FALSE)</f>
        <v>WATER9 (U.S. EPA, 2001)</v>
      </c>
      <c r="V295" s="93">
        <f>VLOOKUP(A295,'Parameters Summary'!$B$2:$AB$826,16,FALSE)</f>
        <v>8.4067000000000003E-6</v>
      </c>
      <c r="W295" s="379" t="str">
        <f>VLOOKUP(A295,'Parameters Summary'!$B$2:$AB$826,17,FALSE)</f>
        <v>WATER9 (U.S. EPA, 2001)</v>
      </c>
      <c r="X295" s="290">
        <v>500.15</v>
      </c>
      <c r="Y295" s="96" t="s">
        <v>553</v>
      </c>
      <c r="Z295" s="96">
        <f>1.5*X295</f>
        <v>750.22499999999991</v>
      </c>
      <c r="AA295" s="96" t="s">
        <v>2220</v>
      </c>
      <c r="AB295" s="96" t="s">
        <v>1651</v>
      </c>
      <c r="AC295" s="96"/>
      <c r="AD295" s="93">
        <f>VLOOKUP(A295,'Parameters Summary'!$B$2:$AB$826,20,FALSE)</f>
        <v>491.8</v>
      </c>
      <c r="AE295" s="97" t="str">
        <f>VLOOKUP(A295,'Parameters Summary'!$B$2:$AB$826,21,FALSE)</f>
        <v>EPI</v>
      </c>
      <c r="AF295" s="97"/>
      <c r="AG295" s="94"/>
      <c r="AH295" s="92"/>
      <c r="AI295" s="96"/>
      <c r="AJ295" s="330"/>
      <c r="AL295" s="81"/>
    </row>
    <row r="296" spans="1:38" ht="12.75" customHeight="1">
      <c r="A296" s="95" t="s">
        <v>876</v>
      </c>
      <c r="B296" s="96" t="s">
        <v>2331</v>
      </c>
      <c r="C296" s="96" t="str">
        <f t="shared" si="27"/>
        <v>Yes</v>
      </c>
      <c r="D296" s="96" t="str">
        <f>VLOOKUP(A296,'Tox Summary'!$O$3:$R$824,3,FALSE)</f>
        <v>Yes</v>
      </c>
      <c r="E296" s="97">
        <f>VLOOKUP(A296,'Parameters Summary'!$B$2:$AB$826,4,FALSE)</f>
        <v>194.19</v>
      </c>
      <c r="F296" s="97" t="str">
        <f>VLOOKUP(A296,'Parameters Summary'!$B$2:$AB$826,5,FALSE)</f>
        <v>PHYSPROP</v>
      </c>
      <c r="G296" s="93">
        <f>VLOOKUP(A296,'Parameters Summary'!$B$2:$AB$826,9,FALSE)</f>
        <v>0.01</v>
      </c>
      <c r="H296" s="93" t="str">
        <f>VLOOKUP(A296,'Parameters Summary'!$B$2:$AB$826,10,FALSE)</f>
        <v>PHYSPROP</v>
      </c>
      <c r="I296" s="93">
        <f>VLOOKUP(A296,'Parameters Summary'!$B$2:$AB$826,24,FALSE)</f>
        <v>19</v>
      </c>
      <c r="J296" s="97" t="str">
        <f>VLOOKUP(A296,'Parameters Summary'!$B$2:$AB$826,25,FALSE)</f>
        <v>PHYSPROP</v>
      </c>
      <c r="K296" s="97" t="str">
        <f>VLOOKUP(A296,'Tox Summary'!$O$3:$S$827,2,FALSE)</f>
        <v/>
      </c>
      <c r="L296" s="93">
        <f>VLOOKUP(A296,'Parameters Summary'!$B$2:$AB$826,7,FALSE)</f>
        <v>1.34E-4</v>
      </c>
      <c r="M296" s="93" t="str">
        <f>VLOOKUP(A296,'Parameters Summary'!$B$2:$AB$826,8,FALSE)</f>
        <v>EPI</v>
      </c>
      <c r="N296" s="91">
        <f>VLOOKUP(A296,'Parameters Summary'!$B$2:$AB$826,6,FALSE)</f>
        <v>5.4783000000000002E-3</v>
      </c>
      <c r="O296" s="91" t="str">
        <f t="shared" si="25"/>
        <v/>
      </c>
      <c r="P296" s="91">
        <f t="shared" si="28"/>
        <v>5.4783000000000002E-3</v>
      </c>
      <c r="Q296" s="91" t="str">
        <f t="shared" si="26"/>
        <v/>
      </c>
      <c r="R296" s="91">
        <f t="shared" si="29"/>
        <v>5.4783000000000002E-3</v>
      </c>
      <c r="S296" s="91" t="str">
        <f t="shared" si="30"/>
        <v/>
      </c>
      <c r="T296" s="93">
        <f>VLOOKUP(A296,'Parameters Summary'!$B$2:$AB$826,15,FALSE)</f>
        <v>2.85329E-2</v>
      </c>
      <c r="U296" s="93" t="str">
        <f>VLOOKUP(A296,'Parameters Summary'!$B$2:$AB$826,17,FALSE)</f>
        <v>WATER9 (U.S. EPA, 2001)</v>
      </c>
      <c r="V296" s="93">
        <f>VLOOKUP(A296,'Parameters Summary'!$B$2:$AB$826,16,FALSE)</f>
        <v>6.7170999999999996E-6</v>
      </c>
      <c r="W296" s="379" t="str">
        <f>VLOOKUP(A296,'Parameters Summary'!$B$2:$AB$826,17,FALSE)</f>
        <v>WATER9 (U.S. EPA, 2001)</v>
      </c>
      <c r="X296" s="290">
        <v>561</v>
      </c>
      <c r="Y296" s="96" t="s">
        <v>2217</v>
      </c>
      <c r="Z296" s="96">
        <v>841.5</v>
      </c>
      <c r="AA296" s="96" t="s">
        <v>2220</v>
      </c>
      <c r="AB296" s="96" t="s">
        <v>1651</v>
      </c>
      <c r="AC296" s="96"/>
      <c r="AD296" s="93">
        <f>VLOOKUP(A296,'Parameters Summary'!$B$2:$AB$826,20,FALSE)</f>
        <v>30.96</v>
      </c>
      <c r="AE296" s="97" t="str">
        <f>VLOOKUP(A296,'Parameters Summary'!$B$2:$AB$826,21,FALSE)</f>
        <v>EPI</v>
      </c>
      <c r="AF296" s="380"/>
      <c r="AG296" s="97"/>
      <c r="AH296" s="92"/>
      <c r="AI296" s="96"/>
      <c r="AJ296" s="330"/>
      <c r="AL296" s="81"/>
    </row>
    <row r="297" spans="1:38" ht="12.75" customHeight="1">
      <c r="A297" s="95" t="s">
        <v>877</v>
      </c>
      <c r="B297" s="96" t="s">
        <v>584</v>
      </c>
      <c r="C297" s="96" t="str">
        <f t="shared" si="27"/>
        <v>Yes</v>
      </c>
      <c r="D297" s="96" t="str">
        <f>VLOOKUP(A297,'Tox Summary'!$O$3:$R$824,3,FALSE)</f>
        <v>No</v>
      </c>
      <c r="E297" s="97">
        <f>VLOOKUP(A297,'Parameters Summary'!$B$2:$AB$826,4,FALSE)</f>
        <v>90.552999999999997</v>
      </c>
      <c r="F297" s="97" t="str">
        <f>VLOOKUP(A297,'Parameters Summary'!$B$2:$AB$826,5,FALSE)</f>
        <v>PHYSPROP</v>
      </c>
      <c r="G297" s="93">
        <f>VLOOKUP(A297,'Parameters Summary'!$B$2:$AB$826,9,FALSE)</f>
        <v>212</v>
      </c>
      <c r="H297" s="93" t="str">
        <f>VLOOKUP(A297,'Parameters Summary'!$B$2:$AB$826,10,FALSE)</f>
        <v>PHYSPROP</v>
      </c>
      <c r="I297" s="93">
        <f>VLOOKUP(A297,'Parameters Summary'!$B$2:$AB$826,24,FALSE)</f>
        <v>1000</v>
      </c>
      <c r="J297" s="97" t="str">
        <f>VLOOKUP(A297,'Parameters Summary'!$B$2:$AB$826,25,FALSE)</f>
        <v>PHYSPROP</v>
      </c>
      <c r="K297" s="97" t="str">
        <f>VLOOKUP(A297,'Tox Summary'!$O$3:$S$827,2,FALSE)</f>
        <v/>
      </c>
      <c r="L297" s="93">
        <f>VLOOKUP(A297,'Parameters Summary'!$B$2:$AB$826,7,FALSE)</f>
        <v>1.1842999999999999E-3</v>
      </c>
      <c r="M297" s="93" t="str">
        <f>VLOOKUP(A297,'Parameters Summary'!$B$2:$AB$826,8,FALSE)</f>
        <v>CRC89</v>
      </c>
      <c r="N297" s="91">
        <f>VLOOKUP(A297,'Parameters Summary'!$B$2:$AB$826,6,FALSE)</f>
        <v>4.8417000000000002E-2</v>
      </c>
      <c r="O297" s="91" t="str">
        <f t="shared" si="25"/>
        <v/>
      </c>
      <c r="P297" s="91">
        <f t="shared" si="28"/>
        <v>4.8417000000000002E-2</v>
      </c>
      <c r="Q297" s="91" t="str">
        <f t="shared" si="26"/>
        <v/>
      </c>
      <c r="R297" s="91">
        <f t="shared" si="29"/>
        <v>4.8417000000000002E-2</v>
      </c>
      <c r="S297" s="91" t="str">
        <f t="shared" si="30"/>
        <v/>
      </c>
      <c r="T297" s="93">
        <f>VLOOKUP(A297,'Parameters Summary'!$B$2:$AB$826,15,FALSE)</f>
        <v>8.1171599999999997E-2</v>
      </c>
      <c r="U297" s="93" t="str">
        <f>VLOOKUP(A297,'Parameters Summary'!$B$2:$AB$826,17,FALSE)</f>
        <v>WATER9 (U.S. EPA, 2001)</v>
      </c>
      <c r="V297" s="93">
        <f>VLOOKUP(A297,'Parameters Summary'!$B$2:$AB$826,16,FALSE)</f>
        <v>9.6606000000000003E-6</v>
      </c>
      <c r="W297" s="379" t="str">
        <f>VLOOKUP(A297,'Parameters Summary'!$B$2:$AB$826,17,FALSE)</f>
        <v>WATER9 (U.S. EPA, 2001)</v>
      </c>
      <c r="X297" s="290">
        <v>341.2</v>
      </c>
      <c r="Y297" s="96" t="s">
        <v>2213</v>
      </c>
      <c r="Z297" s="96">
        <v>518.49</v>
      </c>
      <c r="AA297" s="96" t="s">
        <v>2202</v>
      </c>
      <c r="AB297" s="96" t="s">
        <v>1651</v>
      </c>
      <c r="AC297" s="96"/>
      <c r="AD297" s="93">
        <f>VLOOKUP(A297,'Parameters Summary'!$B$2:$AB$826,20,FALSE)</f>
        <v>60.7</v>
      </c>
      <c r="AE297" s="97" t="str">
        <f>VLOOKUP(A297,'Parameters Summary'!$B$2:$AB$826,21,FALSE)</f>
        <v>EPI</v>
      </c>
      <c r="AF297" s="380"/>
      <c r="AG297" s="97"/>
      <c r="AH297" s="92"/>
      <c r="AI297" s="96"/>
      <c r="AJ297" s="330"/>
      <c r="AL297" s="81"/>
    </row>
    <row r="298" spans="1:38" ht="12.75" customHeight="1">
      <c r="A298" s="96" t="s">
        <v>880</v>
      </c>
      <c r="B298" s="96" t="s">
        <v>1114</v>
      </c>
      <c r="C298" s="96" t="str">
        <f t="shared" si="27"/>
        <v>No</v>
      </c>
      <c r="D298" s="96" t="str">
        <f>VLOOKUP(A298,'Tox Summary'!$O$3:$R$824,3,FALSE)</f>
        <v>No</v>
      </c>
      <c r="E298" s="97">
        <f>VLOOKUP(A298,'Parameters Summary'!$B$2:$AB$826,4,FALSE)</f>
        <v>168.11</v>
      </c>
      <c r="F298" s="97" t="str">
        <f>VLOOKUP(A298,'Parameters Summary'!$B$2:$AB$826,5,FALSE)</f>
        <v>PHYSPROP</v>
      </c>
      <c r="G298" s="93">
        <f>VLOOKUP(A298,'Parameters Summary'!$B$2:$AB$826,9,FALSE)</f>
        <v>4.5500000000000001E-5</v>
      </c>
      <c r="H298" s="93" t="str">
        <f>VLOOKUP(A298,'Parameters Summary'!$B$2:$AB$826,10,FALSE)</f>
        <v>EPI</v>
      </c>
      <c r="I298" s="93">
        <f>VLOOKUP(A298,'Parameters Summary'!$B$2:$AB$826,24,FALSE)</f>
        <v>133</v>
      </c>
      <c r="J298" s="97" t="str">
        <f>VLOOKUP(A298,'Parameters Summary'!$B$2:$AB$826,25,FALSE)</f>
        <v>PHYSPROP</v>
      </c>
      <c r="K298" s="97" t="str">
        <f>VLOOKUP(A298,'Tox Summary'!$O$3:$S$827,2,FALSE)</f>
        <v/>
      </c>
      <c r="L298" s="93">
        <f>VLOOKUP(A298,'Parameters Summary'!$B$2:$AB$826,7,FALSE)</f>
        <v>5.3300000000000001E-8</v>
      </c>
      <c r="M298" s="93" t="str">
        <f>VLOOKUP(A298,'Parameters Summary'!$B$2:$AB$826,8,FALSE)</f>
        <v>EPI</v>
      </c>
      <c r="N298" s="91">
        <f>VLOOKUP(A298,'Parameters Summary'!$B$2:$AB$826,6,FALSE)</f>
        <v>2.1791E-6</v>
      </c>
      <c r="O298" s="91" t="str">
        <f t="shared" si="25"/>
        <v/>
      </c>
      <c r="P298" s="91">
        <f t="shared" si="28"/>
        <v>2.1791E-6</v>
      </c>
      <c r="Q298" s="91" t="str">
        <f t="shared" si="26"/>
        <v/>
      </c>
      <c r="R298" s="91">
        <f t="shared" si="29"/>
        <v>2.1791E-6</v>
      </c>
      <c r="S298" s="91" t="str">
        <f t="shared" si="30"/>
        <v/>
      </c>
      <c r="T298" s="93">
        <f>VLOOKUP(A298,'Parameters Summary'!$B$2:$AB$826,15,FALSE)</f>
        <v>4.4717600000000003E-2</v>
      </c>
      <c r="U298" s="93" t="str">
        <f>VLOOKUP(A298,'Parameters Summary'!$B$2:$AB$826,17,FALSE)</f>
        <v>WATER9 (U.S. EPA, 2001)</v>
      </c>
      <c r="V298" s="93">
        <f>VLOOKUP(A298,'Parameters Summary'!$B$2:$AB$826,16,FALSE)</f>
        <v>8.2538000000000005E-6</v>
      </c>
      <c r="W298" s="379" t="str">
        <f>VLOOKUP(A298,'Parameters Summary'!$B$2:$AB$826,17,FALSE)</f>
        <v>WATER9 (U.S. EPA, 2001)</v>
      </c>
      <c r="X298" s="290">
        <v>591.15</v>
      </c>
      <c r="Y298" s="96" t="s">
        <v>553</v>
      </c>
      <c r="Z298" s="96">
        <f>1.5*X298</f>
        <v>886.72499999999991</v>
      </c>
      <c r="AA298" s="96" t="s">
        <v>2220</v>
      </c>
      <c r="AB298" s="96" t="s">
        <v>1651</v>
      </c>
      <c r="AC298" s="96"/>
      <c r="AD298" s="93">
        <f>VLOOKUP(A298,'Parameters Summary'!$B$2:$AB$826,20,FALSE)</f>
        <v>358.8</v>
      </c>
      <c r="AE298" s="97" t="str">
        <f>VLOOKUP(A298,'Parameters Summary'!$B$2:$AB$826,21,FALSE)</f>
        <v>EPI</v>
      </c>
      <c r="AF298" s="97"/>
      <c r="AG298" s="94"/>
      <c r="AH298" s="92"/>
      <c r="AI298" s="96"/>
      <c r="AJ298" s="330"/>
      <c r="AL298" s="81"/>
    </row>
    <row r="299" spans="1:38" ht="12.75" customHeight="1">
      <c r="A299" s="96" t="s">
        <v>881</v>
      </c>
      <c r="B299" s="96" t="s">
        <v>1115</v>
      </c>
      <c r="C299" s="96" t="str">
        <f t="shared" si="27"/>
        <v>No</v>
      </c>
      <c r="D299" s="96" t="str">
        <f>VLOOKUP(A299,'Tox Summary'!$O$3:$R$824,3,FALSE)</f>
        <v>No</v>
      </c>
      <c r="E299" s="97">
        <f>VLOOKUP(A299,'Parameters Summary'!$B$2:$AB$826,4,FALSE)</f>
        <v>168.11</v>
      </c>
      <c r="F299" s="97" t="str">
        <f>VLOOKUP(A299,'Parameters Summary'!$B$2:$AB$826,5,FALSE)</f>
        <v>PHYSPROP</v>
      </c>
      <c r="G299" s="93">
        <f>VLOOKUP(A299,'Parameters Summary'!$B$2:$AB$826,9,FALSE)</f>
        <v>8.9999999999999998E-4</v>
      </c>
      <c r="H299" s="93" t="str">
        <f>VLOOKUP(A299,'Parameters Summary'!$B$2:$AB$826,10,FALSE)</f>
        <v>EPI</v>
      </c>
      <c r="I299" s="93">
        <f>VLOOKUP(A299,'Parameters Summary'!$B$2:$AB$826,24,FALSE)</f>
        <v>533</v>
      </c>
      <c r="J299" s="97" t="str">
        <f>VLOOKUP(A299,'Parameters Summary'!$B$2:$AB$826,25,FALSE)</f>
        <v>PHYSPROP</v>
      </c>
      <c r="K299" s="97" t="str">
        <f>VLOOKUP(A299,'Tox Summary'!$O$3:$S$827,2,FALSE)</f>
        <v/>
      </c>
      <c r="L299" s="93">
        <f>VLOOKUP(A299,'Parameters Summary'!$B$2:$AB$826,7,FALSE)</f>
        <v>4.9000000000000002E-8</v>
      </c>
      <c r="M299" s="93" t="str">
        <f>VLOOKUP(A299,'Parameters Summary'!$B$2:$AB$826,8,FALSE)</f>
        <v>PHYSPROP</v>
      </c>
      <c r="N299" s="91">
        <f>VLOOKUP(A299,'Parameters Summary'!$B$2:$AB$826,6,FALSE)</f>
        <v>2.0032999999999999E-6</v>
      </c>
      <c r="O299" s="91" t="str">
        <f t="shared" si="25"/>
        <v/>
      </c>
      <c r="P299" s="91">
        <f t="shared" si="28"/>
        <v>2.0032999999999999E-6</v>
      </c>
      <c r="Q299" s="91" t="str">
        <f t="shared" si="26"/>
        <v/>
      </c>
      <c r="R299" s="91">
        <f t="shared" si="29"/>
        <v>2.0032999999999999E-6</v>
      </c>
      <c r="S299" s="91" t="str">
        <f t="shared" si="30"/>
        <v/>
      </c>
      <c r="T299" s="93">
        <f>VLOOKUP(A299,'Parameters Summary'!$B$2:$AB$826,15,FALSE)</f>
        <v>4.8498699999999999E-2</v>
      </c>
      <c r="U299" s="93" t="str">
        <f>VLOOKUP(A299,'Parameters Summary'!$B$2:$AB$826,17,FALSE)</f>
        <v>WATER9 (U.S. EPA, 2001)</v>
      </c>
      <c r="V299" s="93">
        <f>VLOOKUP(A299,'Parameters Summary'!$B$2:$AB$826,16,FALSE)</f>
        <v>9.2109000000000002E-6</v>
      </c>
      <c r="W299" s="379" t="str">
        <f>VLOOKUP(A299,'Parameters Summary'!$B$2:$AB$826,17,FALSE)</f>
        <v>WATER9 (U.S. EPA, 2001)</v>
      </c>
      <c r="X299" s="290">
        <v>564.15</v>
      </c>
      <c r="Y299" s="96" t="s">
        <v>553</v>
      </c>
      <c r="Z299" s="96">
        <f>1.5*X299</f>
        <v>846.22499999999991</v>
      </c>
      <c r="AA299" s="96" t="s">
        <v>2220</v>
      </c>
      <c r="AB299" s="96" t="s">
        <v>1651</v>
      </c>
      <c r="AC299" s="96"/>
      <c r="AD299" s="93">
        <f>VLOOKUP(A299,'Parameters Summary'!$B$2:$AB$826,20,FALSE)</f>
        <v>351.6</v>
      </c>
      <c r="AE299" s="97" t="str">
        <f>VLOOKUP(A299,'Parameters Summary'!$B$2:$AB$826,21,FALSE)</f>
        <v>EPI</v>
      </c>
      <c r="AF299" s="97"/>
      <c r="AG299" s="94"/>
      <c r="AH299" s="92"/>
      <c r="AI299" s="96"/>
      <c r="AJ299" s="330"/>
      <c r="AL299" s="81"/>
    </row>
    <row r="300" spans="1:38" ht="12.75" customHeight="1">
      <c r="A300" s="96" t="s">
        <v>882</v>
      </c>
      <c r="B300" s="96" t="s">
        <v>1116</v>
      </c>
      <c r="C300" s="96" t="str">
        <f t="shared" si="27"/>
        <v>No</v>
      </c>
      <c r="D300" s="96" t="str">
        <f>VLOOKUP(A300,'Tox Summary'!$O$3:$R$824,3,FALSE)</f>
        <v>Yes</v>
      </c>
      <c r="E300" s="97">
        <f>VLOOKUP(A300,'Parameters Summary'!$B$2:$AB$826,4,FALSE)</f>
        <v>168.11</v>
      </c>
      <c r="F300" s="97" t="str">
        <f>VLOOKUP(A300,'Parameters Summary'!$B$2:$AB$826,5,FALSE)</f>
        <v>PHYSPROP</v>
      </c>
      <c r="G300" s="93">
        <f>VLOOKUP(A300,'Parameters Summary'!$B$2:$AB$826,9,FALSE)</f>
        <v>2.6100000000000001E-5</v>
      </c>
      <c r="H300" s="93" t="str">
        <f>VLOOKUP(A300,'Parameters Summary'!$B$2:$AB$826,10,FALSE)</f>
        <v>PHYSPROP</v>
      </c>
      <c r="I300" s="93">
        <f>VLOOKUP(A300,'Parameters Summary'!$B$2:$AB$826,24,FALSE)</f>
        <v>69</v>
      </c>
      <c r="J300" s="97" t="str">
        <f>VLOOKUP(A300,'Parameters Summary'!$B$2:$AB$826,25,FALSE)</f>
        <v>PHYSPROP</v>
      </c>
      <c r="K300" s="97" t="str">
        <f>VLOOKUP(A300,'Tox Summary'!$O$3:$S$827,2,FALSE)</f>
        <v/>
      </c>
      <c r="L300" s="93">
        <f>VLOOKUP(A300,'Parameters Summary'!$B$2:$AB$826,7,FALSE)</f>
        <v>8.3900000000000004E-8</v>
      </c>
      <c r="M300" s="93" t="str">
        <f>VLOOKUP(A300,'Parameters Summary'!$B$2:$AB$826,8,FALSE)</f>
        <v>PHYSPROP</v>
      </c>
      <c r="N300" s="91">
        <f>VLOOKUP(A300,'Parameters Summary'!$B$2:$AB$826,6,FALSE)</f>
        <v>3.4301E-6</v>
      </c>
      <c r="O300" s="91" t="str">
        <f t="shared" si="25"/>
        <v/>
      </c>
      <c r="P300" s="91">
        <f t="shared" si="28"/>
        <v>3.4301E-6</v>
      </c>
      <c r="Q300" s="91" t="str">
        <f t="shared" si="26"/>
        <v/>
      </c>
      <c r="R300" s="91">
        <f t="shared" si="29"/>
        <v>3.4301E-6</v>
      </c>
      <c r="S300" s="91" t="str">
        <f t="shared" si="30"/>
        <v/>
      </c>
      <c r="T300" s="93">
        <f>VLOOKUP(A300,'Parameters Summary'!$B$2:$AB$826,15,FALSE)</f>
        <v>4.9166799999999997E-2</v>
      </c>
      <c r="U300" s="93" t="str">
        <f>VLOOKUP(A300,'Parameters Summary'!$B$2:$AB$826,17,FALSE)</f>
        <v>WATER9 (U.S. EPA, 2001)</v>
      </c>
      <c r="V300" s="93">
        <f>VLOOKUP(A300,'Parameters Summary'!$B$2:$AB$826,16,FALSE)</f>
        <v>9.3849000000000006E-6</v>
      </c>
      <c r="W300" s="379" t="str">
        <f>VLOOKUP(A300,'Parameters Summary'!$B$2:$AB$826,17,FALSE)</f>
        <v>WATER9 (U.S. EPA, 2001)</v>
      </c>
      <c r="X300" s="290">
        <v>570.15</v>
      </c>
      <c r="Y300" s="96" t="s">
        <v>553</v>
      </c>
      <c r="Z300" s="96">
        <f>1.5*X300</f>
        <v>855.22499999999991</v>
      </c>
      <c r="AA300" s="96" t="s">
        <v>2220</v>
      </c>
      <c r="AB300" s="96" t="s">
        <v>1651</v>
      </c>
      <c r="AC300" s="96"/>
      <c r="AD300" s="93">
        <f>VLOOKUP(A300,'Parameters Summary'!$B$2:$AB$826,20,FALSE)</f>
        <v>351.6</v>
      </c>
      <c r="AE300" s="97" t="str">
        <f>VLOOKUP(A300,'Parameters Summary'!$B$2:$AB$826,21,FALSE)</f>
        <v>EPI</v>
      </c>
      <c r="AF300" s="97"/>
      <c r="AG300" s="94"/>
      <c r="AH300" s="92"/>
      <c r="AI300" s="96"/>
      <c r="AJ300" s="330"/>
      <c r="AL300" s="81"/>
    </row>
    <row r="301" spans="1:38" ht="12.75" customHeight="1">
      <c r="A301" s="96" t="s">
        <v>878</v>
      </c>
      <c r="B301" s="96" t="s">
        <v>532</v>
      </c>
      <c r="C301" s="96" t="str">
        <f t="shared" si="27"/>
        <v>No</v>
      </c>
      <c r="D301" s="96" t="str">
        <f>VLOOKUP(A301,'Tox Summary'!$O$3:$R$824,3,FALSE)</f>
        <v>No</v>
      </c>
      <c r="E301" s="97">
        <f>VLOOKUP(A301,'Parameters Summary'!$B$2:$AB$826,4,FALSE)</f>
        <v>198.14</v>
      </c>
      <c r="F301" s="97" t="str">
        <f>VLOOKUP(A301,'Parameters Summary'!$B$2:$AB$826,5,FALSE)</f>
        <v>PHYSPROP</v>
      </c>
      <c r="G301" s="93">
        <f>VLOOKUP(A301,'Parameters Summary'!$B$2:$AB$826,9,FALSE)</f>
        <v>1.2E-4</v>
      </c>
      <c r="H301" s="93" t="str">
        <f>VLOOKUP(A301,'Parameters Summary'!$B$2:$AB$826,10,FALSE)</f>
        <v>PHYSPROP</v>
      </c>
      <c r="I301" s="93">
        <f>VLOOKUP(A301,'Parameters Summary'!$B$2:$AB$826,24,FALSE)</f>
        <v>198</v>
      </c>
      <c r="J301" s="97" t="str">
        <f>VLOOKUP(A301,'Parameters Summary'!$B$2:$AB$826,25,FALSE)</f>
        <v>PHYSPROP</v>
      </c>
      <c r="K301" s="97" t="str">
        <f>VLOOKUP(A301,'Tox Summary'!$O$3:$S$827,2,FALSE)</f>
        <v/>
      </c>
      <c r="L301" s="93">
        <f>VLOOKUP(A301,'Parameters Summary'!$B$2:$AB$826,7,FALSE)</f>
        <v>1.3999999999999999E-6</v>
      </c>
      <c r="M301" s="93" t="str">
        <f>VLOOKUP(A301,'Parameters Summary'!$B$2:$AB$826,8,FALSE)</f>
        <v>PHYSPROP</v>
      </c>
      <c r="N301" s="91">
        <f>VLOOKUP(A301,'Parameters Summary'!$B$2:$AB$826,6,FALSE)</f>
        <v>5.7200000000000001E-5</v>
      </c>
      <c r="O301" s="91" t="str">
        <f t="shared" si="25"/>
        <v/>
      </c>
      <c r="P301" s="91">
        <f t="shared" si="28"/>
        <v>5.7200000000000001E-5</v>
      </c>
      <c r="Q301" s="91" t="str">
        <f t="shared" si="26"/>
        <v/>
      </c>
      <c r="R301" s="91">
        <f t="shared" si="29"/>
        <v>5.7200000000000001E-5</v>
      </c>
      <c r="S301" s="91" t="str">
        <f t="shared" si="30"/>
        <v/>
      </c>
      <c r="T301" s="93">
        <f>VLOOKUP(A301,'Parameters Summary'!$B$2:$AB$826,15,FALSE)</f>
        <v>5.5903500000000002E-2</v>
      </c>
      <c r="U301" s="93" t="str">
        <f>VLOOKUP(A301,'Parameters Summary'!$B$2:$AB$826,17,FALSE)</f>
        <v>WATER9 (U.S. EPA, 2001)</v>
      </c>
      <c r="V301" s="93">
        <f>VLOOKUP(A301,'Parameters Summary'!$B$2:$AB$826,16,FALSE)</f>
        <v>6.5319000000000001E-6</v>
      </c>
      <c r="W301" s="379" t="str">
        <f>VLOOKUP(A301,'Parameters Summary'!$B$2:$AB$826,17,FALSE)</f>
        <v>WATER9 (U.S. EPA, 2001)</v>
      </c>
      <c r="X301" s="290">
        <v>651.15</v>
      </c>
      <c r="Y301" s="96" t="s">
        <v>553</v>
      </c>
      <c r="Z301" s="96">
        <f>1.5*X301</f>
        <v>976.72499999999991</v>
      </c>
      <c r="AA301" s="96" t="s">
        <v>2220</v>
      </c>
      <c r="AB301" s="96" t="s">
        <v>1651</v>
      </c>
      <c r="AC301" s="96"/>
      <c r="AD301" s="93">
        <f>VLOOKUP(A301,'Parameters Summary'!$B$2:$AB$826,20,FALSE)</f>
        <v>754.4</v>
      </c>
      <c r="AE301" s="97" t="str">
        <f>VLOOKUP(A301,'Parameters Summary'!$B$2:$AB$826,21,FALSE)</f>
        <v>EPI</v>
      </c>
      <c r="AF301" s="97"/>
      <c r="AG301" s="94"/>
      <c r="AH301" s="92"/>
      <c r="AI301" s="96"/>
      <c r="AJ301" s="330"/>
      <c r="AL301" s="81"/>
    </row>
    <row r="302" spans="1:38" ht="12.75" customHeight="1">
      <c r="A302" s="96" t="s">
        <v>879</v>
      </c>
      <c r="B302" s="96" t="s">
        <v>1113</v>
      </c>
      <c r="C302" s="96" t="str">
        <f t="shared" si="27"/>
        <v>No</v>
      </c>
      <c r="D302" s="96" t="str">
        <f>VLOOKUP(A302,'Tox Summary'!$O$3:$R$824,3,FALSE)</f>
        <v>No</v>
      </c>
      <c r="E302" s="97">
        <f>VLOOKUP(A302,'Parameters Summary'!$B$2:$AB$826,4,FALSE)</f>
        <v>266.26</v>
      </c>
      <c r="F302" s="97" t="str">
        <f>VLOOKUP(A302,'Parameters Summary'!$B$2:$AB$826,5,FALSE)</f>
        <v>PHYSPROP</v>
      </c>
      <c r="G302" s="93">
        <f>VLOOKUP(A302,'Parameters Summary'!$B$2:$AB$826,9,FALSE)</f>
        <v>4.1899999999999998E-8</v>
      </c>
      <c r="H302" s="93" t="str">
        <f>VLOOKUP(A302,'Parameters Summary'!$B$2:$AB$826,10,FALSE)</f>
        <v>PHYSPROP</v>
      </c>
      <c r="I302" s="93">
        <f>VLOOKUP(A302,'Parameters Summary'!$B$2:$AB$826,24,FALSE)</f>
        <v>15</v>
      </c>
      <c r="J302" s="97" t="str">
        <f>VLOOKUP(A302,'Parameters Summary'!$B$2:$AB$826,25,FALSE)</f>
        <v>PHYSPROP</v>
      </c>
      <c r="K302" s="97" t="str">
        <f>VLOOKUP(A302,'Tox Summary'!$O$3:$S$827,2,FALSE)</f>
        <v/>
      </c>
      <c r="L302" s="93">
        <f>VLOOKUP(A302,'Parameters Summary'!$B$2:$AB$826,7,FALSE)</f>
        <v>5.54E-8</v>
      </c>
      <c r="M302" s="93" t="str">
        <f>VLOOKUP(A302,'Parameters Summary'!$B$2:$AB$826,8,FALSE)</f>
        <v>PHYSPROP</v>
      </c>
      <c r="N302" s="91">
        <f>VLOOKUP(A302,'Parameters Summary'!$B$2:$AB$826,6,FALSE)</f>
        <v>2.2649000000000001E-6</v>
      </c>
      <c r="O302" s="91" t="str">
        <f t="shared" si="25"/>
        <v/>
      </c>
      <c r="P302" s="91">
        <f t="shared" si="28"/>
        <v>2.2649000000000001E-6</v>
      </c>
      <c r="Q302" s="91" t="str">
        <f t="shared" si="26"/>
        <v/>
      </c>
      <c r="R302" s="91">
        <f t="shared" si="29"/>
        <v>2.2649000000000001E-6</v>
      </c>
      <c r="S302" s="91" t="str">
        <f t="shared" si="30"/>
        <v/>
      </c>
      <c r="T302" s="93">
        <f>VLOOKUP(A302,'Parameters Summary'!$B$2:$AB$826,15,FALSE)</f>
        <v>4.5907400000000001E-2</v>
      </c>
      <c r="U302" s="93" t="str">
        <f>VLOOKUP(A302,'Parameters Summary'!$B$2:$AB$826,17,FALSE)</f>
        <v>WATER9 (U.S. EPA, 2001)</v>
      </c>
      <c r="V302" s="93">
        <f>VLOOKUP(A302,'Parameters Summary'!$B$2:$AB$826,16,FALSE)</f>
        <v>5.3638999999999996E-6</v>
      </c>
      <c r="W302" s="379" t="str">
        <f>VLOOKUP(A302,'Parameters Summary'!$B$2:$AB$826,17,FALSE)</f>
        <v>WATER9 (U.S. EPA, 2001)</v>
      </c>
      <c r="X302" s="347"/>
      <c r="Y302" s="96"/>
      <c r="Z302" s="96" t="s">
        <v>1653</v>
      </c>
      <c r="AA302" s="96"/>
      <c r="AB302" s="96" t="s">
        <v>1651</v>
      </c>
      <c r="AC302" s="96"/>
      <c r="AD302" s="93">
        <f>VLOOKUP(A302,'Parameters Summary'!$B$2:$AB$826,20,FALSE)</f>
        <v>16540</v>
      </c>
      <c r="AE302" s="97" t="str">
        <f>VLOOKUP(A302,'Parameters Summary'!$B$2:$AB$826,21,FALSE)</f>
        <v>EPI</v>
      </c>
      <c r="AF302" s="97"/>
      <c r="AG302" s="94"/>
      <c r="AH302" s="92"/>
      <c r="AI302" s="96"/>
      <c r="AJ302" s="330"/>
      <c r="AL302" s="81"/>
    </row>
    <row r="303" spans="1:38" ht="12.75" customHeight="1">
      <c r="A303" s="96" t="s">
        <v>883</v>
      </c>
      <c r="B303" s="96" t="s">
        <v>1117</v>
      </c>
      <c r="C303" s="96" t="str">
        <f t="shared" si="27"/>
        <v>No</v>
      </c>
      <c r="D303" s="96" t="str">
        <f>VLOOKUP(A303,'Tox Summary'!$O$3:$R$824,3,FALSE)</f>
        <v>No</v>
      </c>
      <c r="E303" s="97">
        <f>VLOOKUP(A303,'Parameters Summary'!$B$2:$AB$826,4,FALSE)</f>
        <v>184.11</v>
      </c>
      <c r="F303" s="97" t="str">
        <f>VLOOKUP(A303,'Parameters Summary'!$B$2:$AB$826,5,FALSE)</f>
        <v>PHYSPROP</v>
      </c>
      <c r="G303" s="93">
        <f>VLOOKUP(A303,'Parameters Summary'!$B$2:$AB$826,9,FALSE)</f>
        <v>3.8999999999999999E-4</v>
      </c>
      <c r="H303" s="93" t="str">
        <f>VLOOKUP(A303,'Parameters Summary'!$B$2:$AB$826,10,FALSE)</f>
        <v>PHYSPROP</v>
      </c>
      <c r="I303" s="93">
        <f>VLOOKUP(A303,'Parameters Summary'!$B$2:$AB$826,24,FALSE)</f>
        <v>2790</v>
      </c>
      <c r="J303" s="97" t="str">
        <f>VLOOKUP(A303,'Parameters Summary'!$B$2:$AB$826,25,FALSE)</f>
        <v>PHYSPROP</v>
      </c>
      <c r="K303" s="97" t="str">
        <f>VLOOKUP(A303,'Tox Summary'!$O$3:$S$827,2,FALSE)</f>
        <v/>
      </c>
      <c r="L303" s="93">
        <f>VLOOKUP(A303,'Parameters Summary'!$B$2:$AB$826,7,FALSE)</f>
        <v>8.6000000000000002E-8</v>
      </c>
      <c r="M303" s="93" t="str">
        <f>VLOOKUP(A303,'Parameters Summary'!$B$2:$AB$826,8,FALSE)</f>
        <v>PHYSPROP</v>
      </c>
      <c r="N303" s="91">
        <f>VLOOKUP(A303,'Parameters Summary'!$B$2:$AB$826,6,FALSE)</f>
        <v>3.5159000000000001E-6</v>
      </c>
      <c r="O303" s="91" t="str">
        <f t="shared" si="25"/>
        <v/>
      </c>
      <c r="P303" s="91">
        <f t="shared" si="28"/>
        <v>3.5159000000000001E-6</v>
      </c>
      <c r="Q303" s="91" t="str">
        <f t="shared" si="26"/>
        <v/>
      </c>
      <c r="R303" s="91">
        <f t="shared" si="29"/>
        <v>3.5159000000000001E-6</v>
      </c>
      <c r="S303" s="91" t="str">
        <f t="shared" si="30"/>
        <v/>
      </c>
      <c r="T303" s="93">
        <f>VLOOKUP(A303,'Parameters Summary'!$B$2:$AB$826,15,FALSE)</f>
        <v>4.0669900000000002E-2</v>
      </c>
      <c r="U303" s="93" t="str">
        <f>VLOOKUP(A303,'Parameters Summary'!$B$2:$AB$826,17,FALSE)</f>
        <v>WATER9 (U.S. EPA, 2001)</v>
      </c>
      <c r="V303" s="93">
        <f>VLOOKUP(A303,'Parameters Summary'!$B$2:$AB$826,16,FALSE)</f>
        <v>9.0756E-6</v>
      </c>
      <c r="W303" s="379" t="str">
        <f>VLOOKUP(A303,'Parameters Summary'!$B$2:$AB$826,17,FALSE)</f>
        <v>WATER9 (U.S. EPA, 2001)</v>
      </c>
      <c r="X303" s="347"/>
      <c r="Y303" s="96"/>
      <c r="Z303" s="96" t="s">
        <v>1653</v>
      </c>
      <c r="AA303" s="96"/>
      <c r="AB303" s="96" t="s">
        <v>1651</v>
      </c>
      <c r="AC303" s="96"/>
      <c r="AD303" s="93">
        <f>VLOOKUP(A303,'Parameters Summary'!$B$2:$AB$826,20,FALSE)</f>
        <v>460.8</v>
      </c>
      <c r="AE303" s="97" t="str">
        <f>VLOOKUP(A303,'Parameters Summary'!$B$2:$AB$826,21,FALSE)</f>
        <v>EPI</v>
      </c>
      <c r="AF303" s="97"/>
      <c r="AG303" s="94"/>
      <c r="AH303" s="92"/>
      <c r="AI303" s="96"/>
      <c r="AJ303" s="330"/>
      <c r="AL303" s="81"/>
    </row>
    <row r="304" spans="1:38" ht="12.75" customHeight="1">
      <c r="A304" s="96" t="s">
        <v>2170</v>
      </c>
      <c r="B304" s="96" t="s">
        <v>1118</v>
      </c>
      <c r="C304" s="96" t="str">
        <f t="shared" si="27"/>
        <v>No</v>
      </c>
      <c r="D304" s="96" t="str">
        <f>VLOOKUP(A304,'Tox Summary'!$O$3:$R$824,3,FALSE)</f>
        <v>No</v>
      </c>
      <c r="E304" s="97">
        <f>VLOOKUP(A304,'Parameters Summary'!$B$2:$AB$826,4,FALSE)</f>
        <v>182.14</v>
      </c>
      <c r="F304" s="97" t="str">
        <f>VLOOKUP(A304,'Parameters Summary'!$B$2:$AB$826,5,FALSE)</f>
        <v>EPI</v>
      </c>
      <c r="G304" s="93">
        <f>VLOOKUP(A304,'Parameters Summary'!$B$2:$AB$826,9,FALSE)</f>
        <v>2.15E-3</v>
      </c>
      <c r="H304" s="93" t="str">
        <f>VLOOKUP(A304,'Parameters Summary'!$B$2:$AB$826,10,FALSE)</f>
        <v>EPI</v>
      </c>
      <c r="I304" s="93">
        <f>VLOOKUP(A304,'Parameters Summary'!$B$2:$AB$826,24,FALSE)</f>
        <v>270</v>
      </c>
      <c r="J304" s="97" t="str">
        <f>VLOOKUP(A304,'Parameters Summary'!$B$2:$AB$826,25,FALSE)</f>
        <v>EPI</v>
      </c>
      <c r="K304" s="97" t="str">
        <f>VLOOKUP(A304,'Tox Summary'!$O$3:$S$827,2,FALSE)</f>
        <v/>
      </c>
      <c r="L304" s="93">
        <f>VLOOKUP(A304,'Parameters Summary'!$B$2:$AB$826,7,FALSE)</f>
        <v>3.9700000000000002E-7</v>
      </c>
      <c r="M304" s="93" t="str">
        <f>VLOOKUP(A304,'Parameters Summary'!$B$2:$AB$826,8,FALSE)</f>
        <v>EPI</v>
      </c>
      <c r="N304" s="91">
        <f>VLOOKUP(A304,'Parameters Summary'!$B$2:$AB$826,6,FALSE)</f>
        <v>1.6200000000000001E-5</v>
      </c>
      <c r="O304" s="91" t="str">
        <f t="shared" si="25"/>
        <v/>
      </c>
      <c r="P304" s="91">
        <f t="shared" si="28"/>
        <v>1.6200000000000001E-5</v>
      </c>
      <c r="Q304" s="91" t="str">
        <f t="shared" si="26"/>
        <v/>
      </c>
      <c r="R304" s="91">
        <f t="shared" si="29"/>
        <v>1.6200000000000001E-5</v>
      </c>
      <c r="S304" s="91"/>
      <c r="T304" s="93">
        <f>VLOOKUP(A304,'Parameters Summary'!$B$2:$AB$826,15,FALSE)</f>
        <v>5.9131200000000002E-2</v>
      </c>
      <c r="U304" s="93" t="str">
        <f>VLOOKUP(A304,'Parameters Summary'!$B$2:$AB$826,17,FALSE)</f>
        <v>WATER9 (U.S. EPA, 2001)</v>
      </c>
      <c r="V304" s="93">
        <f>VLOOKUP(A304,'Parameters Summary'!$B$2:$AB$826,16,FALSE)</f>
        <v>6.9090000000000003E-6</v>
      </c>
      <c r="W304" s="379" t="str">
        <f>VLOOKUP(A304,'Parameters Summary'!$B$2:$AB$826,17,FALSE)</f>
        <v>WATER9 (U.S. EPA, 2001)</v>
      </c>
      <c r="X304" s="347"/>
      <c r="Y304" s="96"/>
      <c r="Z304" s="96" t="s">
        <v>1653</v>
      </c>
      <c r="AA304" s="96"/>
      <c r="AB304" s="96" t="s">
        <v>1651</v>
      </c>
      <c r="AC304" s="96"/>
      <c r="AD304" s="93">
        <f>VLOOKUP(A304,'Parameters Summary'!$B$2:$AB$826,20,FALSE)</f>
        <v>587.4</v>
      </c>
      <c r="AE304" s="97" t="str">
        <f>VLOOKUP(A304,'Parameters Summary'!$B$2:$AB$826,21,FALSE)</f>
        <v>EPI</v>
      </c>
      <c r="AF304" s="97"/>
      <c r="AG304" s="94"/>
      <c r="AH304" s="92"/>
      <c r="AI304" s="96"/>
      <c r="AJ304" s="330"/>
      <c r="AL304" s="81"/>
    </row>
    <row r="305" spans="1:38" ht="12.75" customHeight="1">
      <c r="A305" s="96" t="s">
        <v>885</v>
      </c>
      <c r="B305" s="96" t="s">
        <v>1119</v>
      </c>
      <c r="C305" s="96" t="str">
        <f t="shared" si="27"/>
        <v>No</v>
      </c>
      <c r="D305" s="96" t="str">
        <f>VLOOKUP(A305,'Tox Summary'!$O$3:$R$824,3,FALSE)</f>
        <v>No</v>
      </c>
      <c r="E305" s="97">
        <f>VLOOKUP(A305,'Parameters Summary'!$B$2:$AB$826,4,FALSE)</f>
        <v>182.14</v>
      </c>
      <c r="F305" s="97" t="str">
        <f>VLOOKUP(A305,'Parameters Summary'!$B$2:$AB$826,5,FALSE)</f>
        <v>PHYSPROP</v>
      </c>
      <c r="G305" s="93">
        <f>VLOOKUP(A305,'Parameters Summary'!$B$2:$AB$826,9,FALSE)</f>
        <v>1.47E-4</v>
      </c>
      <c r="H305" s="93" t="str">
        <f>VLOOKUP(A305,'Parameters Summary'!$B$2:$AB$826,10,FALSE)</f>
        <v>PHYSPROP</v>
      </c>
      <c r="I305" s="93">
        <f>VLOOKUP(A305,'Parameters Summary'!$B$2:$AB$826,24,FALSE)</f>
        <v>200</v>
      </c>
      <c r="J305" s="97" t="str">
        <f>VLOOKUP(A305,'Parameters Summary'!$B$2:$AB$826,25,FALSE)</f>
        <v>PHYSPROP</v>
      </c>
      <c r="K305" s="97" t="str">
        <f>VLOOKUP(A305,'Tox Summary'!$O$3:$S$827,2,FALSE)</f>
        <v/>
      </c>
      <c r="L305" s="93">
        <f>VLOOKUP(A305,'Parameters Summary'!$B$2:$AB$826,7,FALSE)</f>
        <v>5.4E-8</v>
      </c>
      <c r="M305" s="93" t="str">
        <f>VLOOKUP(A305,'Parameters Summary'!$B$2:$AB$826,8,FALSE)</f>
        <v>PHYSPROP</v>
      </c>
      <c r="N305" s="91">
        <f>VLOOKUP(A305,'Parameters Summary'!$B$2:$AB$826,6,FALSE)</f>
        <v>2.2077000000000001E-6</v>
      </c>
      <c r="O305" s="91" t="str">
        <f t="shared" si="25"/>
        <v/>
      </c>
      <c r="P305" s="91">
        <f t="shared" si="28"/>
        <v>2.2077000000000001E-6</v>
      </c>
      <c r="Q305" s="91" t="str">
        <f t="shared" si="26"/>
        <v/>
      </c>
      <c r="R305" s="91">
        <f t="shared" si="29"/>
        <v>2.2077000000000001E-6</v>
      </c>
      <c r="S305" s="91" t="str">
        <f t="shared" ref="S305:S336" si="31">IF(OR(G305="No VP",Z305="No Tcrit",AB305="No DHv,b",L305="No Hc25"),"",G305*E305*53808.7856452378*O305/N305)</f>
        <v/>
      </c>
      <c r="T305" s="93">
        <f>VLOOKUP(A305,'Parameters Summary'!$B$2:$AB$826,15,FALSE)</f>
        <v>3.7511500000000003E-2</v>
      </c>
      <c r="U305" s="93" t="str">
        <f>VLOOKUP(A305,'Parameters Summary'!$B$2:$AB$826,17,FALSE)</f>
        <v>WATER9 (U.S. EPA, 2001)</v>
      </c>
      <c r="V305" s="93">
        <f>VLOOKUP(A305,'Parameters Summary'!$B$2:$AB$826,16,FALSE)</f>
        <v>7.8982E-6</v>
      </c>
      <c r="W305" s="379" t="str">
        <f>VLOOKUP(A305,'Parameters Summary'!$B$2:$AB$826,17,FALSE)</f>
        <v>WATER9 (U.S. EPA, 2001)</v>
      </c>
      <c r="X305" s="290">
        <v>573.15</v>
      </c>
      <c r="Y305" s="96" t="s">
        <v>553</v>
      </c>
      <c r="Z305" s="96">
        <f>1.5*X305</f>
        <v>859.72499999999991</v>
      </c>
      <c r="AA305" s="96" t="s">
        <v>2220</v>
      </c>
      <c r="AB305" s="96" t="s">
        <v>1651</v>
      </c>
      <c r="AC305" s="96"/>
      <c r="AD305" s="93">
        <f>VLOOKUP(A305,'Parameters Summary'!$B$2:$AB$826,20,FALSE)</f>
        <v>575.6</v>
      </c>
      <c r="AE305" s="97" t="str">
        <f>VLOOKUP(A305,'Parameters Summary'!$B$2:$AB$826,21,FALSE)</f>
        <v>EPI</v>
      </c>
      <c r="AF305" s="97"/>
      <c r="AG305" s="94"/>
      <c r="AH305" s="92"/>
      <c r="AI305" s="96"/>
      <c r="AJ305" s="330"/>
      <c r="AL305" s="81"/>
    </row>
    <row r="306" spans="1:38" ht="12.75" customHeight="1">
      <c r="A306" s="96" t="s">
        <v>886</v>
      </c>
      <c r="B306" s="96" t="s">
        <v>1120</v>
      </c>
      <c r="C306" s="96" t="str">
        <f t="shared" si="27"/>
        <v>No</v>
      </c>
      <c r="D306" s="96" t="str">
        <f>VLOOKUP(A306,'Tox Summary'!$O$3:$R$824,3,FALSE)</f>
        <v>No</v>
      </c>
      <c r="E306" s="97">
        <f>VLOOKUP(A306,'Parameters Summary'!$B$2:$AB$826,4,FALSE)</f>
        <v>182.14</v>
      </c>
      <c r="F306" s="97" t="str">
        <f>VLOOKUP(A306,'Parameters Summary'!$B$2:$AB$826,5,FALSE)</f>
        <v>PHYSPROP</v>
      </c>
      <c r="G306" s="93">
        <f>VLOOKUP(A306,'Parameters Summary'!$B$2:$AB$826,9,FALSE)</f>
        <v>5.6700000000000001E-4</v>
      </c>
      <c r="H306" s="93" t="str">
        <f>VLOOKUP(A306,'Parameters Summary'!$B$2:$AB$826,10,FALSE)</f>
        <v>PHYSPROP</v>
      </c>
      <c r="I306" s="93">
        <f>VLOOKUP(A306,'Parameters Summary'!$B$2:$AB$826,24,FALSE)</f>
        <v>182</v>
      </c>
      <c r="J306" s="97" t="str">
        <f>VLOOKUP(A306,'Parameters Summary'!$B$2:$AB$826,25,FALSE)</f>
        <v>PHYSPROP</v>
      </c>
      <c r="K306" s="97" t="str">
        <f>VLOOKUP(A306,'Tox Summary'!$O$3:$S$827,2,FALSE)</f>
        <v/>
      </c>
      <c r="L306" s="93">
        <f>VLOOKUP(A306,'Parameters Summary'!$B$2:$AB$826,7,FALSE)</f>
        <v>7.4700000000000001E-7</v>
      </c>
      <c r="M306" s="93" t="str">
        <f>VLOOKUP(A306,'Parameters Summary'!$B$2:$AB$826,8,FALSE)</f>
        <v>EPI</v>
      </c>
      <c r="N306" s="91">
        <f>VLOOKUP(A306,'Parameters Summary'!$B$2:$AB$826,6,FALSE)</f>
        <v>3.0499999999999999E-5</v>
      </c>
      <c r="O306" s="91" t="str">
        <f t="shared" si="25"/>
        <v/>
      </c>
      <c r="P306" s="91">
        <f t="shared" si="28"/>
        <v>3.0499999999999999E-5</v>
      </c>
      <c r="Q306" s="91" t="str">
        <f t="shared" si="26"/>
        <v/>
      </c>
      <c r="R306" s="91">
        <f t="shared" si="29"/>
        <v>3.0499999999999999E-5</v>
      </c>
      <c r="S306" s="91" t="str">
        <f t="shared" si="31"/>
        <v/>
      </c>
      <c r="T306" s="93">
        <f>VLOOKUP(A306,'Parameters Summary'!$B$2:$AB$826,15,FALSE)</f>
        <v>3.7025599999999999E-2</v>
      </c>
      <c r="U306" s="93" t="str">
        <f>VLOOKUP(A306,'Parameters Summary'!$B$2:$AB$826,17,FALSE)</f>
        <v>WATER9 (U.S. EPA, 2001)</v>
      </c>
      <c r="V306" s="93">
        <f>VLOOKUP(A306,'Parameters Summary'!$B$2:$AB$826,16,FALSE)</f>
        <v>7.7628999999999998E-6</v>
      </c>
      <c r="W306" s="379" t="str">
        <f>VLOOKUP(A306,'Parameters Summary'!$B$2:$AB$826,17,FALSE)</f>
        <v>WATER9 (U.S. EPA, 2001)</v>
      </c>
      <c r="X306" s="290">
        <v>573.15</v>
      </c>
      <c r="Y306" s="96" t="s">
        <v>553</v>
      </c>
      <c r="Z306" s="96">
        <f>1.5*X306</f>
        <v>859.72499999999991</v>
      </c>
      <c r="AA306" s="96" t="s">
        <v>2220</v>
      </c>
      <c r="AB306" s="96" t="s">
        <v>1651</v>
      </c>
      <c r="AC306" s="96"/>
      <c r="AD306" s="93">
        <f>VLOOKUP(A306,'Parameters Summary'!$B$2:$AB$826,20,FALSE)</f>
        <v>587.4</v>
      </c>
      <c r="AE306" s="97" t="str">
        <f>VLOOKUP(A306,'Parameters Summary'!$B$2:$AB$826,21,FALSE)</f>
        <v>EPI</v>
      </c>
      <c r="AF306" s="97"/>
      <c r="AG306" s="94"/>
      <c r="AH306" s="92"/>
      <c r="AI306" s="96"/>
      <c r="AJ306" s="330"/>
      <c r="AL306" s="81"/>
    </row>
    <row r="307" spans="1:38" ht="12.75" customHeight="1">
      <c r="A307" s="96" t="s">
        <v>887</v>
      </c>
      <c r="B307" s="96" t="s">
        <v>1121</v>
      </c>
      <c r="C307" s="96" t="str">
        <f t="shared" si="27"/>
        <v>No</v>
      </c>
      <c r="D307" s="96" t="str">
        <f>VLOOKUP(A307,'Tox Summary'!$O$3:$R$824,3,FALSE)</f>
        <v>No</v>
      </c>
      <c r="E307" s="97">
        <f>VLOOKUP(A307,'Parameters Summary'!$B$2:$AB$826,4,FALSE)</f>
        <v>197.15</v>
      </c>
      <c r="F307" s="97" t="str">
        <f>VLOOKUP(A307,'Parameters Summary'!$B$2:$AB$826,5,FALSE)</f>
        <v>PHYSPROP</v>
      </c>
      <c r="G307" s="93">
        <f>VLOOKUP(A307,'Parameters Summary'!$B$2:$AB$826,9,FALSE)</f>
        <v>1.0699999999999999E-5</v>
      </c>
      <c r="H307" s="93" t="str">
        <f>VLOOKUP(A307,'Parameters Summary'!$B$2:$AB$826,10,FALSE)</f>
        <v>PHYSPROP</v>
      </c>
      <c r="I307" s="93">
        <f>VLOOKUP(A307,'Parameters Summary'!$B$2:$AB$826,24,FALSE)</f>
        <v>1220</v>
      </c>
      <c r="J307" s="97" t="str">
        <f>VLOOKUP(A307,'Parameters Summary'!$B$2:$AB$826,25,FALSE)</f>
        <v>PHYSPROP</v>
      </c>
      <c r="K307" s="97" t="str">
        <f>VLOOKUP(A307,'Tox Summary'!$O$3:$S$827,2,FALSE)</f>
        <v/>
      </c>
      <c r="L307" s="93">
        <f>VLOOKUP(A307,'Parameters Summary'!$B$2:$AB$826,7,FALSE)</f>
        <v>3.2700000000000001E-11</v>
      </c>
      <c r="M307" s="93" t="str">
        <f>VLOOKUP(A307,'Parameters Summary'!$B$2:$AB$826,8,FALSE)</f>
        <v>PHYSPROP</v>
      </c>
      <c r="N307" s="91">
        <f>VLOOKUP(A307,'Parameters Summary'!$B$2:$AB$826,6,FALSE)</f>
        <v>1.3369E-9</v>
      </c>
      <c r="O307" s="91" t="str">
        <f t="shared" si="25"/>
        <v/>
      </c>
      <c r="P307" s="91">
        <f t="shared" si="28"/>
        <v>1.3369E-9</v>
      </c>
      <c r="Q307" s="91" t="str">
        <f t="shared" si="26"/>
        <v/>
      </c>
      <c r="R307" s="91">
        <f t="shared" si="29"/>
        <v>1.3369E-9</v>
      </c>
      <c r="S307" s="91" t="str">
        <f t="shared" si="31"/>
        <v/>
      </c>
      <c r="T307" s="93">
        <f>VLOOKUP(A307,'Parameters Summary'!$B$2:$AB$826,15,FALSE)</f>
        <v>5.6090500000000001E-2</v>
      </c>
      <c r="U307" s="93" t="str">
        <f>VLOOKUP(A307,'Parameters Summary'!$B$2:$AB$826,17,FALSE)</f>
        <v>WATER9 (U.S. EPA, 2001)</v>
      </c>
      <c r="V307" s="93">
        <f>VLOOKUP(A307,'Parameters Summary'!$B$2:$AB$826,16,FALSE)</f>
        <v>6.5536999999999996E-6</v>
      </c>
      <c r="W307" s="379" t="str">
        <f>VLOOKUP(A307,'Parameters Summary'!$B$2:$AB$826,17,FALSE)</f>
        <v>WATER9 (U.S. EPA, 2001)</v>
      </c>
      <c r="X307" s="347"/>
      <c r="Y307" s="96"/>
      <c r="Z307" s="96" t="s">
        <v>1653</v>
      </c>
      <c r="AA307" s="96"/>
      <c r="AB307" s="96" t="s">
        <v>1651</v>
      </c>
      <c r="AC307" s="96"/>
      <c r="AD307" s="93">
        <f>VLOOKUP(A307,'Parameters Summary'!$B$2:$AB$826,20,FALSE)</f>
        <v>283</v>
      </c>
      <c r="AE307" s="97" t="str">
        <f>VLOOKUP(A307,'Parameters Summary'!$B$2:$AB$826,21,FALSE)</f>
        <v>EPI</v>
      </c>
      <c r="AF307" s="97"/>
      <c r="AG307" s="94"/>
      <c r="AH307" s="92"/>
      <c r="AI307" s="96"/>
      <c r="AJ307" s="330"/>
      <c r="AL307" s="81"/>
    </row>
    <row r="308" spans="1:38" ht="12.75" customHeight="1">
      <c r="A308" s="96" t="s">
        <v>888</v>
      </c>
      <c r="B308" s="96" t="s">
        <v>1122</v>
      </c>
      <c r="C308" s="96" t="str">
        <f t="shared" si="27"/>
        <v>No</v>
      </c>
      <c r="D308" s="96" t="str">
        <f>VLOOKUP(A308,'Tox Summary'!$O$3:$R$824,3,FALSE)</f>
        <v>Yes</v>
      </c>
      <c r="E308" s="97">
        <f>VLOOKUP(A308,'Parameters Summary'!$B$2:$AB$826,4,FALSE)</f>
        <v>197.15</v>
      </c>
      <c r="F308" s="97" t="str">
        <f>VLOOKUP(A308,'Parameters Summary'!$B$2:$AB$826,5,FALSE)</f>
        <v>PHYSPROP</v>
      </c>
      <c r="G308" s="93">
        <f>VLOOKUP(A308,'Parameters Summary'!$B$2:$AB$826,9,FALSE)</f>
        <v>1.0699999999999999E-5</v>
      </c>
      <c r="H308" s="93" t="str">
        <f>VLOOKUP(A308,'Parameters Summary'!$B$2:$AB$826,10,FALSE)</f>
        <v>PHYSPROP</v>
      </c>
      <c r="I308" s="93">
        <f>VLOOKUP(A308,'Parameters Summary'!$B$2:$AB$826,24,FALSE)</f>
        <v>1220</v>
      </c>
      <c r="J308" s="97" t="str">
        <f>VLOOKUP(A308,'Parameters Summary'!$B$2:$AB$826,25,FALSE)</f>
        <v>PHYSPROP</v>
      </c>
      <c r="K308" s="97" t="str">
        <f>VLOOKUP(A308,'Tox Summary'!$O$3:$S$827,2,FALSE)</f>
        <v/>
      </c>
      <c r="L308" s="93">
        <f>VLOOKUP(A308,'Parameters Summary'!$B$2:$AB$826,7,FALSE)</f>
        <v>3.2700000000000001E-11</v>
      </c>
      <c r="M308" s="93" t="str">
        <f>VLOOKUP(A308,'Parameters Summary'!$B$2:$AB$826,8,FALSE)</f>
        <v>PHYSPROP</v>
      </c>
      <c r="N308" s="91">
        <f>VLOOKUP(A308,'Parameters Summary'!$B$2:$AB$826,6,FALSE)</f>
        <v>1.3369E-9</v>
      </c>
      <c r="O308" s="91" t="str">
        <f t="shared" si="25"/>
        <v/>
      </c>
      <c r="P308" s="91">
        <f t="shared" si="28"/>
        <v>1.3369E-9</v>
      </c>
      <c r="Q308" s="91" t="str">
        <f t="shared" si="26"/>
        <v/>
      </c>
      <c r="R308" s="91">
        <f t="shared" si="29"/>
        <v>1.3369E-9</v>
      </c>
      <c r="S308" s="91" t="str">
        <f t="shared" si="31"/>
        <v/>
      </c>
      <c r="T308" s="93">
        <f>VLOOKUP(A308,'Parameters Summary'!$B$2:$AB$826,15,FALSE)</f>
        <v>5.6090500000000001E-2</v>
      </c>
      <c r="U308" s="93" t="str">
        <f>VLOOKUP(A308,'Parameters Summary'!$B$2:$AB$826,17,FALSE)</f>
        <v>WATER9 (U.S. EPA, 2001)</v>
      </c>
      <c r="V308" s="93">
        <f>VLOOKUP(A308,'Parameters Summary'!$B$2:$AB$826,16,FALSE)</f>
        <v>6.5536999999999996E-6</v>
      </c>
      <c r="W308" s="379" t="str">
        <f>VLOOKUP(A308,'Parameters Summary'!$B$2:$AB$826,17,FALSE)</f>
        <v>WATER9 (U.S. EPA, 2001)</v>
      </c>
      <c r="X308" s="347"/>
      <c r="Y308" s="96"/>
      <c r="Z308" s="96" t="s">
        <v>1653</v>
      </c>
      <c r="AA308" s="96"/>
      <c r="AB308" s="96" t="s">
        <v>1651</v>
      </c>
      <c r="AC308" s="96"/>
      <c r="AD308" s="93">
        <f>VLOOKUP(A308,'Parameters Summary'!$B$2:$AB$826,20,FALSE)</f>
        <v>283</v>
      </c>
      <c r="AE308" s="97" t="str">
        <f>VLOOKUP(A308,'Parameters Summary'!$B$2:$AB$826,21,FALSE)</f>
        <v>EPI</v>
      </c>
      <c r="AF308" s="97"/>
      <c r="AG308" s="94"/>
      <c r="AH308" s="92"/>
      <c r="AI308" s="96"/>
      <c r="AJ308" s="330"/>
      <c r="AL308" s="81"/>
    </row>
    <row r="309" spans="1:38" ht="12.75" customHeight="1">
      <c r="A309" s="96" t="s">
        <v>884</v>
      </c>
      <c r="B309" s="96" t="s">
        <v>2031</v>
      </c>
      <c r="C309" s="96" t="str">
        <f t="shared" si="27"/>
        <v>No</v>
      </c>
      <c r="D309" s="96" t="str">
        <f>VLOOKUP(A309,'Tox Summary'!$O$3:$R$824,3,FALSE)</f>
        <v>No</v>
      </c>
      <c r="E309" s="97">
        <f>VLOOKUP(A309,'Parameters Summary'!$B$2:$AB$826,4,FALSE)</f>
        <v>546.41</v>
      </c>
      <c r="F309" s="97" t="str">
        <f>VLOOKUP(A309,'Parameters Summary'!$B$2:$AB$826,5,FALSE)</f>
        <v>PHYSPROP</v>
      </c>
      <c r="G309" s="93">
        <f>VLOOKUP(A309,'Parameters Summary'!$B$2:$AB$826,9,FALSE)</f>
        <v>3.97E-4</v>
      </c>
      <c r="H309" s="93" t="str">
        <f>VLOOKUP(A309,'Parameters Summary'!$B$2:$AB$826,10,FALSE)</f>
        <v>PHYSPROP</v>
      </c>
      <c r="I309" s="93">
        <f>VLOOKUP(A309,'Parameters Summary'!$B$2:$AB$826,24,FALSE)</f>
        <v>270</v>
      </c>
      <c r="J309" s="97" t="str">
        <f>VLOOKUP(A309,'Parameters Summary'!$B$2:$AB$826,25,FALSE)</f>
        <v>PHYSPROP</v>
      </c>
      <c r="K309" s="97" t="str">
        <f>VLOOKUP(A309,'Tox Summary'!$O$3:$S$827,2,FALSE)</f>
        <v/>
      </c>
      <c r="L309" s="93">
        <f>VLOOKUP(A309,'Parameters Summary'!$B$2:$AB$826,7,FALSE)</f>
        <v>9.2599999999999995E-8</v>
      </c>
      <c r="M309" s="93" t="str">
        <f>VLOOKUP(A309,'Parameters Summary'!$B$2:$AB$826,8,FALSE)</f>
        <v>PHYSPROP</v>
      </c>
      <c r="N309" s="91">
        <f>VLOOKUP(A309,'Parameters Summary'!$B$2:$AB$826,6,FALSE)</f>
        <v>3.7857999999999998E-6</v>
      </c>
      <c r="O309" s="91" t="str">
        <f t="shared" si="25"/>
        <v/>
      </c>
      <c r="P309" s="91">
        <f t="shared" si="28"/>
        <v>3.7857999999999998E-6</v>
      </c>
      <c r="Q309" s="91" t="str">
        <f t="shared" si="26"/>
        <v/>
      </c>
      <c r="R309" s="91">
        <f t="shared" si="29"/>
        <v>3.7857999999999998E-6</v>
      </c>
      <c r="S309" s="91" t="str">
        <f t="shared" si="31"/>
        <v/>
      </c>
      <c r="T309" s="93">
        <f>VLOOKUP(A309,'Parameters Summary'!$B$2:$AB$826,15,FALSE)</f>
        <v>2.84277E-2</v>
      </c>
      <c r="U309" s="93" t="str">
        <f>VLOOKUP(A309,'Parameters Summary'!$B$2:$AB$826,17,FALSE)</f>
        <v>WATER9 (U.S. EPA, 2001)</v>
      </c>
      <c r="V309" s="93">
        <f>VLOOKUP(A309,'Parameters Summary'!$B$2:$AB$826,16,FALSE)</f>
        <v>3.3214999999999999E-6</v>
      </c>
      <c r="W309" s="379" t="str">
        <f>VLOOKUP(A309,'Parameters Summary'!$B$2:$AB$826,17,FALSE)</f>
        <v>WATER9 (U.S. EPA, 2001)</v>
      </c>
      <c r="X309" s="347"/>
      <c r="Y309" s="96"/>
      <c r="Z309" s="96" t="s">
        <v>1653</v>
      </c>
      <c r="AA309" s="96"/>
      <c r="AB309" s="96" t="s">
        <v>1651</v>
      </c>
      <c r="AC309" s="96"/>
      <c r="AD309" s="93">
        <f>VLOOKUP(A309,'Parameters Summary'!$B$2:$AB$826,20,FALSE)</f>
        <v>587.4</v>
      </c>
      <c r="AE309" s="97" t="str">
        <f>VLOOKUP(A309,'Parameters Summary'!$B$2:$AB$826,21,FALSE)</f>
        <v>EPI</v>
      </c>
      <c r="AF309" s="97"/>
      <c r="AG309" s="94"/>
      <c r="AH309" s="92"/>
      <c r="AI309" s="96"/>
      <c r="AJ309" s="330"/>
      <c r="AL309" s="81"/>
    </row>
    <row r="310" spans="1:38" ht="12.75" customHeight="1">
      <c r="A310" s="96" t="s">
        <v>889</v>
      </c>
      <c r="B310" s="96" t="s">
        <v>1123</v>
      </c>
      <c r="C310" s="96" t="str">
        <f t="shared" si="27"/>
        <v>No</v>
      </c>
      <c r="D310" s="96" t="str">
        <f>VLOOKUP(A310,'Tox Summary'!$O$3:$R$824,3,FALSE)</f>
        <v>Yes</v>
      </c>
      <c r="E310" s="97">
        <f>VLOOKUP(A310,'Parameters Summary'!$B$2:$AB$826,4,FALSE)</f>
        <v>240.22</v>
      </c>
      <c r="F310" s="97" t="str">
        <f>VLOOKUP(A310,'Parameters Summary'!$B$2:$AB$826,5,FALSE)</f>
        <v>PHYSPROP</v>
      </c>
      <c r="G310" s="93">
        <f>VLOOKUP(A310,'Parameters Summary'!$B$2:$AB$826,9,FALSE)</f>
        <v>7.4999999999999993E-5</v>
      </c>
      <c r="H310" s="93" t="str">
        <f>VLOOKUP(A310,'Parameters Summary'!$B$2:$AB$826,10,FALSE)</f>
        <v>PHYSPROP</v>
      </c>
      <c r="I310" s="93">
        <f>VLOOKUP(A310,'Parameters Summary'!$B$2:$AB$826,24,FALSE)</f>
        <v>52</v>
      </c>
      <c r="J310" s="97" t="str">
        <f>VLOOKUP(A310,'Parameters Summary'!$B$2:$AB$826,25,FALSE)</f>
        <v>PHYSPROP</v>
      </c>
      <c r="K310" s="97">
        <f>VLOOKUP(A310,'Tox Summary'!$O$3:$S$827,2,FALSE)</f>
        <v>7</v>
      </c>
      <c r="L310" s="93">
        <f>VLOOKUP(A310,'Parameters Summary'!$B$2:$AB$826,7,FALSE)</f>
        <v>4.5600000000000001E-7</v>
      </c>
      <c r="M310" s="93" t="str">
        <f>VLOOKUP(A310,'Parameters Summary'!$B$2:$AB$826,8,FALSE)</f>
        <v>EPI</v>
      </c>
      <c r="N310" s="91">
        <f>VLOOKUP(A310,'Parameters Summary'!$B$2:$AB$826,6,FALSE)</f>
        <v>1.8600000000000001E-5</v>
      </c>
      <c r="O310" s="91" t="str">
        <f t="shared" si="25"/>
        <v/>
      </c>
      <c r="P310" s="91">
        <f t="shared" si="28"/>
        <v>1.8600000000000001E-5</v>
      </c>
      <c r="Q310" s="91" t="str">
        <f t="shared" si="26"/>
        <v/>
      </c>
      <c r="R310" s="91">
        <f t="shared" si="29"/>
        <v>1.8600000000000001E-5</v>
      </c>
      <c r="S310" s="91" t="str">
        <f t="shared" si="31"/>
        <v/>
      </c>
      <c r="T310" s="93">
        <f>VLOOKUP(A310,'Parameters Summary'!$B$2:$AB$826,15,FALSE)</f>
        <v>2.5345800000000002E-2</v>
      </c>
      <c r="U310" s="93" t="str">
        <f>VLOOKUP(A310,'Parameters Summary'!$B$2:$AB$826,17,FALSE)</f>
        <v>WATER9 (U.S. EPA, 2001)</v>
      </c>
      <c r="V310" s="93">
        <f>VLOOKUP(A310,'Parameters Summary'!$B$2:$AB$826,16,FALSE)</f>
        <v>6.5186999999999999E-6</v>
      </c>
      <c r="W310" s="379" t="str">
        <f>VLOOKUP(A310,'Parameters Summary'!$B$2:$AB$826,17,FALSE)</f>
        <v>WATER9 (U.S. EPA, 2001)</v>
      </c>
      <c r="X310" s="290">
        <v>605.15</v>
      </c>
      <c r="Y310" s="96" t="s">
        <v>553</v>
      </c>
      <c r="Z310" s="96">
        <f>1.5*X310</f>
        <v>907.72499999999991</v>
      </c>
      <c r="AA310" s="96" t="s">
        <v>2220</v>
      </c>
      <c r="AB310" s="96" t="s">
        <v>1651</v>
      </c>
      <c r="AC310" s="96"/>
      <c r="AD310" s="93">
        <f>VLOOKUP(A310,'Parameters Summary'!$B$2:$AB$826,20,FALSE)</f>
        <v>4294</v>
      </c>
      <c r="AE310" s="97" t="str">
        <f>VLOOKUP(A310,'Parameters Summary'!$B$2:$AB$826,21,FALSE)</f>
        <v>EPI</v>
      </c>
      <c r="AF310" s="97"/>
      <c r="AG310" s="94"/>
      <c r="AH310" s="92"/>
      <c r="AI310" s="96"/>
      <c r="AJ310" s="330"/>
      <c r="AL310" s="81"/>
    </row>
    <row r="311" spans="1:38" ht="12.75" customHeight="1">
      <c r="A311" s="95" t="s">
        <v>890</v>
      </c>
      <c r="B311" s="96" t="s">
        <v>1124</v>
      </c>
      <c r="C311" s="96" t="str">
        <f t="shared" si="27"/>
        <v>Yes</v>
      </c>
      <c r="D311" s="96" t="str">
        <f>VLOOKUP(A311,'Tox Summary'!$O$3:$R$824,3,FALSE)</f>
        <v>Yes</v>
      </c>
      <c r="E311" s="97">
        <f>VLOOKUP(A311,'Parameters Summary'!$B$2:$AB$826,4,FALSE)</f>
        <v>88.106999999999999</v>
      </c>
      <c r="F311" s="97" t="str">
        <f>VLOOKUP(A311,'Parameters Summary'!$B$2:$AB$826,5,FALSE)</f>
        <v>PHYSPROP</v>
      </c>
      <c r="G311" s="93">
        <f>VLOOKUP(A311,'Parameters Summary'!$B$2:$AB$826,9,FALSE)</f>
        <v>38.090000000000003</v>
      </c>
      <c r="H311" s="93" t="str">
        <f>VLOOKUP(A311,'Parameters Summary'!$B$2:$AB$826,10,FALSE)</f>
        <v>PHYSPROP</v>
      </c>
      <c r="I311" s="93">
        <f>VLOOKUP(A311,'Parameters Summary'!$B$2:$AB$826,24,FALSE)</f>
        <v>1000000</v>
      </c>
      <c r="J311" s="97" t="str">
        <f>VLOOKUP(A311,'Parameters Summary'!$B$2:$AB$826,25,FALSE)</f>
        <v>PHYSPROP</v>
      </c>
      <c r="K311" s="97" t="str">
        <f>VLOOKUP(A311,'Tox Summary'!$O$3:$S$827,2,FALSE)</f>
        <v/>
      </c>
      <c r="L311" s="93">
        <f>VLOOKUP(A311,'Parameters Summary'!$B$2:$AB$826,7,FALSE)</f>
        <v>4.7999999999999998E-6</v>
      </c>
      <c r="M311" s="93" t="str">
        <f>VLOOKUP(A311,'Parameters Summary'!$B$2:$AB$826,8,FALSE)</f>
        <v>PHYSPROP</v>
      </c>
      <c r="N311" s="91">
        <f>VLOOKUP(A311,'Parameters Summary'!$B$2:$AB$826,6,FALSE)</f>
        <v>1.962E-4</v>
      </c>
      <c r="O311" s="91">
        <f t="shared" si="25"/>
        <v>1.962E-4</v>
      </c>
      <c r="P311" s="91">
        <f t="shared" si="28"/>
        <v>1.962E-4</v>
      </c>
      <c r="Q311" s="91">
        <f t="shared" si="26"/>
        <v>1.962E-4</v>
      </c>
      <c r="R311" s="91">
        <f t="shared" si="29"/>
        <v>1.962E-4</v>
      </c>
      <c r="S311" s="91">
        <f t="shared" si="31"/>
        <v>180582049.4810248</v>
      </c>
      <c r="T311" s="93">
        <f>VLOOKUP(A311,'Parameters Summary'!$B$2:$AB$826,15,FALSE)</f>
        <v>8.7373900000000004E-2</v>
      </c>
      <c r="U311" s="93" t="str">
        <f>VLOOKUP(A311,'Parameters Summary'!$B$2:$AB$826,17,FALSE)</f>
        <v>WATER9 (U.S. EPA, 2001)</v>
      </c>
      <c r="V311" s="93">
        <f>VLOOKUP(A311,'Parameters Summary'!$B$2:$AB$826,16,FALSE)</f>
        <v>1.0499999999999999E-5</v>
      </c>
      <c r="W311" s="379" t="str">
        <f>VLOOKUP(A311,'Parameters Summary'!$B$2:$AB$826,17,FALSE)</f>
        <v>WATER9 (U.S. EPA, 2001)</v>
      </c>
      <c r="X311" s="290">
        <f>101.5+273.15</f>
        <v>374.65</v>
      </c>
      <c r="Y311" s="96" t="s">
        <v>553</v>
      </c>
      <c r="Z311" s="96">
        <f>312+273.15</f>
        <v>585.15</v>
      </c>
      <c r="AA311" s="96" t="s">
        <v>2218</v>
      </c>
      <c r="AB311" s="96">
        <f>98.6*E311</f>
        <v>8687.3501999999989</v>
      </c>
      <c r="AC311" s="96" t="s">
        <v>2218</v>
      </c>
      <c r="AD311" s="93">
        <f>VLOOKUP(A311,'Parameters Summary'!$B$2:$AB$826,20,FALSE)</f>
        <v>2.633</v>
      </c>
      <c r="AE311" s="97" t="str">
        <f>VLOOKUP(A311,'Parameters Summary'!$B$2:$AB$826,21,FALSE)</f>
        <v>EPI</v>
      </c>
      <c r="AF311" s="380">
        <v>2</v>
      </c>
      <c r="AG311" s="97" t="s">
        <v>302</v>
      </c>
      <c r="AH311" s="92"/>
      <c r="AI311" s="96"/>
      <c r="AJ311" s="330"/>
      <c r="AL311" s="81"/>
    </row>
    <row r="312" spans="1:38" ht="12.75" customHeight="1">
      <c r="A312" s="96" t="s">
        <v>892</v>
      </c>
      <c r="B312" s="96" t="s">
        <v>1126</v>
      </c>
      <c r="C312" s="96" t="str">
        <f t="shared" si="27"/>
        <v>No</v>
      </c>
      <c r="D312" s="96" t="str">
        <f>VLOOKUP(A312,'Tox Summary'!$O$3:$R$824,3,FALSE)</f>
        <v>Yes</v>
      </c>
      <c r="E312" s="97">
        <f>VLOOKUP(A312,'Parameters Summary'!$B$2:$AB$826,4,FALSE)</f>
        <v>239.32</v>
      </c>
      <c r="F312" s="97" t="str">
        <f>VLOOKUP(A312,'Parameters Summary'!$B$2:$AB$826,5,FALSE)</f>
        <v>PHYSPROP</v>
      </c>
      <c r="G312" s="93">
        <f>VLOOKUP(A312,'Parameters Summary'!$B$2:$AB$826,9,FALSE)</f>
        <v>2.9999999999999997E-8</v>
      </c>
      <c r="H312" s="93" t="str">
        <f>VLOOKUP(A312,'Parameters Summary'!$B$2:$AB$826,10,FALSE)</f>
        <v>PHYSPROP</v>
      </c>
      <c r="I312" s="93">
        <f>VLOOKUP(A312,'Parameters Summary'!$B$2:$AB$826,24,FALSE)</f>
        <v>260</v>
      </c>
      <c r="J312" s="97" t="str">
        <f>VLOOKUP(A312,'Parameters Summary'!$B$2:$AB$826,25,FALSE)</f>
        <v>PHYSPROP</v>
      </c>
      <c r="K312" s="97" t="str">
        <f>VLOOKUP(A312,'Tox Summary'!$O$3:$S$827,2,FALSE)</f>
        <v/>
      </c>
      <c r="L312" s="93">
        <f>VLOOKUP(A312,'Parameters Summary'!$B$2:$AB$826,7,FALSE)</f>
        <v>3.63E-11</v>
      </c>
      <c r="M312" s="93" t="str">
        <f>VLOOKUP(A312,'Parameters Summary'!$B$2:$AB$826,8,FALSE)</f>
        <v>EPI</v>
      </c>
      <c r="N312" s="91">
        <f>VLOOKUP(A312,'Parameters Summary'!$B$2:$AB$826,6,FALSE)</f>
        <v>1.4841000000000001E-9</v>
      </c>
      <c r="O312" s="91" t="str">
        <f t="shared" si="25"/>
        <v/>
      </c>
      <c r="P312" s="91">
        <f t="shared" si="28"/>
        <v>1.4841000000000001E-9</v>
      </c>
      <c r="Q312" s="91" t="str">
        <f t="shared" si="26"/>
        <v/>
      </c>
      <c r="R312" s="91">
        <f t="shared" si="29"/>
        <v>1.4841000000000001E-9</v>
      </c>
      <c r="S312" s="91" t="str">
        <f t="shared" si="31"/>
        <v/>
      </c>
      <c r="T312" s="93">
        <f>VLOOKUP(A312,'Parameters Summary'!$B$2:$AB$826,15,FALSE)</f>
        <v>2.4482899999999998E-2</v>
      </c>
      <c r="U312" s="93" t="str">
        <f>VLOOKUP(A312,'Parameters Summary'!$B$2:$AB$826,17,FALSE)</f>
        <v>WATER9 (U.S. EPA, 2001)</v>
      </c>
      <c r="V312" s="93">
        <f>VLOOKUP(A312,'Parameters Summary'!$B$2:$AB$826,16,FALSE)</f>
        <v>6.2344E-6</v>
      </c>
      <c r="W312" s="379" t="str">
        <f>VLOOKUP(A312,'Parameters Summary'!$B$2:$AB$826,17,FALSE)</f>
        <v>WATER9 (U.S. EPA, 2001)</v>
      </c>
      <c r="X312" s="347"/>
      <c r="Y312" s="96"/>
      <c r="Z312" s="96" t="s">
        <v>1653</v>
      </c>
      <c r="AA312" s="96"/>
      <c r="AB312" s="96" t="s">
        <v>1651</v>
      </c>
      <c r="AC312" s="96"/>
      <c r="AD312" s="93">
        <f>VLOOKUP(A312,'Parameters Summary'!$B$2:$AB$826,20,FALSE)</f>
        <v>4798</v>
      </c>
      <c r="AE312" s="97" t="str">
        <f>VLOOKUP(A312,'Parameters Summary'!$B$2:$AB$826,21,FALSE)</f>
        <v>EPI</v>
      </c>
      <c r="AF312" s="97"/>
      <c r="AG312" s="94"/>
      <c r="AH312" s="92"/>
      <c r="AI312" s="96"/>
      <c r="AJ312" s="330"/>
      <c r="AL312" s="81"/>
    </row>
    <row r="313" spans="1:38" ht="12.75" customHeight="1">
      <c r="A313" s="96" t="s">
        <v>893</v>
      </c>
      <c r="B313" s="96" t="s">
        <v>533</v>
      </c>
      <c r="C313" s="96" t="str">
        <f t="shared" si="27"/>
        <v>No</v>
      </c>
      <c r="D313" s="96" t="str">
        <f>VLOOKUP(A313,'Tox Summary'!$O$3:$R$824,3,FALSE)</f>
        <v>Yes</v>
      </c>
      <c r="E313" s="97">
        <f>VLOOKUP(A313,'Parameters Summary'!$B$2:$AB$826,4,FALSE)</f>
        <v>218.28</v>
      </c>
      <c r="F313" s="97" t="str">
        <f>VLOOKUP(A313,'Parameters Summary'!$B$2:$AB$826,5,FALSE)</f>
        <v>PHYSPROP</v>
      </c>
      <c r="G313" s="93">
        <f>VLOOKUP(A313,'Parameters Summary'!$B$2:$AB$826,9,FALSE)</f>
        <v>1.5299999999999999E-5</v>
      </c>
      <c r="H313" s="93" t="str">
        <f>VLOOKUP(A313,'Parameters Summary'!$B$2:$AB$826,10,FALSE)</f>
        <v>PHYSPROP</v>
      </c>
      <c r="I313" s="93">
        <f>VLOOKUP(A313,'Parameters Summary'!$B$2:$AB$826,24,FALSE)</f>
        <v>313.60000000000002</v>
      </c>
      <c r="J313" s="97" t="str">
        <f>VLOOKUP(A313,'Parameters Summary'!$B$2:$AB$826,25,FALSE)</f>
        <v>PHYSPROP</v>
      </c>
      <c r="K313" s="97" t="str">
        <f>VLOOKUP(A313,'Tox Summary'!$O$3:$S$827,2,FALSE)</f>
        <v/>
      </c>
      <c r="L313" s="93">
        <f>VLOOKUP(A313,'Parameters Summary'!$B$2:$AB$826,7,FALSE)</f>
        <v>2.4900000000000002E-7</v>
      </c>
      <c r="M313" s="93" t="str">
        <f>VLOOKUP(A313,'Parameters Summary'!$B$2:$AB$826,8,FALSE)</f>
        <v>PHYSPROP</v>
      </c>
      <c r="N313" s="91">
        <f>VLOOKUP(A313,'Parameters Summary'!$B$2:$AB$826,6,FALSE)</f>
        <v>1.0200000000000001E-5</v>
      </c>
      <c r="O313" s="91" t="str">
        <f t="shared" si="25"/>
        <v/>
      </c>
      <c r="P313" s="91">
        <f t="shared" si="28"/>
        <v>1.0200000000000001E-5</v>
      </c>
      <c r="Q313" s="91" t="str">
        <f t="shared" si="26"/>
        <v/>
      </c>
      <c r="R313" s="91">
        <f t="shared" si="29"/>
        <v>1.0200000000000001E-5</v>
      </c>
      <c r="S313" s="91" t="str">
        <f t="shared" si="31"/>
        <v/>
      </c>
      <c r="T313" s="93">
        <f>VLOOKUP(A313,'Parameters Summary'!$B$2:$AB$826,15,FALSE)</f>
        <v>2.6517700000000002E-2</v>
      </c>
      <c r="U313" s="93" t="str">
        <f>VLOOKUP(A313,'Parameters Summary'!$B$2:$AB$826,17,FALSE)</f>
        <v>WATER9 (U.S. EPA, 2001)</v>
      </c>
      <c r="V313" s="93">
        <f>VLOOKUP(A313,'Parameters Summary'!$B$2:$AB$826,16,FALSE)</f>
        <v>6.8615999999999997E-6</v>
      </c>
      <c r="W313" s="379" t="str">
        <f>VLOOKUP(A313,'Parameters Summary'!$B$2:$AB$826,17,FALSE)</f>
        <v>WATER9 (U.S. EPA, 2001)</v>
      </c>
      <c r="X313" s="290">
        <v>552.15</v>
      </c>
      <c r="Y313" s="96" t="s">
        <v>553</v>
      </c>
      <c r="Z313" s="96">
        <f>1.5*X313</f>
        <v>828.22499999999991</v>
      </c>
      <c r="AA313" s="96" t="s">
        <v>2220</v>
      </c>
      <c r="AB313" s="96" t="s">
        <v>1651</v>
      </c>
      <c r="AC313" s="96"/>
      <c r="AD313" s="93">
        <f>VLOOKUP(A313,'Parameters Summary'!$B$2:$AB$826,20,FALSE)</f>
        <v>1109</v>
      </c>
      <c r="AE313" s="97" t="str">
        <f>VLOOKUP(A313,'Parameters Summary'!$B$2:$AB$826,21,FALSE)</f>
        <v>EPI</v>
      </c>
      <c r="AF313" s="97"/>
      <c r="AG313" s="94"/>
      <c r="AH313" s="92"/>
      <c r="AI313" s="96"/>
      <c r="AJ313" s="330"/>
      <c r="AL313" s="81"/>
    </row>
    <row r="314" spans="1:38" ht="12.75" customHeight="1">
      <c r="A314" s="96" t="s">
        <v>894</v>
      </c>
      <c r="B314" s="96" t="s">
        <v>1127</v>
      </c>
      <c r="C314" s="96" t="str">
        <f t="shared" si="27"/>
        <v>No</v>
      </c>
      <c r="D314" s="96" t="str">
        <f>VLOOKUP(A314,'Tox Summary'!$O$3:$R$824,3,FALSE)</f>
        <v>Yes</v>
      </c>
      <c r="E314" s="97">
        <f>VLOOKUP(A314,'Parameters Summary'!$B$2:$AB$826,4,FALSE)</f>
        <v>169.23</v>
      </c>
      <c r="F314" s="97" t="str">
        <f>VLOOKUP(A314,'Parameters Summary'!$B$2:$AB$826,5,FALSE)</f>
        <v>PHYSPROP</v>
      </c>
      <c r="G314" s="93">
        <f>VLOOKUP(A314,'Parameters Summary'!$B$2:$AB$826,9,FALSE)</f>
        <v>6.7000000000000002E-4</v>
      </c>
      <c r="H314" s="93" t="str">
        <f>VLOOKUP(A314,'Parameters Summary'!$B$2:$AB$826,10,FALSE)</f>
        <v>PHYSPROP</v>
      </c>
      <c r="I314" s="93">
        <f>VLOOKUP(A314,'Parameters Summary'!$B$2:$AB$826,24,FALSE)</f>
        <v>53</v>
      </c>
      <c r="J314" s="97" t="str">
        <f>VLOOKUP(A314,'Parameters Summary'!$B$2:$AB$826,25,FALSE)</f>
        <v>PHYSPROP</v>
      </c>
      <c r="K314" s="97" t="str">
        <f>VLOOKUP(A314,'Tox Summary'!$O$3:$S$827,2,FALSE)</f>
        <v/>
      </c>
      <c r="L314" s="93">
        <f>VLOOKUP(A314,'Parameters Summary'!$B$2:$AB$826,7,FALSE)</f>
        <v>2.6900000000000001E-6</v>
      </c>
      <c r="M314" s="93" t="str">
        <f>VLOOKUP(A314,'Parameters Summary'!$B$2:$AB$826,8,FALSE)</f>
        <v>EPI</v>
      </c>
      <c r="N314" s="91">
        <f>VLOOKUP(A314,'Parameters Summary'!$B$2:$AB$826,6,FALSE)</f>
        <v>1.1E-4</v>
      </c>
      <c r="O314" s="91" t="str">
        <f t="shared" si="25"/>
        <v/>
      </c>
      <c r="P314" s="91">
        <f t="shared" si="28"/>
        <v>1.1E-4</v>
      </c>
      <c r="Q314" s="91" t="str">
        <f t="shared" si="26"/>
        <v/>
      </c>
      <c r="R314" s="91">
        <f t="shared" si="29"/>
        <v>1.1E-4</v>
      </c>
      <c r="S314" s="91" t="str">
        <f t="shared" si="31"/>
        <v/>
      </c>
      <c r="T314" s="93">
        <f>VLOOKUP(A314,'Parameters Summary'!$B$2:$AB$826,15,FALSE)</f>
        <v>4.1705600000000002E-2</v>
      </c>
      <c r="U314" s="93" t="str">
        <f>VLOOKUP(A314,'Parameters Summary'!$B$2:$AB$826,17,FALSE)</f>
        <v>WATER9 (U.S. EPA, 2001)</v>
      </c>
      <c r="V314" s="93">
        <f>VLOOKUP(A314,'Parameters Summary'!$B$2:$AB$826,16,FALSE)</f>
        <v>7.6279999999999996E-6</v>
      </c>
      <c r="W314" s="379" t="str">
        <f>VLOOKUP(A314,'Parameters Summary'!$B$2:$AB$826,17,FALSE)</f>
        <v>WATER9 (U.S. EPA, 2001)</v>
      </c>
      <c r="X314" s="290">
        <v>575.15</v>
      </c>
      <c r="Y314" s="96" t="s">
        <v>553</v>
      </c>
      <c r="Z314" s="96">
        <f>1.5*X314</f>
        <v>862.72499999999991</v>
      </c>
      <c r="AA314" s="96" t="s">
        <v>2220</v>
      </c>
      <c r="AB314" s="96" t="s">
        <v>1651</v>
      </c>
      <c r="AC314" s="96"/>
      <c r="AD314" s="93">
        <f>VLOOKUP(A314,'Parameters Summary'!$B$2:$AB$826,20,FALSE)</f>
        <v>825.8</v>
      </c>
      <c r="AE314" s="97" t="str">
        <f>VLOOKUP(A314,'Parameters Summary'!$B$2:$AB$826,21,FALSE)</f>
        <v>EPI</v>
      </c>
      <c r="AF314" s="97"/>
      <c r="AG314" s="94"/>
      <c r="AH314" s="92"/>
      <c r="AI314" s="96"/>
      <c r="AJ314" s="330"/>
      <c r="AL314" s="81"/>
    </row>
    <row r="315" spans="1:38" ht="12.75" customHeight="1">
      <c r="A315" s="96" t="s">
        <v>895</v>
      </c>
      <c r="B315" s="96" t="s">
        <v>1128</v>
      </c>
      <c r="C315" s="96" t="str">
        <f t="shared" si="27"/>
        <v>No</v>
      </c>
      <c r="D315" s="96" t="str">
        <f>VLOOKUP(A315,'Tox Summary'!$O$3:$R$824,3,FALSE)</f>
        <v>Yes</v>
      </c>
      <c r="E315" s="97">
        <f>VLOOKUP(A315,'Parameters Summary'!$B$2:$AB$826,4,FALSE)</f>
        <v>184.24</v>
      </c>
      <c r="F315" s="97" t="str">
        <f>VLOOKUP(A315,'Parameters Summary'!$B$2:$AB$826,5,FALSE)</f>
        <v>PHYSPROP</v>
      </c>
      <c r="G315" s="93">
        <f>VLOOKUP(A315,'Parameters Summary'!$B$2:$AB$826,9,FALSE)</f>
        <v>4.3600000000000003E-4</v>
      </c>
      <c r="H315" s="93" t="str">
        <f>VLOOKUP(A315,'Parameters Summary'!$B$2:$AB$826,10,FALSE)</f>
        <v>EPI</v>
      </c>
      <c r="I315" s="93">
        <f>VLOOKUP(A315,'Parameters Summary'!$B$2:$AB$826,24,FALSE)</f>
        <v>221</v>
      </c>
      <c r="J315" s="97" t="str">
        <f>VLOOKUP(A315,'Parameters Summary'!$B$2:$AB$826,25,FALSE)</f>
        <v>PHYSPROP</v>
      </c>
      <c r="K315" s="97" t="str">
        <f>VLOOKUP(A315,'Tox Summary'!$O$3:$S$827,2,FALSE)</f>
        <v/>
      </c>
      <c r="L315" s="93">
        <f>VLOOKUP(A315,'Parameters Summary'!$B$2:$AB$826,7,FALSE)</f>
        <v>4.7800000000000002E-7</v>
      </c>
      <c r="M315" s="93" t="str">
        <f>VLOOKUP(A315,'Parameters Summary'!$B$2:$AB$826,8,FALSE)</f>
        <v>EPI</v>
      </c>
      <c r="N315" s="91">
        <f>VLOOKUP(A315,'Parameters Summary'!$B$2:$AB$826,6,FALSE)</f>
        <v>1.95E-5</v>
      </c>
      <c r="O315" s="91" t="str">
        <f t="shared" si="25"/>
        <v/>
      </c>
      <c r="P315" s="91">
        <f t="shared" si="28"/>
        <v>1.95E-5</v>
      </c>
      <c r="Q315" s="91" t="str">
        <f t="shared" si="26"/>
        <v/>
      </c>
      <c r="R315" s="91">
        <f t="shared" si="29"/>
        <v>1.95E-5</v>
      </c>
      <c r="S315" s="91" t="str">
        <f t="shared" si="31"/>
        <v/>
      </c>
      <c r="T315" s="93">
        <f>VLOOKUP(A315,'Parameters Summary'!$B$2:$AB$826,15,FALSE)</f>
        <v>3.4311599999999998E-2</v>
      </c>
      <c r="U315" s="93" t="str">
        <f>VLOOKUP(A315,'Parameters Summary'!$B$2:$AB$826,17,FALSE)</f>
        <v>WATER9 (U.S. EPA, 2001)</v>
      </c>
      <c r="V315" s="93">
        <f>VLOOKUP(A315,'Parameters Summary'!$B$2:$AB$826,16,FALSE)</f>
        <v>7.2488E-6</v>
      </c>
      <c r="W315" s="379" t="str">
        <f>VLOOKUP(A315,'Parameters Summary'!$B$2:$AB$826,17,FALSE)</f>
        <v>WATER9 (U.S. EPA, 2001)</v>
      </c>
      <c r="X315" s="290">
        <v>582.15</v>
      </c>
      <c r="Y315" s="96" t="s">
        <v>553</v>
      </c>
      <c r="Z315" s="96">
        <f>1.5*X315</f>
        <v>873.22499999999991</v>
      </c>
      <c r="AA315" s="96" t="s">
        <v>2220</v>
      </c>
      <c r="AB315" s="96" t="s">
        <v>1651</v>
      </c>
      <c r="AC315" s="96"/>
      <c r="AD315" s="93">
        <f>VLOOKUP(A315,'Parameters Summary'!$B$2:$AB$826,20,FALSE)</f>
        <v>1505</v>
      </c>
      <c r="AE315" s="97" t="str">
        <f>VLOOKUP(A315,'Parameters Summary'!$B$2:$AB$826,21,FALSE)</f>
        <v>EPI</v>
      </c>
      <c r="AF315" s="97"/>
      <c r="AG315" s="94"/>
      <c r="AH315" s="92"/>
      <c r="AI315" s="96"/>
      <c r="AJ315" s="330"/>
      <c r="AL315" s="81"/>
    </row>
    <row r="316" spans="1:38" ht="12.75" customHeight="1">
      <c r="A316" s="96" t="s">
        <v>1587</v>
      </c>
      <c r="B316" s="96" t="s">
        <v>2387</v>
      </c>
      <c r="C316" s="96" t="str">
        <f t="shared" si="27"/>
        <v>No</v>
      </c>
      <c r="D316" s="96" t="str">
        <f>VLOOKUP(A316,'Tox Summary'!$O$3:$R$824,3,FALSE)</f>
        <v>No</v>
      </c>
      <c r="E316" s="97">
        <f>VLOOKUP(A316,'Parameters Summary'!$B$2:$AB$826,4,FALSE)</f>
        <v>174.18</v>
      </c>
      <c r="F316" s="97" t="str">
        <f>VLOOKUP(A316,'Parameters Summary'!$B$2:$AB$826,5,FALSE)</f>
        <v>EPI</v>
      </c>
      <c r="G316" s="93" t="s">
        <v>2439</v>
      </c>
      <c r="H316" s="93" t="str">
        <f>VLOOKUP(A316,'Parameters Summary'!$B$2:$AB$826,10,FALSE)</f>
        <v/>
      </c>
      <c r="I316" s="93" t="s">
        <v>2440</v>
      </c>
      <c r="J316" s="97" t="str">
        <f>VLOOKUP(A316,'Parameters Summary'!$B$2:$AB$826,25,FALSE)</f>
        <v/>
      </c>
      <c r="K316" s="97" t="str">
        <f>VLOOKUP(A316,'Tox Summary'!$O$3:$S$827,2,FALSE)</f>
        <v/>
      </c>
      <c r="L316" s="93" t="s">
        <v>2298</v>
      </c>
      <c r="M316" s="93" t="str">
        <f>VLOOKUP(A316,'Parameters Summary'!$B$2:$AB$826,8,FALSE)</f>
        <v/>
      </c>
      <c r="N316" s="91" t="str">
        <f>VLOOKUP(A316,'Parameters Summary'!$B$2:$AB$826,6,FALSE)</f>
        <v xml:space="preserve"> </v>
      </c>
      <c r="O316" s="91" t="str">
        <f t="shared" si="25"/>
        <v/>
      </c>
      <c r="P316" s="91" t="str">
        <f t="shared" si="28"/>
        <v xml:space="preserve"> </v>
      </c>
      <c r="Q316" s="91" t="str">
        <f t="shared" si="26"/>
        <v/>
      </c>
      <c r="R316" s="91" t="str">
        <f t="shared" si="29"/>
        <v xml:space="preserve"> </v>
      </c>
      <c r="S316" s="91" t="str">
        <f t="shared" si="31"/>
        <v/>
      </c>
      <c r="T316" s="93" t="str">
        <f>VLOOKUP(A316,'Parameters Summary'!$B$2:$AB$826,15,FALSE)</f>
        <v xml:space="preserve"> </v>
      </c>
      <c r="U316" s="93" t="str">
        <f>VLOOKUP(A316,'Parameters Summary'!$B$2:$AB$826,17,FALSE)</f>
        <v/>
      </c>
      <c r="V316" s="93" t="str">
        <f>VLOOKUP(A316,'Parameters Summary'!$B$2:$AB$826,16,FALSE)</f>
        <v xml:space="preserve"> </v>
      </c>
      <c r="W316" s="379" t="str">
        <f>VLOOKUP(A316,'Parameters Summary'!$B$2:$AB$826,17,FALSE)</f>
        <v/>
      </c>
      <c r="X316" s="347"/>
      <c r="Y316" s="96"/>
      <c r="Z316" s="96" t="s">
        <v>1653</v>
      </c>
      <c r="AA316" s="96"/>
      <c r="AB316" s="96" t="s">
        <v>1651</v>
      </c>
      <c r="AC316" s="96"/>
      <c r="AD316" s="93" t="str">
        <f>VLOOKUP(A316,'Parameters Summary'!$B$2:$AB$826,20,FALSE)</f>
        <v xml:space="preserve"> </v>
      </c>
      <c r="AE316" s="97" t="str">
        <f>VLOOKUP(A316,'Parameters Summary'!$B$2:$AB$826,21,FALSE)</f>
        <v/>
      </c>
      <c r="AF316" s="97"/>
      <c r="AG316" s="94"/>
      <c r="AH316" s="92"/>
      <c r="AI316" s="96"/>
      <c r="AJ316" s="330"/>
      <c r="AL316" s="81"/>
    </row>
    <row r="317" spans="1:38" ht="12.75" customHeight="1">
      <c r="A317" s="96" t="s">
        <v>896</v>
      </c>
      <c r="B317" s="96" t="s">
        <v>1129</v>
      </c>
      <c r="C317" s="96" t="str">
        <f t="shared" si="27"/>
        <v>No</v>
      </c>
      <c r="D317" s="96" t="str">
        <f>VLOOKUP(A317,'Tox Summary'!$O$3:$R$824,3,FALSE)</f>
        <v>No</v>
      </c>
      <c r="E317" s="97">
        <f>VLOOKUP(A317,'Parameters Summary'!$B$2:$AB$826,4,FALSE)</f>
        <v>344.05</v>
      </c>
      <c r="F317" s="97" t="str">
        <f>VLOOKUP(A317,'Parameters Summary'!$B$2:$AB$826,5,FALSE)</f>
        <v>PHYSPROP</v>
      </c>
      <c r="G317" s="93">
        <f>VLOOKUP(A317,'Parameters Summary'!$B$2:$AB$826,9,FALSE)</f>
        <v>1.81E-6</v>
      </c>
      <c r="H317" s="93" t="str">
        <f>VLOOKUP(A317,'Parameters Summary'!$B$2:$AB$826,10,FALSE)</f>
        <v>PHYSPROP</v>
      </c>
      <c r="I317" s="93">
        <f>VLOOKUP(A317,'Parameters Summary'!$B$2:$AB$826,24,FALSE)</f>
        <v>707900</v>
      </c>
      <c r="J317" s="97" t="str">
        <f>VLOOKUP(A317,'Parameters Summary'!$B$2:$AB$826,25,FALSE)</f>
        <v>PHYSPROP</v>
      </c>
      <c r="K317" s="97">
        <f>VLOOKUP(A317,'Tox Summary'!$O$3:$S$827,2,FALSE)</f>
        <v>20</v>
      </c>
      <c r="L317" s="93">
        <f>VLOOKUP(A317,'Parameters Summary'!$B$2:$AB$826,7,FALSE)</f>
        <v>1.42E-13</v>
      </c>
      <c r="M317" s="93" t="str">
        <f>VLOOKUP(A317,'Parameters Summary'!$B$2:$AB$826,8,FALSE)</f>
        <v>PHYSPROP</v>
      </c>
      <c r="N317" s="91">
        <f>VLOOKUP(A317,'Parameters Summary'!$B$2:$AB$826,6,FALSE)</f>
        <v>5.8049999999999996E-12</v>
      </c>
      <c r="O317" s="91" t="str">
        <f t="shared" si="25"/>
        <v/>
      </c>
      <c r="P317" s="91">
        <f t="shared" si="28"/>
        <v>5.8049999999999996E-12</v>
      </c>
      <c r="Q317" s="91" t="str">
        <f t="shared" si="26"/>
        <v/>
      </c>
      <c r="R317" s="91">
        <f t="shared" si="29"/>
        <v>5.8049999999999996E-12</v>
      </c>
      <c r="S317" s="91" t="str">
        <f t="shared" si="31"/>
        <v/>
      </c>
      <c r="T317" s="93">
        <f>VLOOKUP(A317,'Parameters Summary'!$B$2:$AB$826,15,FALSE)</f>
        <v>2.08104E-2</v>
      </c>
      <c r="U317" s="93" t="str">
        <f>VLOOKUP(A317,'Parameters Summary'!$B$2:$AB$826,17,FALSE)</f>
        <v>WATER9 (U.S. EPA, 2001)</v>
      </c>
      <c r="V317" s="93">
        <f>VLOOKUP(A317,'Parameters Summary'!$B$2:$AB$826,16,FALSE)</f>
        <v>5.1922E-6</v>
      </c>
      <c r="W317" s="379" t="str">
        <f>VLOOKUP(A317,'Parameters Summary'!$B$2:$AB$826,17,FALSE)</f>
        <v>WATER9 (U.S. EPA, 2001)</v>
      </c>
      <c r="X317" s="347"/>
      <c r="Y317" s="96"/>
      <c r="Z317" s="96" t="s">
        <v>1653</v>
      </c>
      <c r="AA317" s="96"/>
      <c r="AB317" s="96" t="s">
        <v>1651</v>
      </c>
      <c r="AC317" s="96"/>
      <c r="AD317" s="93">
        <f>VLOOKUP(A317,'Parameters Summary'!$B$2:$AB$826,20,FALSE)</f>
        <v>9272</v>
      </c>
      <c r="AE317" s="97" t="str">
        <f>VLOOKUP(A317,'Parameters Summary'!$B$2:$AB$826,21,FALSE)</f>
        <v>EPI</v>
      </c>
      <c r="AF317" s="97"/>
      <c r="AG317" s="94"/>
      <c r="AH317" s="92"/>
      <c r="AI317" s="96"/>
      <c r="AJ317" s="330"/>
      <c r="AL317" s="81"/>
    </row>
    <row r="318" spans="1:38" ht="12.75" customHeight="1">
      <c r="A318" s="96" t="s">
        <v>897</v>
      </c>
      <c r="B318" s="96" t="s">
        <v>1130</v>
      </c>
      <c r="C318" s="96" t="str">
        <f t="shared" si="27"/>
        <v>No</v>
      </c>
      <c r="D318" s="96" t="str">
        <f>VLOOKUP(A318,'Tox Summary'!$O$3:$R$824,3,FALSE)</f>
        <v>No</v>
      </c>
      <c r="E318" s="97">
        <f>VLOOKUP(A318,'Parameters Summary'!$B$2:$AB$826,4,FALSE)</f>
        <v>779.77</v>
      </c>
      <c r="F318" s="97" t="str">
        <f>VLOOKUP(A318,'Parameters Summary'!$B$2:$AB$826,5,FALSE)</f>
        <v>PHYSPROP</v>
      </c>
      <c r="G318" s="93">
        <f>VLOOKUP(A318,'Parameters Summary'!$B$2:$AB$826,9,FALSE)</f>
        <v>1.5299999999999999E-36</v>
      </c>
      <c r="H318" s="93" t="str">
        <f>VLOOKUP(A318,'Parameters Summary'!$B$2:$AB$826,10,FALSE)</f>
        <v>PHYSPROP</v>
      </c>
      <c r="I318" s="93">
        <f>VLOOKUP(A318,'Parameters Summary'!$B$2:$AB$826,24,FALSE)</f>
        <v>3000</v>
      </c>
      <c r="J318" s="97" t="str">
        <f>VLOOKUP(A318,'Parameters Summary'!$B$2:$AB$826,25,FALSE)</f>
        <v>PHYSPROP</v>
      </c>
      <c r="K318" s="97" t="str">
        <f>VLOOKUP(A318,'Tox Summary'!$O$3:$S$827,2,FALSE)</f>
        <v/>
      </c>
      <c r="L318" s="93">
        <f>VLOOKUP(A318,'Parameters Summary'!$B$2:$AB$826,7,FALSE)</f>
        <v>8.2299999999999998E-40</v>
      </c>
      <c r="M318" s="93" t="str">
        <f>VLOOKUP(A318,'Parameters Summary'!$B$2:$AB$826,8,FALSE)</f>
        <v>PHYSPROP</v>
      </c>
      <c r="N318" s="91">
        <f>VLOOKUP(A318,'Parameters Summary'!$B$2:$AB$826,6,FALSE)</f>
        <v>3.365E-38</v>
      </c>
      <c r="O318" s="91" t="str">
        <f t="shared" si="25"/>
        <v/>
      </c>
      <c r="P318" s="91">
        <f t="shared" si="28"/>
        <v>3.365E-38</v>
      </c>
      <c r="Q318" s="91" t="str">
        <f t="shared" si="26"/>
        <v/>
      </c>
      <c r="R318" s="91">
        <f t="shared" si="29"/>
        <v>3.365E-38</v>
      </c>
      <c r="S318" s="91" t="str">
        <f t="shared" si="31"/>
        <v/>
      </c>
      <c r="T318" s="93">
        <f>VLOOKUP(A318,'Parameters Summary'!$B$2:$AB$826,15,FALSE)</f>
        <v>2.2427200000000001E-2</v>
      </c>
      <c r="U318" s="93" t="str">
        <f>VLOOKUP(A318,'Parameters Summary'!$B$2:$AB$826,17,FALSE)</f>
        <v>WATER9 (U.S. EPA, 2001)</v>
      </c>
      <c r="V318" s="93">
        <f>VLOOKUP(A318,'Parameters Summary'!$B$2:$AB$826,16,FALSE)</f>
        <v>2.6203999999999999E-6</v>
      </c>
      <c r="W318" s="379" t="str">
        <f>VLOOKUP(A318,'Parameters Summary'!$B$2:$AB$826,17,FALSE)</f>
        <v>WATER9 (U.S. EPA, 2001)</v>
      </c>
      <c r="X318" s="347"/>
      <c r="Y318" s="96"/>
      <c r="Z318" s="96" t="s">
        <v>1653</v>
      </c>
      <c r="AA318" s="96"/>
      <c r="AB318" s="96" t="s">
        <v>1651</v>
      </c>
      <c r="AC318" s="96"/>
      <c r="AD318" s="93">
        <f>VLOOKUP(A318,'Parameters Summary'!$B$2:$AB$826,20,FALSE)</f>
        <v>242000000</v>
      </c>
      <c r="AE318" s="97" t="str">
        <f>VLOOKUP(A318,'Parameters Summary'!$B$2:$AB$826,21,FALSE)</f>
        <v>EPI</v>
      </c>
      <c r="AF318" s="97"/>
      <c r="AG318" s="94"/>
      <c r="AH318" s="92"/>
      <c r="AI318" s="96"/>
      <c r="AJ318" s="330"/>
      <c r="AL318" s="81"/>
    </row>
    <row r="319" spans="1:38" ht="12.75" customHeight="1">
      <c r="A319" s="96" t="s">
        <v>898</v>
      </c>
      <c r="B319" s="96" t="s">
        <v>1131</v>
      </c>
      <c r="C319" s="96" t="str">
        <f t="shared" si="27"/>
        <v>No</v>
      </c>
      <c r="D319" s="96" t="str">
        <f>VLOOKUP(A319,'Tox Summary'!$O$3:$R$824,3,FALSE)</f>
        <v>No</v>
      </c>
      <c r="E319" s="97">
        <f>VLOOKUP(A319,'Parameters Summary'!$B$2:$AB$826,4,FALSE)</f>
        <v>932.76</v>
      </c>
      <c r="F319" s="97" t="str">
        <f>VLOOKUP(A319,'Parameters Summary'!$B$2:$AB$826,5,FALSE)</f>
        <v>PHYSPROP</v>
      </c>
      <c r="G319" s="93">
        <f>VLOOKUP(A319,'Parameters Summary'!$B$2:$AB$826,9,FALSE)</f>
        <v>9.5400000000000002E-39</v>
      </c>
      <c r="H319" s="93" t="str">
        <f>VLOOKUP(A319,'Parameters Summary'!$B$2:$AB$826,10,FALSE)</f>
        <v>PHYSPROP</v>
      </c>
      <c r="I319" s="93">
        <f>VLOOKUP(A319,'Parameters Summary'!$B$2:$AB$826,24,FALSE)</f>
        <v>1.3660000000000001E-4</v>
      </c>
      <c r="J319" s="97" t="str">
        <f>VLOOKUP(A319,'Parameters Summary'!$B$2:$AB$826,25,FALSE)</f>
        <v>PHYSPROP</v>
      </c>
      <c r="K319" s="97" t="str">
        <f>VLOOKUP(A319,'Tox Summary'!$O$3:$S$827,2,FALSE)</f>
        <v/>
      </c>
      <c r="L319" s="93">
        <f>VLOOKUP(A319,'Parameters Summary'!$B$2:$AB$826,7,FALSE)</f>
        <v>9.1100000000000001E-44</v>
      </c>
      <c r="M319" s="93" t="str">
        <f>VLOOKUP(A319,'Parameters Summary'!$B$2:$AB$826,8,FALSE)</f>
        <v>PHYSPROP</v>
      </c>
      <c r="N319" s="91">
        <f>VLOOKUP(A319,'Parameters Summary'!$B$2:$AB$826,6,FALSE)</f>
        <v>3.7240000000000001E-42</v>
      </c>
      <c r="O319" s="91" t="str">
        <f t="shared" si="25"/>
        <v/>
      </c>
      <c r="P319" s="91">
        <f t="shared" si="28"/>
        <v>3.7240000000000001E-42</v>
      </c>
      <c r="Q319" s="91" t="str">
        <f t="shared" si="26"/>
        <v/>
      </c>
      <c r="R319" s="91">
        <f t="shared" si="29"/>
        <v>3.7240000000000001E-42</v>
      </c>
      <c r="S319" s="91" t="str">
        <f t="shared" si="31"/>
        <v/>
      </c>
      <c r="T319" s="93">
        <f>VLOOKUP(A319,'Parameters Summary'!$B$2:$AB$826,15,FALSE)</f>
        <v>1.99025E-2</v>
      </c>
      <c r="U319" s="93" t="str">
        <f>VLOOKUP(A319,'Parameters Summary'!$B$2:$AB$826,17,FALSE)</f>
        <v>WATER9 (U.S. EPA, 2001)</v>
      </c>
      <c r="V319" s="93">
        <f>VLOOKUP(A319,'Parameters Summary'!$B$2:$AB$826,16,FALSE)</f>
        <v>2.3253999999999998E-6</v>
      </c>
      <c r="W319" s="379" t="str">
        <f>VLOOKUP(A319,'Parameters Summary'!$B$2:$AB$826,17,FALSE)</f>
        <v>WATER9 (U.S. EPA, 2001)</v>
      </c>
      <c r="X319" s="347"/>
      <c r="Y319" s="96"/>
      <c r="Z319" s="96" t="s">
        <v>1653</v>
      </c>
      <c r="AA319" s="96"/>
      <c r="AB319" s="96" t="s">
        <v>1651</v>
      </c>
      <c r="AC319" s="96"/>
      <c r="AD319" s="93">
        <f>VLOOKUP(A319,'Parameters Summary'!$B$2:$AB$826,20,FALSE)</f>
        <v>790800000</v>
      </c>
      <c r="AE319" s="97" t="str">
        <f>VLOOKUP(A319,'Parameters Summary'!$B$2:$AB$826,21,FALSE)</f>
        <v>EPI</v>
      </c>
      <c r="AF319" s="97"/>
      <c r="AG319" s="94"/>
      <c r="AH319" s="92"/>
      <c r="AI319" s="96"/>
      <c r="AJ319" s="330"/>
      <c r="AL319" s="81"/>
    </row>
    <row r="320" spans="1:38" ht="12.75" customHeight="1">
      <c r="A320" s="96" t="s">
        <v>899</v>
      </c>
      <c r="B320" s="96" t="s">
        <v>1132</v>
      </c>
      <c r="C320" s="96" t="str">
        <f t="shared" si="27"/>
        <v>No</v>
      </c>
      <c r="D320" s="96" t="str">
        <f>VLOOKUP(A320,'Tox Summary'!$O$3:$R$824,3,FALSE)</f>
        <v>No</v>
      </c>
      <c r="E320" s="97">
        <f>VLOOKUP(A320,'Parameters Summary'!$B$2:$AB$826,4,FALSE)</f>
        <v>761.12</v>
      </c>
      <c r="F320" s="97" t="str">
        <f>VLOOKUP(A320,'Parameters Summary'!$B$2:$AB$826,5,FALSE)</f>
        <v>PHYSPROP</v>
      </c>
      <c r="G320" s="93">
        <f>VLOOKUP(A320,'Parameters Summary'!$B$2:$AB$826,9,FALSE)</f>
        <v>1.43E-41</v>
      </c>
      <c r="H320" s="93" t="str">
        <f>VLOOKUP(A320,'Parameters Summary'!$B$2:$AB$826,10,FALSE)</f>
        <v>PHYSPROP</v>
      </c>
      <c r="I320" s="93">
        <f>VLOOKUP(A320,'Parameters Summary'!$B$2:$AB$826,24,FALSE)</f>
        <v>1000000</v>
      </c>
      <c r="J320" s="97" t="str">
        <f>VLOOKUP(A320,'Parameters Summary'!$B$2:$AB$826,25,FALSE)</f>
        <v>PHYSPROP</v>
      </c>
      <c r="K320" s="97" t="str">
        <f>VLOOKUP(A320,'Tox Summary'!$O$3:$S$827,2,FALSE)</f>
        <v/>
      </c>
      <c r="L320" s="93" t="str">
        <f>VLOOKUP(A320,'Parameters Summary'!$B$2:$AB$826,7,FALSE)</f>
        <v xml:space="preserve"> </v>
      </c>
      <c r="M320" s="93" t="str">
        <f>VLOOKUP(A320,'Parameters Summary'!$B$2:$AB$826,8,FALSE)</f>
        <v/>
      </c>
      <c r="N320" s="91" t="str">
        <f>VLOOKUP(A320,'Parameters Summary'!$B$2:$AB$826,6,FALSE)</f>
        <v xml:space="preserve"> </v>
      </c>
      <c r="O320" s="91" t="str">
        <f t="shared" si="25"/>
        <v/>
      </c>
      <c r="P320" s="91" t="str">
        <f t="shared" si="28"/>
        <v xml:space="preserve"> </v>
      </c>
      <c r="Q320" s="91" t="str">
        <f t="shared" si="26"/>
        <v/>
      </c>
      <c r="R320" s="91" t="str">
        <f t="shared" si="29"/>
        <v xml:space="preserve"> </v>
      </c>
      <c r="S320" s="91" t="str">
        <f t="shared" si="31"/>
        <v/>
      </c>
      <c r="T320" s="93">
        <f>VLOOKUP(A320,'Parameters Summary'!$B$2:$AB$826,15,FALSE)</f>
        <v>2.2792099999999999E-2</v>
      </c>
      <c r="U320" s="93" t="str">
        <f>VLOOKUP(A320,'Parameters Summary'!$B$2:$AB$826,17,FALSE)</f>
        <v>WATER9 (U.S. EPA, 2001)</v>
      </c>
      <c r="V320" s="93">
        <f>VLOOKUP(A320,'Parameters Summary'!$B$2:$AB$826,16,FALSE)</f>
        <v>2.6631E-6</v>
      </c>
      <c r="W320" s="379" t="str">
        <f>VLOOKUP(A320,'Parameters Summary'!$B$2:$AB$826,17,FALSE)</f>
        <v>WATER9 (U.S. EPA, 2001)</v>
      </c>
      <c r="X320" s="347"/>
      <c r="Y320" s="96"/>
      <c r="Z320" s="96" t="s">
        <v>1653</v>
      </c>
      <c r="AA320" s="96"/>
      <c r="AB320" s="96" t="s">
        <v>1651</v>
      </c>
      <c r="AC320" s="96"/>
      <c r="AD320" s="93">
        <f>VLOOKUP(A320,'Parameters Summary'!$B$2:$AB$826,20,FALSE)</f>
        <v>6985000</v>
      </c>
      <c r="AE320" s="97" t="str">
        <f>VLOOKUP(A320,'Parameters Summary'!$B$2:$AB$826,21,FALSE)</f>
        <v>EPI</v>
      </c>
      <c r="AF320" s="97"/>
      <c r="AG320" s="94"/>
      <c r="AH320" s="92"/>
      <c r="AI320" s="96"/>
      <c r="AJ320" s="330"/>
      <c r="AL320" s="81"/>
    </row>
    <row r="321" spans="1:38" ht="12.75" customHeight="1">
      <c r="A321" s="96" t="s">
        <v>1588</v>
      </c>
      <c r="B321" s="96" t="s">
        <v>2388</v>
      </c>
      <c r="C321" s="96" t="str">
        <f t="shared" si="27"/>
        <v>No</v>
      </c>
      <c r="D321" s="96" t="str">
        <f>VLOOKUP(A321,'Tox Summary'!$O$3:$R$824,3,FALSE)</f>
        <v>No</v>
      </c>
      <c r="E321" s="97">
        <f>VLOOKUP(A321,'Parameters Summary'!$B$2:$AB$826,4,FALSE)</f>
        <v>141.96</v>
      </c>
      <c r="F321" s="97" t="str">
        <f>VLOOKUP(A321,'Parameters Summary'!$B$2:$AB$826,5,FALSE)</f>
        <v>EPI</v>
      </c>
      <c r="G321" s="93" t="s">
        <v>2439</v>
      </c>
      <c r="H321" s="93" t="str">
        <f>VLOOKUP(A321,'Parameters Summary'!$B$2:$AB$826,10,FALSE)</f>
        <v/>
      </c>
      <c r="I321" s="93" t="s">
        <v>2440</v>
      </c>
      <c r="J321" s="97" t="str">
        <f>VLOOKUP(A321,'Parameters Summary'!$B$2:$AB$826,25,FALSE)</f>
        <v/>
      </c>
      <c r="K321" s="97" t="str">
        <f>VLOOKUP(A321,'Tox Summary'!$O$3:$S$827,2,FALSE)</f>
        <v/>
      </c>
      <c r="L321" s="93" t="s">
        <v>2298</v>
      </c>
      <c r="M321" s="93" t="str">
        <f>VLOOKUP(A321,'Parameters Summary'!$B$2:$AB$826,8,FALSE)</f>
        <v/>
      </c>
      <c r="N321" s="91" t="str">
        <f>VLOOKUP(A321,'Parameters Summary'!$B$2:$AB$826,6,FALSE)</f>
        <v xml:space="preserve"> </v>
      </c>
      <c r="O321" s="91" t="str">
        <f t="shared" si="25"/>
        <v/>
      </c>
      <c r="P321" s="91" t="str">
        <f t="shared" si="28"/>
        <v xml:space="preserve"> </v>
      </c>
      <c r="Q321" s="91" t="str">
        <f t="shared" si="26"/>
        <v/>
      </c>
      <c r="R321" s="91" t="str">
        <f t="shared" si="29"/>
        <v xml:space="preserve"> </v>
      </c>
      <c r="S321" s="91" t="str">
        <f t="shared" si="31"/>
        <v/>
      </c>
      <c r="T321" s="93" t="str">
        <f>VLOOKUP(A321,'Parameters Summary'!$B$2:$AB$826,15,FALSE)</f>
        <v xml:space="preserve"> </v>
      </c>
      <c r="U321" s="93" t="str">
        <f>VLOOKUP(A321,'Parameters Summary'!$B$2:$AB$826,17,FALSE)</f>
        <v/>
      </c>
      <c r="V321" s="93" t="str">
        <f>VLOOKUP(A321,'Parameters Summary'!$B$2:$AB$826,16,FALSE)</f>
        <v xml:space="preserve"> </v>
      </c>
      <c r="W321" s="379" t="str">
        <f>VLOOKUP(A321,'Parameters Summary'!$B$2:$AB$826,17,FALSE)</f>
        <v/>
      </c>
      <c r="X321" s="347"/>
      <c r="Y321" s="96"/>
      <c r="Z321" s="96" t="s">
        <v>1653</v>
      </c>
      <c r="AA321" s="96"/>
      <c r="AB321" s="96" t="s">
        <v>1651</v>
      </c>
      <c r="AC321" s="96"/>
      <c r="AD321" s="93" t="str">
        <f>VLOOKUP(A321,'Parameters Summary'!$B$2:$AB$826,20,FALSE)</f>
        <v xml:space="preserve"> </v>
      </c>
      <c r="AE321" s="97" t="str">
        <f>VLOOKUP(A321,'Parameters Summary'!$B$2:$AB$826,21,FALSE)</f>
        <v/>
      </c>
      <c r="AF321" s="97"/>
      <c r="AG321" s="94"/>
      <c r="AH321" s="92"/>
      <c r="AI321" s="96"/>
      <c r="AJ321" s="330"/>
      <c r="AL321" s="81"/>
    </row>
    <row r="322" spans="1:38" ht="12.75" customHeight="1">
      <c r="A322" s="96" t="s">
        <v>900</v>
      </c>
      <c r="B322" s="96" t="s">
        <v>1133</v>
      </c>
      <c r="C322" s="96" t="str">
        <f t="shared" si="27"/>
        <v>No</v>
      </c>
      <c r="D322" s="96" t="str">
        <f>VLOOKUP(A322,'Tox Summary'!$O$3:$R$824,3,FALSE)</f>
        <v>No</v>
      </c>
      <c r="E322" s="97">
        <f>VLOOKUP(A322,'Parameters Summary'!$B$2:$AB$826,4,FALSE)</f>
        <v>274.41000000000003</v>
      </c>
      <c r="F322" s="97" t="str">
        <f>VLOOKUP(A322,'Parameters Summary'!$B$2:$AB$826,5,FALSE)</f>
        <v>PHYSPROP</v>
      </c>
      <c r="G322" s="93">
        <f>VLOOKUP(A322,'Parameters Summary'!$B$2:$AB$826,9,FALSE)</f>
        <v>9.7499999999999998E-5</v>
      </c>
      <c r="H322" s="93" t="str">
        <f>VLOOKUP(A322,'Parameters Summary'!$B$2:$AB$826,10,FALSE)</f>
        <v>PHYSPROP</v>
      </c>
      <c r="I322" s="93">
        <f>VLOOKUP(A322,'Parameters Summary'!$B$2:$AB$826,24,FALSE)</f>
        <v>16.3</v>
      </c>
      <c r="J322" s="97" t="str">
        <f>VLOOKUP(A322,'Parameters Summary'!$B$2:$AB$826,25,FALSE)</f>
        <v>PHYSPROP</v>
      </c>
      <c r="K322" s="97" t="str">
        <f>VLOOKUP(A322,'Tox Summary'!$O$3:$S$827,2,FALSE)</f>
        <v/>
      </c>
      <c r="L322" s="93">
        <f>VLOOKUP(A322,'Parameters Summary'!$B$2:$AB$826,7,FALSE)</f>
        <v>2.1600000000000001E-6</v>
      </c>
      <c r="M322" s="93" t="str">
        <f>VLOOKUP(A322,'Parameters Summary'!$B$2:$AB$826,8,FALSE)</f>
        <v>EPI</v>
      </c>
      <c r="N322" s="91">
        <f>VLOOKUP(A322,'Parameters Summary'!$B$2:$AB$826,6,FALSE)</f>
        <v>8.8300000000000005E-5</v>
      </c>
      <c r="O322" s="91" t="str">
        <f t="shared" si="25"/>
        <v/>
      </c>
      <c r="P322" s="91">
        <f t="shared" si="28"/>
        <v>8.8300000000000005E-5</v>
      </c>
      <c r="Q322" s="91" t="str">
        <f t="shared" si="26"/>
        <v/>
      </c>
      <c r="R322" s="91">
        <f t="shared" si="29"/>
        <v>8.8300000000000005E-5</v>
      </c>
      <c r="S322" s="91" t="str">
        <f t="shared" si="31"/>
        <v/>
      </c>
      <c r="T322" s="93">
        <f>VLOOKUP(A322,'Parameters Summary'!$B$2:$AB$826,15,FALSE)</f>
        <v>2.2542099999999999E-2</v>
      </c>
      <c r="U322" s="93" t="str">
        <f>VLOOKUP(A322,'Parameters Summary'!$B$2:$AB$826,17,FALSE)</f>
        <v>WATER9 (U.S. EPA, 2001)</v>
      </c>
      <c r="V322" s="93">
        <f>VLOOKUP(A322,'Parameters Summary'!$B$2:$AB$826,16,FALSE)</f>
        <v>5.6660999999999998E-6</v>
      </c>
      <c r="W322" s="379" t="str">
        <f>VLOOKUP(A322,'Parameters Summary'!$B$2:$AB$826,17,FALSE)</f>
        <v>WATER9 (U.S. EPA, 2001)</v>
      </c>
      <c r="X322" s="290">
        <f>273.15+132.5</f>
        <v>405.65</v>
      </c>
      <c r="Y322" s="96" t="s">
        <v>553</v>
      </c>
      <c r="Z322" s="96">
        <f>1.5*X322</f>
        <v>608.47499999999991</v>
      </c>
      <c r="AA322" s="96" t="s">
        <v>2220</v>
      </c>
      <c r="AB322" s="96" t="s">
        <v>1651</v>
      </c>
      <c r="AC322" s="96"/>
      <c r="AD322" s="93">
        <f>VLOOKUP(A322,'Parameters Summary'!$B$2:$AB$826,20,FALSE)</f>
        <v>837.9</v>
      </c>
      <c r="AE322" s="97" t="str">
        <f>VLOOKUP(A322,'Parameters Summary'!$B$2:$AB$826,21,FALSE)</f>
        <v>EPI</v>
      </c>
      <c r="AF322" s="97"/>
      <c r="AG322" s="94"/>
      <c r="AH322" s="92"/>
      <c r="AI322" s="96"/>
      <c r="AJ322" s="330"/>
      <c r="AL322" s="81"/>
    </row>
    <row r="323" spans="1:38" ht="12.75" customHeight="1">
      <c r="A323" s="95" t="s">
        <v>901</v>
      </c>
      <c r="B323" s="96" t="s">
        <v>1134</v>
      </c>
      <c r="C323" s="96" t="str">
        <f t="shared" si="27"/>
        <v>Yes</v>
      </c>
      <c r="D323" s="96" t="str">
        <f>VLOOKUP(A323,'Tox Summary'!$O$3:$R$824,3,FALSE)</f>
        <v>No</v>
      </c>
      <c r="E323" s="97">
        <f>VLOOKUP(A323,'Parameters Summary'!$B$2:$AB$826,4,FALSE)</f>
        <v>120.24</v>
      </c>
      <c r="F323" s="97" t="str">
        <f>VLOOKUP(A323,'Parameters Summary'!$B$2:$AB$826,5,FALSE)</f>
        <v>PHYSPROP</v>
      </c>
      <c r="G323" s="93">
        <f>VLOOKUP(A323,'Parameters Summary'!$B$2:$AB$826,9,FALSE)</f>
        <v>7.9500000000000001E-2</v>
      </c>
      <c r="H323" s="93" t="str">
        <f>VLOOKUP(A323,'Parameters Summary'!$B$2:$AB$826,10,FALSE)</f>
        <v>PHYSPROP</v>
      </c>
      <c r="I323" s="93">
        <f>VLOOKUP(A323,'Parameters Summary'!$B$2:$AB$826,24,FALSE)</f>
        <v>3000</v>
      </c>
      <c r="J323" s="97" t="str">
        <f>VLOOKUP(A323,'Parameters Summary'!$B$2:$AB$826,25,FALSE)</f>
        <v>PHYSPROP</v>
      </c>
      <c r="K323" s="97" t="str">
        <f>VLOOKUP(A323,'Tox Summary'!$O$3:$S$827,2,FALSE)</f>
        <v/>
      </c>
      <c r="L323" s="93">
        <f>VLOOKUP(A323,'Parameters Summary'!$B$2:$AB$826,7,FALSE)</f>
        <v>4.1999999999999998E-5</v>
      </c>
      <c r="M323" s="93" t="str">
        <f>VLOOKUP(A323,'Parameters Summary'!$B$2:$AB$826,8,FALSE)</f>
        <v>EPI</v>
      </c>
      <c r="N323" s="91">
        <f>VLOOKUP(A323,'Parameters Summary'!$B$2:$AB$826,6,FALSE)</f>
        <v>1.7171E-3</v>
      </c>
      <c r="O323" s="91" t="str">
        <f t="shared" si="25"/>
        <v/>
      </c>
      <c r="P323" s="91">
        <f t="shared" si="28"/>
        <v>1.7171E-3</v>
      </c>
      <c r="Q323" s="91" t="str">
        <f t="shared" si="26"/>
        <v/>
      </c>
      <c r="R323" s="91">
        <f t="shared" si="29"/>
        <v>1.7171E-3</v>
      </c>
      <c r="S323" s="91" t="str">
        <f t="shared" si="31"/>
        <v/>
      </c>
      <c r="T323" s="93">
        <f>VLOOKUP(A323,'Parameters Summary'!$B$2:$AB$826,15,FALSE)</f>
        <v>6.82093E-2</v>
      </c>
      <c r="U323" s="93" t="str">
        <f>VLOOKUP(A323,'Parameters Summary'!$B$2:$AB$826,17,FALSE)</f>
        <v>WATER9 (U.S. EPA, 2001)</v>
      </c>
      <c r="V323" s="93">
        <f>VLOOKUP(A323,'Parameters Summary'!$B$2:$AB$826,16,FALSE)</f>
        <v>9.2765E-6</v>
      </c>
      <c r="W323" s="379" t="str">
        <f>VLOOKUP(A323,'Parameters Summary'!$B$2:$AB$826,17,FALSE)</f>
        <v>WATER9 (U.S. EPA, 2001)</v>
      </c>
      <c r="X323" s="290">
        <v>472.7</v>
      </c>
      <c r="Y323" s="96" t="s">
        <v>2213</v>
      </c>
      <c r="Z323" s="96">
        <v>657.97</v>
      </c>
      <c r="AA323" s="96" t="s">
        <v>2220</v>
      </c>
      <c r="AB323" s="96" t="s">
        <v>1651</v>
      </c>
      <c r="AC323" s="96"/>
      <c r="AD323" s="93">
        <f>VLOOKUP(A323,'Parameters Summary'!$B$2:$AB$826,20,FALSE)</f>
        <v>145.80000000000001</v>
      </c>
      <c r="AE323" s="97" t="str">
        <f>VLOOKUP(A323,'Parameters Summary'!$B$2:$AB$826,21,FALSE)</f>
        <v>EPI</v>
      </c>
      <c r="AF323" s="380"/>
      <c r="AG323" s="97"/>
      <c r="AH323" s="92"/>
      <c r="AI323" s="96"/>
      <c r="AJ323" s="330"/>
      <c r="AL323" s="81"/>
    </row>
    <row r="324" spans="1:38" ht="12.75" customHeight="1">
      <c r="A324" s="96" t="s">
        <v>902</v>
      </c>
      <c r="B324" s="96" t="s">
        <v>1135</v>
      </c>
      <c r="C324" s="96" t="str">
        <f t="shared" si="27"/>
        <v>No</v>
      </c>
      <c r="D324" s="96" t="str">
        <f>VLOOKUP(A324,'Tox Summary'!$O$3:$R$824,3,FALSE)</f>
        <v>No</v>
      </c>
      <c r="E324" s="97">
        <f>VLOOKUP(A324,'Parameters Summary'!$B$2:$AB$826,4,FALSE)</f>
        <v>233.1</v>
      </c>
      <c r="F324" s="97" t="str">
        <f>VLOOKUP(A324,'Parameters Summary'!$B$2:$AB$826,5,FALSE)</f>
        <v>PHYSPROP</v>
      </c>
      <c r="G324" s="93">
        <f>VLOOKUP(A324,'Parameters Summary'!$B$2:$AB$826,9,FALSE)</f>
        <v>6.8999999999999996E-8</v>
      </c>
      <c r="H324" s="93" t="str">
        <f>VLOOKUP(A324,'Parameters Summary'!$B$2:$AB$826,10,FALSE)</f>
        <v>PHYSPROP</v>
      </c>
      <c r="I324" s="93">
        <f>VLOOKUP(A324,'Parameters Summary'!$B$2:$AB$826,24,FALSE)</f>
        <v>42</v>
      </c>
      <c r="J324" s="97" t="str">
        <f>VLOOKUP(A324,'Parameters Summary'!$B$2:$AB$826,25,FALSE)</f>
        <v>PHYSPROP</v>
      </c>
      <c r="K324" s="97" t="str">
        <f>VLOOKUP(A324,'Tox Summary'!$O$3:$S$827,2,FALSE)</f>
        <v/>
      </c>
      <c r="L324" s="93">
        <f>VLOOKUP(A324,'Parameters Summary'!$B$2:$AB$826,7,FALSE)</f>
        <v>5.0400000000000002E-10</v>
      </c>
      <c r="M324" s="93" t="str">
        <f>VLOOKUP(A324,'Parameters Summary'!$B$2:$AB$826,8,FALSE)</f>
        <v>EPI</v>
      </c>
      <c r="N324" s="91">
        <f>VLOOKUP(A324,'Parameters Summary'!$B$2:$AB$826,6,FALSE)</f>
        <v>2.0605000000000002E-8</v>
      </c>
      <c r="O324" s="91" t="str">
        <f t="shared" si="25"/>
        <v/>
      </c>
      <c r="P324" s="91">
        <f t="shared" si="28"/>
        <v>2.0605000000000002E-8</v>
      </c>
      <c r="Q324" s="91" t="str">
        <f t="shared" si="26"/>
        <v/>
      </c>
      <c r="R324" s="91">
        <f t="shared" si="29"/>
        <v>2.0605000000000002E-8</v>
      </c>
      <c r="S324" s="91" t="str">
        <f t="shared" si="31"/>
        <v/>
      </c>
      <c r="T324" s="93">
        <f>VLOOKUP(A324,'Parameters Summary'!$B$2:$AB$826,15,FALSE)</f>
        <v>5.0164E-2</v>
      </c>
      <c r="U324" s="93" t="str">
        <f>VLOOKUP(A324,'Parameters Summary'!$B$2:$AB$826,17,FALSE)</f>
        <v>WATER9 (U.S. EPA, 2001)</v>
      </c>
      <c r="V324" s="93">
        <f>VLOOKUP(A324,'Parameters Summary'!$B$2:$AB$826,16,FALSE)</f>
        <v>5.8613000000000001E-6</v>
      </c>
      <c r="W324" s="379" t="str">
        <f>VLOOKUP(A324,'Parameters Summary'!$B$2:$AB$826,17,FALSE)</f>
        <v>WATER9 (U.S. EPA, 2001)</v>
      </c>
      <c r="X324" s="347"/>
      <c r="Y324" s="96"/>
      <c r="Z324" s="96" t="s">
        <v>1653</v>
      </c>
      <c r="AA324" s="96"/>
      <c r="AB324" s="96" t="s">
        <v>1651</v>
      </c>
      <c r="AC324" s="96"/>
      <c r="AD324" s="93">
        <f>VLOOKUP(A324,'Parameters Summary'!$B$2:$AB$826,20,FALSE)</f>
        <v>109.1</v>
      </c>
      <c r="AE324" s="97" t="str">
        <f>VLOOKUP(A324,'Parameters Summary'!$B$2:$AB$826,21,FALSE)</f>
        <v>EPI</v>
      </c>
      <c r="AF324" s="97"/>
      <c r="AG324" s="94"/>
      <c r="AH324" s="92"/>
      <c r="AI324" s="96"/>
      <c r="AJ324" s="330"/>
      <c r="AL324" s="81"/>
    </row>
    <row r="325" spans="1:38" ht="12.75" customHeight="1">
      <c r="A325" s="96" t="s">
        <v>903</v>
      </c>
      <c r="B325" s="96" t="s">
        <v>1136</v>
      </c>
      <c r="C325" s="96" t="str">
        <f t="shared" si="27"/>
        <v>No</v>
      </c>
      <c r="D325" s="96" t="str">
        <f>VLOOKUP(A325,'Tox Summary'!$O$3:$R$824,3,FALSE)</f>
        <v>No</v>
      </c>
      <c r="E325" s="97">
        <f>VLOOKUP(A325,'Parameters Summary'!$B$2:$AB$826,4,FALSE)</f>
        <v>287.45</v>
      </c>
      <c r="F325" s="97" t="str">
        <f>VLOOKUP(A325,'Parameters Summary'!$B$2:$AB$826,5,FALSE)</f>
        <v>PHYSPROP</v>
      </c>
      <c r="G325" s="93">
        <f>VLOOKUP(A325,'Parameters Summary'!$B$2:$AB$826,9,FALSE)</f>
        <v>1.4999999999999999E-7</v>
      </c>
      <c r="H325" s="93" t="str">
        <f>VLOOKUP(A325,'Parameters Summary'!$B$2:$AB$826,10,FALSE)</f>
        <v>PHYSPROP</v>
      </c>
      <c r="I325" s="93">
        <f>VLOOKUP(A325,'Parameters Summary'!$B$2:$AB$826,24,FALSE)</f>
        <v>630</v>
      </c>
      <c r="J325" s="97" t="str">
        <f>VLOOKUP(A325,'Parameters Summary'!$B$2:$AB$826,25,FALSE)</f>
        <v>PHYSPROP</v>
      </c>
      <c r="K325" s="97" t="str">
        <f>VLOOKUP(A325,'Tox Summary'!$O$3:$S$827,2,FALSE)</f>
        <v/>
      </c>
      <c r="L325" s="93">
        <f>VLOOKUP(A325,'Parameters Summary'!$B$2:$AB$826,7,FALSE)</f>
        <v>9.0100000000000004E-11</v>
      </c>
      <c r="M325" s="93" t="str">
        <f>VLOOKUP(A325,'Parameters Summary'!$B$2:$AB$826,8,FALSE)</f>
        <v>EPI</v>
      </c>
      <c r="N325" s="91">
        <f>VLOOKUP(A325,'Parameters Summary'!$B$2:$AB$826,6,FALSE)</f>
        <v>3.6836E-9</v>
      </c>
      <c r="O325" s="91" t="str">
        <f t="shared" si="25"/>
        <v/>
      </c>
      <c r="P325" s="91">
        <f t="shared" si="28"/>
        <v>3.6836E-9</v>
      </c>
      <c r="Q325" s="91" t="str">
        <f t="shared" si="26"/>
        <v/>
      </c>
      <c r="R325" s="91">
        <f t="shared" si="29"/>
        <v>3.6836E-9</v>
      </c>
      <c r="S325" s="91" t="str">
        <f t="shared" si="31"/>
        <v/>
      </c>
      <c r="T325" s="93">
        <f>VLOOKUP(A325,'Parameters Summary'!$B$2:$AB$826,15,FALSE)</f>
        <v>4.36227E-2</v>
      </c>
      <c r="U325" s="93" t="str">
        <f>VLOOKUP(A325,'Parameters Summary'!$B$2:$AB$826,17,FALSE)</f>
        <v>WATER9 (U.S. EPA, 2001)</v>
      </c>
      <c r="V325" s="93">
        <f>VLOOKUP(A325,'Parameters Summary'!$B$2:$AB$826,16,FALSE)</f>
        <v>5.0969999999999996E-6</v>
      </c>
      <c r="W325" s="379" t="str">
        <f>VLOOKUP(A325,'Parameters Summary'!$B$2:$AB$826,17,FALSE)</f>
        <v>WATER9 (U.S. EPA, 2001)</v>
      </c>
      <c r="X325" s="347"/>
      <c r="Y325" s="96"/>
      <c r="Z325" s="96" t="s">
        <v>1653</v>
      </c>
      <c r="AA325" s="96"/>
      <c r="AB325" s="96" t="s">
        <v>1651</v>
      </c>
      <c r="AC325" s="96"/>
      <c r="AD325" s="93">
        <f>VLOOKUP(A325,'Parameters Summary'!$B$2:$AB$826,20,FALSE)</f>
        <v>2482</v>
      </c>
      <c r="AE325" s="97" t="str">
        <f>VLOOKUP(A325,'Parameters Summary'!$B$2:$AB$826,21,FALSE)</f>
        <v>EPI</v>
      </c>
      <c r="AF325" s="97"/>
      <c r="AG325" s="94"/>
      <c r="AH325" s="92"/>
      <c r="AI325" s="96"/>
      <c r="AJ325" s="330"/>
      <c r="AL325" s="81"/>
    </row>
    <row r="326" spans="1:38" ht="12.75" customHeight="1">
      <c r="A326" s="96" t="s">
        <v>905</v>
      </c>
      <c r="B326" s="96" t="s">
        <v>438</v>
      </c>
      <c r="C326" s="96" t="str">
        <f t="shared" si="27"/>
        <v>Yes</v>
      </c>
      <c r="D326" s="96" t="str">
        <f>VLOOKUP(A326,'Tox Summary'!$O$3:$R$824,3,FALSE)</f>
        <v>Yes</v>
      </c>
      <c r="E326" s="97">
        <f>VLOOKUP(A326,'Parameters Summary'!$B$2:$AB$826,4,FALSE)</f>
        <v>406.93</v>
      </c>
      <c r="F326" s="97" t="str">
        <f>VLOOKUP(A326,'Parameters Summary'!$B$2:$AB$826,5,FALSE)</f>
        <v>PHYSPROP</v>
      </c>
      <c r="G326" s="93">
        <f>VLOOKUP(A326,'Parameters Summary'!$B$2:$AB$826,9,FALSE)</f>
        <v>1.73E-7</v>
      </c>
      <c r="H326" s="93" t="str">
        <f>VLOOKUP(A326,'Parameters Summary'!$B$2:$AB$826,10,FALSE)</f>
        <v>PHYSPROP</v>
      </c>
      <c r="I326" s="93">
        <f>VLOOKUP(A326,'Parameters Summary'!$B$2:$AB$826,24,FALSE)</f>
        <v>0.32500000000000001</v>
      </c>
      <c r="J326" s="97" t="str">
        <f>VLOOKUP(A326,'Parameters Summary'!$B$2:$AB$826,25,FALSE)</f>
        <v>PHYSPROP</v>
      </c>
      <c r="K326" s="97" t="str">
        <f>VLOOKUP(A326,'Tox Summary'!$O$3:$S$827,2,FALSE)</f>
        <v/>
      </c>
      <c r="L326" s="93">
        <f>VLOOKUP(A326,'Parameters Summary'!$B$2:$AB$826,7,FALSE)</f>
        <v>6.4999999999999994E-5</v>
      </c>
      <c r="M326" s="93" t="str">
        <f>VLOOKUP(A326,'Parameters Summary'!$B$2:$AB$826,8,FALSE)</f>
        <v>PHYSPROP</v>
      </c>
      <c r="N326" s="91">
        <f>VLOOKUP(A326,'Parameters Summary'!$B$2:$AB$826,6,FALSE)</f>
        <v>2.6573999999999999E-3</v>
      </c>
      <c r="O326" s="91" t="str">
        <f t="shared" si="25"/>
        <v/>
      </c>
      <c r="P326" s="91">
        <f t="shared" si="28"/>
        <v>2.6573999999999999E-3</v>
      </c>
      <c r="Q326" s="91" t="str">
        <f t="shared" si="26"/>
        <v/>
      </c>
      <c r="R326" s="91">
        <f t="shared" si="29"/>
        <v>2.6573999999999999E-3</v>
      </c>
      <c r="S326" s="91" t="str">
        <f t="shared" si="31"/>
        <v/>
      </c>
      <c r="T326" s="93">
        <f>VLOOKUP(A326,'Parameters Summary'!$B$2:$AB$826,15,FALSE)</f>
        <v>2.2484500000000001E-2</v>
      </c>
      <c r="U326" s="93" t="str">
        <f>VLOOKUP(A326,'Parameters Summary'!$B$2:$AB$826,17,FALSE)</f>
        <v>WATER9 (U.S. EPA, 2001)</v>
      </c>
      <c r="V326" s="93">
        <f>VLOOKUP(A326,'Parameters Summary'!$B$2:$AB$826,16,FALSE)</f>
        <v>5.7628000000000001E-6</v>
      </c>
      <c r="W326" s="379" t="str">
        <f>VLOOKUP(A326,'Parameters Summary'!$B$2:$AB$826,17,FALSE)</f>
        <v>WATER9 (U.S. EPA, 2001)</v>
      </c>
      <c r="X326" s="347">
        <f>401.28+273</f>
        <v>674.28</v>
      </c>
      <c r="Y326" s="96" t="s">
        <v>553</v>
      </c>
      <c r="Z326" s="96">
        <f>1.5*X326</f>
        <v>1011.42</v>
      </c>
      <c r="AA326" s="96" t="s">
        <v>2220</v>
      </c>
      <c r="AB326" s="96" t="s">
        <v>1651</v>
      </c>
      <c r="AC326" s="96"/>
      <c r="AD326" s="93">
        <f>VLOOKUP(A326,'Parameters Summary'!$B$2:$AB$826,20,FALSE)</f>
        <v>6761</v>
      </c>
      <c r="AE326" s="97" t="str">
        <f>VLOOKUP(A326,'Parameters Summary'!$B$2:$AB$826,21,FALSE)</f>
        <v>EPI</v>
      </c>
      <c r="AF326" s="97"/>
      <c r="AG326" s="94"/>
      <c r="AH326" s="92"/>
      <c r="AI326" s="96"/>
      <c r="AJ326" s="330"/>
      <c r="AL326" s="81"/>
    </row>
    <row r="327" spans="1:38" ht="12.75" customHeight="1">
      <c r="A327" s="96" t="s">
        <v>906</v>
      </c>
      <c r="B327" s="96" t="s">
        <v>1137</v>
      </c>
      <c r="C327" s="96" t="str">
        <f t="shared" si="27"/>
        <v>No</v>
      </c>
      <c r="D327" s="96" t="str">
        <f>VLOOKUP(A327,'Tox Summary'!$O$3:$R$824,3,FALSE)</f>
        <v>No</v>
      </c>
      <c r="E327" s="97">
        <f>VLOOKUP(A327,'Parameters Summary'!$B$2:$AB$826,4,FALSE)</f>
        <v>186.17</v>
      </c>
      <c r="F327" s="97" t="str">
        <f>VLOOKUP(A327,'Parameters Summary'!$B$2:$AB$826,5,FALSE)</f>
        <v>PHYSPROP</v>
      </c>
      <c r="G327" s="93">
        <f>VLOOKUP(A327,'Parameters Summary'!$B$2:$AB$826,9,FALSE)</f>
        <v>1.57E-10</v>
      </c>
      <c r="H327" s="93" t="str">
        <f>VLOOKUP(A327,'Parameters Summary'!$B$2:$AB$826,10,FALSE)</f>
        <v>PHYSPROP</v>
      </c>
      <c r="I327" s="93">
        <f>VLOOKUP(A327,'Parameters Summary'!$B$2:$AB$826,24,FALSE)</f>
        <v>100000</v>
      </c>
      <c r="J327" s="97" t="str">
        <f>VLOOKUP(A327,'Parameters Summary'!$B$2:$AB$826,25,FALSE)</f>
        <v>PHYSPROP</v>
      </c>
      <c r="K327" s="97">
        <f>VLOOKUP(A327,'Tox Summary'!$O$3:$S$827,2,FALSE)</f>
        <v>100</v>
      </c>
      <c r="L327" s="93">
        <f>VLOOKUP(A327,'Parameters Summary'!$B$2:$AB$826,7,FALSE)</f>
        <v>3.8499999999999999E-16</v>
      </c>
      <c r="M327" s="93" t="str">
        <f>VLOOKUP(A327,'Parameters Summary'!$B$2:$AB$826,8,FALSE)</f>
        <v>EPI</v>
      </c>
      <c r="N327" s="91">
        <f>VLOOKUP(A327,'Parameters Summary'!$B$2:$AB$826,6,FALSE)</f>
        <v>1.5740000000000001E-14</v>
      </c>
      <c r="O327" s="91" t="str">
        <f t="shared" si="25"/>
        <v/>
      </c>
      <c r="P327" s="91">
        <f t="shared" si="28"/>
        <v>1.5740000000000001E-14</v>
      </c>
      <c r="Q327" s="91" t="str">
        <f t="shared" si="26"/>
        <v/>
      </c>
      <c r="R327" s="91">
        <f t="shared" si="29"/>
        <v>1.5740000000000001E-14</v>
      </c>
      <c r="S327" s="91" t="str">
        <f t="shared" si="31"/>
        <v/>
      </c>
      <c r="T327" s="93">
        <f>VLOOKUP(A327,'Parameters Summary'!$B$2:$AB$826,15,FALSE)</f>
        <v>3.6747000000000002E-2</v>
      </c>
      <c r="U327" s="93" t="str">
        <f>VLOOKUP(A327,'Parameters Summary'!$B$2:$AB$826,17,FALSE)</f>
        <v>WATER9 (U.S. EPA, 2001)</v>
      </c>
      <c r="V327" s="93">
        <f>VLOOKUP(A327,'Parameters Summary'!$B$2:$AB$826,16,FALSE)</f>
        <v>8.1791999999999995E-6</v>
      </c>
      <c r="W327" s="379" t="str">
        <f>VLOOKUP(A327,'Parameters Summary'!$B$2:$AB$826,17,FALSE)</f>
        <v>WATER9 (U.S. EPA, 2001)</v>
      </c>
      <c r="X327" s="347"/>
      <c r="Y327" s="96"/>
      <c r="Z327" s="96" t="s">
        <v>1653</v>
      </c>
      <c r="AA327" s="96"/>
      <c r="AB327" s="96" t="s">
        <v>1651</v>
      </c>
      <c r="AC327" s="96"/>
      <c r="AD327" s="93">
        <f>VLOOKUP(A327,'Parameters Summary'!$B$2:$AB$826,20,FALSE)</f>
        <v>19.41</v>
      </c>
      <c r="AE327" s="97" t="str">
        <f>VLOOKUP(A327,'Parameters Summary'!$B$2:$AB$826,21,FALSE)</f>
        <v>EPI</v>
      </c>
      <c r="AF327" s="97"/>
      <c r="AG327" s="94"/>
      <c r="AH327" s="92"/>
      <c r="AI327" s="96"/>
      <c r="AJ327" s="330"/>
      <c r="AL327" s="81"/>
    </row>
    <row r="328" spans="1:38" ht="12.75" customHeight="1">
      <c r="A328" s="96" t="s">
        <v>907</v>
      </c>
      <c r="B328" s="96" t="s">
        <v>380</v>
      </c>
      <c r="C328" s="96" t="str">
        <f t="shared" si="27"/>
        <v>No</v>
      </c>
      <c r="D328" s="96" t="str">
        <f>VLOOKUP(A328,'Tox Summary'!$O$3:$R$824,3,FALSE)</f>
        <v>No</v>
      </c>
      <c r="E328" s="97">
        <f>VLOOKUP(A328,'Parameters Summary'!$B$2:$AB$826,4,FALSE)</f>
        <v>380.91</v>
      </c>
      <c r="F328" s="97" t="str">
        <f>VLOOKUP(A328,'Parameters Summary'!$B$2:$AB$826,5,FALSE)</f>
        <v>PHYSPROP</v>
      </c>
      <c r="G328" s="93">
        <f>VLOOKUP(A328,'Parameters Summary'!$B$2:$AB$826,9,FALSE)</f>
        <v>3.0000000000000001E-6</v>
      </c>
      <c r="H328" s="93" t="str">
        <f>VLOOKUP(A328,'Parameters Summary'!$B$2:$AB$826,10,FALSE)</f>
        <v>PHYSPROP</v>
      </c>
      <c r="I328" s="93">
        <f>VLOOKUP(A328,'Parameters Summary'!$B$2:$AB$826,24,FALSE)</f>
        <v>0.25</v>
      </c>
      <c r="J328" s="97" t="str">
        <f>VLOOKUP(A328,'Parameters Summary'!$B$2:$AB$826,25,FALSE)</f>
        <v>PHYSPROP</v>
      </c>
      <c r="K328" s="97">
        <f>VLOOKUP(A328,'Tox Summary'!$O$3:$S$827,2,FALSE)</f>
        <v>2</v>
      </c>
      <c r="L328" s="93">
        <f>VLOOKUP(A328,'Parameters Summary'!$B$2:$AB$826,7,FALSE)</f>
        <v>6.3600000000000001E-6</v>
      </c>
      <c r="M328" s="93" t="str">
        <f>VLOOKUP(A328,'Parameters Summary'!$B$2:$AB$826,8,FALSE)</f>
        <v>PHYSPROP</v>
      </c>
      <c r="N328" s="91">
        <f>VLOOKUP(A328,'Parameters Summary'!$B$2:$AB$826,6,FALSE)</f>
        <v>2.5999999999999998E-4</v>
      </c>
      <c r="O328" s="91" t="str">
        <f t="shared" si="25"/>
        <v/>
      </c>
      <c r="P328" s="91">
        <f t="shared" si="28"/>
        <v>2.5999999999999998E-4</v>
      </c>
      <c r="Q328" s="91" t="str">
        <f t="shared" si="26"/>
        <v/>
      </c>
      <c r="R328" s="91">
        <f t="shared" si="29"/>
        <v>2.5999999999999998E-4</v>
      </c>
      <c r="S328" s="91" t="str">
        <f t="shared" si="31"/>
        <v/>
      </c>
      <c r="T328" s="93">
        <f>VLOOKUP(A328,'Parameters Summary'!$B$2:$AB$826,15,FALSE)</f>
        <v>3.6158099999999999E-2</v>
      </c>
      <c r="U328" s="93" t="str">
        <f>VLOOKUP(A328,'Parameters Summary'!$B$2:$AB$826,17,FALSE)</f>
        <v>WATER9 (U.S. EPA, 2001)</v>
      </c>
      <c r="V328" s="93">
        <f>VLOOKUP(A328,'Parameters Summary'!$B$2:$AB$826,16,FALSE)</f>
        <v>4.2247999999999998E-6</v>
      </c>
      <c r="W328" s="379" t="str">
        <f>VLOOKUP(A328,'Parameters Summary'!$B$2:$AB$826,17,FALSE)</f>
        <v>WATER9 (U.S. EPA, 2001)</v>
      </c>
      <c r="X328" s="347"/>
      <c r="Y328" s="96"/>
      <c r="Z328" s="96" t="s">
        <v>1653</v>
      </c>
      <c r="AA328" s="96"/>
      <c r="AB328" s="96" t="s">
        <v>1651</v>
      </c>
      <c r="AC328" s="96"/>
      <c r="AD328" s="93">
        <f>VLOOKUP(A328,'Parameters Summary'!$B$2:$AB$826,20,FALSE)</f>
        <v>20090</v>
      </c>
      <c r="AE328" s="97" t="str">
        <f>VLOOKUP(A328,'Parameters Summary'!$B$2:$AB$826,21,FALSE)</f>
        <v>EPI</v>
      </c>
      <c r="AF328" s="97"/>
      <c r="AG328" s="94"/>
      <c r="AH328" s="92"/>
      <c r="AI328" s="96"/>
      <c r="AJ328" s="330"/>
      <c r="AL328" s="81"/>
    </row>
    <row r="329" spans="1:38" ht="12.75" customHeight="1">
      <c r="A329" s="95" t="s">
        <v>908</v>
      </c>
      <c r="B329" s="96" t="s">
        <v>1439</v>
      </c>
      <c r="C329" s="96" t="str">
        <f t="shared" si="27"/>
        <v>Yes</v>
      </c>
      <c r="D329" s="96" t="str">
        <f>VLOOKUP(A329,'Tox Summary'!$O$3:$R$824,3,FALSE)</f>
        <v>No</v>
      </c>
      <c r="E329" s="97">
        <f>VLOOKUP(A329,'Parameters Summary'!$B$2:$AB$826,4,FALSE)</f>
        <v>92.525999999999996</v>
      </c>
      <c r="F329" s="97" t="str">
        <f>VLOOKUP(A329,'Parameters Summary'!$B$2:$AB$826,5,FALSE)</f>
        <v>PHYSPROP</v>
      </c>
      <c r="G329" s="93">
        <f>VLOOKUP(A329,'Parameters Summary'!$B$2:$AB$826,9,FALSE)</f>
        <v>16.440000000000001</v>
      </c>
      <c r="H329" s="93" t="str">
        <f>VLOOKUP(A329,'Parameters Summary'!$B$2:$AB$826,10,FALSE)</f>
        <v>PHYSPROP</v>
      </c>
      <c r="I329" s="93">
        <f>VLOOKUP(A329,'Parameters Summary'!$B$2:$AB$826,24,FALSE)</f>
        <v>65900</v>
      </c>
      <c r="J329" s="97" t="str">
        <f>VLOOKUP(A329,'Parameters Summary'!$B$2:$AB$826,25,FALSE)</f>
        <v>PHYSPROP</v>
      </c>
      <c r="K329" s="97" t="str">
        <f>VLOOKUP(A329,'Tox Summary'!$O$3:$S$827,2,FALSE)</f>
        <v/>
      </c>
      <c r="L329" s="93">
        <f>VLOOKUP(A329,'Parameters Summary'!$B$2:$AB$826,7,FALSE)</f>
        <v>3.04E-5</v>
      </c>
      <c r="M329" s="93" t="str">
        <f>VLOOKUP(A329,'Parameters Summary'!$B$2:$AB$826,8,FALSE)</f>
        <v>EPI</v>
      </c>
      <c r="N329" s="91">
        <f>VLOOKUP(A329,'Parameters Summary'!$B$2:$AB$826,6,FALSE)</f>
        <v>1.2428000000000001E-3</v>
      </c>
      <c r="O329" s="91">
        <f t="shared" si="25"/>
        <v>1.2428000000000001E-3</v>
      </c>
      <c r="P329" s="91">
        <f t="shared" si="28"/>
        <v>1.2428000000000001E-3</v>
      </c>
      <c r="Q329" s="91">
        <f t="shared" si="26"/>
        <v>1.2428000000000001E-3</v>
      </c>
      <c r="R329" s="91">
        <f t="shared" si="29"/>
        <v>1.2428000000000001E-3</v>
      </c>
      <c r="S329" s="91">
        <f t="shared" si="31"/>
        <v>81850020.358049318</v>
      </c>
      <c r="T329" s="93">
        <f>VLOOKUP(A329,'Parameters Summary'!$B$2:$AB$826,15,FALSE)</f>
        <v>8.8868199999999994E-2</v>
      </c>
      <c r="U329" s="93" t="str">
        <f>VLOOKUP(A329,'Parameters Summary'!$B$2:$AB$826,17,FALSE)</f>
        <v>WATER9 (U.S. EPA, 2001)</v>
      </c>
      <c r="V329" s="93">
        <f>VLOOKUP(A329,'Parameters Summary'!$B$2:$AB$826,16,FALSE)</f>
        <v>1.11E-5</v>
      </c>
      <c r="W329" s="379" t="str">
        <f>VLOOKUP(A329,'Parameters Summary'!$B$2:$AB$826,17,FALSE)</f>
        <v>WATER9 (U.S. EPA, 2001)</v>
      </c>
      <c r="X329" s="290">
        <v>390</v>
      </c>
      <c r="Y329" s="96" t="s">
        <v>553</v>
      </c>
      <c r="Z329" s="96">
        <v>600</v>
      </c>
      <c r="AA329" s="96" t="s">
        <v>2202</v>
      </c>
      <c r="AB329" s="96">
        <v>10.1</v>
      </c>
      <c r="AC329" s="96" t="s">
        <v>2202</v>
      </c>
      <c r="AD329" s="93">
        <f>VLOOKUP(A329,'Parameters Summary'!$B$2:$AB$826,20,FALSE)</f>
        <v>9.907</v>
      </c>
      <c r="AE329" s="97" t="str">
        <f>VLOOKUP(A329,'Parameters Summary'!$B$2:$AB$826,21,FALSE)</f>
        <v>EPI</v>
      </c>
      <c r="AF329" s="380">
        <v>3.8</v>
      </c>
      <c r="AG329" s="97" t="s">
        <v>302</v>
      </c>
      <c r="AH329" s="92"/>
      <c r="AI329" s="96"/>
      <c r="AJ329" s="330"/>
      <c r="AL329" s="81"/>
    </row>
    <row r="330" spans="1:38" ht="12.75" customHeight="1">
      <c r="A330" s="95" t="s">
        <v>909</v>
      </c>
      <c r="B330" s="96" t="s">
        <v>1138</v>
      </c>
      <c r="C330" s="96" t="str">
        <f t="shared" si="27"/>
        <v>Yes</v>
      </c>
      <c r="D330" s="96" t="str">
        <f>VLOOKUP(A330,'Tox Summary'!$O$3:$R$824,3,FALSE)</f>
        <v>Yes</v>
      </c>
      <c r="E330" s="97">
        <f>VLOOKUP(A330,'Parameters Summary'!$B$2:$AB$826,4,FALSE)</f>
        <v>72.108000000000004</v>
      </c>
      <c r="F330" s="97" t="str">
        <f>VLOOKUP(A330,'Parameters Summary'!$B$2:$AB$826,5,FALSE)</f>
        <v>PHYSPROP</v>
      </c>
      <c r="G330" s="93">
        <f>VLOOKUP(A330,'Parameters Summary'!$B$2:$AB$826,9,FALSE)</f>
        <v>180</v>
      </c>
      <c r="H330" s="93" t="str">
        <f>VLOOKUP(A330,'Parameters Summary'!$B$2:$AB$826,10,FALSE)</f>
        <v>PHYSPROP</v>
      </c>
      <c r="I330" s="93">
        <f>VLOOKUP(A330,'Parameters Summary'!$B$2:$AB$826,24,FALSE)</f>
        <v>95000</v>
      </c>
      <c r="J330" s="97" t="str">
        <f>VLOOKUP(A330,'Parameters Summary'!$B$2:$AB$826,25,FALSE)</f>
        <v>PHYSPROP</v>
      </c>
      <c r="K330" s="97" t="str">
        <f>VLOOKUP(A330,'Tox Summary'!$O$3:$S$827,2,FALSE)</f>
        <v/>
      </c>
      <c r="L330" s="93">
        <f>VLOOKUP(A330,'Parameters Summary'!$B$2:$AB$826,7,FALSE)</f>
        <v>1.8000000000000001E-4</v>
      </c>
      <c r="M330" s="93" t="str">
        <f>VLOOKUP(A330,'Parameters Summary'!$B$2:$AB$826,8,FALSE)</f>
        <v>EPI</v>
      </c>
      <c r="N330" s="91">
        <f>VLOOKUP(A330,'Parameters Summary'!$B$2:$AB$826,6,FALSE)</f>
        <v>7.3590000000000001E-3</v>
      </c>
      <c r="O330" s="91">
        <f t="shared" si="25"/>
        <v>7.3590000000000001E-3</v>
      </c>
      <c r="P330" s="91">
        <f t="shared" si="28"/>
        <v>7.3590000000000001E-3</v>
      </c>
      <c r="Q330" s="91">
        <f t="shared" si="26"/>
        <v>7.3590000000000001E-3</v>
      </c>
      <c r="R330" s="91">
        <f t="shared" si="29"/>
        <v>7.3590000000000001E-3</v>
      </c>
      <c r="S330" s="91">
        <f t="shared" si="31"/>
        <v>698407904.7552253</v>
      </c>
      <c r="T330" s="93">
        <f>VLOOKUP(A330,'Parameters Summary'!$B$2:$AB$826,15,FALSE)</f>
        <v>9.2895800000000001E-2</v>
      </c>
      <c r="U330" s="93" t="str">
        <f>VLOOKUP(A330,'Parameters Summary'!$B$2:$AB$826,17,FALSE)</f>
        <v>WATER9 (U.S. EPA, 2001)</v>
      </c>
      <c r="V330" s="93">
        <f>VLOOKUP(A330,'Parameters Summary'!$B$2:$AB$826,16,FALSE)</f>
        <v>1.04E-5</v>
      </c>
      <c r="W330" s="379" t="str">
        <f>VLOOKUP(A330,'Parameters Summary'!$B$2:$AB$826,17,FALSE)</f>
        <v>WATER9 (U.S. EPA, 2001)</v>
      </c>
      <c r="X330" s="290">
        <v>336.3</v>
      </c>
      <c r="Y330" s="96" t="s">
        <v>2217</v>
      </c>
      <c r="Z330" s="96">
        <v>516</v>
      </c>
      <c r="AA330" s="96" t="s">
        <v>1648</v>
      </c>
      <c r="AB330" s="96">
        <v>7211</v>
      </c>
      <c r="AC330" s="96" t="s">
        <v>2218</v>
      </c>
      <c r="AD330" s="93">
        <f>VLOOKUP(A330,'Parameters Summary'!$B$2:$AB$826,20,FALSE)</f>
        <v>9.907</v>
      </c>
      <c r="AE330" s="97" t="str">
        <f>VLOOKUP(A330,'Parameters Summary'!$B$2:$AB$826,21,FALSE)</f>
        <v>EPI</v>
      </c>
      <c r="AF330" s="380"/>
      <c r="AG330" s="97"/>
      <c r="AH330" s="92"/>
      <c r="AI330" s="96"/>
      <c r="AJ330" s="330"/>
      <c r="AL330" s="81"/>
    </row>
    <row r="331" spans="1:38" ht="12.75" customHeight="1">
      <c r="A331" s="95" t="s">
        <v>904</v>
      </c>
      <c r="B331" s="96" t="s">
        <v>1139</v>
      </c>
      <c r="C331" s="96" t="str">
        <f t="shared" si="27"/>
        <v>Yes</v>
      </c>
      <c r="D331" s="96" t="str">
        <f>VLOOKUP(A331,'Tox Summary'!$O$3:$R$824,3,FALSE)</f>
        <v>Yes</v>
      </c>
      <c r="E331" s="97">
        <f>VLOOKUP(A331,'Parameters Summary'!$B$2:$AB$826,4,FALSE)</f>
        <v>189.32</v>
      </c>
      <c r="F331" s="97" t="str">
        <f>VLOOKUP(A331,'Parameters Summary'!$B$2:$AB$826,5,FALSE)</f>
        <v>PHYSPROP</v>
      </c>
      <c r="G331" s="93">
        <f>VLOOKUP(A331,'Parameters Summary'!$B$2:$AB$826,9,FALSE)</f>
        <v>2.4E-2</v>
      </c>
      <c r="H331" s="93" t="str">
        <f>VLOOKUP(A331,'Parameters Summary'!$B$2:$AB$826,10,FALSE)</f>
        <v>PHYSPROP</v>
      </c>
      <c r="I331" s="93">
        <f>VLOOKUP(A331,'Parameters Summary'!$B$2:$AB$826,24,FALSE)</f>
        <v>375</v>
      </c>
      <c r="J331" s="97" t="str">
        <f>VLOOKUP(A331,'Parameters Summary'!$B$2:$AB$826,25,FALSE)</f>
        <v>PHYSPROP</v>
      </c>
      <c r="K331" s="97" t="str">
        <f>VLOOKUP(A331,'Tox Summary'!$O$3:$S$827,2,FALSE)</f>
        <v/>
      </c>
      <c r="L331" s="93">
        <f>VLOOKUP(A331,'Parameters Summary'!$B$2:$AB$826,7,FALSE)</f>
        <v>1.59E-5</v>
      </c>
      <c r="M331" s="93" t="str">
        <f>VLOOKUP(A331,'Parameters Summary'!$B$2:$AB$826,8,FALSE)</f>
        <v>EPI</v>
      </c>
      <c r="N331" s="91">
        <f>VLOOKUP(A331,'Parameters Summary'!$B$2:$AB$826,6,FALSE)</f>
        <v>6.4999999999999997E-4</v>
      </c>
      <c r="O331" s="91" t="str">
        <f t="shared" si="25"/>
        <v/>
      </c>
      <c r="P331" s="91">
        <f t="shared" si="28"/>
        <v>6.4999999999999997E-4</v>
      </c>
      <c r="Q331" s="91" t="str">
        <f t="shared" si="26"/>
        <v/>
      </c>
      <c r="R331" s="91">
        <f t="shared" si="29"/>
        <v>6.4999999999999997E-4</v>
      </c>
      <c r="S331" s="91" t="str">
        <f t="shared" si="31"/>
        <v/>
      </c>
      <c r="T331" s="93">
        <f>VLOOKUP(A331,'Parameters Summary'!$B$2:$AB$826,15,FALSE)</f>
        <v>2.9126200000000001E-2</v>
      </c>
      <c r="U331" s="93" t="str">
        <f>VLOOKUP(A331,'Parameters Summary'!$B$2:$AB$826,17,FALSE)</f>
        <v>WATER9 (U.S. EPA, 2001)</v>
      </c>
      <c r="V331" s="93">
        <f>VLOOKUP(A331,'Parameters Summary'!$B$2:$AB$826,16,FALSE)</f>
        <v>6.3511000000000001E-6</v>
      </c>
      <c r="W331" s="379" t="str">
        <f>VLOOKUP(A331,'Parameters Summary'!$B$2:$AB$826,17,FALSE)</f>
        <v>WATER9 (U.S. EPA, 2001)</v>
      </c>
      <c r="X331" s="290">
        <v>400</v>
      </c>
      <c r="Y331" s="96" t="s">
        <v>2217</v>
      </c>
      <c r="Z331" s="96">
        <v>600</v>
      </c>
      <c r="AA331" s="96" t="s">
        <v>2220</v>
      </c>
      <c r="AB331" s="96" t="s">
        <v>1651</v>
      </c>
      <c r="AC331" s="96"/>
      <c r="AD331" s="93">
        <f>VLOOKUP(A331,'Parameters Summary'!$B$2:$AB$826,20,FALSE)</f>
        <v>164.1</v>
      </c>
      <c r="AE331" s="97" t="str">
        <f>VLOOKUP(A331,'Parameters Summary'!$B$2:$AB$826,21,FALSE)</f>
        <v>EPI</v>
      </c>
      <c r="AF331" s="380"/>
      <c r="AG331" s="97"/>
      <c r="AH331" s="92"/>
      <c r="AI331" s="96"/>
      <c r="AJ331" s="330"/>
      <c r="AL331" s="81"/>
    </row>
    <row r="332" spans="1:38" ht="12.75" customHeight="1">
      <c r="A332" s="96" t="s">
        <v>2282</v>
      </c>
      <c r="B332" s="96" t="s">
        <v>2297</v>
      </c>
      <c r="C332" s="96" t="str">
        <f t="shared" si="27"/>
        <v>No</v>
      </c>
      <c r="D332" s="96" t="str">
        <f>VLOOKUP(A332,'Tox Summary'!$O$3:$R$824,3,FALSE)</f>
        <v>Yes</v>
      </c>
      <c r="E332" s="97">
        <f>VLOOKUP(A332,'Parameters Summary'!$B$2:$AB$826,4,FALSE)</f>
        <v>120.15</v>
      </c>
      <c r="F332" s="97" t="str">
        <f>VLOOKUP(A332,'Parameters Summary'!$B$2:$AB$826,5,FALSE)</f>
        <v>PHYSPROP</v>
      </c>
      <c r="G332" s="93">
        <f>VLOOKUP(A332,'Parameters Summary'!$B$2:$AB$826,9,FALSE)</f>
        <v>0.25</v>
      </c>
      <c r="H332" s="93" t="str">
        <f>VLOOKUP(A332,'Parameters Summary'!$B$2:$AB$826,10,FALSE)</f>
        <v>PHYSPROP</v>
      </c>
      <c r="I332" s="93">
        <f>VLOOKUP(A332,'Parameters Summary'!$B$2:$AB$826,24,FALSE)</f>
        <v>1000000</v>
      </c>
      <c r="J332" s="97" t="str">
        <f>VLOOKUP(A332,'Parameters Summary'!$B$2:$AB$826,25,FALSE)</f>
        <v>PHYSPROP</v>
      </c>
      <c r="K332" s="97" t="str">
        <f>VLOOKUP(A332,'Tox Summary'!$O$3:$S$827,2,FALSE)</f>
        <v/>
      </c>
      <c r="L332" s="93">
        <f>VLOOKUP(A332,'Parameters Summary'!$B$2:$AB$826,7,FALSE)</f>
        <v>1.6500000000000001E-11</v>
      </c>
      <c r="M332" s="93" t="str">
        <f>VLOOKUP(A332,'Parameters Summary'!$B$2:$AB$826,8,FALSE)</f>
        <v>PHYSPROP</v>
      </c>
      <c r="N332" s="91">
        <f>VLOOKUP(A332,'Parameters Summary'!$B$2:$AB$826,6,FALSE)</f>
        <v>6.7460000000000003E-10</v>
      </c>
      <c r="O332" s="91" t="str">
        <f t="shared" si="25"/>
        <v/>
      </c>
      <c r="P332" s="91">
        <f t="shared" si="28"/>
        <v>6.7460000000000003E-10</v>
      </c>
      <c r="Q332" s="91" t="str">
        <f t="shared" si="26"/>
        <v/>
      </c>
      <c r="R332" s="91">
        <f t="shared" si="29"/>
        <v>6.7460000000000003E-10</v>
      </c>
      <c r="S332" s="91" t="str">
        <f t="shared" si="31"/>
        <v/>
      </c>
      <c r="T332" s="93">
        <f>VLOOKUP(A332,'Parameters Summary'!$B$2:$AB$826,15,FALSE)</f>
        <v>7.8031699999999996E-2</v>
      </c>
      <c r="U332" s="93" t="str">
        <f>VLOOKUP(A332,'Parameters Summary'!$B$2:$AB$826,17,FALSE)</f>
        <v>WATER9 (U.S. EPA, 2001)</v>
      </c>
      <c r="V332" s="93">
        <f>VLOOKUP(A332,'Parameters Summary'!$B$2:$AB$826,16,FALSE)</f>
        <v>9.1174000000000002E-6</v>
      </c>
      <c r="W332" s="379" t="str">
        <f>VLOOKUP(A332,'Parameters Summary'!$B$2:$AB$826,17,FALSE)</f>
        <v>WATER9 (U.S. EPA, 2001)</v>
      </c>
      <c r="X332" s="347">
        <v>466.15</v>
      </c>
      <c r="Y332" s="96" t="s">
        <v>1620</v>
      </c>
      <c r="Z332" s="96">
        <v>630</v>
      </c>
      <c r="AA332" s="96" t="s">
        <v>2038</v>
      </c>
      <c r="AB332" s="96" t="s">
        <v>1651</v>
      </c>
      <c r="AC332" s="96"/>
      <c r="AD332" s="93">
        <f>VLOOKUP(A332,'Parameters Summary'!$B$2:$AB$826,20,FALSE)</f>
        <v>1</v>
      </c>
      <c r="AE332" s="97" t="str">
        <f>VLOOKUP(A332,'Parameters Summary'!$B$2:$AB$826,21,FALSE)</f>
        <v>EPI</v>
      </c>
      <c r="AF332" s="97"/>
      <c r="AG332" s="94"/>
      <c r="AH332" s="92"/>
      <c r="AI332" s="96"/>
      <c r="AJ332" s="330"/>
      <c r="AL332" s="81"/>
    </row>
    <row r="333" spans="1:38" ht="12.75" customHeight="1">
      <c r="A333" s="96" t="s">
        <v>910</v>
      </c>
      <c r="B333" s="96" t="s">
        <v>1140</v>
      </c>
      <c r="C333" s="96" t="str">
        <f t="shared" si="27"/>
        <v>No</v>
      </c>
      <c r="D333" s="96" t="str">
        <f>VLOOKUP(A333,'Tox Summary'!$O$3:$R$824,3,FALSE)</f>
        <v>Yes</v>
      </c>
      <c r="E333" s="97">
        <f>VLOOKUP(A333,'Parameters Summary'!$B$2:$AB$826,4,FALSE)</f>
        <v>144.5</v>
      </c>
      <c r="F333" s="97" t="str">
        <f>VLOOKUP(A333,'Parameters Summary'!$B$2:$AB$826,5,FALSE)</f>
        <v>PHYSPROP</v>
      </c>
      <c r="G333" s="93">
        <f>VLOOKUP(A333,'Parameters Summary'!$B$2:$AB$826,9,FALSE)</f>
        <v>9.8000000000000004E-8</v>
      </c>
      <c r="H333" s="93" t="str">
        <f>VLOOKUP(A333,'Parameters Summary'!$B$2:$AB$826,10,FALSE)</f>
        <v>PHYSPROP</v>
      </c>
      <c r="I333" s="93">
        <f>VLOOKUP(A333,'Parameters Summary'!$B$2:$AB$826,24,FALSE)</f>
        <v>1000000</v>
      </c>
      <c r="J333" s="97" t="str">
        <f>VLOOKUP(A333,'Parameters Summary'!$B$2:$AB$826,25,FALSE)</f>
        <v>PHYSPROP</v>
      </c>
      <c r="K333" s="97" t="str">
        <f>VLOOKUP(A333,'Tox Summary'!$O$3:$S$827,2,FALSE)</f>
        <v/>
      </c>
      <c r="L333" s="93">
        <f>VLOOKUP(A333,'Parameters Summary'!$B$2:$AB$826,7,FALSE)</f>
        <v>5.7000000000000003E-12</v>
      </c>
      <c r="M333" s="93" t="str">
        <f>VLOOKUP(A333,'Parameters Summary'!$B$2:$AB$826,8,FALSE)</f>
        <v>PHYSPROP</v>
      </c>
      <c r="N333" s="91">
        <f>VLOOKUP(A333,'Parameters Summary'!$B$2:$AB$826,6,FALSE)</f>
        <v>2.3300000000000002E-10</v>
      </c>
      <c r="O333" s="91" t="str">
        <f t="shared" ref="O333:O396" si="32">IF(OR(L333="No Hc25",Z333="No Tcrit",AB333="No DHv,b"),"",N333*EXP((-(AB333*((1-(Tgw+273)/Z333)/(1-X333/Z333))^(IF(X333/Z333&lt;0.57,0.3,IF(X333/Z333&gt;0.71,0.41,0.74*(X333/Z333)-0.116))))/1.9872)*(1/(Tgw+273)-1/298)))</f>
        <v/>
      </c>
      <c r="P333" s="91">
        <f t="shared" si="28"/>
        <v>2.3300000000000002E-10</v>
      </c>
      <c r="Q333" s="91" t="str">
        <f t="shared" ref="Q333:Q396" si="33">IF(OR(L333="No Hc25",Z333="No Tcrit",AB333="No DHv,b"),"",N333*EXP((-(AB333*((1-(Tgw_GW+273)/Z333)/(1-X333/Z333))^(IF(X333/Z333&lt;0.57,0.3,IF(X333/Z333&gt;0.71,0.41,0.74*(X333/Z333)-0.116))))/1.9872)*(1/(Tgw_GW+273)-1/298)))</f>
        <v/>
      </c>
      <c r="R333" s="91">
        <f t="shared" si="29"/>
        <v>2.3300000000000002E-10</v>
      </c>
      <c r="S333" s="91" t="str">
        <f t="shared" si="31"/>
        <v/>
      </c>
      <c r="T333" s="93">
        <f>VLOOKUP(A333,'Parameters Summary'!$B$2:$AB$826,15,FALSE)</f>
        <v>5.5476499999999998E-2</v>
      </c>
      <c r="U333" s="93" t="str">
        <f>VLOOKUP(A333,'Parameters Summary'!$B$2:$AB$826,17,FALSE)</f>
        <v>WATER9 (U.S. EPA, 2001)</v>
      </c>
      <c r="V333" s="93">
        <f>VLOOKUP(A333,'Parameters Summary'!$B$2:$AB$826,16,FALSE)</f>
        <v>8.5676000000000008E-6</v>
      </c>
      <c r="W333" s="379" t="str">
        <f>VLOOKUP(A333,'Parameters Summary'!$B$2:$AB$826,17,FALSE)</f>
        <v>WATER9 (U.S. EPA, 2001)</v>
      </c>
      <c r="X333" s="290">
        <f>273.15+265</f>
        <v>538.15</v>
      </c>
      <c r="Y333" s="96" t="s">
        <v>553</v>
      </c>
      <c r="Z333" s="96">
        <f>1.5*X333</f>
        <v>807.22499999999991</v>
      </c>
      <c r="AA333" s="96" t="s">
        <v>2220</v>
      </c>
      <c r="AB333" s="96" t="s">
        <v>1651</v>
      </c>
      <c r="AC333" s="96"/>
      <c r="AD333" s="93">
        <f>VLOOKUP(A333,'Parameters Summary'!$B$2:$AB$826,20,FALSE)</f>
        <v>5.0279999999999996</v>
      </c>
      <c r="AE333" s="97" t="str">
        <f>VLOOKUP(A333,'Parameters Summary'!$B$2:$AB$826,21,FALSE)</f>
        <v>EPI</v>
      </c>
      <c r="AF333" s="97"/>
      <c r="AG333" s="94"/>
      <c r="AH333" s="92"/>
      <c r="AI333" s="96"/>
      <c r="AJ333" s="330"/>
      <c r="AL333" s="81"/>
    </row>
    <row r="334" spans="1:38" ht="12.75" customHeight="1">
      <c r="A334" s="96" t="s">
        <v>911</v>
      </c>
      <c r="B334" s="96" t="s">
        <v>1141</v>
      </c>
      <c r="C334" s="96" t="str">
        <f t="shared" ref="C334:C397" si="34">IF((COUNTIF(G334,"&gt;1")+COUNTIF(L334,"&gt;1E-5"))&gt;0,"Yes","No")</f>
        <v>No</v>
      </c>
      <c r="D334" s="96" t="str">
        <f>VLOOKUP(A334,'Tox Summary'!$O$3:$R$824,3,FALSE)</f>
        <v>Yes</v>
      </c>
      <c r="E334" s="97">
        <f>VLOOKUP(A334,'Parameters Summary'!$B$2:$AB$826,4,FALSE)</f>
        <v>384.48</v>
      </c>
      <c r="F334" s="97" t="str">
        <f>VLOOKUP(A334,'Parameters Summary'!$B$2:$AB$826,5,FALSE)</f>
        <v>PHYSPROP</v>
      </c>
      <c r="G334" s="93">
        <f>VLOOKUP(A334,'Parameters Summary'!$B$2:$AB$826,9,FALSE)</f>
        <v>1.5E-6</v>
      </c>
      <c r="H334" s="93" t="str">
        <f>VLOOKUP(A334,'Parameters Summary'!$B$2:$AB$826,10,FALSE)</f>
        <v>PHYSPROP</v>
      </c>
      <c r="I334" s="93">
        <f>VLOOKUP(A334,'Parameters Summary'!$B$2:$AB$826,24,FALSE)</f>
        <v>2</v>
      </c>
      <c r="J334" s="97" t="str">
        <f>VLOOKUP(A334,'Parameters Summary'!$B$2:$AB$826,25,FALSE)</f>
        <v>PHYSPROP</v>
      </c>
      <c r="K334" s="97" t="str">
        <f>VLOOKUP(A334,'Tox Summary'!$O$3:$S$827,2,FALSE)</f>
        <v/>
      </c>
      <c r="L334" s="93">
        <f>VLOOKUP(A334,'Parameters Summary'!$B$2:$AB$826,7,FALSE)</f>
        <v>3.7899999999999999E-7</v>
      </c>
      <c r="M334" s="93" t="str">
        <f>VLOOKUP(A334,'Parameters Summary'!$B$2:$AB$826,8,FALSE)</f>
        <v>EPI</v>
      </c>
      <c r="N334" s="91">
        <f>VLOOKUP(A334,'Parameters Summary'!$B$2:$AB$826,6,FALSE)</f>
        <v>1.5500000000000001E-5</v>
      </c>
      <c r="O334" s="91" t="str">
        <f t="shared" si="32"/>
        <v/>
      </c>
      <c r="P334" s="91">
        <f t="shared" ref="P334:P397" si="35">IF(O334="",N334,O334)</f>
        <v>1.5500000000000001E-5</v>
      </c>
      <c r="Q334" s="91" t="str">
        <f t="shared" si="33"/>
        <v/>
      </c>
      <c r="R334" s="91">
        <f t="shared" ref="R334:R397" si="36">IF(Q334="",P334,Q334)</f>
        <v>1.5500000000000001E-5</v>
      </c>
      <c r="S334" s="91" t="str">
        <f t="shared" si="31"/>
        <v/>
      </c>
      <c r="T334" s="93">
        <f>VLOOKUP(A334,'Parameters Summary'!$B$2:$AB$826,15,FALSE)</f>
        <v>1.9477399999999999E-2</v>
      </c>
      <c r="U334" s="93" t="str">
        <f>VLOOKUP(A334,'Parameters Summary'!$B$2:$AB$826,17,FALSE)</f>
        <v>WATER9 (U.S. EPA, 2001)</v>
      </c>
      <c r="V334" s="93">
        <f>VLOOKUP(A334,'Parameters Summary'!$B$2:$AB$826,16,FALSE)</f>
        <v>4.8102000000000001E-6</v>
      </c>
      <c r="W334" s="379" t="str">
        <f>VLOOKUP(A334,'Parameters Summary'!$B$2:$AB$826,17,FALSE)</f>
        <v>WATER9 (U.S. EPA, 2001)</v>
      </c>
      <c r="X334" s="290">
        <v>438.15</v>
      </c>
      <c r="Y334" s="96" t="s">
        <v>553</v>
      </c>
      <c r="Z334" s="96">
        <f>1.5*X334</f>
        <v>657.22499999999991</v>
      </c>
      <c r="AA334" s="96" t="s">
        <v>2220</v>
      </c>
      <c r="AB334" s="96" t="s">
        <v>1651</v>
      </c>
      <c r="AC334" s="96"/>
      <c r="AD334" s="93">
        <f>VLOOKUP(A334,'Parameters Summary'!$B$2:$AB$826,20,FALSE)</f>
        <v>882</v>
      </c>
      <c r="AE334" s="97" t="str">
        <f>VLOOKUP(A334,'Parameters Summary'!$B$2:$AB$826,21,FALSE)</f>
        <v>EPI</v>
      </c>
      <c r="AF334" s="97"/>
      <c r="AG334" s="94"/>
      <c r="AH334" s="92"/>
      <c r="AI334" s="96"/>
      <c r="AJ334" s="330"/>
      <c r="AL334" s="81"/>
    </row>
    <row r="335" spans="1:38" ht="12.75" customHeight="1">
      <c r="A335" s="95" t="s">
        <v>912</v>
      </c>
      <c r="B335" s="96" t="s">
        <v>1142</v>
      </c>
      <c r="C335" s="96" t="str">
        <f t="shared" si="34"/>
        <v>Yes</v>
      </c>
      <c r="D335" s="96" t="str">
        <f>VLOOKUP(A335,'Tox Summary'!$O$3:$R$824,3,FALSE)</f>
        <v>Yes</v>
      </c>
      <c r="E335" s="97">
        <f>VLOOKUP(A335,'Parameters Summary'!$B$2:$AB$826,4,FALSE)</f>
        <v>132.16</v>
      </c>
      <c r="F335" s="97" t="str">
        <f>VLOOKUP(A335,'Parameters Summary'!$B$2:$AB$826,5,FALSE)</f>
        <v>PHYSPROP</v>
      </c>
      <c r="G335" s="93">
        <f>VLOOKUP(A335,'Parameters Summary'!$B$2:$AB$826,9,FALSE)</f>
        <v>2</v>
      </c>
      <c r="H335" s="93" t="str">
        <f>VLOOKUP(A335,'Parameters Summary'!$B$2:$AB$826,10,FALSE)</f>
        <v>PHYSPROP</v>
      </c>
      <c r="I335" s="93">
        <f>VLOOKUP(A335,'Parameters Summary'!$B$2:$AB$826,24,FALSE)</f>
        <v>187000</v>
      </c>
      <c r="J335" s="97" t="str">
        <f>VLOOKUP(A335,'Parameters Summary'!$B$2:$AB$826,25,FALSE)</f>
        <v>PHYSPROP</v>
      </c>
      <c r="K335" s="97" t="str">
        <f>VLOOKUP(A335,'Tox Summary'!$O$3:$S$827,2,FALSE)</f>
        <v/>
      </c>
      <c r="L335" s="93">
        <f>VLOOKUP(A335,'Parameters Summary'!$B$2:$AB$826,7,FALSE)</f>
        <v>3.1999999999999999E-6</v>
      </c>
      <c r="M335" s="93" t="str">
        <f>VLOOKUP(A335,'Parameters Summary'!$B$2:$AB$826,8,FALSE)</f>
        <v>PHYSPROP</v>
      </c>
      <c r="N335" s="91">
        <f>VLOOKUP(A335,'Parameters Summary'!$B$2:$AB$826,6,FALSE)</f>
        <v>1.3080000000000001E-4</v>
      </c>
      <c r="O335" s="91">
        <f t="shared" si="32"/>
        <v>1.3080000000000001E-4</v>
      </c>
      <c r="P335" s="91">
        <f t="shared" si="35"/>
        <v>1.3080000000000001E-4</v>
      </c>
      <c r="Q335" s="91">
        <f t="shared" si="33"/>
        <v>1.3080000000000001E-4</v>
      </c>
      <c r="R335" s="91">
        <f t="shared" si="36"/>
        <v>1.3080000000000001E-4</v>
      </c>
      <c r="S335" s="91">
        <f t="shared" si="31"/>
        <v>14222738.221749254</v>
      </c>
      <c r="T335" s="93">
        <f>VLOOKUP(A335,'Parameters Summary'!$B$2:$AB$826,15,FALSE)</f>
        <v>5.6950399999999998E-2</v>
      </c>
      <c r="U335" s="93" t="str">
        <f>VLOOKUP(A335,'Parameters Summary'!$B$2:$AB$826,17,FALSE)</f>
        <v>WATER9 (U.S. EPA, 2001)</v>
      </c>
      <c r="V335" s="93">
        <f>VLOOKUP(A335,'Parameters Summary'!$B$2:$AB$826,16,FALSE)</f>
        <v>7.9752999999999997E-6</v>
      </c>
      <c r="W335" s="379" t="str">
        <f>VLOOKUP(A335,'Parameters Summary'!$B$2:$AB$826,17,FALSE)</f>
        <v>WATER9 (U.S. EPA, 2001)</v>
      </c>
      <c r="X335" s="290">
        <f>156.4+273.15</f>
        <v>429.54999999999995</v>
      </c>
      <c r="Y335" s="96" t="s">
        <v>553</v>
      </c>
      <c r="Z335" s="96">
        <v>607</v>
      </c>
      <c r="AA335" s="96" t="s">
        <v>2215</v>
      </c>
      <c r="AB335" s="96">
        <f>74*E335</f>
        <v>9779.84</v>
      </c>
      <c r="AC335" s="96" t="s">
        <v>2218</v>
      </c>
      <c r="AD335" s="93">
        <f>VLOOKUP(A335,'Parameters Summary'!$B$2:$AB$826,20,FALSE)</f>
        <v>4.5419999999999998</v>
      </c>
      <c r="AE335" s="97" t="str">
        <f>VLOOKUP(A335,'Parameters Summary'!$B$2:$AB$826,21,FALSE)</f>
        <v>EPI</v>
      </c>
      <c r="AF335" s="380">
        <v>1.7</v>
      </c>
      <c r="AG335" s="97" t="s">
        <v>302</v>
      </c>
      <c r="AH335" s="92"/>
      <c r="AI335" s="96"/>
      <c r="AJ335" s="330"/>
      <c r="AL335" s="81"/>
    </row>
    <row r="336" spans="1:38" ht="12.75" customHeight="1">
      <c r="A336" s="95" t="s">
        <v>913</v>
      </c>
      <c r="B336" s="96" t="s">
        <v>1143</v>
      </c>
      <c r="C336" s="96" t="str">
        <f t="shared" si="34"/>
        <v>Yes</v>
      </c>
      <c r="D336" s="96" t="str">
        <f>VLOOKUP(A336,'Tox Summary'!$O$3:$R$824,3,FALSE)</f>
        <v>No</v>
      </c>
      <c r="E336" s="97">
        <f>VLOOKUP(A336,'Parameters Summary'!$B$2:$AB$826,4,FALSE)</f>
        <v>90.123000000000005</v>
      </c>
      <c r="F336" s="97" t="str">
        <f>VLOOKUP(A336,'Parameters Summary'!$B$2:$AB$826,5,FALSE)</f>
        <v>PHYSPROP</v>
      </c>
      <c r="G336" s="93">
        <f>VLOOKUP(A336,'Parameters Summary'!$B$2:$AB$826,9,FALSE)</f>
        <v>5.31</v>
      </c>
      <c r="H336" s="93" t="str">
        <f>VLOOKUP(A336,'Parameters Summary'!$B$2:$AB$826,10,FALSE)</f>
        <v>PHYSPROP</v>
      </c>
      <c r="I336" s="93">
        <f>VLOOKUP(A336,'Parameters Summary'!$B$2:$AB$826,24,FALSE)</f>
        <v>1000000</v>
      </c>
      <c r="J336" s="97" t="str">
        <f>VLOOKUP(A336,'Parameters Summary'!$B$2:$AB$826,25,FALSE)</f>
        <v>PHYSPROP</v>
      </c>
      <c r="K336" s="97" t="str">
        <f>VLOOKUP(A336,'Tox Summary'!$O$3:$S$827,2,FALSE)</f>
        <v/>
      </c>
      <c r="L336" s="93">
        <f>VLOOKUP(A336,'Parameters Summary'!$B$2:$AB$826,7,FALSE)</f>
        <v>4.7E-7</v>
      </c>
      <c r="M336" s="93" t="str">
        <f>VLOOKUP(A336,'Parameters Summary'!$B$2:$AB$826,8,FALSE)</f>
        <v>PHYSPROP</v>
      </c>
      <c r="N336" s="91">
        <f>VLOOKUP(A336,'Parameters Summary'!$B$2:$AB$826,6,FALSE)</f>
        <v>1.9199999999999999E-5</v>
      </c>
      <c r="O336" s="91">
        <f t="shared" si="32"/>
        <v>1.9199999999999999E-5</v>
      </c>
      <c r="P336" s="91">
        <f t="shared" si="35"/>
        <v>1.9199999999999999E-5</v>
      </c>
      <c r="Q336" s="91">
        <f t="shared" si="33"/>
        <v>1.9199999999999999E-5</v>
      </c>
      <c r="R336" s="91">
        <f t="shared" si="36"/>
        <v>1.9199999999999999E-5</v>
      </c>
      <c r="S336" s="91">
        <f t="shared" si="31"/>
        <v>25750362.792027619</v>
      </c>
      <c r="T336" s="93">
        <f>VLOOKUP(A336,'Parameters Summary'!$B$2:$AB$826,15,FALSE)</f>
        <v>8.1753699999999999E-2</v>
      </c>
      <c r="U336" s="93" t="str">
        <f>VLOOKUP(A336,'Parameters Summary'!$B$2:$AB$826,17,FALSE)</f>
        <v>WATER9 (U.S. EPA, 2001)</v>
      </c>
      <c r="V336" s="93">
        <f>VLOOKUP(A336,'Parameters Summary'!$B$2:$AB$826,16,FALSE)</f>
        <v>9.7305999999999996E-6</v>
      </c>
      <c r="W336" s="379" t="str">
        <f>VLOOKUP(A336,'Parameters Summary'!$B$2:$AB$826,17,FALSE)</f>
        <v>WATER9 (U.S. EPA, 2001)</v>
      </c>
      <c r="X336" s="290">
        <f>135+273.15</f>
        <v>408.15</v>
      </c>
      <c r="Y336" s="96" t="s">
        <v>553</v>
      </c>
      <c r="Z336" s="96">
        <f>1.5*X336</f>
        <v>612.22499999999991</v>
      </c>
      <c r="AA336" s="96" t="s">
        <v>2220</v>
      </c>
      <c r="AB336" s="96">
        <f>40.53*238.846</f>
        <v>9680.4283800000012</v>
      </c>
      <c r="AC336" s="96" t="s">
        <v>2218</v>
      </c>
      <c r="AD336" s="93">
        <f>VLOOKUP(A336,'Parameters Summary'!$B$2:$AB$826,20,FALSE)</f>
        <v>1</v>
      </c>
      <c r="AE336" s="97" t="str">
        <f>VLOOKUP(A336,'Parameters Summary'!$B$2:$AB$826,21,FALSE)</f>
        <v>EPI</v>
      </c>
      <c r="AF336" s="380">
        <v>1.7</v>
      </c>
      <c r="AG336" s="97" t="s">
        <v>302</v>
      </c>
      <c r="AH336" s="92"/>
      <c r="AI336" s="96"/>
      <c r="AJ336" s="330"/>
      <c r="AL336" s="81"/>
    </row>
    <row r="337" spans="1:38" ht="12.75" customHeight="1">
      <c r="A337" s="95" t="s">
        <v>914</v>
      </c>
      <c r="B337" s="96" t="s">
        <v>1144</v>
      </c>
      <c r="C337" s="96" t="str">
        <f t="shared" si="34"/>
        <v>Yes</v>
      </c>
      <c r="D337" s="96" t="str">
        <f>VLOOKUP(A337,'Tox Summary'!$O$3:$R$824,3,FALSE)</f>
        <v>Yes</v>
      </c>
      <c r="E337" s="97">
        <f>VLOOKUP(A337,'Parameters Summary'!$B$2:$AB$826,4,FALSE)</f>
        <v>88.106999999999999</v>
      </c>
      <c r="F337" s="97" t="str">
        <f>VLOOKUP(A337,'Parameters Summary'!$B$2:$AB$826,5,FALSE)</f>
        <v>PHYSPROP</v>
      </c>
      <c r="G337" s="93">
        <f>VLOOKUP(A337,'Parameters Summary'!$B$2:$AB$826,9,FALSE)</f>
        <v>93.2</v>
      </c>
      <c r="H337" s="93" t="str">
        <f>VLOOKUP(A337,'Parameters Summary'!$B$2:$AB$826,10,FALSE)</f>
        <v>PHYSPROP</v>
      </c>
      <c r="I337" s="93">
        <f>VLOOKUP(A337,'Parameters Summary'!$B$2:$AB$826,24,FALSE)</f>
        <v>80000</v>
      </c>
      <c r="J337" s="97" t="str">
        <f>VLOOKUP(A337,'Parameters Summary'!$B$2:$AB$826,25,FALSE)</f>
        <v>PHYSPROP</v>
      </c>
      <c r="K337" s="97" t="str">
        <f>VLOOKUP(A337,'Tox Summary'!$O$3:$S$827,2,FALSE)</f>
        <v/>
      </c>
      <c r="L337" s="93">
        <f>VLOOKUP(A337,'Parameters Summary'!$B$2:$AB$826,7,FALSE)</f>
        <v>1.34E-4</v>
      </c>
      <c r="M337" s="93" t="str">
        <f>VLOOKUP(A337,'Parameters Summary'!$B$2:$AB$826,8,FALSE)</f>
        <v>PHYSPROP</v>
      </c>
      <c r="N337" s="91">
        <f>VLOOKUP(A337,'Parameters Summary'!$B$2:$AB$826,6,FALSE)</f>
        <v>5.4783000000000002E-3</v>
      </c>
      <c r="O337" s="91">
        <f t="shared" si="32"/>
        <v>5.4783000000000002E-3</v>
      </c>
      <c r="P337" s="91">
        <f t="shared" si="35"/>
        <v>5.4783000000000002E-3</v>
      </c>
      <c r="Q337" s="91">
        <f t="shared" si="33"/>
        <v>5.4783000000000002E-3</v>
      </c>
      <c r="R337" s="91">
        <f t="shared" si="36"/>
        <v>5.4783000000000002E-3</v>
      </c>
      <c r="S337" s="91">
        <f t="shared" ref="S337:S368" si="37">IF(OR(G337="No VP",Z337="No Tcrit",AB337="No DHv,b",L337="No Hc25"),"",G337*E337*53808.7856452378*O337/N337)</f>
        <v>441854739.0819509</v>
      </c>
      <c r="T337" s="93">
        <f>VLOOKUP(A337,'Parameters Summary'!$B$2:$AB$826,15,FALSE)</f>
        <v>8.2315799999999995E-2</v>
      </c>
      <c r="U337" s="93" t="str">
        <f>VLOOKUP(A337,'Parameters Summary'!$B$2:$AB$826,17,FALSE)</f>
        <v>WATER9 (U.S. EPA, 2001)</v>
      </c>
      <c r="V337" s="93">
        <f>VLOOKUP(A337,'Parameters Summary'!$B$2:$AB$826,16,FALSE)</f>
        <v>9.7027999999999997E-6</v>
      </c>
      <c r="W337" s="379" t="str">
        <f>VLOOKUP(A337,'Parameters Summary'!$B$2:$AB$826,17,FALSE)</f>
        <v>WATER9 (U.S. EPA, 2001)</v>
      </c>
      <c r="X337" s="290">
        <v>350.1</v>
      </c>
      <c r="Y337" s="96" t="s">
        <v>553</v>
      </c>
      <c r="Z337" s="96">
        <v>523.29999999999995</v>
      </c>
      <c r="AA337" s="96" t="s">
        <v>2221</v>
      </c>
      <c r="AB337" s="96">
        <v>7633.66</v>
      </c>
      <c r="AC337" s="96" t="s">
        <v>2221</v>
      </c>
      <c r="AD337" s="93">
        <f>VLOOKUP(A337,'Parameters Summary'!$B$2:$AB$826,20,FALSE)</f>
        <v>5.5830000000000002</v>
      </c>
      <c r="AE337" s="97" t="str">
        <f>VLOOKUP(A337,'Parameters Summary'!$B$2:$AB$826,21,FALSE)</f>
        <v>EPI</v>
      </c>
      <c r="AF337" s="380">
        <v>2</v>
      </c>
      <c r="AG337" s="97" t="s">
        <v>302</v>
      </c>
      <c r="AH337" s="92"/>
      <c r="AI337" s="96"/>
      <c r="AJ337" s="330"/>
      <c r="AL337" s="81"/>
    </row>
    <row r="338" spans="1:38" ht="12.75" customHeight="1">
      <c r="A338" s="95" t="s">
        <v>915</v>
      </c>
      <c r="B338" s="96" t="s">
        <v>1145</v>
      </c>
      <c r="C338" s="96" t="str">
        <f t="shared" si="34"/>
        <v>Yes</v>
      </c>
      <c r="D338" s="96" t="str">
        <f>VLOOKUP(A338,'Tox Summary'!$O$3:$R$824,3,FALSE)</f>
        <v>No</v>
      </c>
      <c r="E338" s="97">
        <f>VLOOKUP(A338,'Parameters Summary'!$B$2:$AB$826,4,FALSE)</f>
        <v>100.12</v>
      </c>
      <c r="F338" s="97" t="str">
        <f>VLOOKUP(A338,'Parameters Summary'!$B$2:$AB$826,5,FALSE)</f>
        <v>PHYSPROP</v>
      </c>
      <c r="G338" s="93">
        <f>VLOOKUP(A338,'Parameters Summary'!$B$2:$AB$826,9,FALSE)</f>
        <v>38.6</v>
      </c>
      <c r="H338" s="93" t="str">
        <f>VLOOKUP(A338,'Parameters Summary'!$B$2:$AB$826,10,FALSE)</f>
        <v>PHYSPROP</v>
      </c>
      <c r="I338" s="93">
        <f>VLOOKUP(A338,'Parameters Summary'!$B$2:$AB$826,24,FALSE)</f>
        <v>15000</v>
      </c>
      <c r="J338" s="97" t="str">
        <f>VLOOKUP(A338,'Parameters Summary'!$B$2:$AB$826,25,FALSE)</f>
        <v>PHYSPROP</v>
      </c>
      <c r="K338" s="97" t="str">
        <f>VLOOKUP(A338,'Tox Summary'!$O$3:$S$827,2,FALSE)</f>
        <v/>
      </c>
      <c r="L338" s="93">
        <f>VLOOKUP(A338,'Parameters Summary'!$B$2:$AB$826,7,FALSE)</f>
        <v>3.39E-4</v>
      </c>
      <c r="M338" s="93" t="str">
        <f>VLOOKUP(A338,'Parameters Summary'!$B$2:$AB$826,8,FALSE)</f>
        <v>EPI</v>
      </c>
      <c r="N338" s="91">
        <f>VLOOKUP(A338,'Parameters Summary'!$B$2:$AB$826,6,FALSE)</f>
        <v>1.3859399999999999E-2</v>
      </c>
      <c r="O338" s="91">
        <f t="shared" si="32"/>
        <v>1.3859399999999999E-2</v>
      </c>
      <c r="P338" s="91">
        <f t="shared" si="35"/>
        <v>1.3859399999999999E-2</v>
      </c>
      <c r="Q338" s="91">
        <f t="shared" si="33"/>
        <v>1.3859399999999999E-2</v>
      </c>
      <c r="R338" s="91">
        <f t="shared" si="36"/>
        <v>1.3859399999999999E-2</v>
      </c>
      <c r="S338" s="91">
        <f t="shared" si="37"/>
        <v>207951154.88572666</v>
      </c>
      <c r="T338" s="93">
        <f>VLOOKUP(A338,'Parameters Summary'!$B$2:$AB$826,15,FALSE)</f>
        <v>7.45392E-2</v>
      </c>
      <c r="U338" s="93" t="str">
        <f>VLOOKUP(A338,'Parameters Summary'!$B$2:$AB$826,17,FALSE)</f>
        <v>WATER9 (U.S. EPA, 2001)</v>
      </c>
      <c r="V338" s="93">
        <f>VLOOKUP(A338,'Parameters Summary'!$B$2:$AB$826,16,FALSE)</f>
        <v>9.1241999999999998E-6</v>
      </c>
      <c r="W338" s="379" t="str">
        <f>VLOOKUP(A338,'Parameters Summary'!$B$2:$AB$826,17,FALSE)</f>
        <v>WATER9 (U.S. EPA, 2001)</v>
      </c>
      <c r="X338" s="290">
        <v>372.4</v>
      </c>
      <c r="Y338" s="96" t="s">
        <v>2217</v>
      </c>
      <c r="Z338" s="96">
        <v>558.59999999999991</v>
      </c>
      <c r="AA338" s="96" t="s">
        <v>2220</v>
      </c>
      <c r="AB338" s="96">
        <v>9362.76</v>
      </c>
      <c r="AC338" s="96" t="s">
        <v>1649</v>
      </c>
      <c r="AD338" s="93">
        <f>VLOOKUP(A338,'Parameters Summary'!$B$2:$AB$826,20,FALSE)</f>
        <v>10.65</v>
      </c>
      <c r="AE338" s="97" t="str">
        <f>VLOOKUP(A338,'Parameters Summary'!$B$2:$AB$826,21,FALSE)</f>
        <v>EPI</v>
      </c>
      <c r="AF338" s="380"/>
      <c r="AG338" s="97"/>
      <c r="AH338" s="92"/>
      <c r="AI338" s="96"/>
      <c r="AJ338" s="330"/>
      <c r="AL338" s="81"/>
    </row>
    <row r="339" spans="1:38" ht="12.75" customHeight="1">
      <c r="A339" s="95" t="s">
        <v>916</v>
      </c>
      <c r="B339" s="96" t="s">
        <v>2046</v>
      </c>
      <c r="C339" s="96" t="str">
        <f t="shared" si="34"/>
        <v>Yes</v>
      </c>
      <c r="D339" s="96" t="str">
        <f>VLOOKUP(A339,'Tox Summary'!$O$3:$R$824,3,FALSE)</f>
        <v>Yes</v>
      </c>
      <c r="E339" s="97">
        <f>VLOOKUP(A339,'Parameters Summary'!$B$2:$AB$826,4,FALSE)</f>
        <v>64.515000000000001</v>
      </c>
      <c r="F339" s="97" t="str">
        <f>VLOOKUP(A339,'Parameters Summary'!$B$2:$AB$826,5,FALSE)</f>
        <v>PHYSPROP</v>
      </c>
      <c r="G339" s="93">
        <f>VLOOKUP(A339,'Parameters Summary'!$B$2:$AB$826,9,FALSE)</f>
        <v>1008</v>
      </c>
      <c r="H339" s="93" t="str">
        <f>VLOOKUP(A339,'Parameters Summary'!$B$2:$AB$826,10,FALSE)</f>
        <v>PHYSPROP</v>
      </c>
      <c r="I339" s="93">
        <f>VLOOKUP(A339,'Parameters Summary'!$B$2:$AB$826,24,FALSE)</f>
        <v>6710</v>
      </c>
      <c r="J339" s="97" t="str">
        <f>VLOOKUP(A339,'Parameters Summary'!$B$2:$AB$826,25,FALSE)</f>
        <v>PHYSPROP</v>
      </c>
      <c r="K339" s="97" t="str">
        <f>VLOOKUP(A339,'Tox Summary'!$O$3:$S$827,2,FALSE)</f>
        <v/>
      </c>
      <c r="L339" s="93">
        <f>VLOOKUP(A339,'Parameters Summary'!$B$2:$AB$826,7,FALSE)</f>
        <v>1.11E-2</v>
      </c>
      <c r="M339" s="93" t="str">
        <f>VLOOKUP(A339,'Parameters Summary'!$B$2:$AB$826,8,FALSE)</f>
        <v>PHYSPROP</v>
      </c>
      <c r="N339" s="91">
        <f>VLOOKUP(A339,'Parameters Summary'!$B$2:$AB$826,6,FALSE)</f>
        <v>0.45380209999999999</v>
      </c>
      <c r="O339" s="91">
        <f t="shared" si="32"/>
        <v>0.45380209999999999</v>
      </c>
      <c r="P339" s="91">
        <f t="shared" si="35"/>
        <v>0.45380209999999999</v>
      </c>
      <c r="Q339" s="91">
        <f t="shared" si="33"/>
        <v>0.45380209999999999</v>
      </c>
      <c r="R339" s="91">
        <f t="shared" si="36"/>
        <v>0.45380209999999999</v>
      </c>
      <c r="S339" s="91">
        <f t="shared" si="37"/>
        <v>3499245596.3497367</v>
      </c>
      <c r="T339" s="93">
        <f>VLOOKUP(A339,'Parameters Summary'!$B$2:$AB$826,15,FALSE)</f>
        <v>0.1037597</v>
      </c>
      <c r="U339" s="93" t="str">
        <f>VLOOKUP(A339,'Parameters Summary'!$B$2:$AB$826,17,FALSE)</f>
        <v>WATER9 (U.S. EPA, 2001)</v>
      </c>
      <c r="V339" s="93">
        <f>VLOOKUP(A339,'Parameters Summary'!$B$2:$AB$826,16,FALSE)</f>
        <v>1.1600000000000001E-5</v>
      </c>
      <c r="W339" s="379" t="str">
        <f>VLOOKUP(A339,'Parameters Summary'!$B$2:$AB$826,17,FALSE)</f>
        <v>WATER9 (U.S. EPA, 2001)</v>
      </c>
      <c r="X339" s="290">
        <v>285.3</v>
      </c>
      <c r="Y339" s="96" t="s">
        <v>553</v>
      </c>
      <c r="Z339" s="96">
        <v>460.4</v>
      </c>
      <c r="AA339" s="96" t="s">
        <v>2221</v>
      </c>
      <c r="AB339" s="96">
        <v>5879.4</v>
      </c>
      <c r="AC339" s="96" t="s">
        <v>2221</v>
      </c>
      <c r="AD339" s="93">
        <f>VLOOKUP(A339,'Parameters Summary'!$B$2:$AB$826,20,FALSE)</f>
        <v>21.73</v>
      </c>
      <c r="AE339" s="97" t="str">
        <f>VLOOKUP(A339,'Parameters Summary'!$B$2:$AB$826,21,FALSE)</f>
        <v>EPI</v>
      </c>
      <c r="AF339" s="380">
        <v>3.8</v>
      </c>
      <c r="AG339" s="97" t="s">
        <v>302</v>
      </c>
      <c r="AH339" s="92"/>
      <c r="AI339" s="96"/>
      <c r="AJ339" s="330"/>
      <c r="AL339" s="81"/>
    </row>
    <row r="340" spans="1:38" ht="12.75" customHeight="1">
      <c r="A340" s="95" t="s">
        <v>917</v>
      </c>
      <c r="B340" s="96" t="s">
        <v>1146</v>
      </c>
      <c r="C340" s="96" t="str">
        <f t="shared" si="34"/>
        <v>Yes</v>
      </c>
      <c r="D340" s="96" t="str">
        <f>VLOOKUP(A340,'Tox Summary'!$O$3:$R$824,3,FALSE)</f>
        <v>No</v>
      </c>
      <c r="E340" s="97">
        <f>VLOOKUP(A340,'Parameters Summary'!$B$2:$AB$826,4,FALSE)</f>
        <v>74.123999999999995</v>
      </c>
      <c r="F340" s="97" t="str">
        <f>VLOOKUP(A340,'Parameters Summary'!$B$2:$AB$826,5,FALSE)</f>
        <v>PHYSPROP</v>
      </c>
      <c r="G340" s="93">
        <f>VLOOKUP(A340,'Parameters Summary'!$B$2:$AB$826,9,FALSE)</f>
        <v>538</v>
      </c>
      <c r="H340" s="93" t="str">
        <f>VLOOKUP(A340,'Parameters Summary'!$B$2:$AB$826,10,FALSE)</f>
        <v>PHYSPROP</v>
      </c>
      <c r="I340" s="93">
        <f>VLOOKUP(A340,'Parameters Summary'!$B$2:$AB$826,24,FALSE)</f>
        <v>60400</v>
      </c>
      <c r="J340" s="97" t="str">
        <f>VLOOKUP(A340,'Parameters Summary'!$B$2:$AB$826,25,FALSE)</f>
        <v>PHYSPROP</v>
      </c>
      <c r="K340" s="97" t="str">
        <f>VLOOKUP(A340,'Tox Summary'!$O$3:$S$827,2,FALSE)</f>
        <v/>
      </c>
      <c r="L340" s="93">
        <f>VLOOKUP(A340,'Parameters Summary'!$B$2:$AB$826,7,FALSE)</f>
        <v>1.23E-3</v>
      </c>
      <c r="M340" s="93" t="str">
        <f>VLOOKUP(A340,'Parameters Summary'!$B$2:$AB$826,8,FALSE)</f>
        <v>PHYSPROP</v>
      </c>
      <c r="N340" s="91">
        <f>VLOOKUP(A340,'Parameters Summary'!$B$2:$AB$826,6,FALSE)</f>
        <v>5.0286200000000003E-2</v>
      </c>
      <c r="O340" s="91" t="str">
        <f t="shared" si="32"/>
        <v/>
      </c>
      <c r="P340" s="91">
        <f t="shared" si="35"/>
        <v>5.0286200000000003E-2</v>
      </c>
      <c r="Q340" s="91" t="str">
        <f t="shared" si="33"/>
        <v/>
      </c>
      <c r="R340" s="91">
        <f t="shared" si="36"/>
        <v>5.0286200000000003E-2</v>
      </c>
      <c r="S340" s="91" t="str">
        <f t="shared" si="37"/>
        <v/>
      </c>
      <c r="T340" s="93">
        <f>VLOOKUP(A340,'Parameters Summary'!$B$2:$AB$826,15,FALSE)</f>
        <v>8.5244600000000004E-2</v>
      </c>
      <c r="U340" s="93" t="str">
        <f>VLOOKUP(A340,'Parameters Summary'!$B$2:$AB$826,17,FALSE)</f>
        <v>WATER9 (U.S. EPA, 2001)</v>
      </c>
      <c r="V340" s="93">
        <f>VLOOKUP(A340,'Parameters Summary'!$B$2:$AB$826,16,FALSE)</f>
        <v>9.3635999999999996E-6</v>
      </c>
      <c r="W340" s="379" t="str">
        <f>VLOOKUP(A340,'Parameters Summary'!$B$2:$AB$826,17,FALSE)</f>
        <v>WATER9 (U.S. EPA, 2001)</v>
      </c>
      <c r="X340" s="290">
        <v>307.60000000000002</v>
      </c>
      <c r="Y340" s="96" t="s">
        <v>553</v>
      </c>
      <c r="Z340" s="96">
        <v>461.40000000000003</v>
      </c>
      <c r="AA340" s="96" t="s">
        <v>2220</v>
      </c>
      <c r="AB340" s="96" t="s">
        <v>1651</v>
      </c>
      <c r="AC340" s="96"/>
      <c r="AD340" s="93">
        <f>VLOOKUP(A340,'Parameters Summary'!$B$2:$AB$826,20,FALSE)</f>
        <v>9.6989999999999998</v>
      </c>
      <c r="AE340" s="97" t="str">
        <f>VLOOKUP(A340,'Parameters Summary'!$B$2:$AB$826,21,FALSE)</f>
        <v>EPI</v>
      </c>
      <c r="AF340" s="380">
        <v>1.9</v>
      </c>
      <c r="AG340" s="97" t="s">
        <v>302</v>
      </c>
      <c r="AH340" s="92"/>
      <c r="AI340" s="96"/>
      <c r="AJ340" s="330"/>
      <c r="AL340" s="81"/>
    </row>
    <row r="341" spans="1:38" ht="12.75" customHeight="1">
      <c r="A341" s="95" t="s">
        <v>918</v>
      </c>
      <c r="B341" s="96" t="s">
        <v>1147</v>
      </c>
      <c r="C341" s="96" t="str">
        <f t="shared" si="34"/>
        <v>Yes</v>
      </c>
      <c r="D341" s="96" t="str">
        <f>VLOOKUP(A341,'Tox Summary'!$O$3:$R$824,3,FALSE)</f>
        <v>No</v>
      </c>
      <c r="E341" s="97">
        <f>VLOOKUP(A341,'Parameters Summary'!$B$2:$AB$826,4,FALSE)</f>
        <v>114.15</v>
      </c>
      <c r="F341" s="97" t="str">
        <f>VLOOKUP(A341,'Parameters Summary'!$B$2:$AB$826,5,FALSE)</f>
        <v>PHYSPROP</v>
      </c>
      <c r="G341" s="93">
        <f>VLOOKUP(A341,'Parameters Summary'!$B$2:$AB$826,9,FALSE)</f>
        <v>20.59</v>
      </c>
      <c r="H341" s="93" t="str">
        <f>VLOOKUP(A341,'Parameters Summary'!$B$2:$AB$826,10,FALSE)</f>
        <v>PHYSPROP</v>
      </c>
      <c r="I341" s="93">
        <f>VLOOKUP(A341,'Parameters Summary'!$B$2:$AB$826,24,FALSE)</f>
        <v>5400</v>
      </c>
      <c r="J341" s="97" t="str">
        <f>VLOOKUP(A341,'Parameters Summary'!$B$2:$AB$826,25,FALSE)</f>
        <v>PHYSPROP</v>
      </c>
      <c r="K341" s="97" t="str">
        <f>VLOOKUP(A341,'Tox Summary'!$O$3:$S$827,2,FALSE)</f>
        <v/>
      </c>
      <c r="L341" s="93">
        <f>VLOOKUP(A341,'Parameters Summary'!$B$2:$AB$826,7,FALSE)</f>
        <v>5.7300000000000005E-4</v>
      </c>
      <c r="M341" s="93" t="str">
        <f>VLOOKUP(A341,'Parameters Summary'!$B$2:$AB$826,8,FALSE)</f>
        <v>EPI</v>
      </c>
      <c r="N341" s="91">
        <f>VLOOKUP(A341,'Parameters Summary'!$B$2:$AB$826,6,FALSE)</f>
        <v>2.3425999999999999E-2</v>
      </c>
      <c r="O341" s="91">
        <f t="shared" si="32"/>
        <v>2.3425999999999999E-2</v>
      </c>
      <c r="P341" s="91">
        <f t="shared" si="35"/>
        <v>2.3425999999999999E-2</v>
      </c>
      <c r="Q341" s="91">
        <f t="shared" si="33"/>
        <v>2.3425999999999999E-2</v>
      </c>
      <c r="R341" s="91">
        <f t="shared" si="36"/>
        <v>2.3425999999999999E-2</v>
      </c>
      <c r="S341" s="91">
        <f t="shared" si="37"/>
        <v>126469398.62810621</v>
      </c>
      <c r="T341" s="93">
        <f>VLOOKUP(A341,'Parameters Summary'!$B$2:$AB$826,15,FALSE)</f>
        <v>6.5344100000000002E-2</v>
      </c>
      <c r="U341" s="93" t="str">
        <f>VLOOKUP(A341,'Parameters Summary'!$B$2:$AB$826,17,FALSE)</f>
        <v>WATER9 (U.S. EPA, 2001)</v>
      </c>
      <c r="V341" s="93">
        <f>VLOOKUP(A341,'Parameters Summary'!$B$2:$AB$826,16,FALSE)</f>
        <v>8.3793999999999998E-6</v>
      </c>
      <c r="W341" s="379" t="str">
        <f>VLOOKUP(A341,'Parameters Summary'!$B$2:$AB$826,17,FALSE)</f>
        <v>WATER9 (U.S. EPA, 2001)</v>
      </c>
      <c r="X341" s="290">
        <v>390</v>
      </c>
      <c r="Y341" s="96" t="s">
        <v>553</v>
      </c>
      <c r="Z341" s="96">
        <v>571</v>
      </c>
      <c r="AA341" s="96" t="s">
        <v>2225</v>
      </c>
      <c r="AB341" s="96">
        <v>10957.44</v>
      </c>
      <c r="AC341" s="96" t="s">
        <v>2215</v>
      </c>
      <c r="AD341" s="93">
        <f>VLOOKUP(A341,'Parameters Summary'!$B$2:$AB$826,20,FALSE)</f>
        <v>16.66</v>
      </c>
      <c r="AE341" s="97" t="str">
        <f>VLOOKUP(A341,'Parameters Summary'!$B$2:$AB$826,21,FALSE)</f>
        <v>EPI</v>
      </c>
      <c r="AF341" s="380">
        <v>1.8</v>
      </c>
      <c r="AG341" s="97" t="s">
        <v>522</v>
      </c>
      <c r="AH341" s="92"/>
      <c r="AI341" s="96"/>
      <c r="AJ341" s="330"/>
      <c r="AL341" s="81"/>
    </row>
    <row r="342" spans="1:38" ht="12.75" customHeight="1">
      <c r="A342" s="95" t="s">
        <v>920</v>
      </c>
      <c r="B342" s="96" t="s">
        <v>381</v>
      </c>
      <c r="C342" s="96" t="str">
        <f t="shared" si="34"/>
        <v>Yes</v>
      </c>
      <c r="D342" s="96" t="str">
        <f>VLOOKUP(A342,'Tox Summary'!$O$3:$R$824,3,FALSE)</f>
        <v>Yes</v>
      </c>
      <c r="E342" s="97">
        <f>VLOOKUP(A342,'Parameters Summary'!$B$2:$AB$826,4,FALSE)</f>
        <v>106.17</v>
      </c>
      <c r="F342" s="97" t="str">
        <f>VLOOKUP(A342,'Parameters Summary'!$B$2:$AB$826,5,FALSE)</f>
        <v>PHYSPROP</v>
      </c>
      <c r="G342" s="93">
        <f>VLOOKUP(A342,'Parameters Summary'!$B$2:$AB$826,9,FALSE)</f>
        <v>9.6</v>
      </c>
      <c r="H342" s="93" t="str">
        <f>VLOOKUP(A342,'Parameters Summary'!$B$2:$AB$826,10,FALSE)</f>
        <v>PHYSPROP</v>
      </c>
      <c r="I342" s="93">
        <f>VLOOKUP(A342,'Parameters Summary'!$B$2:$AB$826,24,FALSE)</f>
        <v>169</v>
      </c>
      <c r="J342" s="97" t="str">
        <f>VLOOKUP(A342,'Parameters Summary'!$B$2:$AB$826,25,FALSE)</f>
        <v>PHYSPROP</v>
      </c>
      <c r="K342" s="97">
        <f>VLOOKUP(A342,'Tox Summary'!$O$3:$S$827,2,FALSE)</f>
        <v>700</v>
      </c>
      <c r="L342" s="93">
        <f>VLOOKUP(A342,'Parameters Summary'!$B$2:$AB$826,7,FALSE)</f>
        <v>7.8799999999999999E-3</v>
      </c>
      <c r="M342" s="93" t="str">
        <f>VLOOKUP(A342,'Parameters Summary'!$B$2:$AB$826,8,FALSE)</f>
        <v>PHYSPROP</v>
      </c>
      <c r="N342" s="91">
        <f>VLOOKUP(A342,'Parameters Summary'!$B$2:$AB$826,6,FALSE)</f>
        <v>0.32215860000000002</v>
      </c>
      <c r="O342" s="91">
        <f t="shared" si="32"/>
        <v>0.32215860000000002</v>
      </c>
      <c r="P342" s="91">
        <f t="shared" si="35"/>
        <v>0.32215860000000002</v>
      </c>
      <c r="Q342" s="91">
        <f t="shared" si="33"/>
        <v>0.32215860000000002</v>
      </c>
      <c r="R342" s="91">
        <f t="shared" si="36"/>
        <v>0.32215860000000002</v>
      </c>
      <c r="S342" s="91">
        <f t="shared" si="37"/>
        <v>54843636.210767008</v>
      </c>
      <c r="T342" s="93">
        <f>VLOOKUP(A342,'Parameters Summary'!$B$2:$AB$826,15,FALSE)</f>
        <v>6.8465200000000004E-2</v>
      </c>
      <c r="U342" s="93" t="str">
        <f>VLOOKUP(A342,'Parameters Summary'!$B$2:$AB$826,17,FALSE)</f>
        <v>WATER9 (U.S. EPA, 2001)</v>
      </c>
      <c r="V342" s="93">
        <f>VLOOKUP(A342,'Parameters Summary'!$B$2:$AB$826,16,FALSE)</f>
        <v>8.4557999999999996E-6</v>
      </c>
      <c r="W342" s="379" t="str">
        <f>VLOOKUP(A342,'Parameters Summary'!$B$2:$AB$826,17,FALSE)</f>
        <v>WATER9 (U.S. EPA, 2001)</v>
      </c>
      <c r="X342" s="290">
        <v>409.1</v>
      </c>
      <c r="Y342" s="96" t="s">
        <v>553</v>
      </c>
      <c r="Z342" s="96">
        <v>617.20000000000005</v>
      </c>
      <c r="AA342" s="96" t="s">
        <v>2227</v>
      </c>
      <c r="AB342" s="96">
        <v>8501</v>
      </c>
      <c r="AC342" s="96" t="s">
        <v>2227</v>
      </c>
      <c r="AD342" s="93">
        <f>VLOOKUP(A342,'Parameters Summary'!$B$2:$AB$826,20,FALSE)</f>
        <v>446.1</v>
      </c>
      <c r="AE342" s="97" t="str">
        <f>VLOOKUP(A342,'Parameters Summary'!$B$2:$AB$826,21,FALSE)</f>
        <v>EPI</v>
      </c>
      <c r="AF342" s="380">
        <v>0.8</v>
      </c>
      <c r="AG342" s="97" t="s">
        <v>302</v>
      </c>
      <c r="AH342" s="92"/>
      <c r="AI342" s="96"/>
      <c r="AJ342" s="330"/>
      <c r="AL342" s="81"/>
    </row>
    <row r="343" spans="1:38" ht="12.75" customHeight="1">
      <c r="A343" s="96" t="s">
        <v>921</v>
      </c>
      <c r="B343" s="96" t="s">
        <v>1149</v>
      </c>
      <c r="C343" s="96" t="str">
        <f t="shared" si="34"/>
        <v>No</v>
      </c>
      <c r="D343" s="96" t="str">
        <f>VLOOKUP(A343,'Tox Summary'!$O$3:$R$824,3,FALSE)</f>
        <v>Yes</v>
      </c>
      <c r="E343" s="97">
        <f>VLOOKUP(A343,'Parameters Summary'!$B$2:$AB$826,4,FALSE)</f>
        <v>71.078999999999994</v>
      </c>
      <c r="F343" s="97" t="str">
        <f>VLOOKUP(A343,'Parameters Summary'!$B$2:$AB$826,5,FALSE)</f>
        <v>PHYSPROP</v>
      </c>
      <c r="G343" s="93">
        <f>VLOOKUP(A343,'Parameters Summary'!$B$2:$AB$826,9,FALSE)</f>
        <v>8.0199999999999994E-2</v>
      </c>
      <c r="H343" s="93" t="str">
        <f>VLOOKUP(A343,'Parameters Summary'!$B$2:$AB$826,10,FALSE)</f>
        <v>PHYSPROP</v>
      </c>
      <c r="I343" s="93">
        <f>VLOOKUP(A343,'Parameters Summary'!$B$2:$AB$826,24,FALSE)</f>
        <v>1000000</v>
      </c>
      <c r="J343" s="97" t="str">
        <f>VLOOKUP(A343,'Parameters Summary'!$B$2:$AB$826,25,FALSE)</f>
        <v>PHYSPROP</v>
      </c>
      <c r="K343" s="97" t="str">
        <f>VLOOKUP(A343,'Tox Summary'!$O$3:$S$827,2,FALSE)</f>
        <v/>
      </c>
      <c r="L343" s="93">
        <f>VLOOKUP(A343,'Parameters Summary'!$B$2:$AB$826,7,FALSE)</f>
        <v>7.4999999999999993E-9</v>
      </c>
      <c r="M343" s="93" t="str">
        <f>VLOOKUP(A343,'Parameters Summary'!$B$2:$AB$826,8,FALSE)</f>
        <v>EPI</v>
      </c>
      <c r="N343" s="91">
        <f>VLOOKUP(A343,'Parameters Summary'!$B$2:$AB$826,6,FALSE)</f>
        <v>3.0661999999999998E-7</v>
      </c>
      <c r="O343" s="91" t="str">
        <f t="shared" si="32"/>
        <v/>
      </c>
      <c r="P343" s="91">
        <f t="shared" si="35"/>
        <v>3.0661999999999998E-7</v>
      </c>
      <c r="Q343" s="91" t="str">
        <f t="shared" si="33"/>
        <v/>
      </c>
      <c r="R343" s="91">
        <f t="shared" si="36"/>
        <v>3.0661999999999998E-7</v>
      </c>
      <c r="S343" s="91" t="str">
        <f t="shared" si="37"/>
        <v/>
      </c>
      <c r="T343" s="93">
        <f>VLOOKUP(A343,'Parameters Summary'!$B$2:$AB$826,15,FALSE)</f>
        <v>0.1033114</v>
      </c>
      <c r="U343" s="93" t="str">
        <f>VLOOKUP(A343,'Parameters Summary'!$B$2:$AB$826,17,FALSE)</f>
        <v>WATER9 (U.S. EPA, 2001)</v>
      </c>
      <c r="V343" s="93">
        <f>VLOOKUP(A343,'Parameters Summary'!$B$2:$AB$826,16,FALSE)</f>
        <v>1.2E-5</v>
      </c>
      <c r="W343" s="379" t="str">
        <f>VLOOKUP(A343,'Parameters Summary'!$B$2:$AB$826,17,FALSE)</f>
        <v>WATER9 (U.S. EPA, 2001)</v>
      </c>
      <c r="X343" s="290">
        <v>494.15</v>
      </c>
      <c r="Y343" s="96" t="s">
        <v>553</v>
      </c>
      <c r="Z343" s="96">
        <f>1.5*X343</f>
        <v>741.22499999999991</v>
      </c>
      <c r="AA343" s="96" t="s">
        <v>2220</v>
      </c>
      <c r="AB343" s="96" t="s">
        <v>1651</v>
      </c>
      <c r="AC343" s="96"/>
      <c r="AD343" s="93">
        <f>VLOOKUP(A343,'Parameters Summary'!$B$2:$AB$826,20,FALSE)</f>
        <v>1</v>
      </c>
      <c r="AE343" s="97" t="str">
        <f>VLOOKUP(A343,'Parameters Summary'!$B$2:$AB$826,21,FALSE)</f>
        <v>EPI</v>
      </c>
      <c r="AF343" s="97"/>
      <c r="AG343" s="94"/>
      <c r="AH343" s="92"/>
      <c r="AI343" s="96"/>
      <c r="AJ343" s="330"/>
      <c r="AL343" s="81"/>
    </row>
    <row r="344" spans="1:38" ht="12.75" customHeight="1">
      <c r="A344" s="96" t="s">
        <v>922</v>
      </c>
      <c r="B344" s="96" t="s">
        <v>1150</v>
      </c>
      <c r="C344" s="96" t="str">
        <f t="shared" si="34"/>
        <v>Yes</v>
      </c>
      <c r="D344" s="96" t="str">
        <f>VLOOKUP(A344,'Tox Summary'!$O$3:$R$824,3,FALSE)</f>
        <v>Yes</v>
      </c>
      <c r="E344" s="97">
        <f>VLOOKUP(A344,'Parameters Summary'!$B$2:$AB$826,4,FALSE)</f>
        <v>60.098999999999997</v>
      </c>
      <c r="F344" s="97" t="str">
        <f>VLOOKUP(A344,'Parameters Summary'!$B$2:$AB$826,5,FALSE)</f>
        <v>PHYSPROP</v>
      </c>
      <c r="G344" s="93">
        <f>VLOOKUP(A344,'Parameters Summary'!$B$2:$AB$826,9,FALSE)</f>
        <v>12</v>
      </c>
      <c r="H344" s="93" t="str">
        <f>VLOOKUP(A344,'Parameters Summary'!$B$2:$AB$826,10,FALSE)</f>
        <v>PHYSPROP</v>
      </c>
      <c r="I344" s="93">
        <f>VLOOKUP(A344,'Parameters Summary'!$B$2:$AB$826,24,FALSE)</f>
        <v>1000000</v>
      </c>
      <c r="J344" s="97" t="str">
        <f>VLOOKUP(A344,'Parameters Summary'!$B$2:$AB$826,25,FALSE)</f>
        <v>PHYSPROP</v>
      </c>
      <c r="K344" s="97" t="str">
        <f>VLOOKUP(A344,'Tox Summary'!$O$3:$S$827,2,FALSE)</f>
        <v/>
      </c>
      <c r="L344" s="93">
        <f>VLOOKUP(A344,'Parameters Summary'!$B$2:$AB$826,7,FALSE)</f>
        <v>1.73E-9</v>
      </c>
      <c r="M344" s="93" t="str">
        <f>VLOOKUP(A344,'Parameters Summary'!$B$2:$AB$826,8,FALSE)</f>
        <v>PHYSPROP</v>
      </c>
      <c r="N344" s="91">
        <f>VLOOKUP(A344,'Parameters Summary'!$B$2:$AB$826,6,FALSE)</f>
        <v>7.0727999999999996E-8</v>
      </c>
      <c r="O344" s="91">
        <f t="shared" si="32"/>
        <v>7.0727999999999996E-8</v>
      </c>
      <c r="P344" s="91">
        <f t="shared" si="35"/>
        <v>7.0727999999999996E-8</v>
      </c>
      <c r="Q344" s="91">
        <f t="shared" si="33"/>
        <v>7.0727999999999996E-8</v>
      </c>
      <c r="R344" s="91">
        <f t="shared" si="36"/>
        <v>7.0727999999999996E-8</v>
      </c>
      <c r="S344" s="91">
        <f t="shared" si="37"/>
        <v>38806250.501917757</v>
      </c>
      <c r="T344" s="93">
        <f>VLOOKUP(A344,'Parameters Summary'!$B$2:$AB$826,15,FALSE)</f>
        <v>0.109446</v>
      </c>
      <c r="U344" s="93" t="str">
        <f>VLOOKUP(A344,'Parameters Summary'!$B$2:$AB$826,17,FALSE)</f>
        <v>WATER9 (U.S. EPA, 2001)</v>
      </c>
      <c r="V344" s="93">
        <f>VLOOKUP(A344,'Parameters Summary'!$B$2:$AB$826,16,FALSE)</f>
        <v>1.22E-5</v>
      </c>
      <c r="W344" s="379" t="str">
        <f>VLOOKUP(A344,'Parameters Summary'!$B$2:$AB$826,17,FALSE)</f>
        <v>WATER9 (U.S. EPA, 2001)</v>
      </c>
      <c r="X344" s="290">
        <v>390.15</v>
      </c>
      <c r="Y344" s="96" t="s">
        <v>553</v>
      </c>
      <c r="Z344" s="96">
        <f>1.5*X344</f>
        <v>585.22499999999991</v>
      </c>
      <c r="AA344" s="96" t="s">
        <v>2220</v>
      </c>
      <c r="AB344" s="96">
        <v>9562.61</v>
      </c>
      <c r="AC344" s="96" t="s">
        <v>2214</v>
      </c>
      <c r="AD344" s="93">
        <f>VLOOKUP(A344,'Parameters Summary'!$B$2:$AB$826,20,FALSE)</f>
        <v>14.87</v>
      </c>
      <c r="AE344" s="97" t="str">
        <f>VLOOKUP(A344,'Parameters Summary'!$B$2:$AB$826,21,FALSE)</f>
        <v>EPI</v>
      </c>
      <c r="AF344" s="97"/>
      <c r="AG344" s="94"/>
      <c r="AH344" s="92"/>
      <c r="AI344" s="96"/>
      <c r="AJ344" s="330"/>
      <c r="AL344" s="81"/>
    </row>
    <row r="345" spans="1:38" ht="12.75" customHeight="1">
      <c r="A345" s="96" t="s">
        <v>923</v>
      </c>
      <c r="B345" s="96" t="s">
        <v>1151</v>
      </c>
      <c r="C345" s="96" t="str">
        <f t="shared" si="34"/>
        <v>No</v>
      </c>
      <c r="D345" s="96" t="str">
        <f>VLOOKUP(A345,'Tox Summary'!$O$3:$R$824,3,FALSE)</f>
        <v>Yes</v>
      </c>
      <c r="E345" s="97">
        <f>VLOOKUP(A345,'Parameters Summary'!$B$2:$AB$826,4,FALSE)</f>
        <v>62.069000000000003</v>
      </c>
      <c r="F345" s="97" t="str">
        <f>VLOOKUP(A345,'Parameters Summary'!$B$2:$AB$826,5,FALSE)</f>
        <v>PHYSPROP</v>
      </c>
      <c r="G345" s="93">
        <f>VLOOKUP(A345,'Parameters Summary'!$B$2:$AB$826,9,FALSE)</f>
        <v>9.1999999999999998E-2</v>
      </c>
      <c r="H345" s="93" t="str">
        <f>VLOOKUP(A345,'Parameters Summary'!$B$2:$AB$826,10,FALSE)</f>
        <v>PHYSPROP</v>
      </c>
      <c r="I345" s="93">
        <f>VLOOKUP(A345,'Parameters Summary'!$B$2:$AB$826,24,FALSE)</f>
        <v>1000000</v>
      </c>
      <c r="J345" s="97" t="str">
        <f>VLOOKUP(A345,'Parameters Summary'!$B$2:$AB$826,25,FALSE)</f>
        <v>PHYSPROP</v>
      </c>
      <c r="K345" s="97" t="str">
        <f>VLOOKUP(A345,'Tox Summary'!$O$3:$S$827,2,FALSE)</f>
        <v/>
      </c>
      <c r="L345" s="93">
        <f>VLOOKUP(A345,'Parameters Summary'!$B$2:$AB$826,7,FALSE)</f>
        <v>5.9999999999999995E-8</v>
      </c>
      <c r="M345" s="93" t="str">
        <f>VLOOKUP(A345,'Parameters Summary'!$B$2:$AB$826,8,FALSE)</f>
        <v>PHYSPROP</v>
      </c>
      <c r="N345" s="91">
        <f>VLOOKUP(A345,'Parameters Summary'!$B$2:$AB$826,6,FALSE)</f>
        <v>2.4530000000000001E-6</v>
      </c>
      <c r="O345" s="91" t="str">
        <f t="shared" si="32"/>
        <v/>
      </c>
      <c r="P345" s="91">
        <f t="shared" si="35"/>
        <v>2.4530000000000001E-6</v>
      </c>
      <c r="Q345" s="91" t="str">
        <f t="shared" si="33"/>
        <v/>
      </c>
      <c r="R345" s="91">
        <f t="shared" si="36"/>
        <v>2.4530000000000001E-6</v>
      </c>
      <c r="S345" s="91" t="str">
        <f t="shared" si="37"/>
        <v/>
      </c>
      <c r="T345" s="93">
        <f>VLOOKUP(A345,'Parameters Summary'!$B$2:$AB$826,15,FALSE)</f>
        <v>0.116925</v>
      </c>
      <c r="U345" s="93" t="str">
        <f>VLOOKUP(A345,'Parameters Summary'!$B$2:$AB$826,17,FALSE)</f>
        <v>WATER9 (U.S. EPA, 2001)</v>
      </c>
      <c r="V345" s="93">
        <f>VLOOKUP(A345,'Parameters Summary'!$B$2:$AB$826,16,FALSE)</f>
        <v>1.36E-5</v>
      </c>
      <c r="W345" s="379" t="str">
        <f>VLOOKUP(A345,'Parameters Summary'!$B$2:$AB$826,17,FALSE)</f>
        <v>WATER9 (U.S. EPA, 2001)</v>
      </c>
      <c r="X345" s="290">
        <v>470.45</v>
      </c>
      <c r="Y345" s="96" t="s">
        <v>553</v>
      </c>
      <c r="Z345" s="96">
        <f>1.5*X345</f>
        <v>705.67499999999995</v>
      </c>
      <c r="AA345" s="96" t="s">
        <v>2220</v>
      </c>
      <c r="AB345" s="96" t="s">
        <v>1651</v>
      </c>
      <c r="AC345" s="96"/>
      <c r="AD345" s="93">
        <f>VLOOKUP(A345,'Parameters Summary'!$B$2:$AB$826,20,FALSE)</f>
        <v>1</v>
      </c>
      <c r="AE345" s="97" t="str">
        <f>VLOOKUP(A345,'Parameters Summary'!$B$2:$AB$826,21,FALSE)</f>
        <v>EPI</v>
      </c>
      <c r="AF345" s="97"/>
      <c r="AG345" s="94"/>
      <c r="AH345" s="92"/>
      <c r="AI345" s="96"/>
      <c r="AJ345" s="330"/>
      <c r="AL345" s="81"/>
    </row>
    <row r="346" spans="1:38" ht="12.75" customHeight="1">
      <c r="A346" s="96" t="s">
        <v>924</v>
      </c>
      <c r="B346" s="96" t="s">
        <v>1152</v>
      </c>
      <c r="C346" s="96" t="str">
        <f t="shared" si="34"/>
        <v>No</v>
      </c>
      <c r="D346" s="96" t="str">
        <f>VLOOKUP(A346,'Tox Summary'!$O$3:$R$824,3,FALSE)</f>
        <v>No</v>
      </c>
      <c r="E346" s="97">
        <f>VLOOKUP(A346,'Parameters Summary'!$B$2:$AB$826,4,FALSE)</f>
        <v>118.18</v>
      </c>
      <c r="F346" s="97" t="str">
        <f>VLOOKUP(A346,'Parameters Summary'!$B$2:$AB$826,5,FALSE)</f>
        <v>PHYSPROP</v>
      </c>
      <c r="G346" s="93">
        <f>VLOOKUP(A346,'Parameters Summary'!$B$2:$AB$826,9,FALSE)</f>
        <v>0.88</v>
      </c>
      <c r="H346" s="93" t="str">
        <f>VLOOKUP(A346,'Parameters Summary'!$B$2:$AB$826,10,FALSE)</f>
        <v>PHYSPROP</v>
      </c>
      <c r="I346" s="93">
        <f>VLOOKUP(A346,'Parameters Summary'!$B$2:$AB$826,24,FALSE)</f>
        <v>1000000</v>
      </c>
      <c r="J346" s="97" t="str">
        <f>VLOOKUP(A346,'Parameters Summary'!$B$2:$AB$826,25,FALSE)</f>
        <v>PHYSPROP</v>
      </c>
      <c r="K346" s="97" t="str">
        <f>VLOOKUP(A346,'Tox Summary'!$O$3:$S$827,2,FALSE)</f>
        <v/>
      </c>
      <c r="L346" s="93">
        <f>VLOOKUP(A346,'Parameters Summary'!$B$2:$AB$826,7,FALSE)</f>
        <v>1.5999999999999999E-6</v>
      </c>
      <c r="M346" s="93" t="str">
        <f>VLOOKUP(A346,'Parameters Summary'!$B$2:$AB$826,8,FALSE)</f>
        <v>PHYSPROP</v>
      </c>
      <c r="N346" s="91">
        <f>VLOOKUP(A346,'Parameters Summary'!$B$2:$AB$826,6,FALSE)</f>
        <v>6.5400000000000004E-5</v>
      </c>
      <c r="O346" s="91" t="str">
        <f t="shared" si="32"/>
        <v/>
      </c>
      <c r="P346" s="91">
        <f t="shared" si="35"/>
        <v>6.5400000000000004E-5</v>
      </c>
      <c r="Q346" s="91" t="str">
        <f t="shared" si="33"/>
        <v/>
      </c>
      <c r="R346" s="91">
        <f t="shared" si="36"/>
        <v>6.5400000000000004E-5</v>
      </c>
      <c r="S346" s="91" t="str">
        <f t="shared" si="37"/>
        <v/>
      </c>
      <c r="T346" s="93">
        <f>VLOOKUP(A346,'Parameters Summary'!$B$2:$AB$826,15,FALSE)</f>
        <v>6.2618800000000002E-2</v>
      </c>
      <c r="U346" s="93" t="str">
        <f>VLOOKUP(A346,'Parameters Summary'!$B$2:$AB$826,17,FALSE)</f>
        <v>WATER9 (U.S. EPA, 2001)</v>
      </c>
      <c r="V346" s="93">
        <f>VLOOKUP(A346,'Parameters Summary'!$B$2:$AB$826,16,FALSE)</f>
        <v>8.1419000000000008E-6</v>
      </c>
      <c r="W346" s="379" t="str">
        <f>VLOOKUP(A346,'Parameters Summary'!$B$2:$AB$826,17,FALSE)</f>
        <v>WATER9 (U.S. EPA, 2001)</v>
      </c>
      <c r="X346" s="290">
        <v>441.54999999999995</v>
      </c>
      <c r="Y346" s="96" t="s">
        <v>553</v>
      </c>
      <c r="Z346" s="96">
        <f>1.5*X346</f>
        <v>662.32499999999993</v>
      </c>
      <c r="AA346" s="96" t="s">
        <v>2220</v>
      </c>
      <c r="AB346" s="96" t="s">
        <v>1651</v>
      </c>
      <c r="AC346" s="96"/>
      <c r="AD346" s="93">
        <f>VLOOKUP(A346,'Parameters Summary'!$B$2:$AB$826,20,FALSE)</f>
        <v>2.823</v>
      </c>
      <c r="AE346" s="97" t="str">
        <f>VLOOKUP(A346,'Parameters Summary'!$B$2:$AB$826,21,FALSE)</f>
        <v>EPI</v>
      </c>
      <c r="AF346" s="97"/>
      <c r="AG346" s="94"/>
      <c r="AH346" s="92"/>
      <c r="AI346" s="96"/>
      <c r="AJ346" s="330"/>
      <c r="AL346" s="81"/>
    </row>
    <row r="347" spans="1:38" ht="12.75" customHeight="1">
      <c r="A347" s="95" t="s">
        <v>925</v>
      </c>
      <c r="B347" s="96" t="s">
        <v>1153</v>
      </c>
      <c r="C347" s="96" t="str">
        <f t="shared" si="34"/>
        <v>Yes</v>
      </c>
      <c r="D347" s="96" t="str">
        <f>VLOOKUP(A347,'Tox Summary'!$O$3:$R$824,3,FALSE)</f>
        <v>No</v>
      </c>
      <c r="E347" s="97">
        <f>VLOOKUP(A347,'Parameters Summary'!$B$2:$AB$826,4,FALSE)</f>
        <v>44.054000000000002</v>
      </c>
      <c r="F347" s="97" t="str">
        <f>VLOOKUP(A347,'Parameters Summary'!$B$2:$AB$826,5,FALSE)</f>
        <v>PHYSPROP</v>
      </c>
      <c r="G347" s="93">
        <f>VLOOKUP(A347,'Parameters Summary'!$B$2:$AB$826,9,FALSE)</f>
        <v>1314</v>
      </c>
      <c r="H347" s="93" t="str">
        <f>VLOOKUP(A347,'Parameters Summary'!$B$2:$AB$826,10,FALSE)</f>
        <v>PHYSPROP</v>
      </c>
      <c r="I347" s="93">
        <f>VLOOKUP(A347,'Parameters Summary'!$B$2:$AB$826,24,FALSE)</f>
        <v>1000000</v>
      </c>
      <c r="J347" s="97" t="str">
        <f>VLOOKUP(A347,'Parameters Summary'!$B$2:$AB$826,25,FALSE)</f>
        <v>PHYSPROP</v>
      </c>
      <c r="K347" s="97" t="str">
        <f>VLOOKUP(A347,'Tox Summary'!$O$3:$S$827,2,FALSE)</f>
        <v/>
      </c>
      <c r="L347" s="93">
        <f>VLOOKUP(A347,'Parameters Summary'!$B$2:$AB$826,7,FALSE)</f>
        <v>1.4799999999999999E-4</v>
      </c>
      <c r="M347" s="93" t="str">
        <f>VLOOKUP(A347,'Parameters Summary'!$B$2:$AB$826,8,FALSE)</f>
        <v>PHYSPROP</v>
      </c>
      <c r="N347" s="91">
        <f>VLOOKUP(A347,'Parameters Summary'!$B$2:$AB$826,6,FALSE)</f>
        <v>6.0507E-3</v>
      </c>
      <c r="O347" s="91">
        <f t="shared" si="32"/>
        <v>6.0507E-3</v>
      </c>
      <c r="P347" s="91">
        <f t="shared" si="35"/>
        <v>6.0507E-3</v>
      </c>
      <c r="Q347" s="91">
        <f t="shared" si="33"/>
        <v>6.0507E-3</v>
      </c>
      <c r="R347" s="91">
        <f t="shared" si="36"/>
        <v>6.0507E-3</v>
      </c>
      <c r="S347" s="91">
        <f t="shared" si="37"/>
        <v>3114826807.0593119</v>
      </c>
      <c r="T347" s="93">
        <f>VLOOKUP(A347,'Parameters Summary'!$B$2:$AB$826,15,FALSE)</f>
        <v>0.13396379999999999</v>
      </c>
      <c r="U347" s="93" t="str">
        <f>VLOOKUP(A347,'Parameters Summary'!$B$2:$AB$826,17,FALSE)</f>
        <v>WATER9 (U.S. EPA, 2001)</v>
      </c>
      <c r="V347" s="93">
        <f>VLOOKUP(A347,'Parameters Summary'!$B$2:$AB$826,16,FALSE)</f>
        <v>1.45E-5</v>
      </c>
      <c r="W347" s="379" t="str">
        <f>VLOOKUP(A347,'Parameters Summary'!$B$2:$AB$826,17,FALSE)</f>
        <v>WATER9 (U.S. EPA, 2001)</v>
      </c>
      <c r="X347" s="290">
        <v>283.60000000000002</v>
      </c>
      <c r="Y347" s="96" t="s">
        <v>553</v>
      </c>
      <c r="Z347" s="96">
        <v>469</v>
      </c>
      <c r="AA347" s="96" t="s">
        <v>2221</v>
      </c>
      <c r="AB347" s="96">
        <v>6104.06</v>
      </c>
      <c r="AC347" s="96" t="s">
        <v>2221</v>
      </c>
      <c r="AD347" s="93">
        <f>VLOOKUP(A347,'Parameters Summary'!$B$2:$AB$826,20,FALSE)</f>
        <v>3.2370000000000001</v>
      </c>
      <c r="AE347" s="97" t="str">
        <f>VLOOKUP(A347,'Parameters Summary'!$B$2:$AB$826,21,FALSE)</f>
        <v>EPI</v>
      </c>
      <c r="AF347" s="380">
        <v>3</v>
      </c>
      <c r="AG347" s="97" t="s">
        <v>302</v>
      </c>
      <c r="AH347" s="92"/>
      <c r="AI347" s="96"/>
      <c r="AJ347" s="330"/>
      <c r="AL347" s="81"/>
    </row>
    <row r="348" spans="1:38" ht="12.75" customHeight="1">
      <c r="A348" s="96" t="s">
        <v>926</v>
      </c>
      <c r="B348" s="96" t="s">
        <v>1154</v>
      </c>
      <c r="C348" s="96" t="str">
        <f t="shared" si="34"/>
        <v>No</v>
      </c>
      <c r="D348" s="96" t="str">
        <f>VLOOKUP(A348,'Tox Summary'!$O$3:$R$824,3,FALSE)</f>
        <v>No</v>
      </c>
      <c r="E348" s="97">
        <f>VLOOKUP(A348,'Parameters Summary'!$B$2:$AB$826,4,FALSE)</f>
        <v>102.16</v>
      </c>
      <c r="F348" s="97" t="str">
        <f>VLOOKUP(A348,'Parameters Summary'!$B$2:$AB$826,5,FALSE)</f>
        <v>PHYSPROP</v>
      </c>
      <c r="G348" s="93">
        <f>VLOOKUP(A348,'Parameters Summary'!$B$2:$AB$826,9,FALSE)</f>
        <v>2.0200000000000001E-6</v>
      </c>
      <c r="H348" s="93" t="str">
        <f>VLOOKUP(A348,'Parameters Summary'!$B$2:$AB$826,10,FALSE)</f>
        <v>PHYSPROP</v>
      </c>
      <c r="I348" s="93">
        <f>VLOOKUP(A348,'Parameters Summary'!$B$2:$AB$826,24,FALSE)</f>
        <v>20000</v>
      </c>
      <c r="J348" s="97" t="str">
        <f>VLOOKUP(A348,'Parameters Summary'!$B$2:$AB$826,25,FALSE)</f>
        <v>PHYSPROP</v>
      </c>
      <c r="K348" s="97" t="str">
        <f>VLOOKUP(A348,'Tox Summary'!$O$3:$S$827,2,FALSE)</f>
        <v/>
      </c>
      <c r="L348" s="93">
        <f>VLOOKUP(A348,'Parameters Summary'!$B$2:$AB$826,7,FALSE)</f>
        <v>1.36E-11</v>
      </c>
      <c r="M348" s="93" t="str">
        <f>VLOOKUP(A348,'Parameters Summary'!$B$2:$AB$826,8,FALSE)</f>
        <v>PHYSPROP</v>
      </c>
      <c r="N348" s="91">
        <f>VLOOKUP(A348,'Parameters Summary'!$B$2:$AB$826,6,FALSE)</f>
        <v>5.5600000000000004E-10</v>
      </c>
      <c r="O348" s="91" t="str">
        <f t="shared" si="32"/>
        <v/>
      </c>
      <c r="P348" s="91">
        <f t="shared" si="35"/>
        <v>5.5600000000000004E-10</v>
      </c>
      <c r="Q348" s="91" t="str">
        <f t="shared" si="33"/>
        <v/>
      </c>
      <c r="R348" s="91">
        <f t="shared" si="36"/>
        <v>5.5600000000000004E-10</v>
      </c>
      <c r="S348" s="91" t="str">
        <f t="shared" si="37"/>
        <v/>
      </c>
      <c r="T348" s="93">
        <f>VLOOKUP(A348,'Parameters Summary'!$B$2:$AB$826,15,FALSE)</f>
        <v>8.6942699999999998E-2</v>
      </c>
      <c r="U348" s="93" t="str">
        <f>VLOOKUP(A348,'Parameters Summary'!$B$2:$AB$826,17,FALSE)</f>
        <v>WATER9 (U.S. EPA, 2001)</v>
      </c>
      <c r="V348" s="93">
        <f>VLOOKUP(A348,'Parameters Summary'!$B$2:$AB$826,16,FALSE)</f>
        <v>1.0200000000000001E-5</v>
      </c>
      <c r="W348" s="379" t="str">
        <f>VLOOKUP(A348,'Parameters Summary'!$B$2:$AB$826,17,FALSE)</f>
        <v>WATER9 (U.S. EPA, 2001)</v>
      </c>
      <c r="X348" s="290">
        <v>620.32999999999993</v>
      </c>
      <c r="Y348" s="96" t="s">
        <v>553</v>
      </c>
      <c r="Z348" s="96">
        <f>1.5*X348</f>
        <v>930.49499999999989</v>
      </c>
      <c r="AA348" s="96" t="s">
        <v>2220</v>
      </c>
      <c r="AB348" s="96" t="s">
        <v>1651</v>
      </c>
      <c r="AC348" s="96"/>
      <c r="AD348" s="93">
        <f>VLOOKUP(A348,'Parameters Summary'!$B$2:$AB$826,20,FALSE)</f>
        <v>12.97</v>
      </c>
      <c r="AE348" s="97" t="str">
        <f>VLOOKUP(A348,'Parameters Summary'!$B$2:$AB$826,21,FALSE)</f>
        <v>EPI</v>
      </c>
      <c r="AF348" s="97"/>
      <c r="AG348" s="94"/>
      <c r="AH348" s="92"/>
      <c r="AI348" s="96"/>
      <c r="AJ348" s="330"/>
      <c r="AL348" s="81"/>
    </row>
    <row r="349" spans="1:38" ht="12.75" customHeight="1">
      <c r="A349" s="95" t="s">
        <v>927</v>
      </c>
      <c r="B349" s="96" t="s">
        <v>585</v>
      </c>
      <c r="C349" s="96" t="str">
        <f t="shared" si="34"/>
        <v>Yes</v>
      </c>
      <c r="D349" s="96" t="str">
        <f>VLOOKUP(A349,'Tox Summary'!$O$3:$R$824,3,FALSE)</f>
        <v>No</v>
      </c>
      <c r="E349" s="97">
        <f>VLOOKUP(A349,'Parameters Summary'!$B$2:$AB$826,4,FALSE)</f>
        <v>43.069000000000003</v>
      </c>
      <c r="F349" s="97" t="str">
        <f>VLOOKUP(A349,'Parameters Summary'!$B$2:$AB$826,5,FALSE)</f>
        <v>PHYSPROP</v>
      </c>
      <c r="G349" s="93">
        <f>VLOOKUP(A349,'Parameters Summary'!$B$2:$AB$826,9,FALSE)</f>
        <v>213</v>
      </c>
      <c r="H349" s="93" t="str">
        <f>VLOOKUP(A349,'Parameters Summary'!$B$2:$AB$826,10,FALSE)</f>
        <v>PHYSPROP</v>
      </c>
      <c r="I349" s="93">
        <f>VLOOKUP(A349,'Parameters Summary'!$B$2:$AB$826,24,FALSE)</f>
        <v>1000000</v>
      </c>
      <c r="J349" s="97" t="str">
        <f>VLOOKUP(A349,'Parameters Summary'!$B$2:$AB$826,25,FALSE)</f>
        <v>PHYSPROP</v>
      </c>
      <c r="K349" s="97" t="str">
        <f>VLOOKUP(A349,'Tox Summary'!$O$3:$S$827,2,FALSE)</f>
        <v/>
      </c>
      <c r="L349" s="93">
        <f>VLOOKUP(A349,'Parameters Summary'!$B$2:$AB$826,7,FALSE)</f>
        <v>1.2099999999999999E-5</v>
      </c>
      <c r="M349" s="93" t="str">
        <f>VLOOKUP(A349,'Parameters Summary'!$B$2:$AB$826,8,FALSE)</f>
        <v>EPI</v>
      </c>
      <c r="N349" s="91">
        <f>VLOOKUP(A349,'Parameters Summary'!$B$2:$AB$826,6,FALSE)</f>
        <v>4.9470000000000004E-4</v>
      </c>
      <c r="O349" s="91" t="str">
        <f t="shared" si="32"/>
        <v/>
      </c>
      <c r="P349" s="91">
        <f t="shared" si="35"/>
        <v>4.9470000000000004E-4</v>
      </c>
      <c r="Q349" s="91" t="str">
        <f t="shared" si="33"/>
        <v/>
      </c>
      <c r="R349" s="91">
        <f t="shared" si="36"/>
        <v>4.9470000000000004E-4</v>
      </c>
      <c r="S349" s="91" t="str">
        <f t="shared" si="37"/>
        <v/>
      </c>
      <c r="T349" s="93">
        <f>VLOOKUP(A349,'Parameters Summary'!$B$2:$AB$826,15,FALSE)</f>
        <v>0.13282930000000001</v>
      </c>
      <c r="U349" s="93" t="str">
        <f>VLOOKUP(A349,'Parameters Summary'!$B$2:$AB$826,17,FALSE)</f>
        <v>WATER9 (U.S. EPA, 2001)</v>
      </c>
      <c r="V349" s="93">
        <f>VLOOKUP(A349,'Parameters Summary'!$B$2:$AB$826,16,FALSE)</f>
        <v>1.42E-5</v>
      </c>
      <c r="W349" s="379" t="str">
        <f>VLOOKUP(A349,'Parameters Summary'!$B$2:$AB$826,17,FALSE)</f>
        <v>WATER9 (U.S. EPA, 2001)</v>
      </c>
      <c r="X349" s="290">
        <v>328.65</v>
      </c>
      <c r="Y349" s="96" t="s">
        <v>2213</v>
      </c>
      <c r="Z349" s="96">
        <v>524</v>
      </c>
      <c r="AA349" s="96" t="s">
        <v>2202</v>
      </c>
      <c r="AB349" s="96" t="s">
        <v>1651</v>
      </c>
      <c r="AC349" s="96"/>
      <c r="AD349" s="93">
        <f>VLOOKUP(A349,'Parameters Summary'!$B$2:$AB$826,20,FALSE)</f>
        <v>9.0429999999999993</v>
      </c>
      <c r="AE349" s="97" t="str">
        <f>VLOOKUP(A349,'Parameters Summary'!$B$2:$AB$826,21,FALSE)</f>
        <v>EPI</v>
      </c>
      <c r="AF349" s="380">
        <v>3.3</v>
      </c>
      <c r="AG349" s="97" t="s">
        <v>302</v>
      </c>
      <c r="AH349" s="92"/>
      <c r="AI349" s="96"/>
      <c r="AJ349" s="330"/>
      <c r="AL349" s="81"/>
    </row>
    <row r="350" spans="1:38" ht="12.75" customHeight="1">
      <c r="A350" s="96" t="s">
        <v>928</v>
      </c>
      <c r="B350" s="96" t="s">
        <v>1155</v>
      </c>
      <c r="C350" s="96" t="str">
        <f t="shared" si="34"/>
        <v>No</v>
      </c>
      <c r="D350" s="96" t="str">
        <f>VLOOKUP(A350,'Tox Summary'!$O$3:$R$824,3,FALSE)</f>
        <v>No</v>
      </c>
      <c r="E350" s="97">
        <f>VLOOKUP(A350,'Parameters Summary'!$B$2:$AB$826,4,FALSE)</f>
        <v>280.27999999999997</v>
      </c>
      <c r="F350" s="97" t="str">
        <f>VLOOKUP(A350,'Parameters Summary'!$B$2:$AB$826,5,FALSE)</f>
        <v>PHYSPROP</v>
      </c>
      <c r="G350" s="93">
        <f>VLOOKUP(A350,'Parameters Summary'!$B$2:$AB$826,9,FALSE)</f>
        <v>2.1599999999999999E-4</v>
      </c>
      <c r="H350" s="93" t="str">
        <f>VLOOKUP(A350,'Parameters Summary'!$B$2:$AB$826,10,FALSE)</f>
        <v>PHYSPROP</v>
      </c>
      <c r="I350" s="93">
        <f>VLOOKUP(A350,'Parameters Summary'!$B$2:$AB$826,24,FALSE)</f>
        <v>216.8</v>
      </c>
      <c r="J350" s="97" t="str">
        <f>VLOOKUP(A350,'Parameters Summary'!$B$2:$AB$826,25,FALSE)</f>
        <v>PHYSPROP</v>
      </c>
      <c r="K350" s="97" t="str">
        <f>VLOOKUP(A350,'Tox Summary'!$O$3:$S$827,2,FALSE)</f>
        <v/>
      </c>
      <c r="L350" s="93">
        <f>VLOOKUP(A350,'Parameters Summary'!$B$2:$AB$826,7,FALSE)</f>
        <v>6.6400000000000002E-9</v>
      </c>
      <c r="M350" s="93" t="str">
        <f>VLOOKUP(A350,'Parameters Summary'!$B$2:$AB$826,8,FALSE)</f>
        <v>PHYSPROP</v>
      </c>
      <c r="N350" s="91">
        <f>VLOOKUP(A350,'Parameters Summary'!$B$2:$AB$826,6,FALSE)</f>
        <v>2.7146000000000002E-7</v>
      </c>
      <c r="O350" s="91" t="str">
        <f t="shared" si="32"/>
        <v/>
      </c>
      <c r="P350" s="91">
        <f t="shared" si="35"/>
        <v>2.7146000000000002E-7</v>
      </c>
      <c r="Q350" s="91" t="str">
        <f t="shared" si="33"/>
        <v/>
      </c>
      <c r="R350" s="91">
        <f t="shared" si="36"/>
        <v>2.7146000000000002E-7</v>
      </c>
      <c r="S350" s="91" t="str">
        <f t="shared" si="37"/>
        <v/>
      </c>
      <c r="T350" s="93">
        <f>VLOOKUP(A350,'Parameters Summary'!$B$2:$AB$826,15,FALSE)</f>
        <v>4.43635E-2</v>
      </c>
      <c r="U350" s="93" t="str">
        <f>VLOOKUP(A350,'Parameters Summary'!$B$2:$AB$826,17,FALSE)</f>
        <v>WATER9 (U.S. EPA, 2001)</v>
      </c>
      <c r="V350" s="93">
        <f>VLOOKUP(A350,'Parameters Summary'!$B$2:$AB$826,16,FALSE)</f>
        <v>5.1834999999999996E-6</v>
      </c>
      <c r="W350" s="379" t="str">
        <f>VLOOKUP(A350,'Parameters Summary'!$B$2:$AB$826,17,FALSE)</f>
        <v>WATER9 (U.S. EPA, 2001)</v>
      </c>
      <c r="X350" s="347"/>
      <c r="Y350" s="96"/>
      <c r="Z350" s="96" t="s">
        <v>1653</v>
      </c>
      <c r="AA350" s="96"/>
      <c r="AB350" s="96" t="s">
        <v>1651</v>
      </c>
      <c r="AC350" s="96"/>
      <c r="AD350" s="93">
        <f>VLOOKUP(A350,'Parameters Summary'!$B$2:$AB$826,20,FALSE)</f>
        <v>1019</v>
      </c>
      <c r="AE350" s="97" t="str">
        <f>VLOOKUP(A350,'Parameters Summary'!$B$2:$AB$826,21,FALSE)</f>
        <v>EPI</v>
      </c>
      <c r="AF350" s="97"/>
      <c r="AG350" s="94"/>
      <c r="AH350" s="92"/>
      <c r="AI350" s="96"/>
      <c r="AJ350" s="330"/>
      <c r="AL350" s="81"/>
    </row>
    <row r="351" spans="1:38" ht="12.75" customHeight="1">
      <c r="A351" s="96" t="s">
        <v>919</v>
      </c>
      <c r="B351" s="96" t="s">
        <v>1148</v>
      </c>
      <c r="C351" s="96" t="str">
        <f t="shared" si="34"/>
        <v>No</v>
      </c>
      <c r="D351" s="96" t="str">
        <f>VLOOKUP(A351,'Tox Summary'!$O$3:$R$824,3,FALSE)</f>
        <v>Yes</v>
      </c>
      <c r="E351" s="97">
        <f>VLOOKUP(A351,'Parameters Summary'!$B$2:$AB$826,4,FALSE)</f>
        <v>323.31</v>
      </c>
      <c r="F351" s="97" t="str">
        <f>VLOOKUP(A351,'Parameters Summary'!$B$2:$AB$826,5,FALSE)</f>
        <v>PHYSPROP</v>
      </c>
      <c r="G351" s="93">
        <f>VLOOKUP(A351,'Parameters Summary'!$B$2:$AB$826,9,FALSE)</f>
        <v>9.5000000000000001E-7</v>
      </c>
      <c r="H351" s="93" t="str">
        <f>VLOOKUP(A351,'Parameters Summary'!$B$2:$AB$826,10,FALSE)</f>
        <v>PHYSPROP</v>
      </c>
      <c r="I351" s="93">
        <f>VLOOKUP(A351,'Parameters Summary'!$B$2:$AB$826,24,FALSE)</f>
        <v>3.11</v>
      </c>
      <c r="J351" s="97" t="str">
        <f>VLOOKUP(A351,'Parameters Summary'!$B$2:$AB$826,25,FALSE)</f>
        <v>PHYSPROP</v>
      </c>
      <c r="K351" s="97" t="str">
        <f>VLOOKUP(A351,'Tox Summary'!$O$3:$S$827,2,FALSE)</f>
        <v/>
      </c>
      <c r="L351" s="93">
        <f>VLOOKUP(A351,'Parameters Summary'!$B$2:$AB$826,7,FALSE)</f>
        <v>4.4400000000000001E-7</v>
      </c>
      <c r="M351" s="93" t="str">
        <f>VLOOKUP(A351,'Parameters Summary'!$B$2:$AB$826,8,FALSE)</f>
        <v>EPI</v>
      </c>
      <c r="N351" s="91">
        <f>VLOOKUP(A351,'Parameters Summary'!$B$2:$AB$826,6,FALSE)</f>
        <v>1.8199999999999999E-5</v>
      </c>
      <c r="O351" s="91" t="str">
        <f t="shared" si="32"/>
        <v/>
      </c>
      <c r="P351" s="91">
        <f t="shared" si="35"/>
        <v>1.8199999999999999E-5</v>
      </c>
      <c r="Q351" s="91" t="str">
        <f t="shared" si="33"/>
        <v/>
      </c>
      <c r="R351" s="91">
        <f t="shared" si="36"/>
        <v>1.8199999999999999E-5</v>
      </c>
      <c r="S351" s="91" t="str">
        <f t="shared" si="37"/>
        <v/>
      </c>
      <c r="T351" s="93">
        <f>VLOOKUP(A351,'Parameters Summary'!$B$2:$AB$826,15,FALSE)</f>
        <v>2.1747499999999999E-2</v>
      </c>
      <c r="U351" s="93" t="str">
        <f>VLOOKUP(A351,'Parameters Summary'!$B$2:$AB$826,17,FALSE)</f>
        <v>WATER9 (U.S. EPA, 2001)</v>
      </c>
      <c r="V351" s="93">
        <f>VLOOKUP(A351,'Parameters Summary'!$B$2:$AB$826,16,FALSE)</f>
        <v>5.4674000000000004E-6</v>
      </c>
      <c r="W351" s="379" t="str">
        <f>VLOOKUP(A351,'Parameters Summary'!$B$2:$AB$826,17,FALSE)</f>
        <v>WATER9 (U.S. EPA, 2001)</v>
      </c>
      <c r="X351" s="290">
        <v>488.15</v>
      </c>
      <c r="Y351" s="96" t="s">
        <v>553</v>
      </c>
      <c r="Z351" s="96">
        <f>1.5*X351</f>
        <v>732.22499999999991</v>
      </c>
      <c r="AA351" s="96" t="s">
        <v>2220</v>
      </c>
      <c r="AB351" s="96" t="s">
        <v>1651</v>
      </c>
      <c r="AC351" s="96"/>
      <c r="AD351" s="93">
        <f>VLOOKUP(A351,'Parameters Summary'!$B$2:$AB$826,20,FALSE)</f>
        <v>15470</v>
      </c>
      <c r="AE351" s="97" t="str">
        <f>VLOOKUP(A351,'Parameters Summary'!$B$2:$AB$826,21,FALSE)</f>
        <v>EPI</v>
      </c>
      <c r="AF351" s="97"/>
      <c r="AG351" s="94"/>
      <c r="AH351" s="92"/>
      <c r="AI351" s="96"/>
      <c r="AJ351" s="330"/>
      <c r="AL351" s="81"/>
    </row>
    <row r="352" spans="1:38" ht="12.75" customHeight="1">
      <c r="A352" s="96" t="s">
        <v>930</v>
      </c>
      <c r="B352" s="96" t="s">
        <v>1156</v>
      </c>
      <c r="C352" s="96" t="str">
        <f t="shared" si="34"/>
        <v>No</v>
      </c>
      <c r="D352" s="96" t="str">
        <f>VLOOKUP(A352,'Tox Summary'!$O$3:$R$824,3,FALSE)</f>
        <v>Yes</v>
      </c>
      <c r="E352" s="97">
        <f>VLOOKUP(A352,'Parameters Summary'!$B$2:$AB$826,4,FALSE)</f>
        <v>303.36</v>
      </c>
      <c r="F352" s="97" t="str">
        <f>VLOOKUP(A352,'Parameters Summary'!$B$2:$AB$826,5,FALSE)</f>
        <v>PHYSPROP</v>
      </c>
      <c r="G352" s="93">
        <f>VLOOKUP(A352,'Parameters Summary'!$B$2:$AB$826,9,FALSE)</f>
        <v>9.9999999999999995E-7</v>
      </c>
      <c r="H352" s="93" t="str">
        <f>VLOOKUP(A352,'Parameters Summary'!$B$2:$AB$826,10,FALSE)</f>
        <v>PHYSPROP</v>
      </c>
      <c r="I352" s="93">
        <f>VLOOKUP(A352,'Parameters Summary'!$B$2:$AB$826,24,FALSE)</f>
        <v>329</v>
      </c>
      <c r="J352" s="97" t="str">
        <f>VLOOKUP(A352,'Parameters Summary'!$B$2:$AB$826,25,FALSE)</f>
        <v>PHYSPROP</v>
      </c>
      <c r="K352" s="97" t="str">
        <f>VLOOKUP(A352,'Tox Summary'!$O$3:$S$827,2,FALSE)</f>
        <v/>
      </c>
      <c r="L352" s="93">
        <f>VLOOKUP(A352,'Parameters Summary'!$B$2:$AB$826,7,FALSE)</f>
        <v>1.21E-9</v>
      </c>
      <c r="M352" s="93" t="str">
        <f>VLOOKUP(A352,'Parameters Summary'!$B$2:$AB$826,8,FALSE)</f>
        <v>EPI</v>
      </c>
      <c r="N352" s="91">
        <f>VLOOKUP(A352,'Parameters Summary'!$B$2:$AB$826,6,FALSE)</f>
        <v>4.9468999999999998E-8</v>
      </c>
      <c r="O352" s="91" t="str">
        <f t="shared" si="32"/>
        <v/>
      </c>
      <c r="P352" s="91">
        <f t="shared" si="35"/>
        <v>4.9468999999999998E-8</v>
      </c>
      <c r="Q352" s="91" t="str">
        <f t="shared" si="33"/>
        <v/>
      </c>
      <c r="R352" s="91">
        <f t="shared" si="36"/>
        <v>4.9468999999999998E-8</v>
      </c>
      <c r="S352" s="91" t="str">
        <f t="shared" si="37"/>
        <v/>
      </c>
      <c r="T352" s="93">
        <f>VLOOKUP(A352,'Parameters Summary'!$B$2:$AB$826,15,FALSE)</f>
        <v>2.1437000000000001E-2</v>
      </c>
      <c r="U352" s="93" t="str">
        <f>VLOOKUP(A352,'Parameters Summary'!$B$2:$AB$826,17,FALSE)</f>
        <v>WATER9 (U.S. EPA, 2001)</v>
      </c>
      <c r="V352" s="93">
        <f>VLOOKUP(A352,'Parameters Summary'!$B$2:$AB$826,16,FALSE)</f>
        <v>5.3519999999999997E-6</v>
      </c>
      <c r="W352" s="379" t="str">
        <f>VLOOKUP(A352,'Parameters Summary'!$B$2:$AB$826,17,FALSE)</f>
        <v>WATER9 (U.S. EPA, 2001)</v>
      </c>
      <c r="X352" s="347"/>
      <c r="Y352" s="96"/>
      <c r="Z352" s="96" t="s">
        <v>1653</v>
      </c>
      <c r="AA352" s="96"/>
      <c r="AB352" s="96" t="s">
        <v>1651</v>
      </c>
      <c r="AC352" s="96"/>
      <c r="AD352" s="93">
        <f>VLOOKUP(A352,'Parameters Summary'!$B$2:$AB$826,20,FALSE)</f>
        <v>398</v>
      </c>
      <c r="AE352" s="97" t="str">
        <f>VLOOKUP(A352,'Parameters Summary'!$B$2:$AB$826,21,FALSE)</f>
        <v>EPI</v>
      </c>
      <c r="AF352" s="97"/>
      <c r="AG352" s="94"/>
      <c r="AH352" s="92"/>
      <c r="AI352" s="96"/>
      <c r="AJ352" s="330"/>
      <c r="AL352" s="81"/>
    </row>
    <row r="353" spans="1:38" ht="12.75" customHeight="1">
      <c r="A353" s="96" t="s">
        <v>931</v>
      </c>
      <c r="B353" s="96" t="s">
        <v>1157</v>
      </c>
      <c r="C353" s="96" t="str">
        <f t="shared" si="34"/>
        <v>No</v>
      </c>
      <c r="D353" s="96" t="str">
        <f>VLOOKUP(A353,'Tox Summary'!$O$3:$R$824,3,FALSE)</f>
        <v>Yes</v>
      </c>
      <c r="E353" s="97">
        <f>VLOOKUP(A353,'Parameters Summary'!$B$2:$AB$826,4,FALSE)</f>
        <v>349.43</v>
      </c>
      <c r="F353" s="97" t="str">
        <f>VLOOKUP(A353,'Parameters Summary'!$B$2:$AB$826,5,FALSE)</f>
        <v>PHYSPROP</v>
      </c>
      <c r="G353" s="93">
        <f>VLOOKUP(A353,'Parameters Summary'!$B$2:$AB$826,9,FALSE)</f>
        <v>5.48E-6</v>
      </c>
      <c r="H353" s="93" t="str">
        <f>VLOOKUP(A353,'Parameters Summary'!$B$2:$AB$826,10,FALSE)</f>
        <v>PHYSPROP</v>
      </c>
      <c r="I353" s="93">
        <f>VLOOKUP(A353,'Parameters Summary'!$B$2:$AB$826,24,FALSE)</f>
        <v>0.33</v>
      </c>
      <c r="J353" s="97" t="str">
        <f>VLOOKUP(A353,'Parameters Summary'!$B$2:$AB$826,25,FALSE)</f>
        <v>PHYSPROP</v>
      </c>
      <c r="K353" s="97" t="str">
        <f>VLOOKUP(A353,'Tox Summary'!$O$3:$S$827,2,FALSE)</f>
        <v/>
      </c>
      <c r="L353" s="93">
        <f>VLOOKUP(A353,'Parameters Summary'!$B$2:$AB$826,7,FALSE)</f>
        <v>7.6399999999999997E-6</v>
      </c>
      <c r="M353" s="93" t="str">
        <f>VLOOKUP(A353,'Parameters Summary'!$B$2:$AB$826,8,FALSE)</f>
        <v>EPI</v>
      </c>
      <c r="N353" s="91">
        <f>VLOOKUP(A353,'Parameters Summary'!$B$2:$AB$826,6,FALSE)</f>
        <v>3.123E-4</v>
      </c>
      <c r="O353" s="91" t="str">
        <f t="shared" si="32"/>
        <v/>
      </c>
      <c r="P353" s="91">
        <f t="shared" si="35"/>
        <v>3.123E-4</v>
      </c>
      <c r="Q353" s="91" t="str">
        <f t="shared" si="33"/>
        <v/>
      </c>
      <c r="R353" s="91">
        <f t="shared" si="36"/>
        <v>3.123E-4</v>
      </c>
      <c r="S353" s="91" t="str">
        <f t="shared" si="37"/>
        <v/>
      </c>
      <c r="T353" s="93">
        <f>VLOOKUP(A353,'Parameters Summary'!$B$2:$AB$826,15,FALSE)</f>
        <v>3.8298400000000003E-2</v>
      </c>
      <c r="U353" s="93" t="str">
        <f>VLOOKUP(A353,'Parameters Summary'!$B$2:$AB$826,17,FALSE)</f>
        <v>WATER9 (U.S. EPA, 2001)</v>
      </c>
      <c r="V353" s="93">
        <f>VLOOKUP(A353,'Parameters Summary'!$B$2:$AB$826,16,FALSE)</f>
        <v>4.4749000000000001E-6</v>
      </c>
      <c r="W353" s="379" t="str">
        <f>VLOOKUP(A353,'Parameters Summary'!$B$2:$AB$826,17,FALSE)</f>
        <v>WATER9 (U.S. EPA, 2001)</v>
      </c>
      <c r="X353" s="347"/>
      <c r="Y353" s="96"/>
      <c r="Z353" s="96" t="s">
        <v>1653</v>
      </c>
      <c r="AA353" s="96"/>
      <c r="AB353" s="96" t="s">
        <v>1651</v>
      </c>
      <c r="AC353" s="96"/>
      <c r="AD353" s="93">
        <f>VLOOKUP(A353,'Parameters Summary'!$B$2:$AB$826,20,FALSE)</f>
        <v>22490</v>
      </c>
      <c r="AE353" s="97" t="str">
        <f>VLOOKUP(A353,'Parameters Summary'!$B$2:$AB$826,21,FALSE)</f>
        <v>EPI</v>
      </c>
      <c r="AF353" s="97"/>
      <c r="AG353" s="94"/>
      <c r="AH353" s="92"/>
      <c r="AI353" s="96"/>
      <c r="AJ353" s="330"/>
      <c r="AL353" s="81"/>
    </row>
    <row r="354" spans="1:38" ht="12.75" customHeight="1">
      <c r="A354" s="96" t="s">
        <v>240</v>
      </c>
      <c r="B354" s="96" t="s">
        <v>2309</v>
      </c>
      <c r="C354" s="96" t="str">
        <f t="shared" si="34"/>
        <v>No</v>
      </c>
      <c r="D354" s="96" t="str">
        <f>VLOOKUP(A354,'Tox Summary'!$O$3:$R$824,3,FALSE)</f>
        <v>No</v>
      </c>
      <c r="E354" s="97">
        <f>VLOOKUP(A354,'Parameters Summary'!$B$2:$AB$826,4,FALSE)</f>
        <v>419.91</v>
      </c>
      <c r="F354" s="97" t="str">
        <f>VLOOKUP(A354,'Parameters Summary'!$B$2:$AB$826,5,FALSE)</f>
        <v>PHYSPROP</v>
      </c>
      <c r="G354" s="93">
        <f>VLOOKUP(A354,'Parameters Summary'!$B$2:$AB$826,9,FALSE)</f>
        <v>1.5E-9</v>
      </c>
      <c r="H354" s="93" t="str">
        <f>VLOOKUP(A354,'Parameters Summary'!$B$2:$AB$826,10,FALSE)</f>
        <v>PHYSPROP</v>
      </c>
      <c r="I354" s="93">
        <f>VLOOKUP(A354,'Parameters Summary'!$B$2:$AB$826,24,FALSE)</f>
        <v>2.4E-2</v>
      </c>
      <c r="J354" s="97" t="str">
        <f>VLOOKUP(A354,'Parameters Summary'!$B$2:$AB$826,25,FALSE)</f>
        <v>PHYSPROP</v>
      </c>
      <c r="K354" s="97" t="str">
        <f>VLOOKUP(A354,'Tox Summary'!$O$3:$S$827,2,FALSE)</f>
        <v/>
      </c>
      <c r="L354" s="93">
        <f>VLOOKUP(A354,'Parameters Summary'!$B$2:$AB$826,7,FALSE)</f>
        <v>3.4499999999999998E-8</v>
      </c>
      <c r="M354" s="93" t="str">
        <f>VLOOKUP(A354,'Parameters Summary'!$B$2:$AB$826,8,FALSE)</f>
        <v>EPI</v>
      </c>
      <c r="N354" s="91">
        <f>VLOOKUP(A354,'Parameters Summary'!$B$2:$AB$826,6,FALSE)</f>
        <v>1.4105000000000001E-6</v>
      </c>
      <c r="O354" s="91" t="str">
        <f t="shared" si="32"/>
        <v/>
      </c>
      <c r="P354" s="91">
        <f t="shared" si="35"/>
        <v>1.4105000000000001E-6</v>
      </c>
      <c r="Q354" s="91" t="str">
        <f t="shared" si="33"/>
        <v/>
      </c>
      <c r="R354" s="91">
        <f t="shared" si="36"/>
        <v>1.4105000000000001E-6</v>
      </c>
      <c r="S354" s="91" t="str">
        <f t="shared" si="37"/>
        <v/>
      </c>
      <c r="T354" s="93">
        <f>VLOOKUP(A354,'Parameters Summary'!$B$2:$AB$826,15,FALSE)</f>
        <v>1.80593E-2</v>
      </c>
      <c r="U354" s="93" t="str">
        <f>VLOOKUP(A354,'Parameters Summary'!$B$2:$AB$826,17,FALSE)</f>
        <v>WATER9 (U.S. EPA, 2001)</v>
      </c>
      <c r="V354" s="93">
        <f>VLOOKUP(A354,'Parameters Summary'!$B$2:$AB$826,16,FALSE)</f>
        <v>4.4035000000000003E-6</v>
      </c>
      <c r="W354" s="379" t="str">
        <f>VLOOKUP(A354,'Parameters Summary'!$B$2:$AB$826,17,FALSE)</f>
        <v>WATER9 (U.S. EPA, 2001)</v>
      </c>
      <c r="X354" s="290">
        <v>573.15</v>
      </c>
      <c r="Y354" s="96" t="s">
        <v>553</v>
      </c>
      <c r="Z354" s="96" t="s">
        <v>1653</v>
      </c>
      <c r="AA354" s="96"/>
      <c r="AB354" s="96" t="s">
        <v>1651</v>
      </c>
      <c r="AC354" s="96"/>
      <c r="AD354" s="93">
        <f>VLOOKUP(A354,'Parameters Summary'!$B$2:$AB$826,20,FALSE)</f>
        <v>317000</v>
      </c>
      <c r="AE354" s="97" t="str">
        <f>VLOOKUP(A354,'Parameters Summary'!$B$2:$AB$826,21,FALSE)</f>
        <v>EPI</v>
      </c>
      <c r="AF354" s="97"/>
      <c r="AG354" s="94"/>
      <c r="AH354" s="92"/>
      <c r="AI354" s="96"/>
      <c r="AJ354" s="330"/>
      <c r="AL354" s="81"/>
    </row>
    <row r="355" spans="1:38" ht="12.75" customHeight="1">
      <c r="A355" s="96" t="s">
        <v>932</v>
      </c>
      <c r="B355" s="96" t="s">
        <v>1158</v>
      </c>
      <c r="C355" s="96" t="str">
        <f t="shared" si="34"/>
        <v>No</v>
      </c>
      <c r="D355" s="96" t="str">
        <f>VLOOKUP(A355,'Tox Summary'!$O$3:$R$824,3,FALSE)</f>
        <v>No</v>
      </c>
      <c r="E355" s="97">
        <f>VLOOKUP(A355,'Parameters Summary'!$B$2:$AB$826,4,FALSE)</f>
        <v>232.21</v>
      </c>
      <c r="F355" s="97" t="str">
        <f>VLOOKUP(A355,'Parameters Summary'!$B$2:$AB$826,5,FALSE)</f>
        <v>PHYSPROP</v>
      </c>
      <c r="G355" s="93">
        <f>VLOOKUP(A355,'Parameters Summary'!$B$2:$AB$826,9,FALSE)</f>
        <v>9.3799999999999996E-7</v>
      </c>
      <c r="H355" s="93" t="str">
        <f>VLOOKUP(A355,'Parameters Summary'!$B$2:$AB$826,10,FALSE)</f>
        <v>PHYSPROP</v>
      </c>
      <c r="I355" s="93">
        <f>VLOOKUP(A355,'Parameters Summary'!$B$2:$AB$826,24,FALSE)</f>
        <v>110</v>
      </c>
      <c r="J355" s="97" t="str">
        <f>VLOOKUP(A355,'Parameters Summary'!$B$2:$AB$826,25,FALSE)</f>
        <v>PHYSPROP</v>
      </c>
      <c r="K355" s="97" t="str">
        <f>VLOOKUP(A355,'Tox Summary'!$O$3:$S$827,2,FALSE)</f>
        <v/>
      </c>
      <c r="L355" s="93">
        <f>VLOOKUP(A355,'Parameters Summary'!$B$2:$AB$826,7,FALSE)</f>
        <v>2.6099999999999999E-9</v>
      </c>
      <c r="M355" s="93" t="str">
        <f>VLOOKUP(A355,'Parameters Summary'!$B$2:$AB$826,8,FALSE)</f>
        <v>EPI</v>
      </c>
      <c r="N355" s="91">
        <f>VLOOKUP(A355,'Parameters Summary'!$B$2:$AB$826,6,FALSE)</f>
        <v>1.067E-7</v>
      </c>
      <c r="O355" s="91" t="str">
        <f t="shared" si="32"/>
        <v/>
      </c>
      <c r="P355" s="91">
        <f t="shared" si="35"/>
        <v>1.067E-7</v>
      </c>
      <c r="Q355" s="91" t="str">
        <f t="shared" si="33"/>
        <v/>
      </c>
      <c r="R355" s="91">
        <f t="shared" si="36"/>
        <v>1.067E-7</v>
      </c>
      <c r="S355" s="91" t="str">
        <f t="shared" si="37"/>
        <v/>
      </c>
      <c r="T355" s="93">
        <f>VLOOKUP(A355,'Parameters Summary'!$B$2:$AB$826,15,FALSE)</f>
        <v>5.0292099999999999E-2</v>
      </c>
      <c r="U355" s="93" t="str">
        <f>VLOOKUP(A355,'Parameters Summary'!$B$2:$AB$826,17,FALSE)</f>
        <v>WATER9 (U.S. EPA, 2001)</v>
      </c>
      <c r="V355" s="93">
        <f>VLOOKUP(A355,'Parameters Summary'!$B$2:$AB$826,16,FALSE)</f>
        <v>5.8761999999999997E-6</v>
      </c>
      <c r="W355" s="379" t="str">
        <f>VLOOKUP(A355,'Parameters Summary'!$B$2:$AB$826,17,FALSE)</f>
        <v>WATER9 (U.S. EPA, 2001)</v>
      </c>
      <c r="X355" s="347"/>
      <c r="Y355" s="96"/>
      <c r="Z355" s="96" t="s">
        <v>1653</v>
      </c>
      <c r="AA355" s="96"/>
      <c r="AB355" s="96" t="s">
        <v>1651</v>
      </c>
      <c r="AC355" s="96"/>
      <c r="AD355" s="93">
        <f>VLOOKUP(A355,'Parameters Summary'!$B$2:$AB$826,20,FALSE)</f>
        <v>285.3</v>
      </c>
      <c r="AE355" s="97" t="str">
        <f>VLOOKUP(A355,'Parameters Summary'!$B$2:$AB$826,21,FALSE)</f>
        <v>EPI</v>
      </c>
      <c r="AF355" s="97"/>
      <c r="AG355" s="94"/>
      <c r="AH355" s="92"/>
      <c r="AI355" s="96"/>
      <c r="AJ355" s="330"/>
      <c r="AL355" s="81"/>
    </row>
    <row r="356" spans="1:38" ht="12.75" customHeight="1">
      <c r="A356" s="96" t="s">
        <v>212</v>
      </c>
      <c r="B356" s="96" t="s">
        <v>2356</v>
      </c>
      <c r="C356" s="96" t="str">
        <f t="shared" si="34"/>
        <v>No</v>
      </c>
      <c r="D356" s="96" t="str">
        <f>VLOOKUP(A356,'Tox Summary'!$O$3:$R$824,3,FALSE)</f>
        <v>No</v>
      </c>
      <c r="E356" s="97">
        <f>VLOOKUP(A356,'Parameters Summary'!$B$2:$AB$826,4,FALSE)</f>
        <v>202.26</v>
      </c>
      <c r="F356" s="97" t="str">
        <f>VLOOKUP(A356,'Parameters Summary'!$B$2:$AB$826,5,FALSE)</f>
        <v>PHYSPROP</v>
      </c>
      <c r="G356" s="93">
        <f>VLOOKUP(A356,'Parameters Summary'!$B$2:$AB$826,9,FALSE)</f>
        <v>9.2199999999999998E-6</v>
      </c>
      <c r="H356" s="93" t="str">
        <f>VLOOKUP(A356,'Parameters Summary'!$B$2:$AB$826,10,FALSE)</f>
        <v>PHYSPROP</v>
      </c>
      <c r="I356" s="93">
        <f>VLOOKUP(A356,'Parameters Summary'!$B$2:$AB$826,24,FALSE)</f>
        <v>0.26</v>
      </c>
      <c r="J356" s="97" t="str">
        <f>VLOOKUP(A356,'Parameters Summary'!$B$2:$AB$826,25,FALSE)</f>
        <v>PHYSPROP</v>
      </c>
      <c r="K356" s="97" t="str">
        <f>VLOOKUP(A356,'Tox Summary'!$O$3:$S$827,2,FALSE)</f>
        <v/>
      </c>
      <c r="L356" s="93">
        <f>VLOOKUP(A356,'Parameters Summary'!$B$2:$AB$826,7,FALSE)</f>
        <v>8.8599999999999999E-6</v>
      </c>
      <c r="M356" s="93" t="str">
        <f>VLOOKUP(A356,'Parameters Summary'!$B$2:$AB$826,8,FALSE)</f>
        <v>PHYSPROP</v>
      </c>
      <c r="N356" s="91">
        <f>VLOOKUP(A356,'Parameters Summary'!$B$2:$AB$826,6,FALSE)</f>
        <v>3.6220000000000002E-4</v>
      </c>
      <c r="O356" s="91" t="str">
        <f t="shared" si="32"/>
        <v/>
      </c>
      <c r="P356" s="91">
        <f t="shared" si="35"/>
        <v>3.6220000000000002E-4</v>
      </c>
      <c r="Q356" s="91" t="str">
        <f t="shared" si="33"/>
        <v/>
      </c>
      <c r="R356" s="91">
        <f t="shared" si="36"/>
        <v>3.6220000000000002E-4</v>
      </c>
      <c r="S356" s="91" t="str">
        <f t="shared" si="37"/>
        <v/>
      </c>
      <c r="T356" s="93">
        <f>VLOOKUP(A356,'Parameters Summary'!$B$2:$AB$826,15,FALSE)</f>
        <v>2.7595700000000001E-2</v>
      </c>
      <c r="U356" s="93" t="str">
        <f>VLOOKUP(A356,'Parameters Summary'!$B$2:$AB$826,17,FALSE)</f>
        <v>WATER9 (U.S. EPA, 2001)</v>
      </c>
      <c r="V356" s="93">
        <f>VLOOKUP(A356,'Parameters Summary'!$B$2:$AB$826,16,FALSE)</f>
        <v>7.1826999999999999E-6</v>
      </c>
      <c r="W356" s="379" t="str">
        <f>VLOOKUP(A356,'Parameters Summary'!$B$2:$AB$826,17,FALSE)</f>
        <v>WATER9 (U.S. EPA, 2001)</v>
      </c>
      <c r="X356" s="290">
        <v>657.15</v>
      </c>
      <c r="Y356" s="96" t="s">
        <v>553</v>
      </c>
      <c r="Z356" s="96" t="s">
        <v>1653</v>
      </c>
      <c r="AA356" s="96"/>
      <c r="AB356" s="96" t="s">
        <v>1651</v>
      </c>
      <c r="AC356" s="96"/>
      <c r="AD356" s="93">
        <f>VLOOKUP(A356,'Parameters Summary'!$B$2:$AB$826,20,FALSE)</f>
        <v>55450</v>
      </c>
      <c r="AE356" s="97" t="str">
        <f>VLOOKUP(A356,'Parameters Summary'!$B$2:$AB$826,21,FALSE)</f>
        <v>EPI</v>
      </c>
      <c r="AF356" s="97"/>
      <c r="AG356" s="94"/>
      <c r="AH356" s="92"/>
      <c r="AI356" s="96"/>
      <c r="AJ356" s="330"/>
      <c r="AL356" s="81"/>
    </row>
    <row r="357" spans="1:38" ht="12.75" customHeight="1">
      <c r="A357" s="95" t="s">
        <v>213</v>
      </c>
      <c r="B357" s="96" t="s">
        <v>2332</v>
      </c>
      <c r="C357" s="96" t="str">
        <f t="shared" si="34"/>
        <v>Yes</v>
      </c>
      <c r="D357" s="96" t="str">
        <f>VLOOKUP(A357,'Tox Summary'!$O$3:$R$824,3,FALSE)</f>
        <v>No</v>
      </c>
      <c r="E357" s="97">
        <f>VLOOKUP(A357,'Parameters Summary'!$B$2:$AB$826,4,FALSE)</f>
        <v>166.22</v>
      </c>
      <c r="F357" s="97" t="str">
        <f>VLOOKUP(A357,'Parameters Summary'!$B$2:$AB$826,5,FALSE)</f>
        <v>PHYSPROP</v>
      </c>
      <c r="G357" s="93">
        <f>VLOOKUP(A357,'Parameters Summary'!$B$2:$AB$826,9,FALSE)</f>
        <v>5.9999999999999995E-4</v>
      </c>
      <c r="H357" s="93" t="str">
        <f>VLOOKUP(A357,'Parameters Summary'!$B$2:$AB$826,10,FALSE)</f>
        <v>PHYSPROP</v>
      </c>
      <c r="I357" s="93">
        <f>VLOOKUP(A357,'Parameters Summary'!$B$2:$AB$826,24,FALSE)</f>
        <v>1.69</v>
      </c>
      <c r="J357" s="97" t="str">
        <f>VLOOKUP(A357,'Parameters Summary'!$B$2:$AB$826,25,FALSE)</f>
        <v>PHYSPROP</v>
      </c>
      <c r="K357" s="97" t="str">
        <f>VLOOKUP(A357,'Tox Summary'!$O$3:$S$827,2,FALSE)</f>
        <v/>
      </c>
      <c r="L357" s="93">
        <f>VLOOKUP(A357,'Parameters Summary'!$B$2:$AB$826,7,FALSE)</f>
        <v>9.6199999999999994E-5</v>
      </c>
      <c r="M357" s="93" t="str">
        <f>VLOOKUP(A357,'Parameters Summary'!$B$2:$AB$826,8,FALSE)</f>
        <v>PHYSPROP</v>
      </c>
      <c r="N357" s="91">
        <f>VLOOKUP(A357,'Parameters Summary'!$B$2:$AB$826,6,FALSE)</f>
        <v>3.9329999999999999E-3</v>
      </c>
      <c r="O357" s="91">
        <f t="shared" si="32"/>
        <v>3.9329999999999999E-3</v>
      </c>
      <c r="P357" s="91">
        <f t="shared" si="35"/>
        <v>3.9329999999999999E-3</v>
      </c>
      <c r="Q357" s="91">
        <f t="shared" si="33"/>
        <v>3.9329999999999999E-3</v>
      </c>
      <c r="R357" s="91">
        <f t="shared" si="36"/>
        <v>3.9329999999999999E-3</v>
      </c>
      <c r="S357" s="91">
        <f t="shared" si="37"/>
        <v>5366.4578099708551</v>
      </c>
      <c r="T357" s="93">
        <f>VLOOKUP(A357,'Parameters Summary'!$B$2:$AB$826,15,FALSE)</f>
        <v>4.3974300000000001E-2</v>
      </c>
      <c r="U357" s="93" t="str">
        <f>VLOOKUP(A357,'Parameters Summary'!$B$2:$AB$826,17,FALSE)</f>
        <v>WATER9 (U.S. EPA, 2001)</v>
      </c>
      <c r="V357" s="93">
        <f>VLOOKUP(A357,'Parameters Summary'!$B$2:$AB$826,16,FALSE)</f>
        <v>7.8890000000000002E-6</v>
      </c>
      <c r="W357" s="379" t="str">
        <f>VLOOKUP(A357,'Parameters Summary'!$B$2:$AB$826,17,FALSE)</f>
        <v>WATER9 (U.S. EPA, 2001)</v>
      </c>
      <c r="X357" s="290">
        <v>568</v>
      </c>
      <c r="Y357" s="96" t="s">
        <v>553</v>
      </c>
      <c r="Z357" s="96">
        <v>870</v>
      </c>
      <c r="AA357" s="96" t="s">
        <v>2227</v>
      </c>
      <c r="AB357" s="96">
        <v>12666</v>
      </c>
      <c r="AC357" s="96" t="s">
        <v>2227</v>
      </c>
      <c r="AD357" s="93">
        <f>VLOOKUP(A357,'Parameters Summary'!$B$2:$AB$826,20,FALSE)</f>
        <v>9160</v>
      </c>
      <c r="AE357" s="97" t="str">
        <f>VLOOKUP(A357,'Parameters Summary'!$B$2:$AB$826,21,FALSE)</f>
        <v>EPI</v>
      </c>
      <c r="AF357" s="380"/>
      <c r="AG357" s="97"/>
      <c r="AH357" s="92"/>
      <c r="AI357" s="96"/>
      <c r="AJ357" s="330"/>
      <c r="AL357" s="81"/>
    </row>
    <row r="358" spans="1:38" ht="12.75" customHeight="1">
      <c r="A358" s="96" t="s">
        <v>933</v>
      </c>
      <c r="B358" s="96" t="s">
        <v>586</v>
      </c>
      <c r="C358" s="96" t="str">
        <f t="shared" si="34"/>
        <v>No</v>
      </c>
      <c r="D358" s="96" t="str">
        <f>VLOOKUP(A358,'Tox Summary'!$O$3:$R$824,3,FALSE)</f>
        <v>No</v>
      </c>
      <c r="E358" s="97">
        <f>VLOOKUP(A358,'Parameters Summary'!$B$2:$AB$826,4,FALSE)</f>
        <v>38</v>
      </c>
      <c r="F358" s="97" t="str">
        <f>VLOOKUP(A358,'Parameters Summary'!$B$2:$AB$826,5,FALSE)</f>
        <v>EPI</v>
      </c>
      <c r="G358" s="93" t="s">
        <v>2439</v>
      </c>
      <c r="H358" s="93" t="str">
        <f>VLOOKUP(A358,'Parameters Summary'!$B$2:$AB$826,10,FALSE)</f>
        <v/>
      </c>
      <c r="I358" s="93">
        <f>VLOOKUP(A358,'Parameters Summary'!$B$2:$AB$826,24,FALSE)</f>
        <v>1.69</v>
      </c>
      <c r="J358" s="97" t="str">
        <f>VLOOKUP(A358,'Parameters Summary'!$B$2:$AB$826,25,FALSE)</f>
        <v>EPI</v>
      </c>
      <c r="K358" s="97" t="str">
        <f>VLOOKUP(A358,'Tox Summary'!$O$3:$S$827,2,FALSE)</f>
        <v/>
      </c>
      <c r="L358" s="93" t="s">
        <v>2298</v>
      </c>
      <c r="M358" s="93" t="str">
        <f>VLOOKUP(A358,'Parameters Summary'!$B$2:$AB$826,8,FALSE)</f>
        <v/>
      </c>
      <c r="N358" s="91" t="str">
        <f>VLOOKUP(A358,'Parameters Summary'!$B$2:$AB$826,6,FALSE)</f>
        <v xml:space="preserve"> </v>
      </c>
      <c r="O358" s="91" t="str">
        <f t="shared" si="32"/>
        <v/>
      </c>
      <c r="P358" s="91" t="str">
        <f t="shared" si="35"/>
        <v xml:space="preserve"> </v>
      </c>
      <c r="Q358" s="91" t="str">
        <f t="shared" si="33"/>
        <v/>
      </c>
      <c r="R358" s="91" t="str">
        <f t="shared" si="36"/>
        <v xml:space="preserve"> </v>
      </c>
      <c r="S358" s="91" t="str">
        <f t="shared" si="37"/>
        <v/>
      </c>
      <c r="T358" s="93" t="str">
        <f>VLOOKUP(A358,'Parameters Summary'!$B$2:$AB$826,15,FALSE)</f>
        <v xml:space="preserve"> </v>
      </c>
      <c r="U358" s="93" t="str">
        <f>VLOOKUP(A358,'Parameters Summary'!$B$2:$AB$826,17,FALSE)</f>
        <v/>
      </c>
      <c r="V358" s="93" t="str">
        <f>VLOOKUP(A358,'Parameters Summary'!$B$2:$AB$826,16,FALSE)</f>
        <v xml:space="preserve"> </v>
      </c>
      <c r="W358" s="379" t="str">
        <f>VLOOKUP(A358,'Parameters Summary'!$B$2:$AB$826,17,FALSE)</f>
        <v/>
      </c>
      <c r="X358" s="347"/>
      <c r="Y358" s="96"/>
      <c r="Z358" s="96" t="s">
        <v>1653</v>
      </c>
      <c r="AA358" s="96"/>
      <c r="AB358" s="96" t="s">
        <v>1651</v>
      </c>
      <c r="AC358" s="96"/>
      <c r="AD358" s="93" t="str">
        <f>VLOOKUP(A358,'Parameters Summary'!$B$2:$AB$826,20,FALSE)</f>
        <v xml:space="preserve"> </v>
      </c>
      <c r="AE358" s="97" t="str">
        <f>VLOOKUP(A358,'Parameters Summary'!$B$2:$AB$826,21,FALSE)</f>
        <v/>
      </c>
      <c r="AF358" s="97"/>
      <c r="AG358" s="94"/>
      <c r="AH358" s="92"/>
      <c r="AI358" s="96"/>
      <c r="AJ358" s="330"/>
      <c r="AL358" s="81"/>
    </row>
    <row r="359" spans="1:38" ht="12.75" customHeight="1">
      <c r="A359" s="96" t="s">
        <v>934</v>
      </c>
      <c r="B359" s="96" t="s">
        <v>1159</v>
      </c>
      <c r="C359" s="96" t="str">
        <f t="shared" si="34"/>
        <v>No</v>
      </c>
      <c r="D359" s="96" t="str">
        <f>VLOOKUP(A359,'Tox Summary'!$O$3:$R$824,3,FALSE)</f>
        <v>No</v>
      </c>
      <c r="E359" s="97">
        <f>VLOOKUP(A359,'Parameters Summary'!$B$2:$AB$826,4,FALSE)</f>
        <v>37.997</v>
      </c>
      <c r="F359" s="97" t="str">
        <f>VLOOKUP(A359,'Parameters Summary'!$B$2:$AB$826,5,FALSE)</f>
        <v>PHYSPROP</v>
      </c>
      <c r="G359" s="93" t="s">
        <v>2439</v>
      </c>
      <c r="H359" s="93" t="str">
        <f>VLOOKUP(A359,'Parameters Summary'!$B$2:$AB$826,10,FALSE)</f>
        <v/>
      </c>
      <c r="I359" s="93">
        <f>VLOOKUP(A359,'Parameters Summary'!$B$2:$AB$826,24,FALSE)</f>
        <v>1.69</v>
      </c>
      <c r="J359" s="97" t="str">
        <f>VLOOKUP(A359,'Parameters Summary'!$B$2:$AB$826,25,FALSE)</f>
        <v>PHYSPROP</v>
      </c>
      <c r="K359" s="97">
        <f>VLOOKUP(A359,'Tox Summary'!$O$3:$S$827,2,FALSE)</f>
        <v>4000</v>
      </c>
      <c r="L359" s="93" t="s">
        <v>2298</v>
      </c>
      <c r="M359" s="93" t="str">
        <f>VLOOKUP(A359,'Parameters Summary'!$B$2:$AB$826,8,FALSE)</f>
        <v/>
      </c>
      <c r="N359" s="91" t="str">
        <f>VLOOKUP(A359,'Parameters Summary'!$B$2:$AB$826,6,FALSE)</f>
        <v xml:space="preserve"> </v>
      </c>
      <c r="O359" s="91"/>
      <c r="P359" s="91"/>
      <c r="Q359" s="91"/>
      <c r="R359" s="91"/>
      <c r="S359" s="91"/>
      <c r="T359" s="93" t="str">
        <f>VLOOKUP(A359,'Parameters Summary'!$B$2:$AB$826,15,FALSE)</f>
        <v xml:space="preserve"> </v>
      </c>
      <c r="U359" s="93" t="str">
        <f>VLOOKUP(A359,'Parameters Summary'!$B$2:$AB$826,17,FALSE)</f>
        <v/>
      </c>
      <c r="V359" s="93" t="str">
        <f>VLOOKUP(A359,'Parameters Summary'!$B$2:$AB$826,16,FALSE)</f>
        <v xml:space="preserve"> </v>
      </c>
      <c r="W359" s="379" t="str">
        <f>VLOOKUP(A359,'Parameters Summary'!$B$2:$AB$826,17,FALSE)</f>
        <v/>
      </c>
      <c r="X359" s="290">
        <v>85.019999999999982</v>
      </c>
      <c r="Y359" s="96" t="s">
        <v>553</v>
      </c>
      <c r="Z359" s="96">
        <f>-129+273.15</f>
        <v>144.14999999999998</v>
      </c>
      <c r="AA359" s="96" t="s">
        <v>2215</v>
      </c>
      <c r="AB359" s="96">
        <v>1566.2</v>
      </c>
      <c r="AC359" s="96" t="s">
        <v>2214</v>
      </c>
      <c r="AD359" s="93" t="str">
        <f>VLOOKUP(A359,'Parameters Summary'!$B$2:$AB$826,20,FALSE)</f>
        <v xml:space="preserve"> </v>
      </c>
      <c r="AE359" s="97" t="str">
        <f>VLOOKUP(A359,'Parameters Summary'!$B$2:$AB$826,21,FALSE)</f>
        <v/>
      </c>
      <c r="AF359" s="97"/>
      <c r="AG359" s="94"/>
      <c r="AH359" s="92"/>
      <c r="AI359" s="96"/>
      <c r="AJ359" s="330"/>
      <c r="AL359" s="81"/>
    </row>
    <row r="360" spans="1:38" ht="12.75" customHeight="1">
      <c r="A360" s="96" t="s">
        <v>935</v>
      </c>
      <c r="B360" s="96" t="s">
        <v>1160</v>
      </c>
      <c r="C360" s="96" t="str">
        <f t="shared" si="34"/>
        <v>No</v>
      </c>
      <c r="D360" s="96" t="str">
        <f>VLOOKUP(A360,'Tox Summary'!$O$3:$R$824,3,FALSE)</f>
        <v>No</v>
      </c>
      <c r="E360" s="97">
        <f>VLOOKUP(A360,'Parameters Summary'!$B$2:$AB$826,4,FALSE)</f>
        <v>329.32</v>
      </c>
      <c r="F360" s="97" t="str">
        <f>VLOOKUP(A360,'Parameters Summary'!$B$2:$AB$826,5,FALSE)</f>
        <v>PHYSPROP</v>
      </c>
      <c r="G360" s="93">
        <f>VLOOKUP(A360,'Parameters Summary'!$B$2:$AB$826,9,FALSE)</f>
        <v>9.7500000000000006E-8</v>
      </c>
      <c r="H360" s="93" t="str">
        <f>VLOOKUP(A360,'Parameters Summary'!$B$2:$AB$826,10,FALSE)</f>
        <v>PHYSPROP</v>
      </c>
      <c r="I360" s="93">
        <f>VLOOKUP(A360,'Parameters Summary'!$B$2:$AB$826,24,FALSE)</f>
        <v>12</v>
      </c>
      <c r="J360" s="97" t="str">
        <f>VLOOKUP(A360,'Parameters Summary'!$B$2:$AB$826,25,FALSE)</f>
        <v>PHYSPROP</v>
      </c>
      <c r="K360" s="97" t="str">
        <f>VLOOKUP(A360,'Tox Summary'!$O$3:$S$827,2,FALSE)</f>
        <v/>
      </c>
      <c r="L360" s="93">
        <f>VLOOKUP(A360,'Parameters Summary'!$B$2:$AB$826,7,FALSE)</f>
        <v>8.0999999999999997E-9</v>
      </c>
      <c r="M360" s="93" t="str">
        <f>VLOOKUP(A360,'Parameters Summary'!$B$2:$AB$826,8,FALSE)</f>
        <v>EPI</v>
      </c>
      <c r="N360" s="91">
        <f>VLOOKUP(A360,'Parameters Summary'!$B$2:$AB$826,6,FALSE)</f>
        <v>3.3115E-7</v>
      </c>
      <c r="O360" s="91" t="str">
        <f t="shared" si="32"/>
        <v/>
      </c>
      <c r="P360" s="91">
        <f t="shared" si="35"/>
        <v>3.3115E-7</v>
      </c>
      <c r="Q360" s="91" t="str">
        <f t="shared" si="33"/>
        <v/>
      </c>
      <c r="R360" s="91">
        <f t="shared" si="36"/>
        <v>3.3115E-7</v>
      </c>
      <c r="S360" s="91" t="str">
        <f t="shared" si="37"/>
        <v/>
      </c>
      <c r="T360" s="93">
        <f>VLOOKUP(A360,'Parameters Summary'!$B$2:$AB$826,15,FALSE)</f>
        <v>3.9842000000000002E-2</v>
      </c>
      <c r="U360" s="93" t="str">
        <f>VLOOKUP(A360,'Parameters Summary'!$B$2:$AB$826,17,FALSE)</f>
        <v>WATER9 (U.S. EPA, 2001)</v>
      </c>
      <c r="V360" s="93">
        <f>VLOOKUP(A360,'Parameters Summary'!$B$2:$AB$826,16,FALSE)</f>
        <v>4.6551999999999999E-6</v>
      </c>
      <c r="W360" s="379" t="str">
        <f>VLOOKUP(A360,'Parameters Summary'!$B$2:$AB$826,17,FALSE)</f>
        <v>WATER9 (U.S. EPA, 2001)</v>
      </c>
      <c r="X360" s="347"/>
      <c r="Y360" s="96"/>
      <c r="Z360" s="96" t="s">
        <v>1653</v>
      </c>
      <c r="AA360" s="96"/>
      <c r="AB360" s="96" t="s">
        <v>1651</v>
      </c>
      <c r="AC360" s="96"/>
      <c r="AD360" s="93">
        <f>VLOOKUP(A360,'Parameters Summary'!$B$2:$AB$826,20,FALSE)</f>
        <v>56770</v>
      </c>
      <c r="AE360" s="97" t="str">
        <f>VLOOKUP(A360,'Parameters Summary'!$B$2:$AB$826,21,FALSE)</f>
        <v>EPI</v>
      </c>
      <c r="AF360" s="97"/>
      <c r="AG360" s="94"/>
      <c r="AH360" s="92"/>
      <c r="AI360" s="96"/>
      <c r="AJ360" s="330"/>
      <c r="AL360" s="81"/>
    </row>
    <row r="361" spans="1:38" ht="12.75" customHeight="1">
      <c r="A361" s="96" t="s">
        <v>936</v>
      </c>
      <c r="B361" s="96" t="s">
        <v>1161</v>
      </c>
      <c r="C361" s="96" t="str">
        <f t="shared" si="34"/>
        <v>No</v>
      </c>
      <c r="D361" s="96" t="str">
        <f>VLOOKUP(A361,'Tox Summary'!$O$3:$R$824,3,FALSE)</f>
        <v>No</v>
      </c>
      <c r="E361" s="97">
        <f>VLOOKUP(A361,'Parameters Summary'!$B$2:$AB$826,4,FALSE)</f>
        <v>312.29000000000002</v>
      </c>
      <c r="F361" s="97" t="str">
        <f>VLOOKUP(A361,'Parameters Summary'!$B$2:$AB$826,5,FALSE)</f>
        <v>PHYSPROP</v>
      </c>
      <c r="G361" s="93">
        <f>VLOOKUP(A361,'Parameters Summary'!$B$2:$AB$826,9,FALSE)</f>
        <v>3.6399999999999998E-7</v>
      </c>
      <c r="H361" s="93" t="str">
        <f>VLOOKUP(A361,'Parameters Summary'!$B$2:$AB$826,10,FALSE)</f>
        <v>PHYSPROP</v>
      </c>
      <c r="I361" s="93">
        <f>VLOOKUP(A361,'Parameters Summary'!$B$2:$AB$826,24,FALSE)</f>
        <v>114</v>
      </c>
      <c r="J361" s="97" t="str">
        <f>VLOOKUP(A361,'Parameters Summary'!$B$2:$AB$826,25,FALSE)</f>
        <v>PHYSPROP</v>
      </c>
      <c r="K361" s="97" t="str">
        <f>VLOOKUP(A361,'Tox Summary'!$O$3:$S$827,2,FALSE)</f>
        <v/>
      </c>
      <c r="L361" s="93">
        <f>VLOOKUP(A361,'Parameters Summary'!$B$2:$AB$826,7,FALSE)</f>
        <v>1.31E-9</v>
      </c>
      <c r="M361" s="93" t="str">
        <f>VLOOKUP(A361,'Parameters Summary'!$B$2:$AB$826,8,FALSE)</f>
        <v>EPI</v>
      </c>
      <c r="N361" s="91">
        <f>VLOOKUP(A361,'Parameters Summary'!$B$2:$AB$826,6,FALSE)</f>
        <v>5.3557000000000001E-8</v>
      </c>
      <c r="O361" s="91" t="str">
        <f t="shared" si="32"/>
        <v/>
      </c>
      <c r="P361" s="91">
        <f t="shared" si="35"/>
        <v>5.3557000000000001E-8</v>
      </c>
      <c r="Q361" s="91" t="str">
        <f t="shared" si="33"/>
        <v/>
      </c>
      <c r="R361" s="91">
        <f t="shared" si="36"/>
        <v>5.3557000000000001E-8</v>
      </c>
      <c r="S361" s="91" t="str">
        <f t="shared" si="37"/>
        <v/>
      </c>
      <c r="T361" s="93">
        <f>VLOOKUP(A361,'Parameters Summary'!$B$2:$AB$826,15,FALSE)</f>
        <v>4.1277599999999998E-2</v>
      </c>
      <c r="U361" s="93" t="str">
        <f>VLOOKUP(A361,'Parameters Summary'!$B$2:$AB$826,17,FALSE)</f>
        <v>WATER9 (U.S. EPA, 2001)</v>
      </c>
      <c r="V361" s="93">
        <f>VLOOKUP(A361,'Parameters Summary'!$B$2:$AB$826,16,FALSE)</f>
        <v>4.8230000000000002E-6</v>
      </c>
      <c r="W361" s="379" t="str">
        <f>VLOOKUP(A361,'Parameters Summary'!$B$2:$AB$826,17,FALSE)</f>
        <v>WATER9 (U.S. EPA, 2001)</v>
      </c>
      <c r="X361" s="290">
        <v>537.15</v>
      </c>
      <c r="Y361" s="96" t="s">
        <v>553</v>
      </c>
      <c r="Z361" s="96">
        <f>1.5*X361</f>
        <v>805.72499999999991</v>
      </c>
      <c r="AA361" s="96" t="s">
        <v>2220</v>
      </c>
      <c r="AB361" s="96" t="s">
        <v>1651</v>
      </c>
      <c r="AC361" s="96"/>
      <c r="AD361" s="93">
        <f>VLOOKUP(A361,'Parameters Summary'!$B$2:$AB$826,20,FALSE)</f>
        <v>2189</v>
      </c>
      <c r="AE361" s="97" t="str">
        <f>VLOOKUP(A361,'Parameters Summary'!$B$2:$AB$826,21,FALSE)</f>
        <v>EPI</v>
      </c>
      <c r="AF361" s="97"/>
      <c r="AG361" s="94"/>
      <c r="AH361" s="92"/>
      <c r="AI361" s="96"/>
      <c r="AJ361" s="330"/>
      <c r="AL361" s="81"/>
    </row>
    <row r="362" spans="1:38" ht="12.75" customHeight="1">
      <c r="A362" s="96" t="s">
        <v>141</v>
      </c>
      <c r="B362" s="96" t="s">
        <v>2310</v>
      </c>
      <c r="C362" s="96" t="str">
        <f t="shared" si="34"/>
        <v>No</v>
      </c>
      <c r="D362" s="96" t="str">
        <f>VLOOKUP(A362,'Tox Summary'!$O$3:$R$824,3,FALSE)</f>
        <v>No</v>
      </c>
      <c r="E362" s="97">
        <f>VLOOKUP(A362,'Parameters Summary'!$B$2:$AB$826,4,FALSE)</f>
        <v>315.39999999999998</v>
      </c>
      <c r="F362" s="97" t="str">
        <f>VLOOKUP(A362,'Parameters Summary'!$B$2:$AB$826,5,FALSE)</f>
        <v>PHYSPROP</v>
      </c>
      <c r="G362" s="93">
        <f>VLOOKUP(A362,'Parameters Summary'!$B$2:$AB$826,9,FALSE)</f>
        <v>2.9299999999999999E-7</v>
      </c>
      <c r="H362" s="93" t="str">
        <f>VLOOKUP(A362,'Parameters Summary'!$B$2:$AB$826,10,FALSE)</f>
        <v>PHYSPROP</v>
      </c>
      <c r="I362" s="93">
        <f>VLOOKUP(A362,'Parameters Summary'!$B$2:$AB$826,24,FALSE)</f>
        <v>54</v>
      </c>
      <c r="J362" s="97" t="str">
        <f>VLOOKUP(A362,'Parameters Summary'!$B$2:$AB$826,25,FALSE)</f>
        <v>PHYSPROP</v>
      </c>
      <c r="K362" s="97" t="str">
        <f>VLOOKUP(A362,'Tox Summary'!$O$3:$S$827,2,FALSE)</f>
        <v/>
      </c>
      <c r="L362" s="93">
        <f>VLOOKUP(A362,'Parameters Summary'!$B$2:$AB$826,7,FALSE)</f>
        <v>2.2499999999999999E-9</v>
      </c>
      <c r="M362" s="93" t="str">
        <f>VLOOKUP(A362,'Parameters Summary'!$B$2:$AB$826,8,FALSE)</f>
        <v>PHYSPROP</v>
      </c>
      <c r="N362" s="91">
        <f>VLOOKUP(A362,'Parameters Summary'!$B$2:$AB$826,6,FALSE)</f>
        <v>9.1987000000000002E-8</v>
      </c>
      <c r="O362" s="91" t="str">
        <f t="shared" si="32"/>
        <v/>
      </c>
      <c r="P362" s="91">
        <f t="shared" si="35"/>
        <v>9.1987000000000002E-8</v>
      </c>
      <c r="Q362" s="91" t="str">
        <f t="shared" si="33"/>
        <v/>
      </c>
      <c r="R362" s="91">
        <f t="shared" si="36"/>
        <v>9.1987000000000002E-8</v>
      </c>
      <c r="S362" s="91" t="str">
        <f t="shared" si="37"/>
        <v/>
      </c>
      <c r="T362" s="93">
        <f>VLOOKUP(A362,'Parameters Summary'!$B$2:$AB$826,15,FALSE)</f>
        <v>4.1005800000000002E-2</v>
      </c>
      <c r="U362" s="93" t="str">
        <f>VLOOKUP(A362,'Parameters Summary'!$B$2:$AB$826,17,FALSE)</f>
        <v>WATER9 (U.S. EPA, 2001)</v>
      </c>
      <c r="V362" s="93">
        <f>VLOOKUP(A362,'Parameters Summary'!$B$2:$AB$826,16,FALSE)</f>
        <v>4.7912E-6</v>
      </c>
      <c r="W362" s="379" t="str">
        <f>VLOOKUP(A362,'Parameters Summary'!$B$2:$AB$826,17,FALSE)</f>
        <v>WATER9 (U.S. EPA, 2001)</v>
      </c>
      <c r="X362" s="347"/>
      <c r="Y362" s="96"/>
      <c r="Z362" s="96" t="s">
        <v>1653</v>
      </c>
      <c r="AA362" s="96"/>
      <c r="AB362" s="96" t="s">
        <v>1651</v>
      </c>
      <c r="AC362" s="96"/>
      <c r="AD362" s="93">
        <f>VLOOKUP(A362,'Parameters Summary'!$B$2:$AB$826,20,FALSE)</f>
        <v>81060</v>
      </c>
      <c r="AE362" s="97" t="str">
        <f>VLOOKUP(A362,'Parameters Summary'!$B$2:$AB$826,21,FALSE)</f>
        <v>EPI</v>
      </c>
      <c r="AF362" s="97"/>
      <c r="AG362" s="94"/>
      <c r="AH362" s="92"/>
      <c r="AI362" s="96"/>
      <c r="AJ362" s="330"/>
      <c r="AL362" s="81"/>
    </row>
    <row r="363" spans="1:38" ht="12.75" customHeight="1">
      <c r="A363" s="96" t="s">
        <v>937</v>
      </c>
      <c r="B363" s="96" t="s">
        <v>1162</v>
      </c>
      <c r="C363" s="96" t="str">
        <f t="shared" si="34"/>
        <v>No</v>
      </c>
      <c r="D363" s="96" t="str">
        <f>VLOOKUP(A363,'Tox Summary'!$O$3:$R$824,3,FALSE)</f>
        <v>No</v>
      </c>
      <c r="E363" s="97">
        <f>VLOOKUP(A363,'Parameters Summary'!$B$2:$AB$826,4,FALSE)</f>
        <v>323.32</v>
      </c>
      <c r="F363" s="97" t="str">
        <f>VLOOKUP(A363,'Parameters Summary'!$B$2:$AB$826,5,FALSE)</f>
        <v>PHYSPROP</v>
      </c>
      <c r="G363" s="93">
        <f>VLOOKUP(A363,'Parameters Summary'!$B$2:$AB$826,9,FALSE)</f>
        <v>4.88E-8</v>
      </c>
      <c r="H363" s="93" t="str">
        <f>VLOOKUP(A363,'Parameters Summary'!$B$2:$AB$826,10,FALSE)</f>
        <v>PHYSPROP</v>
      </c>
      <c r="I363" s="93">
        <f>VLOOKUP(A363,'Parameters Summary'!$B$2:$AB$826,24,FALSE)</f>
        <v>6.53</v>
      </c>
      <c r="J363" s="97" t="str">
        <f>VLOOKUP(A363,'Parameters Summary'!$B$2:$AB$826,25,FALSE)</f>
        <v>PHYSPROP</v>
      </c>
      <c r="K363" s="97" t="str">
        <f>VLOOKUP(A363,'Tox Summary'!$O$3:$S$827,2,FALSE)</f>
        <v/>
      </c>
      <c r="L363" s="93">
        <f>VLOOKUP(A363,'Parameters Summary'!$B$2:$AB$826,7,FALSE)</f>
        <v>3.1800000000000002E-9</v>
      </c>
      <c r="M363" s="93" t="str">
        <f>VLOOKUP(A363,'Parameters Summary'!$B$2:$AB$826,8,FALSE)</f>
        <v>EPI</v>
      </c>
      <c r="N363" s="91">
        <f>VLOOKUP(A363,'Parameters Summary'!$B$2:$AB$826,6,FALSE)</f>
        <v>1.3001000000000001E-7</v>
      </c>
      <c r="O363" s="91" t="str">
        <f t="shared" si="32"/>
        <v/>
      </c>
      <c r="P363" s="91">
        <f t="shared" si="35"/>
        <v>1.3001000000000001E-7</v>
      </c>
      <c r="Q363" s="91" t="str">
        <f t="shared" si="33"/>
        <v/>
      </c>
      <c r="R363" s="91">
        <f t="shared" si="36"/>
        <v>1.3001000000000001E-7</v>
      </c>
      <c r="S363" s="91" t="str">
        <f t="shared" si="37"/>
        <v/>
      </c>
      <c r="T363" s="93">
        <f>VLOOKUP(A363,'Parameters Summary'!$B$2:$AB$826,15,FALSE)</f>
        <v>4.0333399999999998E-2</v>
      </c>
      <c r="U363" s="93" t="str">
        <f>VLOOKUP(A363,'Parameters Summary'!$B$2:$AB$826,17,FALSE)</f>
        <v>WATER9 (U.S. EPA, 2001)</v>
      </c>
      <c r="V363" s="93">
        <f>VLOOKUP(A363,'Parameters Summary'!$B$2:$AB$826,16,FALSE)</f>
        <v>4.7126000000000004E-6</v>
      </c>
      <c r="W363" s="379" t="str">
        <f>VLOOKUP(A363,'Parameters Summary'!$B$2:$AB$826,17,FALSE)</f>
        <v>WATER9 (U.S. EPA, 2001)</v>
      </c>
      <c r="X363" s="347"/>
      <c r="Y363" s="96"/>
      <c r="Z363" s="96" t="s">
        <v>1653</v>
      </c>
      <c r="AA363" s="96"/>
      <c r="AB363" s="96" t="s">
        <v>1651</v>
      </c>
      <c r="AC363" s="96"/>
      <c r="AD363" s="93">
        <f>VLOOKUP(A363,'Parameters Summary'!$B$2:$AB$826,20,FALSE)</f>
        <v>2558</v>
      </c>
      <c r="AE363" s="97" t="str">
        <f>VLOOKUP(A363,'Parameters Summary'!$B$2:$AB$826,21,FALSE)</f>
        <v>EPI</v>
      </c>
      <c r="AF363" s="97"/>
      <c r="AG363" s="94"/>
      <c r="AH363" s="92"/>
      <c r="AI363" s="96"/>
      <c r="AJ363" s="330"/>
      <c r="AL363" s="81"/>
    </row>
    <row r="364" spans="1:38" ht="12.75" customHeight="1">
      <c r="A364" s="96" t="s">
        <v>938</v>
      </c>
      <c r="B364" s="96" t="s">
        <v>1163</v>
      </c>
      <c r="C364" s="96" t="str">
        <f t="shared" si="34"/>
        <v>No</v>
      </c>
      <c r="D364" s="96" t="str">
        <f>VLOOKUP(A364,'Tox Summary'!$O$3:$R$824,3,FALSE)</f>
        <v>Yes</v>
      </c>
      <c r="E364" s="97">
        <f>VLOOKUP(A364,'Parameters Summary'!$B$2:$AB$826,4,FALSE)</f>
        <v>502.93</v>
      </c>
      <c r="F364" s="97" t="str">
        <f>VLOOKUP(A364,'Parameters Summary'!$B$2:$AB$826,5,FALSE)</f>
        <v>PHYSPROP</v>
      </c>
      <c r="G364" s="93">
        <f>VLOOKUP(A364,'Parameters Summary'!$B$2:$AB$826,9,FALSE)</f>
        <v>9.9999999999999995E-8</v>
      </c>
      <c r="H364" s="93" t="str">
        <f>VLOOKUP(A364,'Parameters Summary'!$B$2:$AB$826,10,FALSE)</f>
        <v>PHYSPROP</v>
      </c>
      <c r="I364" s="93">
        <f>VLOOKUP(A364,'Parameters Summary'!$B$2:$AB$826,24,FALSE)</f>
        <v>5.0000000000000001E-3</v>
      </c>
      <c r="J364" s="97" t="str">
        <f>VLOOKUP(A364,'Parameters Summary'!$B$2:$AB$826,25,FALSE)</f>
        <v>PHYSPROP</v>
      </c>
      <c r="K364" s="97" t="str">
        <f>VLOOKUP(A364,'Tox Summary'!$O$3:$S$827,2,FALSE)</f>
        <v/>
      </c>
      <c r="L364" s="93">
        <f>VLOOKUP(A364,'Parameters Summary'!$B$2:$AB$826,7,FALSE)</f>
        <v>1.4500000000000001E-8</v>
      </c>
      <c r="M364" s="93" t="str">
        <f>VLOOKUP(A364,'Parameters Summary'!$B$2:$AB$826,8,FALSE)</f>
        <v>PHYSPROP</v>
      </c>
      <c r="N364" s="91">
        <f>VLOOKUP(A364,'Parameters Summary'!$B$2:$AB$826,6,FALSE)</f>
        <v>5.9279999999999996E-7</v>
      </c>
      <c r="O364" s="91" t="str">
        <f t="shared" si="32"/>
        <v/>
      </c>
      <c r="P364" s="91">
        <f t="shared" si="35"/>
        <v>5.9279999999999996E-7</v>
      </c>
      <c r="Q364" s="91" t="str">
        <f t="shared" si="33"/>
        <v/>
      </c>
      <c r="R364" s="91">
        <f t="shared" si="36"/>
        <v>5.9279999999999996E-7</v>
      </c>
      <c r="S364" s="91" t="str">
        <f t="shared" si="37"/>
        <v/>
      </c>
      <c r="T364" s="93">
        <f>VLOOKUP(A364,'Parameters Summary'!$B$2:$AB$826,15,FALSE)</f>
        <v>3.0043400000000001E-2</v>
      </c>
      <c r="U364" s="93" t="str">
        <f>VLOOKUP(A364,'Parameters Summary'!$B$2:$AB$826,17,FALSE)</f>
        <v>WATER9 (U.S. EPA, 2001)</v>
      </c>
      <c r="V364" s="93">
        <f>VLOOKUP(A364,'Parameters Summary'!$B$2:$AB$826,16,FALSE)</f>
        <v>3.5103000000000001E-6</v>
      </c>
      <c r="W364" s="379" t="str">
        <f>VLOOKUP(A364,'Parameters Summary'!$B$2:$AB$826,17,FALSE)</f>
        <v>WATER9 (U.S. EPA, 2001)</v>
      </c>
      <c r="X364" s="290">
        <v>437.15</v>
      </c>
      <c r="Y364" s="96" t="s">
        <v>553</v>
      </c>
      <c r="Z364" s="96">
        <f>1.5*X364</f>
        <v>655.72499999999991</v>
      </c>
      <c r="AA364" s="96" t="s">
        <v>2220</v>
      </c>
      <c r="AB364" s="96" t="s">
        <v>1651</v>
      </c>
      <c r="AC364" s="96"/>
      <c r="AD364" s="93">
        <f>VLOOKUP(A364,'Parameters Summary'!$B$2:$AB$826,20,FALSE)</f>
        <v>730000</v>
      </c>
      <c r="AE364" s="97" t="str">
        <f>VLOOKUP(A364,'Parameters Summary'!$B$2:$AB$826,21,FALSE)</f>
        <v>EPI</v>
      </c>
      <c r="AF364" s="97"/>
      <c r="AG364" s="94"/>
      <c r="AH364" s="92"/>
      <c r="AI364" s="96"/>
      <c r="AJ364" s="330"/>
      <c r="AL364" s="81"/>
    </row>
    <row r="365" spans="1:38" ht="12.75" customHeight="1">
      <c r="A365" s="96" t="s">
        <v>939</v>
      </c>
      <c r="B365" s="96" t="s">
        <v>1164</v>
      </c>
      <c r="C365" s="96" t="str">
        <f t="shared" si="34"/>
        <v>No</v>
      </c>
      <c r="D365" s="96" t="str">
        <f>VLOOKUP(A365,'Tox Summary'!$O$3:$R$824,3,FALSE)</f>
        <v>Yes</v>
      </c>
      <c r="E365" s="97">
        <f>VLOOKUP(A365,'Parameters Summary'!$B$2:$AB$826,4,FALSE)</f>
        <v>296.56</v>
      </c>
      <c r="F365" s="97" t="str">
        <f>VLOOKUP(A365,'Parameters Summary'!$B$2:$AB$826,5,FALSE)</f>
        <v>PHYSPROP</v>
      </c>
      <c r="G365" s="93">
        <f>VLOOKUP(A365,'Parameters Summary'!$B$2:$AB$826,9,FALSE)</f>
        <v>1.5699999999999999E-7</v>
      </c>
      <c r="H365" s="93" t="str">
        <f>VLOOKUP(A365,'Parameters Summary'!$B$2:$AB$826,10,FALSE)</f>
        <v>PHYSPROP</v>
      </c>
      <c r="I365" s="93">
        <f>VLOOKUP(A365,'Parameters Summary'!$B$2:$AB$826,24,FALSE)</f>
        <v>0.8</v>
      </c>
      <c r="J365" s="97" t="str">
        <f>VLOOKUP(A365,'Parameters Summary'!$B$2:$AB$826,25,FALSE)</f>
        <v>PHYSPROP</v>
      </c>
      <c r="K365" s="97" t="str">
        <f>VLOOKUP(A365,'Tox Summary'!$O$3:$S$827,2,FALSE)</f>
        <v/>
      </c>
      <c r="L365" s="93">
        <f>VLOOKUP(A365,'Parameters Summary'!$B$2:$AB$826,7,FALSE)</f>
        <v>7.6599999999999998E-8</v>
      </c>
      <c r="M365" s="93" t="str">
        <f>VLOOKUP(A365,'Parameters Summary'!$B$2:$AB$826,8,FALSE)</f>
        <v>EPI</v>
      </c>
      <c r="N365" s="91">
        <f>VLOOKUP(A365,'Parameters Summary'!$B$2:$AB$826,6,FALSE)</f>
        <v>3.1315999999999998E-6</v>
      </c>
      <c r="O365" s="91" t="str">
        <f t="shared" si="32"/>
        <v/>
      </c>
      <c r="P365" s="91">
        <f t="shared" si="35"/>
        <v>3.1315999999999998E-6</v>
      </c>
      <c r="Q365" s="91" t="str">
        <f t="shared" si="33"/>
        <v/>
      </c>
      <c r="R365" s="91">
        <f t="shared" si="36"/>
        <v>3.1315999999999998E-6</v>
      </c>
      <c r="S365" s="91" t="str">
        <f t="shared" si="37"/>
        <v/>
      </c>
      <c r="T365" s="93">
        <f>VLOOKUP(A365,'Parameters Summary'!$B$2:$AB$826,15,FALSE)</f>
        <v>4.2724699999999997E-2</v>
      </c>
      <c r="U365" s="93" t="str">
        <f>VLOOKUP(A365,'Parameters Summary'!$B$2:$AB$826,17,FALSE)</f>
        <v>WATER9 (U.S. EPA, 2001)</v>
      </c>
      <c r="V365" s="93">
        <f>VLOOKUP(A365,'Parameters Summary'!$B$2:$AB$826,16,FALSE)</f>
        <v>4.9919999999999998E-6</v>
      </c>
      <c r="W365" s="379" t="str">
        <f>VLOOKUP(A365,'Parameters Summary'!$B$2:$AB$826,17,FALSE)</f>
        <v>WATER9 (U.S. EPA, 2001)</v>
      </c>
      <c r="X365" s="347"/>
      <c r="Y365" s="96"/>
      <c r="Z365" s="96" t="s">
        <v>1653</v>
      </c>
      <c r="AA365" s="96"/>
      <c r="AB365" s="96" t="s">
        <v>1651</v>
      </c>
      <c r="AC365" s="96"/>
      <c r="AD365" s="93">
        <f>VLOOKUP(A365,'Parameters Summary'!$B$2:$AB$826,20,FALSE)</f>
        <v>17.7</v>
      </c>
      <c r="AE365" s="97" t="str">
        <f>VLOOKUP(A365,'Parameters Summary'!$B$2:$AB$826,21,FALSE)</f>
        <v>EPI</v>
      </c>
      <c r="AF365" s="97"/>
      <c r="AG365" s="94"/>
      <c r="AH365" s="92"/>
      <c r="AI365" s="96"/>
      <c r="AJ365" s="330"/>
      <c r="AL365" s="81"/>
    </row>
    <row r="366" spans="1:38" ht="12.75" customHeight="1">
      <c r="A366" s="96" t="s">
        <v>940</v>
      </c>
      <c r="B366" s="96" t="s">
        <v>1165</v>
      </c>
      <c r="C366" s="96" t="str">
        <f t="shared" si="34"/>
        <v>No</v>
      </c>
      <c r="D366" s="96" t="str">
        <f>VLOOKUP(A366,'Tox Summary'!$O$3:$R$824,3,FALSE)</f>
        <v>No</v>
      </c>
      <c r="E366" s="97">
        <f>VLOOKUP(A366,'Parameters Summary'!$B$2:$AB$826,4,FALSE)</f>
        <v>438.77</v>
      </c>
      <c r="F366" s="97" t="str">
        <f>VLOOKUP(A366,'Parameters Summary'!$B$2:$AB$826,5,FALSE)</f>
        <v>PHYSPROP</v>
      </c>
      <c r="G366" s="93">
        <f>VLOOKUP(A366,'Parameters Summary'!$B$2:$AB$826,9,FALSE)</f>
        <v>7.5000000000000002E-7</v>
      </c>
      <c r="H366" s="93" t="str">
        <f>VLOOKUP(A366,'Parameters Summary'!$B$2:$AB$826,10,FALSE)</f>
        <v>EPI</v>
      </c>
      <c r="I366" s="93">
        <f>VLOOKUP(A366,'Parameters Summary'!$B$2:$AB$826,24,FALSE)</f>
        <v>50</v>
      </c>
      <c r="J366" s="97" t="str">
        <f>VLOOKUP(A366,'Parameters Summary'!$B$2:$AB$826,25,FALSE)</f>
        <v>PHYSPROP</v>
      </c>
      <c r="K366" s="97" t="str">
        <f>VLOOKUP(A366,'Tox Summary'!$O$3:$S$827,2,FALSE)</f>
        <v/>
      </c>
      <c r="L366" s="93">
        <f>VLOOKUP(A366,'Parameters Summary'!$B$2:$AB$826,7,FALSE)</f>
        <v>7.5300000000000002E-13</v>
      </c>
      <c r="M366" s="93" t="str">
        <f>VLOOKUP(A366,'Parameters Summary'!$B$2:$AB$826,8,FALSE)</f>
        <v>PHYSPROP</v>
      </c>
      <c r="N366" s="91">
        <f>VLOOKUP(A366,'Parameters Summary'!$B$2:$AB$826,6,FALSE)</f>
        <v>3.0780000000000003E-11</v>
      </c>
      <c r="O366" s="91" t="str">
        <f t="shared" si="32"/>
        <v/>
      </c>
      <c r="P366" s="91">
        <f t="shared" si="35"/>
        <v>3.0780000000000003E-11</v>
      </c>
      <c r="Q366" s="91" t="str">
        <f t="shared" si="33"/>
        <v/>
      </c>
      <c r="R366" s="91">
        <f t="shared" si="36"/>
        <v>3.0780000000000003E-11</v>
      </c>
      <c r="S366" s="91" t="str">
        <f t="shared" si="37"/>
        <v/>
      </c>
      <c r="T366" s="93">
        <f>VLOOKUP(A366,'Parameters Summary'!$B$2:$AB$826,15,FALSE)</f>
        <v>1.8606399999999999E-2</v>
      </c>
      <c r="U366" s="93" t="str">
        <f>VLOOKUP(A366,'Parameters Summary'!$B$2:$AB$826,17,FALSE)</f>
        <v>WATER9 (U.S. EPA, 2001)</v>
      </c>
      <c r="V366" s="93">
        <f>VLOOKUP(A366,'Parameters Summary'!$B$2:$AB$826,16,FALSE)</f>
        <v>4.5735999999999997E-6</v>
      </c>
      <c r="W366" s="379" t="str">
        <f>VLOOKUP(A366,'Parameters Summary'!$B$2:$AB$826,17,FALSE)</f>
        <v>WATER9 (U.S. EPA, 2001)</v>
      </c>
      <c r="X366" s="347"/>
      <c r="Y366" s="96"/>
      <c r="Z366" s="96" t="s">
        <v>1653</v>
      </c>
      <c r="AA366" s="96"/>
      <c r="AB366" s="96" t="s">
        <v>1651</v>
      </c>
      <c r="AC366" s="96"/>
      <c r="AD366" s="93">
        <f>VLOOKUP(A366,'Parameters Summary'!$B$2:$AB$826,20,FALSE)</f>
        <v>1546</v>
      </c>
      <c r="AE366" s="97" t="str">
        <f>VLOOKUP(A366,'Parameters Summary'!$B$2:$AB$826,21,FALSE)</f>
        <v>EPI</v>
      </c>
      <c r="AF366" s="97"/>
      <c r="AG366" s="94"/>
      <c r="AH366" s="92"/>
      <c r="AI366" s="96"/>
      <c r="AJ366" s="330"/>
      <c r="AL366" s="81"/>
    </row>
    <row r="367" spans="1:38" ht="12.75" customHeight="1">
      <c r="A367" s="96" t="s">
        <v>941</v>
      </c>
      <c r="B367" s="96" t="s">
        <v>1166</v>
      </c>
      <c r="C367" s="96" t="str">
        <f t="shared" si="34"/>
        <v>No</v>
      </c>
      <c r="D367" s="96" t="str">
        <f>VLOOKUP(A367,'Tox Summary'!$O$3:$R$824,3,FALSE)</f>
        <v>No</v>
      </c>
      <c r="E367" s="97">
        <f>VLOOKUP(A367,'Parameters Summary'!$B$2:$AB$826,4,FALSE)</f>
        <v>246.33</v>
      </c>
      <c r="F367" s="97" t="str">
        <f>VLOOKUP(A367,'Parameters Summary'!$B$2:$AB$826,5,FALSE)</f>
        <v>PHYSPROP</v>
      </c>
      <c r="G367" s="93">
        <f>VLOOKUP(A367,'Parameters Summary'!$B$2:$AB$826,9,FALSE)</f>
        <v>3.3799999999999998E-4</v>
      </c>
      <c r="H367" s="93" t="str">
        <f>VLOOKUP(A367,'Parameters Summary'!$B$2:$AB$826,10,FALSE)</f>
        <v>PHYSPROP</v>
      </c>
      <c r="I367" s="93">
        <f>VLOOKUP(A367,'Parameters Summary'!$B$2:$AB$826,24,FALSE)</f>
        <v>15.7</v>
      </c>
      <c r="J367" s="97" t="str">
        <f>VLOOKUP(A367,'Parameters Summary'!$B$2:$AB$826,25,FALSE)</f>
        <v>PHYSPROP</v>
      </c>
      <c r="K367" s="97" t="str">
        <f>VLOOKUP(A367,'Tox Summary'!$O$3:$S$827,2,FALSE)</f>
        <v/>
      </c>
      <c r="L367" s="93">
        <f>VLOOKUP(A367,'Parameters Summary'!$B$2:$AB$826,7,FALSE)</f>
        <v>6.9800000000000001E-6</v>
      </c>
      <c r="M367" s="93" t="str">
        <f>VLOOKUP(A367,'Parameters Summary'!$B$2:$AB$826,8,FALSE)</f>
        <v>EPI</v>
      </c>
      <c r="N367" s="91">
        <f>VLOOKUP(A367,'Parameters Summary'!$B$2:$AB$826,6,FALSE)</f>
        <v>2.854E-4</v>
      </c>
      <c r="O367" s="91" t="str">
        <f t="shared" si="32"/>
        <v/>
      </c>
      <c r="P367" s="91">
        <f t="shared" si="35"/>
        <v>2.854E-4</v>
      </c>
      <c r="Q367" s="91" t="str">
        <f t="shared" si="33"/>
        <v/>
      </c>
      <c r="R367" s="91">
        <f t="shared" si="36"/>
        <v>2.854E-4</v>
      </c>
      <c r="S367" s="91" t="str">
        <f t="shared" si="37"/>
        <v/>
      </c>
      <c r="T367" s="93">
        <f>VLOOKUP(A367,'Parameters Summary'!$B$2:$AB$826,15,FALSE)</f>
        <v>2.4016900000000001E-2</v>
      </c>
      <c r="U367" s="93" t="str">
        <f>VLOOKUP(A367,'Parameters Summary'!$B$2:$AB$826,17,FALSE)</f>
        <v>WATER9 (U.S. EPA, 2001)</v>
      </c>
      <c r="V367" s="93">
        <f>VLOOKUP(A367,'Parameters Summary'!$B$2:$AB$826,16,FALSE)</f>
        <v>6.0959000000000004E-6</v>
      </c>
      <c r="W367" s="379" t="str">
        <f>VLOOKUP(A367,'Parameters Summary'!$B$2:$AB$826,17,FALSE)</f>
        <v>WATER9 (U.S. EPA, 2001)</v>
      </c>
      <c r="X367" s="290">
        <v>403.15</v>
      </c>
      <c r="Y367" s="96" t="s">
        <v>553</v>
      </c>
      <c r="Z367" s="96">
        <f>1.5*X367</f>
        <v>604.72499999999991</v>
      </c>
      <c r="AA367" s="96" t="s">
        <v>2220</v>
      </c>
      <c r="AB367" s="96" t="s">
        <v>1651</v>
      </c>
      <c r="AC367" s="96"/>
      <c r="AD367" s="93">
        <f>VLOOKUP(A367,'Parameters Summary'!$B$2:$AB$826,20,FALSE)</f>
        <v>855.8</v>
      </c>
      <c r="AE367" s="97" t="str">
        <f>VLOOKUP(A367,'Parameters Summary'!$B$2:$AB$826,21,FALSE)</f>
        <v>EPI</v>
      </c>
      <c r="AF367" s="97"/>
      <c r="AG367" s="94"/>
      <c r="AH367" s="92"/>
      <c r="AI367" s="96"/>
      <c r="AJ367" s="330"/>
      <c r="AL367" s="81"/>
    </row>
    <row r="368" spans="1:38" ht="12.75" customHeight="1">
      <c r="A368" s="95" t="s">
        <v>942</v>
      </c>
      <c r="B368" s="96" t="s">
        <v>1405</v>
      </c>
      <c r="C368" s="96" t="str">
        <f t="shared" si="34"/>
        <v>Yes</v>
      </c>
      <c r="D368" s="96" t="str">
        <f>VLOOKUP(A368,'Tox Summary'!$O$3:$R$824,3,FALSE)</f>
        <v>No</v>
      </c>
      <c r="E368" s="97">
        <f>VLOOKUP(A368,'Parameters Summary'!$B$2:$AB$826,4,FALSE)</f>
        <v>30.026</v>
      </c>
      <c r="F368" s="97" t="str">
        <f>VLOOKUP(A368,'Parameters Summary'!$B$2:$AB$826,5,FALSE)</f>
        <v>PHYSPROP</v>
      </c>
      <c r="G368" s="93">
        <f>VLOOKUP(A368,'Parameters Summary'!$B$2:$AB$826,9,FALSE)</f>
        <v>3890</v>
      </c>
      <c r="H368" s="93" t="str">
        <f>VLOOKUP(A368,'Parameters Summary'!$B$2:$AB$826,10,FALSE)</f>
        <v>EPI</v>
      </c>
      <c r="I368" s="93">
        <f>VLOOKUP(A368,'Parameters Summary'!$B$2:$AB$826,24,FALSE)</f>
        <v>400000</v>
      </c>
      <c r="J368" s="97" t="str">
        <f>VLOOKUP(A368,'Parameters Summary'!$B$2:$AB$826,25,FALSE)</f>
        <v>PHYSPROP</v>
      </c>
      <c r="K368" s="97" t="str">
        <f>VLOOKUP(A368,'Tox Summary'!$O$3:$S$827,2,FALSE)</f>
        <v/>
      </c>
      <c r="L368" s="93">
        <f>VLOOKUP(A368,'Parameters Summary'!$B$2:$AB$826,7,FALSE)</f>
        <v>3.3700000000000001E-7</v>
      </c>
      <c r="M368" s="93" t="str">
        <f>VLOOKUP(A368,'Parameters Summary'!$B$2:$AB$826,8,FALSE)</f>
        <v>PHYSPROP</v>
      </c>
      <c r="N368" s="91">
        <f>VLOOKUP(A368,'Parameters Summary'!$B$2:$AB$826,6,FALSE)</f>
        <v>1.38E-5</v>
      </c>
      <c r="O368" s="91">
        <f t="shared" si="32"/>
        <v>1.38E-5</v>
      </c>
      <c r="P368" s="91">
        <f t="shared" si="35"/>
        <v>1.38E-5</v>
      </c>
      <c r="Q368" s="91">
        <f t="shared" si="33"/>
        <v>1.38E-5</v>
      </c>
      <c r="R368" s="91">
        <f t="shared" si="36"/>
        <v>1.38E-5</v>
      </c>
      <c r="S368" s="91">
        <f t="shared" si="37"/>
        <v>6284927505.3794098</v>
      </c>
      <c r="T368" s="93">
        <f>VLOOKUP(A368,'Parameters Summary'!$B$2:$AB$826,15,FALSE)</f>
        <v>0.16708709999999999</v>
      </c>
      <c r="U368" s="93" t="str">
        <f>VLOOKUP(A368,'Parameters Summary'!$B$2:$AB$826,17,FALSE)</f>
        <v>WATER9 (U.S. EPA, 2001)</v>
      </c>
      <c r="V368" s="93">
        <f>VLOOKUP(A368,'Parameters Summary'!$B$2:$AB$826,16,FALSE)</f>
        <v>1.7399999999999999E-5</v>
      </c>
      <c r="W368" s="379" t="str">
        <f>VLOOKUP(A368,'Parameters Summary'!$B$2:$AB$826,17,FALSE)</f>
        <v>WATER9 (U.S. EPA, 2001)</v>
      </c>
      <c r="X368" s="290">
        <f>-19.1+273.15</f>
        <v>254.04999999999998</v>
      </c>
      <c r="Y368" s="96" t="s">
        <v>553</v>
      </c>
      <c r="Z368" s="96">
        <f>139.2+273.15</f>
        <v>412.34999999999997</v>
      </c>
      <c r="AA368" s="96" t="s">
        <v>2218</v>
      </c>
      <c r="AB368" s="96">
        <v>5919.9</v>
      </c>
      <c r="AC368" s="96" t="s">
        <v>2215</v>
      </c>
      <c r="AD368" s="93">
        <f>VLOOKUP(A368,'Parameters Summary'!$B$2:$AB$826,20,FALSE)</f>
        <v>1</v>
      </c>
      <c r="AE368" s="97" t="str">
        <f>VLOOKUP(A368,'Parameters Summary'!$B$2:$AB$826,21,FALSE)</f>
        <v>EPI</v>
      </c>
      <c r="AF368" s="380">
        <v>7</v>
      </c>
      <c r="AG368" s="97" t="s">
        <v>302</v>
      </c>
      <c r="AH368" s="92"/>
      <c r="AI368" s="96"/>
      <c r="AJ368" s="330"/>
      <c r="AL368" s="81"/>
    </row>
    <row r="369" spans="1:38" ht="12.75" customHeight="1">
      <c r="A369" s="95" t="s">
        <v>943</v>
      </c>
      <c r="B369" s="96" t="s">
        <v>1167</v>
      </c>
      <c r="C369" s="96" t="str">
        <f t="shared" si="34"/>
        <v>Yes</v>
      </c>
      <c r="D369" s="96" t="str">
        <f>VLOOKUP(A369,'Tox Summary'!$O$3:$R$824,3,FALSE)</f>
        <v>No</v>
      </c>
      <c r="E369" s="97">
        <f>VLOOKUP(A369,'Parameters Summary'!$B$2:$AB$826,4,FALSE)</f>
        <v>46.026000000000003</v>
      </c>
      <c r="F369" s="97" t="str">
        <f>VLOOKUP(A369,'Parameters Summary'!$B$2:$AB$826,5,FALSE)</f>
        <v>PHYSPROP</v>
      </c>
      <c r="G369" s="93">
        <f>VLOOKUP(A369,'Parameters Summary'!$B$2:$AB$826,9,FALSE)</f>
        <v>42.59</v>
      </c>
      <c r="H369" s="93" t="str">
        <f>VLOOKUP(A369,'Parameters Summary'!$B$2:$AB$826,10,FALSE)</f>
        <v>PHYSPROP</v>
      </c>
      <c r="I369" s="93">
        <f>VLOOKUP(A369,'Parameters Summary'!$B$2:$AB$826,24,FALSE)</f>
        <v>1000000</v>
      </c>
      <c r="J369" s="97" t="str">
        <f>VLOOKUP(A369,'Parameters Summary'!$B$2:$AB$826,25,FALSE)</f>
        <v>PHYSPROP</v>
      </c>
      <c r="K369" s="97" t="str">
        <f>VLOOKUP(A369,'Tox Summary'!$O$3:$S$827,2,FALSE)</f>
        <v/>
      </c>
      <c r="L369" s="93">
        <f>VLOOKUP(A369,'Parameters Summary'!$B$2:$AB$826,7,FALSE)</f>
        <v>1.67E-7</v>
      </c>
      <c r="M369" s="93" t="str">
        <f>VLOOKUP(A369,'Parameters Summary'!$B$2:$AB$826,8,FALSE)</f>
        <v>PHYSPROP</v>
      </c>
      <c r="N369" s="91">
        <f>VLOOKUP(A369,'Parameters Summary'!$B$2:$AB$826,6,FALSE)</f>
        <v>6.8275000000000003E-6</v>
      </c>
      <c r="O369" s="91">
        <f t="shared" si="32"/>
        <v>6.8275000000000003E-6</v>
      </c>
      <c r="P369" s="91">
        <f t="shared" si="35"/>
        <v>6.8275000000000003E-6</v>
      </c>
      <c r="Q369" s="91">
        <f t="shared" si="33"/>
        <v>6.8275000000000003E-6</v>
      </c>
      <c r="R369" s="91">
        <f t="shared" si="36"/>
        <v>6.8275000000000003E-6</v>
      </c>
      <c r="S369" s="91">
        <f t="shared" ref="S369:S398" si="38">IF(OR(G369="No VP",Z369="No Tcrit",AB369="No DHv,b",L369="No Hc25"),"",G369*E369*53808.7856452378*O369/N369)</f>
        <v>105478528.92970759</v>
      </c>
      <c r="T369" s="93">
        <f>VLOOKUP(A369,'Parameters Summary'!$B$2:$AB$826,15,FALSE)</f>
        <v>0.1478701</v>
      </c>
      <c r="U369" s="93" t="str">
        <f>VLOOKUP(A369,'Parameters Summary'!$B$2:$AB$826,17,FALSE)</f>
        <v>WATER9 (U.S. EPA, 2001)</v>
      </c>
      <c r="V369" s="93">
        <f>VLOOKUP(A369,'Parameters Summary'!$B$2:$AB$826,16,FALSE)</f>
        <v>1.7200000000000001E-5</v>
      </c>
      <c r="W369" s="379" t="str">
        <f>VLOOKUP(A369,'Parameters Summary'!$B$2:$AB$826,17,FALSE)</f>
        <v>WATER9 (U.S. EPA, 2001)</v>
      </c>
      <c r="X369" s="290">
        <f>101+273.15</f>
        <v>374.15</v>
      </c>
      <c r="Y369" s="96" t="s">
        <v>553</v>
      </c>
      <c r="Z369" s="96">
        <v>588</v>
      </c>
      <c r="AA369" s="96" t="s">
        <v>2215</v>
      </c>
      <c r="AB369" s="96">
        <f>20.1*238.846</f>
        <v>4800.8046000000004</v>
      </c>
      <c r="AC369" s="96" t="s">
        <v>2218</v>
      </c>
      <c r="AD369" s="93">
        <f>VLOOKUP(A369,'Parameters Summary'!$B$2:$AB$826,20,FALSE)</f>
        <v>1</v>
      </c>
      <c r="AE369" s="97" t="str">
        <f>VLOOKUP(A369,'Parameters Summary'!$B$2:$AB$826,21,FALSE)</f>
        <v>EPI</v>
      </c>
      <c r="AF369" s="380">
        <v>18</v>
      </c>
      <c r="AG369" s="97" t="s">
        <v>302</v>
      </c>
      <c r="AH369" s="92"/>
      <c r="AI369" s="96"/>
      <c r="AJ369" s="330"/>
      <c r="AL369" s="81"/>
    </row>
    <row r="370" spans="1:38" ht="12.75" customHeight="1">
      <c r="A370" s="96" t="s">
        <v>944</v>
      </c>
      <c r="B370" s="96" t="s">
        <v>1168</v>
      </c>
      <c r="C370" s="96" t="str">
        <f t="shared" si="34"/>
        <v>No</v>
      </c>
      <c r="D370" s="96" t="str">
        <f>VLOOKUP(A370,'Tox Summary'!$O$3:$R$824,3,FALSE)</f>
        <v>Yes</v>
      </c>
      <c r="E370" s="97">
        <f>VLOOKUP(A370,'Parameters Summary'!$B$2:$AB$826,4,FALSE)</f>
        <v>354.11</v>
      </c>
      <c r="F370" s="97" t="str">
        <f>VLOOKUP(A370,'Parameters Summary'!$B$2:$AB$826,5,FALSE)</f>
        <v>PHYSPROP</v>
      </c>
      <c r="G370" s="93">
        <f>VLOOKUP(A370,'Parameters Summary'!$B$2:$AB$826,9,FALSE)</f>
        <v>7.5E-11</v>
      </c>
      <c r="H370" s="93" t="str">
        <f>VLOOKUP(A370,'Parameters Summary'!$B$2:$AB$826,10,FALSE)</f>
        <v>PHYSPROP</v>
      </c>
      <c r="I370" s="93">
        <f>VLOOKUP(A370,'Parameters Summary'!$B$2:$AB$826,24,FALSE)</f>
        <v>111000</v>
      </c>
      <c r="J370" s="97" t="str">
        <f>VLOOKUP(A370,'Parameters Summary'!$B$2:$AB$826,25,FALSE)</f>
        <v>PHYSPROP</v>
      </c>
      <c r="K370" s="97" t="str">
        <f>VLOOKUP(A370,'Tox Summary'!$O$3:$S$827,2,FALSE)</f>
        <v/>
      </c>
      <c r="L370" s="93">
        <f>VLOOKUP(A370,'Parameters Summary'!$B$2:$AB$826,7,FALSE)</f>
        <v>3.1499999999999998E-14</v>
      </c>
      <c r="M370" s="93" t="str">
        <f>VLOOKUP(A370,'Parameters Summary'!$B$2:$AB$826,8,FALSE)</f>
        <v>PHYSPROP</v>
      </c>
      <c r="N370" s="91">
        <f>VLOOKUP(A370,'Parameters Summary'!$B$2:$AB$826,6,FALSE)</f>
        <v>1.288E-12</v>
      </c>
      <c r="O370" s="91" t="str">
        <f t="shared" si="32"/>
        <v/>
      </c>
      <c r="P370" s="91">
        <f t="shared" si="35"/>
        <v>1.288E-12</v>
      </c>
      <c r="Q370" s="91" t="str">
        <f t="shared" si="33"/>
        <v/>
      </c>
      <c r="R370" s="91">
        <f t="shared" si="36"/>
        <v>1.288E-12</v>
      </c>
      <c r="S370" s="91" t="str">
        <f t="shared" si="38"/>
        <v/>
      </c>
      <c r="T370" s="93">
        <f>VLOOKUP(A370,'Parameters Summary'!$B$2:$AB$826,15,FALSE)</f>
        <v>3.7960199999999999E-2</v>
      </c>
      <c r="U370" s="93" t="str">
        <f>VLOOKUP(A370,'Parameters Summary'!$B$2:$AB$826,17,FALSE)</f>
        <v>WATER9 (U.S. EPA, 2001)</v>
      </c>
      <c r="V370" s="93">
        <f>VLOOKUP(A370,'Parameters Summary'!$B$2:$AB$826,16,FALSE)</f>
        <v>4.4352999999999997E-6</v>
      </c>
      <c r="W370" s="379" t="str">
        <f>VLOOKUP(A370,'Parameters Summary'!$B$2:$AB$826,17,FALSE)</f>
        <v>WATER9 (U.S. EPA, 2001)</v>
      </c>
      <c r="X370" s="347"/>
      <c r="Y370" s="96"/>
      <c r="Z370" s="96" t="s">
        <v>1653</v>
      </c>
      <c r="AA370" s="96"/>
      <c r="AB370" s="96" t="s">
        <v>1651</v>
      </c>
      <c r="AC370" s="96"/>
      <c r="AD370" s="93">
        <f>VLOOKUP(A370,'Parameters Summary'!$B$2:$AB$826,20,FALSE)</f>
        <v>6485</v>
      </c>
      <c r="AE370" s="97" t="str">
        <f>VLOOKUP(A370,'Parameters Summary'!$B$2:$AB$826,21,FALSE)</f>
        <v>EPI</v>
      </c>
      <c r="AF370" s="97"/>
      <c r="AG370" s="94"/>
      <c r="AH370" s="92"/>
      <c r="AI370" s="96"/>
      <c r="AJ370" s="330"/>
      <c r="AL370" s="81"/>
    </row>
    <row r="371" spans="1:38" ht="12.75" customHeight="1">
      <c r="A371" s="95" t="s">
        <v>946</v>
      </c>
      <c r="B371" s="96" t="s">
        <v>2333</v>
      </c>
      <c r="C371" s="96" t="str">
        <f t="shared" si="34"/>
        <v>Yes</v>
      </c>
      <c r="D371" s="96" t="str">
        <f>VLOOKUP(A371,'Tox Summary'!$O$3:$R$824,3,FALSE)</f>
        <v>Yes</v>
      </c>
      <c r="E371" s="97">
        <f>VLOOKUP(A371,'Parameters Summary'!$B$2:$AB$826,4,FALSE)</f>
        <v>68.075999999999993</v>
      </c>
      <c r="F371" s="97" t="str">
        <f>VLOOKUP(A371,'Parameters Summary'!$B$2:$AB$826,5,FALSE)</f>
        <v>PHYSPROP</v>
      </c>
      <c r="G371" s="93">
        <f>VLOOKUP(A371,'Parameters Summary'!$B$2:$AB$826,9,FALSE)</f>
        <v>600</v>
      </c>
      <c r="H371" s="93" t="str">
        <f>VLOOKUP(A371,'Parameters Summary'!$B$2:$AB$826,10,FALSE)</f>
        <v>PHYSPROP</v>
      </c>
      <c r="I371" s="93">
        <f>VLOOKUP(A371,'Parameters Summary'!$B$2:$AB$826,24,FALSE)</f>
        <v>10000</v>
      </c>
      <c r="J371" s="97" t="str">
        <f>VLOOKUP(A371,'Parameters Summary'!$B$2:$AB$826,25,FALSE)</f>
        <v>PHYSPROP</v>
      </c>
      <c r="K371" s="97" t="str">
        <f>VLOOKUP(A371,'Tox Summary'!$O$3:$S$827,2,FALSE)</f>
        <v/>
      </c>
      <c r="L371" s="93">
        <f>VLOOKUP(A371,'Parameters Summary'!$B$2:$AB$826,7,FALSE)</f>
        <v>5.4000000000000003E-3</v>
      </c>
      <c r="M371" s="93" t="str">
        <f>VLOOKUP(A371,'Parameters Summary'!$B$2:$AB$826,8,FALSE)</f>
        <v>EPI</v>
      </c>
      <c r="N371" s="91">
        <f>VLOOKUP(A371,'Parameters Summary'!$B$2:$AB$826,6,FALSE)</f>
        <v>0.22076860000000001</v>
      </c>
      <c r="O371" s="91">
        <f t="shared" si="32"/>
        <v>0.22076860000000001</v>
      </c>
      <c r="P371" s="91">
        <f t="shared" si="35"/>
        <v>0.22076860000000001</v>
      </c>
      <c r="Q371" s="91">
        <f t="shared" si="33"/>
        <v>0.22076860000000001</v>
      </c>
      <c r="R371" s="91">
        <f t="shared" si="36"/>
        <v>0.22076860000000001</v>
      </c>
      <c r="S371" s="91">
        <f t="shared" si="38"/>
        <v>2197852134.9511247</v>
      </c>
      <c r="T371" s="93">
        <f>VLOOKUP(A371,'Parameters Summary'!$B$2:$AB$826,15,FALSE)</f>
        <v>0.1022757</v>
      </c>
      <c r="U371" s="93" t="str">
        <f>VLOOKUP(A371,'Parameters Summary'!$B$2:$AB$826,17,FALSE)</f>
        <v>WATER9 (U.S. EPA, 2001)</v>
      </c>
      <c r="V371" s="93">
        <f>VLOOKUP(A371,'Parameters Summary'!$B$2:$AB$826,16,FALSE)</f>
        <v>1.17E-5</v>
      </c>
      <c r="W371" s="379" t="str">
        <f>VLOOKUP(A371,'Parameters Summary'!$B$2:$AB$826,17,FALSE)</f>
        <v>WATER9 (U.S. EPA, 2001)</v>
      </c>
      <c r="X371" s="290">
        <v>304.5</v>
      </c>
      <c r="Y371" s="96" t="s">
        <v>553</v>
      </c>
      <c r="Z371" s="96">
        <v>490.2</v>
      </c>
      <c r="AA371" s="96" t="s">
        <v>2221</v>
      </c>
      <c r="AB371" s="96">
        <v>6476.9</v>
      </c>
      <c r="AC371" s="96" t="s">
        <v>2221</v>
      </c>
      <c r="AD371" s="93">
        <f>VLOOKUP(A371,'Parameters Summary'!$B$2:$AB$826,20,FALSE)</f>
        <v>79.989999999999995</v>
      </c>
      <c r="AE371" s="97" t="str">
        <f>VLOOKUP(A371,'Parameters Summary'!$B$2:$AB$826,21,FALSE)</f>
        <v>EPI</v>
      </c>
      <c r="AF371" s="380">
        <v>2.2999999999999998</v>
      </c>
      <c r="AG371" s="97" t="s">
        <v>522</v>
      </c>
      <c r="AH371" s="92"/>
      <c r="AI371" s="96"/>
      <c r="AJ371" s="330"/>
      <c r="AL371" s="81"/>
    </row>
    <row r="372" spans="1:38" ht="12.75" customHeight="1">
      <c r="A372" s="96" t="s">
        <v>947</v>
      </c>
      <c r="B372" s="96" t="s">
        <v>1170</v>
      </c>
      <c r="C372" s="96" t="str">
        <f t="shared" si="34"/>
        <v>No</v>
      </c>
      <c r="D372" s="96" t="str">
        <f>VLOOKUP(A372,'Tox Summary'!$O$3:$R$824,3,FALSE)</f>
        <v>No</v>
      </c>
      <c r="E372" s="97">
        <f>VLOOKUP(A372,'Parameters Summary'!$B$2:$AB$826,4,FALSE)</f>
        <v>225.16</v>
      </c>
      <c r="F372" s="97" t="str">
        <f>VLOOKUP(A372,'Parameters Summary'!$B$2:$AB$826,5,FALSE)</f>
        <v>PHYSPROP</v>
      </c>
      <c r="G372" s="93">
        <f>VLOOKUP(A372,'Parameters Summary'!$B$2:$AB$826,9,FALSE)</f>
        <v>2.6000000000000001E-6</v>
      </c>
      <c r="H372" s="93" t="str">
        <f>VLOOKUP(A372,'Parameters Summary'!$B$2:$AB$826,10,FALSE)</f>
        <v>PHYSPROP</v>
      </c>
      <c r="I372" s="93">
        <f>VLOOKUP(A372,'Parameters Summary'!$B$2:$AB$826,24,FALSE)</f>
        <v>40</v>
      </c>
      <c r="J372" s="97" t="str">
        <f>VLOOKUP(A372,'Parameters Summary'!$B$2:$AB$826,25,FALSE)</f>
        <v>PHYSPROP</v>
      </c>
      <c r="K372" s="97" t="str">
        <f>VLOOKUP(A372,'Tox Summary'!$O$3:$S$827,2,FALSE)</f>
        <v/>
      </c>
      <c r="L372" s="93">
        <f>VLOOKUP(A372,'Parameters Summary'!$B$2:$AB$826,7,FALSE)</f>
        <v>3.2600000000000002E-11</v>
      </c>
      <c r="M372" s="93" t="str">
        <f>VLOOKUP(A372,'Parameters Summary'!$B$2:$AB$826,8,FALSE)</f>
        <v>PHYSPROP</v>
      </c>
      <c r="N372" s="91">
        <f>VLOOKUP(A372,'Parameters Summary'!$B$2:$AB$826,6,FALSE)</f>
        <v>1.3328E-9</v>
      </c>
      <c r="O372" s="91" t="str">
        <f t="shared" si="32"/>
        <v/>
      </c>
      <c r="P372" s="91">
        <f t="shared" si="35"/>
        <v>1.3328E-9</v>
      </c>
      <c r="Q372" s="91" t="str">
        <f t="shared" si="33"/>
        <v/>
      </c>
      <c r="R372" s="91">
        <f t="shared" si="36"/>
        <v>1.3328E-9</v>
      </c>
      <c r="S372" s="91" t="str">
        <f t="shared" si="38"/>
        <v/>
      </c>
      <c r="T372" s="93">
        <f>VLOOKUP(A372,'Parameters Summary'!$B$2:$AB$826,15,FALSE)</f>
        <v>5.13365E-2</v>
      </c>
      <c r="U372" s="93" t="str">
        <f>VLOOKUP(A372,'Parameters Summary'!$B$2:$AB$826,17,FALSE)</f>
        <v>WATER9 (U.S. EPA, 2001)</v>
      </c>
      <c r="V372" s="93">
        <f>VLOOKUP(A372,'Parameters Summary'!$B$2:$AB$826,16,FALSE)</f>
        <v>5.9982999999999998E-6</v>
      </c>
      <c r="W372" s="379" t="str">
        <f>VLOOKUP(A372,'Parameters Summary'!$B$2:$AB$826,17,FALSE)</f>
        <v>WATER9 (U.S. EPA, 2001)</v>
      </c>
      <c r="X372" s="347"/>
      <c r="Y372" s="96"/>
      <c r="Z372" s="96" t="s">
        <v>1653</v>
      </c>
      <c r="AA372" s="96"/>
      <c r="AB372" s="96" t="s">
        <v>1651</v>
      </c>
      <c r="AC372" s="96"/>
      <c r="AD372" s="93">
        <f>VLOOKUP(A372,'Parameters Summary'!$B$2:$AB$826,20,FALSE)</f>
        <v>858.4</v>
      </c>
      <c r="AE372" s="97" t="str">
        <f>VLOOKUP(A372,'Parameters Summary'!$B$2:$AB$826,21,FALSE)</f>
        <v>EPI</v>
      </c>
      <c r="AF372" s="97"/>
      <c r="AG372" s="94"/>
      <c r="AH372" s="92"/>
      <c r="AI372" s="96"/>
      <c r="AJ372" s="330"/>
      <c r="AL372" s="81"/>
    </row>
    <row r="373" spans="1:38" ht="12.75" customHeight="1">
      <c r="A373" s="95" t="s">
        <v>948</v>
      </c>
      <c r="B373" s="96" t="s">
        <v>1171</v>
      </c>
      <c r="C373" s="96" t="str">
        <f t="shared" si="34"/>
        <v>Yes</v>
      </c>
      <c r="D373" s="96" t="str">
        <f>VLOOKUP(A373,'Tox Summary'!$O$3:$R$824,3,FALSE)</f>
        <v>Yes</v>
      </c>
      <c r="E373" s="97">
        <f>VLOOKUP(A373,'Parameters Summary'!$B$2:$AB$826,4,FALSE)</f>
        <v>96.085999999999999</v>
      </c>
      <c r="F373" s="97" t="str">
        <f>VLOOKUP(A373,'Parameters Summary'!$B$2:$AB$826,5,FALSE)</f>
        <v>PHYSPROP</v>
      </c>
      <c r="G373" s="93">
        <f>VLOOKUP(A373,'Parameters Summary'!$B$2:$AB$826,9,FALSE)</f>
        <v>2.21</v>
      </c>
      <c r="H373" s="93" t="str">
        <f>VLOOKUP(A373,'Parameters Summary'!$B$2:$AB$826,10,FALSE)</f>
        <v>PHYSPROP</v>
      </c>
      <c r="I373" s="93">
        <f>VLOOKUP(A373,'Parameters Summary'!$B$2:$AB$826,24,FALSE)</f>
        <v>74100</v>
      </c>
      <c r="J373" s="97" t="str">
        <f>VLOOKUP(A373,'Parameters Summary'!$B$2:$AB$826,25,FALSE)</f>
        <v>PHYSPROP</v>
      </c>
      <c r="K373" s="97" t="str">
        <f>VLOOKUP(A373,'Tox Summary'!$O$3:$S$827,2,FALSE)</f>
        <v/>
      </c>
      <c r="L373" s="93">
        <f>VLOOKUP(A373,'Parameters Summary'!$B$2:$AB$826,7,FALSE)</f>
        <v>3.7699999999999999E-6</v>
      </c>
      <c r="M373" s="93" t="str">
        <f>VLOOKUP(A373,'Parameters Summary'!$B$2:$AB$826,8,FALSE)</f>
        <v>EPI</v>
      </c>
      <c r="N373" s="91">
        <f>VLOOKUP(A373,'Parameters Summary'!$B$2:$AB$826,6,FALSE)</f>
        <v>1.5410000000000001E-4</v>
      </c>
      <c r="O373" s="91">
        <f t="shared" si="32"/>
        <v>1.5410000000000001E-4</v>
      </c>
      <c r="P373" s="91">
        <f t="shared" si="35"/>
        <v>1.5410000000000001E-4</v>
      </c>
      <c r="Q373" s="91">
        <f t="shared" si="33"/>
        <v>1.5410000000000001E-4</v>
      </c>
      <c r="R373" s="91">
        <f t="shared" si="36"/>
        <v>1.5410000000000001E-4</v>
      </c>
      <c r="S373" s="91">
        <f t="shared" si="38"/>
        <v>11426298.860293385</v>
      </c>
      <c r="T373" s="93">
        <f>VLOOKUP(A373,'Parameters Summary'!$B$2:$AB$826,15,FALSE)</f>
        <v>8.5321300000000003E-2</v>
      </c>
      <c r="U373" s="93" t="str">
        <f>VLOOKUP(A373,'Parameters Summary'!$B$2:$AB$826,17,FALSE)</f>
        <v>WATER9 (U.S. EPA, 2001)</v>
      </c>
      <c r="V373" s="93">
        <f>VLOOKUP(A373,'Parameters Summary'!$B$2:$AB$826,16,FALSE)</f>
        <v>1.0699999999999999E-5</v>
      </c>
      <c r="W373" s="379" t="str">
        <f>VLOOKUP(A373,'Parameters Summary'!$B$2:$AB$826,17,FALSE)</f>
        <v>WATER9 (U.S. EPA, 2001)</v>
      </c>
      <c r="X373" s="290">
        <f>161.7+273.15</f>
        <v>434.84999999999997</v>
      </c>
      <c r="Y373" s="96" t="s">
        <v>553</v>
      </c>
      <c r="Z373" s="96">
        <v>670</v>
      </c>
      <c r="AA373" s="96" t="s">
        <v>2215</v>
      </c>
      <c r="AB373" s="96">
        <f>38.6*238.846</f>
        <v>9219.4556000000011</v>
      </c>
      <c r="AC373" s="96" t="s">
        <v>2218</v>
      </c>
      <c r="AD373" s="93">
        <f>VLOOKUP(A373,'Parameters Summary'!$B$2:$AB$826,20,FALSE)</f>
        <v>6.0830000000000002</v>
      </c>
      <c r="AE373" s="97" t="str">
        <f>VLOOKUP(A373,'Parameters Summary'!$B$2:$AB$826,21,FALSE)</f>
        <v>EPI</v>
      </c>
      <c r="AF373" s="380">
        <v>2.1</v>
      </c>
      <c r="AG373" s="97" t="s">
        <v>302</v>
      </c>
      <c r="AH373" s="92"/>
      <c r="AI373" s="96"/>
      <c r="AJ373" s="330"/>
      <c r="AL373" s="81"/>
    </row>
    <row r="374" spans="1:38" ht="12.75" customHeight="1">
      <c r="A374" s="96" t="s">
        <v>949</v>
      </c>
      <c r="B374" s="96" t="s">
        <v>1172</v>
      </c>
      <c r="C374" s="96" t="str">
        <f t="shared" si="34"/>
        <v>No</v>
      </c>
      <c r="D374" s="96" t="str">
        <f>VLOOKUP(A374,'Tox Summary'!$O$3:$R$824,3,FALSE)</f>
        <v>Yes</v>
      </c>
      <c r="E374" s="97">
        <f>VLOOKUP(A374,'Parameters Summary'!$B$2:$AB$826,4,FALSE)</f>
        <v>253.23</v>
      </c>
      <c r="F374" s="97" t="str">
        <f>VLOOKUP(A374,'Parameters Summary'!$B$2:$AB$826,5,FALSE)</f>
        <v>EPI</v>
      </c>
      <c r="G374" s="93">
        <f>VLOOKUP(A374,'Parameters Summary'!$B$2:$AB$826,9,FALSE)</f>
        <v>8.8200000000000006E-9</v>
      </c>
      <c r="H374" s="93" t="str">
        <f>VLOOKUP(A374,'Parameters Summary'!$B$2:$AB$826,10,FALSE)</f>
        <v>EPI</v>
      </c>
      <c r="I374" s="93">
        <f>VLOOKUP(A374,'Parameters Summary'!$B$2:$AB$826,24,FALSE)</f>
        <v>4205.3</v>
      </c>
      <c r="J374" s="97" t="str">
        <f>VLOOKUP(A374,'Parameters Summary'!$B$2:$AB$826,25,FALSE)</f>
        <v>EPI</v>
      </c>
      <c r="K374" s="97" t="str">
        <f>VLOOKUP(A374,'Tox Summary'!$O$3:$S$827,2,FALSE)</f>
        <v/>
      </c>
      <c r="L374" s="93">
        <f>VLOOKUP(A374,'Parameters Summary'!$B$2:$AB$826,7,FALSE)</f>
        <v>1.3299999999999999E-15</v>
      </c>
      <c r="M374" s="93" t="str">
        <f>VLOOKUP(A374,'Parameters Summary'!$B$2:$AB$826,8,FALSE)</f>
        <v>EPI</v>
      </c>
      <c r="N374" s="91">
        <f>VLOOKUP(A374,'Parameters Summary'!$B$2:$AB$826,6,FALSE)</f>
        <v>5.437E-14</v>
      </c>
      <c r="O374" s="91" t="str">
        <f t="shared" si="32"/>
        <v/>
      </c>
      <c r="P374" s="91">
        <f t="shared" si="35"/>
        <v>5.437E-14</v>
      </c>
      <c r="Q374" s="91" t="str">
        <f t="shared" si="33"/>
        <v/>
      </c>
      <c r="R374" s="91">
        <f t="shared" si="36"/>
        <v>5.437E-14</v>
      </c>
      <c r="S374" s="91" t="str">
        <f t="shared" si="38"/>
        <v/>
      </c>
      <c r="T374" s="93">
        <f>VLOOKUP(A374,'Parameters Summary'!$B$2:$AB$826,15,FALSE)</f>
        <v>4.7468999999999997E-2</v>
      </c>
      <c r="U374" s="93" t="str">
        <f>VLOOKUP(A374,'Parameters Summary'!$B$2:$AB$826,17,FALSE)</f>
        <v>WATER9 (U.S. EPA, 2001)</v>
      </c>
      <c r="V374" s="93">
        <f>VLOOKUP(A374,'Parameters Summary'!$B$2:$AB$826,16,FALSE)</f>
        <v>5.5464E-6</v>
      </c>
      <c r="W374" s="379" t="str">
        <f>VLOOKUP(A374,'Parameters Summary'!$B$2:$AB$826,17,FALSE)</f>
        <v>WATER9 (U.S. EPA, 2001)</v>
      </c>
      <c r="X374" s="347"/>
      <c r="Y374" s="96"/>
      <c r="Z374" s="96" t="s">
        <v>1653</v>
      </c>
      <c r="AA374" s="96"/>
      <c r="AB374" s="96" t="s">
        <v>1651</v>
      </c>
      <c r="AC374" s="96"/>
      <c r="AD374" s="93">
        <f>VLOOKUP(A374,'Parameters Summary'!$B$2:$AB$826,20,FALSE)</f>
        <v>577.6</v>
      </c>
      <c r="AE374" s="97" t="str">
        <f>VLOOKUP(A374,'Parameters Summary'!$B$2:$AB$826,21,FALSE)</f>
        <v>EPI</v>
      </c>
      <c r="AF374" s="97"/>
      <c r="AG374" s="94"/>
      <c r="AH374" s="92"/>
      <c r="AI374" s="96"/>
      <c r="AJ374" s="330"/>
      <c r="AL374" s="81"/>
    </row>
    <row r="375" spans="1:38" ht="12.75" customHeight="1">
      <c r="A375" s="96" t="s">
        <v>950</v>
      </c>
      <c r="B375" s="96" t="s">
        <v>1406</v>
      </c>
      <c r="C375" s="96" t="str">
        <f t="shared" si="34"/>
        <v>No</v>
      </c>
      <c r="D375" s="96" t="str">
        <f>VLOOKUP(A375,'Tox Summary'!$O$3:$R$824,3,FALSE)</f>
        <v>No</v>
      </c>
      <c r="E375" s="97">
        <f>VLOOKUP(A375,'Parameters Summary'!$B$2:$AB$826,4,FALSE)</f>
        <v>251.33</v>
      </c>
      <c r="F375" s="97" t="str">
        <f>VLOOKUP(A375,'Parameters Summary'!$B$2:$AB$826,5,FALSE)</f>
        <v>PHYSPROP</v>
      </c>
      <c r="G375" s="93">
        <f>VLOOKUP(A375,'Parameters Summary'!$B$2:$AB$826,9,FALSE)</f>
        <v>8.3700000000000002E-5</v>
      </c>
      <c r="H375" s="93" t="str">
        <f>VLOOKUP(A375,'Parameters Summary'!$B$2:$AB$826,10,FALSE)</f>
        <v>PHYSPROP</v>
      </c>
      <c r="I375" s="93">
        <f>VLOOKUP(A375,'Parameters Summary'!$B$2:$AB$826,24,FALSE)</f>
        <v>0.3</v>
      </c>
      <c r="J375" s="97" t="str">
        <f>VLOOKUP(A375,'Parameters Summary'!$B$2:$AB$826,25,FALSE)</f>
        <v>PHYSPROP</v>
      </c>
      <c r="K375" s="97" t="str">
        <f>VLOOKUP(A375,'Tox Summary'!$O$3:$S$827,2,FALSE)</f>
        <v/>
      </c>
      <c r="L375" s="93">
        <f>VLOOKUP(A375,'Parameters Summary'!$B$2:$AB$826,7,FALSE)</f>
        <v>6.89E-9</v>
      </c>
      <c r="M375" s="93" t="str">
        <f>VLOOKUP(A375,'Parameters Summary'!$B$2:$AB$826,8,FALSE)</f>
        <v>PHYSPROP</v>
      </c>
      <c r="N375" s="91">
        <f>VLOOKUP(A375,'Parameters Summary'!$B$2:$AB$826,6,FALSE)</f>
        <v>2.8168000000000002E-7</v>
      </c>
      <c r="O375" s="91" t="str">
        <f t="shared" si="32"/>
        <v/>
      </c>
      <c r="P375" s="91">
        <f t="shared" si="35"/>
        <v>2.8168000000000002E-7</v>
      </c>
      <c r="Q375" s="91" t="str">
        <f t="shared" si="33"/>
        <v/>
      </c>
      <c r="R375" s="91">
        <f t="shared" si="36"/>
        <v>2.8168000000000002E-7</v>
      </c>
      <c r="S375" s="91" t="str">
        <f t="shared" si="38"/>
        <v/>
      </c>
      <c r="T375" s="93">
        <f>VLOOKUP(A375,'Parameters Summary'!$B$2:$AB$826,15,FALSE)</f>
        <v>4.7707899999999998E-2</v>
      </c>
      <c r="U375" s="93" t="str">
        <f>VLOOKUP(A375,'Parameters Summary'!$B$2:$AB$826,17,FALSE)</f>
        <v>WATER9 (U.S. EPA, 2001)</v>
      </c>
      <c r="V375" s="93">
        <f>VLOOKUP(A375,'Parameters Summary'!$B$2:$AB$826,16,FALSE)</f>
        <v>5.5743000000000001E-6</v>
      </c>
      <c r="W375" s="379" t="str">
        <f>VLOOKUP(A375,'Parameters Summary'!$B$2:$AB$826,17,FALSE)</f>
        <v>WATER9 (U.S. EPA, 2001)</v>
      </c>
      <c r="X375" s="347"/>
      <c r="Y375" s="96"/>
      <c r="Z375" s="96" t="s">
        <v>1653</v>
      </c>
      <c r="AA375" s="96"/>
      <c r="AB375" s="96" t="s">
        <v>1651</v>
      </c>
      <c r="AC375" s="96"/>
      <c r="AD375" s="93">
        <f>VLOOKUP(A375,'Parameters Summary'!$B$2:$AB$826,20,FALSE)</f>
        <v>429</v>
      </c>
      <c r="AE375" s="97" t="str">
        <f>VLOOKUP(A375,'Parameters Summary'!$B$2:$AB$826,21,FALSE)</f>
        <v>EPI</v>
      </c>
      <c r="AF375" s="97"/>
      <c r="AG375" s="94"/>
      <c r="AH375" s="92"/>
      <c r="AI375" s="96"/>
      <c r="AJ375" s="330"/>
      <c r="AL375" s="81"/>
    </row>
    <row r="376" spans="1:38" ht="12.75" customHeight="1">
      <c r="A376" s="96" t="s">
        <v>951</v>
      </c>
      <c r="B376" s="96" t="s">
        <v>1173</v>
      </c>
      <c r="C376" s="96" t="str">
        <f t="shared" si="34"/>
        <v>No</v>
      </c>
      <c r="D376" s="96" t="str">
        <f>VLOOKUP(A376,'Tox Summary'!$O$3:$R$824,3,FALSE)</f>
        <v>No</v>
      </c>
      <c r="E376" s="97">
        <f>VLOOKUP(A376,'Parameters Summary'!$B$2:$AB$826,4,FALSE)</f>
        <v>198.16</v>
      </c>
      <c r="F376" s="97" t="str">
        <f>VLOOKUP(A376,'Parameters Summary'!$B$2:$AB$826,5,FALSE)</f>
        <v>PHYSPROP</v>
      </c>
      <c r="G376" s="93">
        <f>VLOOKUP(A376,'Parameters Summary'!$B$2:$AB$826,9,FALSE)</f>
        <v>9.1199999999999999E-12</v>
      </c>
      <c r="H376" s="93" t="str">
        <f>VLOOKUP(A376,'Parameters Summary'!$B$2:$AB$826,10,FALSE)</f>
        <v>PHYSPROP</v>
      </c>
      <c r="I376" s="93">
        <f>VLOOKUP(A376,'Parameters Summary'!$B$2:$AB$826,24,FALSE)</f>
        <v>1370000</v>
      </c>
      <c r="J376" s="97" t="str">
        <f>VLOOKUP(A376,'Parameters Summary'!$B$2:$AB$826,25,FALSE)</f>
        <v>PHYSPROP</v>
      </c>
      <c r="K376" s="97" t="str">
        <f>VLOOKUP(A376,'Tox Summary'!$O$3:$S$827,2,FALSE)</f>
        <v/>
      </c>
      <c r="L376" s="93">
        <f>VLOOKUP(A376,'Parameters Summary'!$B$2:$AB$826,7,FALSE)</f>
        <v>4.4199999999999997E-14</v>
      </c>
      <c r="M376" s="93" t="str">
        <f>VLOOKUP(A376,'Parameters Summary'!$B$2:$AB$826,8,FALSE)</f>
        <v>PHYSPROP</v>
      </c>
      <c r="N376" s="91">
        <f>VLOOKUP(A376,'Parameters Summary'!$B$2:$AB$826,6,FALSE)</f>
        <v>1.8070000000000001E-12</v>
      </c>
      <c r="O376" s="91" t="str">
        <f t="shared" si="32"/>
        <v/>
      </c>
      <c r="P376" s="91">
        <f t="shared" si="35"/>
        <v>1.8070000000000001E-12</v>
      </c>
      <c r="Q376" s="91" t="str">
        <f t="shared" si="33"/>
        <v/>
      </c>
      <c r="R376" s="91">
        <f t="shared" si="36"/>
        <v>1.8070000000000001E-12</v>
      </c>
      <c r="S376" s="91" t="str">
        <f t="shared" si="38"/>
        <v/>
      </c>
      <c r="T376" s="93">
        <f>VLOOKUP(A376,'Parameters Summary'!$B$2:$AB$826,15,FALSE)</f>
        <v>5.5899699999999997E-2</v>
      </c>
      <c r="U376" s="93" t="str">
        <f>VLOOKUP(A376,'Parameters Summary'!$B$2:$AB$826,17,FALSE)</f>
        <v>WATER9 (U.S. EPA, 2001)</v>
      </c>
      <c r="V376" s="93">
        <f>VLOOKUP(A376,'Parameters Summary'!$B$2:$AB$826,16,FALSE)</f>
        <v>6.5313999999999998E-6</v>
      </c>
      <c r="W376" s="379" t="str">
        <f>VLOOKUP(A376,'Parameters Summary'!$B$2:$AB$826,17,FALSE)</f>
        <v>WATER9 (U.S. EPA, 2001)</v>
      </c>
      <c r="X376" s="347"/>
      <c r="Y376" s="96"/>
      <c r="Z376" s="96" t="s">
        <v>1653</v>
      </c>
      <c r="AA376" s="96"/>
      <c r="AB376" s="96" t="s">
        <v>1651</v>
      </c>
      <c r="AC376" s="96"/>
      <c r="AD376" s="93">
        <f>VLOOKUP(A376,'Parameters Summary'!$B$2:$AB$826,20,FALSE)</f>
        <v>10</v>
      </c>
      <c r="AE376" s="97" t="str">
        <f>VLOOKUP(A376,'Parameters Summary'!$B$2:$AB$826,21,FALSE)</f>
        <v>EPI</v>
      </c>
      <c r="AF376" s="97"/>
      <c r="AG376" s="94"/>
      <c r="AH376" s="92"/>
      <c r="AI376" s="96"/>
      <c r="AJ376" s="330"/>
      <c r="AL376" s="81"/>
    </row>
    <row r="377" spans="1:38" ht="12.75" customHeight="1">
      <c r="A377" s="96" t="s">
        <v>952</v>
      </c>
      <c r="B377" s="96" t="s">
        <v>587</v>
      </c>
      <c r="C377" s="96" t="str">
        <f t="shared" si="34"/>
        <v>No</v>
      </c>
      <c r="D377" s="96" t="str">
        <f>VLOOKUP(A377,'Tox Summary'!$O$3:$R$824,3,FALSE)</f>
        <v>No</v>
      </c>
      <c r="E377" s="97">
        <f>VLOOKUP(A377,'Parameters Summary'!$B$2:$AB$826,4,FALSE)</f>
        <v>100.12</v>
      </c>
      <c r="F377" s="97" t="str">
        <f>VLOOKUP(A377,'Parameters Summary'!$B$2:$AB$826,5,FALSE)</f>
        <v>PHYSPROP</v>
      </c>
      <c r="G377" s="93">
        <f>VLOOKUP(A377,'Parameters Summary'!$B$2:$AB$826,9,FALSE)</f>
        <v>0.6</v>
      </c>
      <c r="H377" s="93" t="str">
        <f>VLOOKUP(A377,'Parameters Summary'!$B$2:$AB$826,10,FALSE)</f>
        <v>PHYSPROP</v>
      </c>
      <c r="I377" s="93">
        <f>VLOOKUP(A377,'Parameters Summary'!$B$2:$AB$826,24,FALSE)</f>
        <v>224000</v>
      </c>
      <c r="J377" s="97" t="str">
        <f>VLOOKUP(A377,'Parameters Summary'!$B$2:$AB$826,25,FALSE)</f>
        <v>PHYSPROP</v>
      </c>
      <c r="K377" s="97" t="str">
        <f>VLOOKUP(A377,'Tox Summary'!$O$3:$S$827,2,FALSE)</f>
        <v/>
      </c>
      <c r="L377" s="93">
        <f>VLOOKUP(A377,'Parameters Summary'!$B$2:$AB$826,7,FALSE)</f>
        <v>3.2999999999999998E-8</v>
      </c>
      <c r="M377" s="93" t="str">
        <f>VLOOKUP(A377,'Parameters Summary'!$B$2:$AB$826,8,FALSE)</f>
        <v>PHYSPROP</v>
      </c>
      <c r="N377" s="91">
        <f>VLOOKUP(A377,'Parameters Summary'!$B$2:$AB$826,6,FALSE)</f>
        <v>1.3490999999999999E-6</v>
      </c>
      <c r="O377" s="91" t="str">
        <f t="shared" si="32"/>
        <v/>
      </c>
      <c r="P377" s="91">
        <f t="shared" si="35"/>
        <v>1.3490999999999999E-6</v>
      </c>
      <c r="Q377" s="91" t="str">
        <f t="shared" si="33"/>
        <v/>
      </c>
      <c r="R377" s="91">
        <f t="shared" si="36"/>
        <v>1.3490999999999999E-6</v>
      </c>
      <c r="S377" s="91" t="str">
        <f t="shared" si="38"/>
        <v/>
      </c>
      <c r="T377" s="93">
        <f>VLOOKUP(A377,'Parameters Summary'!$B$2:$AB$826,15,FALSE)</f>
        <v>8.8119699999999995E-2</v>
      </c>
      <c r="U377" s="93" t="str">
        <f>VLOOKUP(A377,'Parameters Summary'!$B$2:$AB$826,17,FALSE)</f>
        <v>WATER9 (U.S. EPA, 2001)</v>
      </c>
      <c r="V377" s="93">
        <f>VLOOKUP(A377,'Parameters Summary'!$B$2:$AB$826,16,FALSE)</f>
        <v>1.03E-5</v>
      </c>
      <c r="W377" s="379" t="str">
        <f>VLOOKUP(A377,'Parameters Summary'!$B$2:$AB$826,17,FALSE)</f>
        <v>WATER9 (U.S. EPA, 2001)</v>
      </c>
      <c r="X377" s="290">
        <v>461.15</v>
      </c>
      <c r="Y377" s="96" t="s">
        <v>553</v>
      </c>
      <c r="Z377" s="96" t="s">
        <v>1653</v>
      </c>
      <c r="AA377" s="96"/>
      <c r="AB377" s="96" t="s">
        <v>1651</v>
      </c>
      <c r="AC377" s="96"/>
      <c r="AD377" s="93">
        <f>VLOOKUP(A377,'Parameters Summary'!$B$2:$AB$826,20,FALSE)</f>
        <v>1</v>
      </c>
      <c r="AE377" s="97" t="str">
        <f>VLOOKUP(A377,'Parameters Summary'!$B$2:$AB$826,21,FALSE)</f>
        <v>EPI</v>
      </c>
      <c r="AF377" s="97"/>
      <c r="AG377" s="94"/>
      <c r="AH377" s="92"/>
      <c r="AI377" s="96"/>
      <c r="AJ377" s="330"/>
      <c r="AL377" s="81"/>
    </row>
    <row r="378" spans="1:38" ht="12.75" customHeight="1">
      <c r="A378" s="95" t="s">
        <v>953</v>
      </c>
      <c r="B378" s="96" t="s">
        <v>1174</v>
      </c>
      <c r="C378" s="96" t="str">
        <f t="shared" si="34"/>
        <v>Yes</v>
      </c>
      <c r="D378" s="96" t="str">
        <f>VLOOKUP(A378,'Tox Summary'!$O$3:$R$824,3,FALSE)</f>
        <v>No</v>
      </c>
      <c r="E378" s="97">
        <f>VLOOKUP(A378,'Parameters Summary'!$B$2:$AB$826,4,FALSE)</f>
        <v>72.063999999999993</v>
      </c>
      <c r="F378" s="97" t="str">
        <f>VLOOKUP(A378,'Parameters Summary'!$B$2:$AB$826,5,FALSE)</f>
        <v>PHYSPROP</v>
      </c>
      <c r="G378" s="93">
        <f>VLOOKUP(A378,'Parameters Summary'!$B$2:$AB$826,9,FALSE)</f>
        <v>45.3</v>
      </c>
      <c r="H378" s="93" t="str">
        <f>VLOOKUP(A378,'Parameters Summary'!$B$2:$AB$826,10,FALSE)</f>
        <v>PHYSPROP</v>
      </c>
      <c r="I378" s="93">
        <f>VLOOKUP(A378,'Parameters Summary'!$B$2:$AB$826,24,FALSE)</f>
        <v>1000000</v>
      </c>
      <c r="J378" s="97" t="str">
        <f>VLOOKUP(A378,'Parameters Summary'!$B$2:$AB$826,25,FALSE)</f>
        <v>PHYSPROP</v>
      </c>
      <c r="K378" s="97" t="str">
        <f>VLOOKUP(A378,'Tox Summary'!$O$3:$S$827,2,FALSE)</f>
        <v/>
      </c>
      <c r="L378" s="93">
        <f>VLOOKUP(A378,'Parameters Summary'!$B$2:$AB$826,7,FALSE)</f>
        <v>5.1099999999999996E-7</v>
      </c>
      <c r="M378" s="93" t="str">
        <f>VLOOKUP(A378,'Parameters Summary'!$B$2:$AB$826,8,FALSE)</f>
        <v>PHYSPROP</v>
      </c>
      <c r="N378" s="91">
        <f>VLOOKUP(A378,'Parameters Summary'!$B$2:$AB$826,6,FALSE)</f>
        <v>2.09E-5</v>
      </c>
      <c r="O378" s="91" t="str">
        <f t="shared" si="32"/>
        <v/>
      </c>
      <c r="P378" s="91">
        <f t="shared" si="35"/>
        <v>2.09E-5</v>
      </c>
      <c r="Q378" s="91" t="str">
        <f t="shared" si="33"/>
        <v/>
      </c>
      <c r="R378" s="91">
        <f t="shared" si="36"/>
        <v>2.09E-5</v>
      </c>
      <c r="S378" s="91" t="str">
        <f t="shared" si="38"/>
        <v/>
      </c>
      <c r="T378" s="93">
        <f>VLOOKUP(A378,'Parameters Summary'!$B$2:$AB$826,15,FALSE)</f>
        <v>0.10624690000000001</v>
      </c>
      <c r="U378" s="93" t="str">
        <f>VLOOKUP(A378,'Parameters Summary'!$B$2:$AB$826,17,FALSE)</f>
        <v>WATER9 (U.S. EPA, 2001)</v>
      </c>
      <c r="V378" s="93">
        <f>VLOOKUP(A378,'Parameters Summary'!$B$2:$AB$826,16,FALSE)</f>
        <v>1.26E-5</v>
      </c>
      <c r="W378" s="379" t="str">
        <f>VLOOKUP(A378,'Parameters Summary'!$B$2:$AB$826,17,FALSE)</f>
        <v>WATER9 (U.S. EPA, 2001)</v>
      </c>
      <c r="X378" s="290">
        <f>112.5+273.15</f>
        <v>385.65</v>
      </c>
      <c r="Y378" s="96" t="s">
        <v>553</v>
      </c>
      <c r="Z378" s="96">
        <f>1.5*X378</f>
        <v>578.47499999999991</v>
      </c>
      <c r="AA378" s="96" t="s">
        <v>2220</v>
      </c>
      <c r="AB378" s="96" t="s">
        <v>1651</v>
      </c>
      <c r="AC378" s="96"/>
      <c r="AD378" s="93">
        <f>VLOOKUP(A378,'Parameters Summary'!$B$2:$AB$826,20,FALSE)</f>
        <v>1</v>
      </c>
      <c r="AE378" s="97" t="str">
        <f>VLOOKUP(A378,'Parameters Summary'!$B$2:$AB$826,21,FALSE)</f>
        <v>EPI</v>
      </c>
      <c r="AF378" s="380"/>
      <c r="AG378" s="97"/>
      <c r="AH378" s="92"/>
      <c r="AI378" s="96"/>
      <c r="AJ378" s="330"/>
      <c r="AL378" s="81"/>
    </row>
    <row r="379" spans="1:38" ht="12.75" customHeight="1">
      <c r="A379" s="96" t="s">
        <v>954</v>
      </c>
      <c r="B379" s="96" t="s">
        <v>1175</v>
      </c>
      <c r="C379" s="96" t="str">
        <f t="shared" si="34"/>
        <v>No</v>
      </c>
      <c r="D379" s="96" t="str">
        <f>VLOOKUP(A379,'Tox Summary'!$O$3:$R$824,3,FALSE)</f>
        <v>Yes</v>
      </c>
      <c r="E379" s="97">
        <f>VLOOKUP(A379,'Parameters Summary'!$B$2:$AB$826,4,FALSE)</f>
        <v>169.07</v>
      </c>
      <c r="F379" s="97" t="str">
        <f>VLOOKUP(A379,'Parameters Summary'!$B$2:$AB$826,5,FALSE)</f>
        <v>PHYSPROP</v>
      </c>
      <c r="G379" s="93">
        <f>VLOOKUP(A379,'Parameters Summary'!$B$2:$AB$826,9,FALSE)</f>
        <v>9.8000000000000004E-8</v>
      </c>
      <c r="H379" s="93" t="str">
        <f>VLOOKUP(A379,'Parameters Summary'!$B$2:$AB$826,10,FALSE)</f>
        <v>PHYSPROP</v>
      </c>
      <c r="I379" s="93">
        <f>VLOOKUP(A379,'Parameters Summary'!$B$2:$AB$826,24,FALSE)</f>
        <v>10500</v>
      </c>
      <c r="J379" s="97" t="str">
        <f>VLOOKUP(A379,'Parameters Summary'!$B$2:$AB$826,25,FALSE)</f>
        <v>PHYSPROP</v>
      </c>
      <c r="K379" s="97">
        <f>VLOOKUP(A379,'Tox Summary'!$O$3:$S$827,2,FALSE)</f>
        <v>700</v>
      </c>
      <c r="L379" s="93">
        <f>VLOOKUP(A379,'Parameters Summary'!$B$2:$AB$826,7,FALSE)</f>
        <v>2.0999999999999999E-12</v>
      </c>
      <c r="M379" s="93" t="str">
        <f>VLOOKUP(A379,'Parameters Summary'!$B$2:$AB$826,8,FALSE)</f>
        <v>EPI</v>
      </c>
      <c r="N379" s="91">
        <f>VLOOKUP(A379,'Parameters Summary'!$B$2:$AB$826,6,FALSE)</f>
        <v>8.5850000000000006E-11</v>
      </c>
      <c r="O379" s="91" t="str">
        <f t="shared" si="32"/>
        <v/>
      </c>
      <c r="P379" s="91">
        <f t="shared" si="35"/>
        <v>8.5850000000000006E-11</v>
      </c>
      <c r="Q379" s="91" t="str">
        <f t="shared" si="33"/>
        <v/>
      </c>
      <c r="R379" s="91">
        <f t="shared" si="36"/>
        <v>8.5850000000000006E-11</v>
      </c>
      <c r="S379" s="91" t="str">
        <f t="shared" si="38"/>
        <v/>
      </c>
      <c r="T379" s="93">
        <f>VLOOKUP(A379,'Parameters Summary'!$B$2:$AB$826,15,FALSE)</f>
        <v>6.21407E-2</v>
      </c>
      <c r="U379" s="93" t="str">
        <f>VLOOKUP(A379,'Parameters Summary'!$B$2:$AB$826,17,FALSE)</f>
        <v>WATER9 (U.S. EPA, 2001)</v>
      </c>
      <c r="V379" s="93">
        <f>VLOOKUP(A379,'Parameters Summary'!$B$2:$AB$826,16,FALSE)</f>
        <v>7.2606000000000004E-6</v>
      </c>
      <c r="W379" s="379" t="str">
        <f>VLOOKUP(A379,'Parameters Summary'!$B$2:$AB$826,17,FALSE)</f>
        <v>WATER9 (U.S. EPA, 2001)</v>
      </c>
      <c r="X379" s="347"/>
      <c r="Y379" s="96"/>
      <c r="Z379" s="96" t="s">
        <v>1653</v>
      </c>
      <c r="AA379" s="96"/>
      <c r="AB379" s="96" t="s">
        <v>1651</v>
      </c>
      <c r="AC379" s="96"/>
      <c r="AD379" s="93">
        <f>VLOOKUP(A379,'Parameters Summary'!$B$2:$AB$826,20,FALSE)</f>
        <v>2100</v>
      </c>
      <c r="AE379" s="97" t="str">
        <f>VLOOKUP(A379,'Parameters Summary'!$B$2:$AB$826,21,FALSE)</f>
        <v>USDA ARS</v>
      </c>
      <c r="AF379" s="97"/>
      <c r="AG379" s="94"/>
      <c r="AH379" s="92"/>
      <c r="AI379" s="96"/>
      <c r="AJ379" s="330"/>
      <c r="AL379" s="81"/>
    </row>
    <row r="380" spans="1:38" ht="12.75" customHeight="1">
      <c r="A380" s="96" t="s">
        <v>2081</v>
      </c>
      <c r="B380" s="96" t="s">
        <v>2080</v>
      </c>
      <c r="C380" s="96" t="str">
        <f t="shared" si="34"/>
        <v>Yes</v>
      </c>
      <c r="D380" s="96" t="str">
        <f>VLOOKUP(A380,'Tox Summary'!$O$3:$R$824,3,FALSE)</f>
        <v>Yes</v>
      </c>
      <c r="E380" s="97">
        <f>VLOOKUP(A380,'Parameters Summary'!$B$2:$AB$826,4,FALSE)</f>
        <v>59.070999999999998</v>
      </c>
      <c r="F380" s="97" t="str">
        <f>VLOOKUP(A380,'Parameters Summary'!$B$2:$AB$826,5,FALSE)</f>
        <v>PHYSPROP</v>
      </c>
      <c r="G380" s="93">
        <f>VLOOKUP(A380,'Parameters Summary'!$B$2:$AB$826,9,FALSE)</f>
        <v>2.21</v>
      </c>
      <c r="H380" s="93" t="str">
        <f>VLOOKUP(A380,'Parameters Summary'!$B$2:$AB$826,10,FALSE)</f>
        <v>PHYSPROP</v>
      </c>
      <c r="I380" s="93">
        <f>VLOOKUP(A380,'Parameters Summary'!$B$2:$AB$826,24,FALSE)</f>
        <v>1840</v>
      </c>
      <c r="J380" s="97" t="str">
        <f>VLOOKUP(A380,'Parameters Summary'!$B$2:$AB$826,25,FALSE)</f>
        <v>PHYSPROP</v>
      </c>
      <c r="K380" s="97" t="str">
        <f>VLOOKUP(A380,'Tox Summary'!$O$3:$S$827,2,FALSE)</f>
        <v/>
      </c>
      <c r="L380" s="93">
        <f>VLOOKUP(A380,'Parameters Summary'!$B$2:$AB$826,7,FALSE)</f>
        <v>2.3400000000000001E-11</v>
      </c>
      <c r="M380" s="93" t="str">
        <f>VLOOKUP(A380,'Parameters Summary'!$B$2:$AB$826,8,FALSE)</f>
        <v>PHYSPROP</v>
      </c>
      <c r="N380" s="91">
        <f>VLOOKUP(A380,'Parameters Summary'!$B$2:$AB$826,6,FALSE)</f>
        <v>9.5670000000000002E-10</v>
      </c>
      <c r="O380" s="91" t="str">
        <f t="shared" si="32"/>
        <v/>
      </c>
      <c r="P380" s="91">
        <f t="shared" si="35"/>
        <v>9.5670000000000002E-10</v>
      </c>
      <c r="Q380" s="91" t="str">
        <f t="shared" si="33"/>
        <v/>
      </c>
      <c r="R380" s="91">
        <f t="shared" si="36"/>
        <v>9.5670000000000002E-10</v>
      </c>
      <c r="S380" s="91" t="str">
        <f t="shared" si="38"/>
        <v/>
      </c>
      <c r="T380" s="93">
        <f>VLOOKUP(A380,'Parameters Summary'!$B$2:$AB$826,15,FALSE)</f>
        <v>0.13781940000000001</v>
      </c>
      <c r="U380" s="93" t="str">
        <f>VLOOKUP(A380,'Parameters Summary'!$B$2:$AB$826,17,FALSE)</f>
        <v>WATER9 (U.S. EPA, 2001)</v>
      </c>
      <c r="V380" s="93">
        <f>VLOOKUP(A380,'Parameters Summary'!$B$2:$AB$826,16,FALSE)</f>
        <v>1.7099999999999999E-5</v>
      </c>
      <c r="W380" s="379" t="str">
        <f>VLOOKUP(A380,'Parameters Summary'!$B$2:$AB$826,17,FALSE)</f>
        <v>WATER9 (U.S. EPA, 2001)</v>
      </c>
      <c r="X380" s="347" t="s">
        <v>1652</v>
      </c>
      <c r="Y380" s="96" t="s">
        <v>2215</v>
      </c>
      <c r="Z380" s="96" t="s">
        <v>1653</v>
      </c>
      <c r="AA380" s="96" t="s">
        <v>2215</v>
      </c>
      <c r="AB380" s="96">
        <v>46606</v>
      </c>
      <c r="AC380" s="96" t="s">
        <v>2214</v>
      </c>
      <c r="AD380" s="93">
        <f>VLOOKUP(A380,'Parameters Summary'!$B$2:$AB$826,20,FALSE)</f>
        <v>11.95</v>
      </c>
      <c r="AE380" s="97" t="str">
        <f>VLOOKUP(A380,'Parameters Summary'!$B$2:$AB$826,21,FALSE)</f>
        <v>EPI</v>
      </c>
      <c r="AF380" s="97"/>
      <c r="AG380" s="94"/>
      <c r="AH380" s="92"/>
      <c r="AI380" s="96"/>
      <c r="AJ380" s="330"/>
      <c r="AL380" s="81"/>
    </row>
    <row r="381" spans="1:38" ht="12.75" customHeight="1">
      <c r="A381" s="96" t="s">
        <v>2083</v>
      </c>
      <c r="B381" s="96" t="s">
        <v>2082</v>
      </c>
      <c r="C381" s="96" t="str">
        <f t="shared" si="34"/>
        <v>No</v>
      </c>
      <c r="D381" s="96" t="str">
        <f>VLOOKUP(A381,'Tox Summary'!$O$3:$R$824,3,FALSE)</f>
        <v>No</v>
      </c>
      <c r="E381" s="97">
        <f>VLOOKUP(A381,'Parameters Summary'!$B$2:$AB$826,4,FALSE)</f>
        <v>95.531999999999996</v>
      </c>
      <c r="F381" s="97" t="str">
        <f>VLOOKUP(A381,'Parameters Summary'!$B$2:$AB$826,5,FALSE)</f>
        <v>PHYSPROP</v>
      </c>
      <c r="G381" s="93">
        <f>VLOOKUP(A381,'Parameters Summary'!$B$2:$AB$826,9,FALSE)</f>
        <v>1.7600000000000001E-6</v>
      </c>
      <c r="H381" s="93" t="str">
        <f>VLOOKUP(A381,'Parameters Summary'!$B$2:$AB$826,10,FALSE)</f>
        <v>PHYSPROP</v>
      </c>
      <c r="I381" s="93">
        <f>VLOOKUP(A381,'Parameters Summary'!$B$2:$AB$826,24,FALSE)</f>
        <v>1000000</v>
      </c>
      <c r="J381" s="97" t="str">
        <f>VLOOKUP(A381,'Parameters Summary'!$B$2:$AB$826,25,FALSE)</f>
        <v>PHYSPROP</v>
      </c>
      <c r="K381" s="97" t="str">
        <f>VLOOKUP(A381,'Tox Summary'!$O$3:$S$827,2,FALSE)</f>
        <v/>
      </c>
      <c r="L381" s="93">
        <f>VLOOKUP(A381,'Parameters Summary'!$B$2:$AB$826,7,FALSE)</f>
        <v>2.17E-18</v>
      </c>
      <c r="M381" s="93" t="str">
        <f>VLOOKUP(A381,'Parameters Summary'!$B$2:$AB$826,8,FALSE)</f>
        <v>PHYSPROP</v>
      </c>
      <c r="N381" s="91">
        <f>VLOOKUP(A381,'Parameters Summary'!$B$2:$AB$826,6,FALSE)</f>
        <v>8.8720000000000002E-17</v>
      </c>
      <c r="O381" s="91" t="str">
        <f t="shared" si="32"/>
        <v/>
      </c>
      <c r="P381" s="91">
        <f t="shared" si="35"/>
        <v>8.8720000000000002E-17</v>
      </c>
      <c r="Q381" s="91" t="str">
        <f t="shared" si="33"/>
        <v/>
      </c>
      <c r="R381" s="91">
        <f t="shared" si="36"/>
        <v>8.8720000000000002E-17</v>
      </c>
      <c r="S381" s="91" t="str">
        <f t="shared" si="38"/>
        <v/>
      </c>
      <c r="T381" s="93">
        <f>VLOOKUP(A381,'Parameters Summary'!$B$2:$AB$826,15,FALSE)</f>
        <v>9.1556100000000001E-2</v>
      </c>
      <c r="U381" s="93" t="str">
        <f>VLOOKUP(A381,'Parameters Summary'!$B$2:$AB$826,17,FALSE)</f>
        <v>WATER9 (U.S. EPA, 2001)</v>
      </c>
      <c r="V381" s="93">
        <f>VLOOKUP(A381,'Parameters Summary'!$B$2:$AB$826,16,FALSE)</f>
        <v>1.1800000000000001E-5</v>
      </c>
      <c r="W381" s="379" t="str">
        <f>VLOOKUP(A381,'Parameters Summary'!$B$2:$AB$826,17,FALSE)</f>
        <v>WATER9 (U.S. EPA, 2001)</v>
      </c>
      <c r="X381" s="347"/>
      <c r="Y381" s="96"/>
      <c r="Z381" s="96" t="s">
        <v>1653</v>
      </c>
      <c r="AA381" s="96"/>
      <c r="AB381" s="96" t="s">
        <v>1651</v>
      </c>
      <c r="AC381" s="96"/>
      <c r="AD381" s="93" t="str">
        <f>VLOOKUP(A381,'Parameters Summary'!$B$2:$AB$826,20,FALSE)</f>
        <v xml:space="preserve"> </v>
      </c>
      <c r="AE381" s="97" t="str">
        <f>VLOOKUP(A381,'Parameters Summary'!$B$2:$AB$826,21,FALSE)</f>
        <v/>
      </c>
      <c r="AF381" s="97"/>
      <c r="AG381" s="94"/>
      <c r="AH381" s="92"/>
      <c r="AI381" s="96"/>
      <c r="AJ381" s="330"/>
      <c r="AL381" s="81"/>
    </row>
    <row r="382" spans="1:38" ht="12.75" customHeight="1">
      <c r="A382" s="96" t="s">
        <v>957</v>
      </c>
      <c r="B382" s="96" t="s">
        <v>1176</v>
      </c>
      <c r="C382" s="96" t="str">
        <f t="shared" si="34"/>
        <v>No</v>
      </c>
      <c r="D382" s="96" t="str">
        <f>VLOOKUP(A382,'Tox Summary'!$O$3:$R$824,3,FALSE)</f>
        <v>Yes</v>
      </c>
      <c r="E382" s="97">
        <f>VLOOKUP(A382,'Parameters Summary'!$B$2:$AB$826,4,FALSE)</f>
        <v>375.73</v>
      </c>
      <c r="F382" s="97" t="str">
        <f>VLOOKUP(A382,'Parameters Summary'!$B$2:$AB$826,5,FALSE)</f>
        <v>PHYSPROP</v>
      </c>
      <c r="G382" s="93">
        <f>VLOOKUP(A382,'Parameters Summary'!$B$2:$AB$826,9,FALSE)</f>
        <v>6.0000000000000002E-6</v>
      </c>
      <c r="H382" s="93" t="str">
        <f>VLOOKUP(A382,'Parameters Summary'!$B$2:$AB$826,10,FALSE)</f>
        <v>PHYSPROP</v>
      </c>
      <c r="I382" s="93">
        <f>VLOOKUP(A382,'Parameters Summary'!$B$2:$AB$826,24,FALSE)</f>
        <v>9.3000000000000007</v>
      </c>
      <c r="J382" s="97" t="str">
        <f>VLOOKUP(A382,'Parameters Summary'!$B$2:$AB$826,25,FALSE)</f>
        <v>PHYSPROP</v>
      </c>
      <c r="K382" s="97" t="str">
        <f>VLOOKUP(A382,'Tox Summary'!$O$3:$S$827,2,FALSE)</f>
        <v/>
      </c>
      <c r="L382" s="93">
        <f>VLOOKUP(A382,'Parameters Summary'!$B$2:$AB$826,7,FALSE)</f>
        <v>3.1899999999999998E-7</v>
      </c>
      <c r="M382" s="93" t="str">
        <f>VLOOKUP(A382,'Parameters Summary'!$B$2:$AB$826,8,FALSE)</f>
        <v>EPI</v>
      </c>
      <c r="N382" s="91">
        <f>VLOOKUP(A382,'Parameters Summary'!$B$2:$AB$826,6,FALSE)</f>
        <v>1.2999999999999999E-5</v>
      </c>
      <c r="O382" s="91" t="str">
        <f t="shared" si="32"/>
        <v/>
      </c>
      <c r="P382" s="91">
        <f t="shared" si="35"/>
        <v>1.2999999999999999E-5</v>
      </c>
      <c r="Q382" s="91" t="str">
        <f t="shared" si="33"/>
        <v/>
      </c>
      <c r="R382" s="91">
        <f t="shared" si="36"/>
        <v>1.2999999999999999E-5</v>
      </c>
      <c r="S382" s="91" t="str">
        <f t="shared" si="38"/>
        <v/>
      </c>
      <c r="T382" s="93">
        <f>VLOOKUP(A382,'Parameters Summary'!$B$2:$AB$826,15,FALSE)</f>
        <v>3.6489599999999997E-2</v>
      </c>
      <c r="U382" s="93" t="str">
        <f>VLOOKUP(A382,'Parameters Summary'!$B$2:$AB$826,17,FALSE)</f>
        <v>WATER9 (U.S. EPA, 2001)</v>
      </c>
      <c r="V382" s="93">
        <f>VLOOKUP(A382,'Parameters Summary'!$B$2:$AB$826,16,FALSE)</f>
        <v>4.2634999999999999E-6</v>
      </c>
      <c r="W382" s="379" t="str">
        <f>VLOOKUP(A382,'Parameters Summary'!$B$2:$AB$826,17,FALSE)</f>
        <v>WATER9 (U.S. EPA, 2001)</v>
      </c>
      <c r="X382" s="347"/>
      <c r="Y382" s="96"/>
      <c r="Z382" s="96" t="s">
        <v>1653</v>
      </c>
      <c r="AA382" s="96"/>
      <c r="AB382" s="96" t="s">
        <v>1651</v>
      </c>
      <c r="AC382" s="96"/>
      <c r="AD382" s="93">
        <f>VLOOKUP(A382,'Parameters Summary'!$B$2:$AB$826,20,FALSE)</f>
        <v>5454</v>
      </c>
      <c r="AE382" s="97" t="str">
        <f>VLOOKUP(A382,'Parameters Summary'!$B$2:$AB$826,21,FALSE)</f>
        <v>EPI</v>
      </c>
      <c r="AF382" s="97"/>
      <c r="AG382" s="94"/>
      <c r="AH382" s="92"/>
      <c r="AI382" s="96"/>
      <c r="AJ382" s="330"/>
      <c r="AL382" s="81"/>
    </row>
    <row r="383" spans="1:38" ht="12.75" customHeight="1">
      <c r="A383" s="95" t="s">
        <v>959</v>
      </c>
      <c r="B383" s="96" t="s">
        <v>382</v>
      </c>
      <c r="C383" s="96" t="str">
        <f t="shared" si="34"/>
        <v>Yes</v>
      </c>
      <c r="D383" s="96" t="str">
        <f>VLOOKUP(A383,'Tox Summary'!$O$3:$R$824,3,FALSE)</f>
        <v>Yes</v>
      </c>
      <c r="E383" s="97">
        <f>VLOOKUP(A383,'Parameters Summary'!$B$2:$AB$826,4,FALSE)</f>
        <v>373.32</v>
      </c>
      <c r="F383" s="97" t="str">
        <f>VLOOKUP(A383,'Parameters Summary'!$B$2:$AB$826,5,FALSE)</f>
        <v>PHYSPROP</v>
      </c>
      <c r="G383" s="93">
        <f>VLOOKUP(A383,'Parameters Summary'!$B$2:$AB$826,9,FALSE)</f>
        <v>4.0000000000000002E-4</v>
      </c>
      <c r="H383" s="93" t="str">
        <f>VLOOKUP(A383,'Parameters Summary'!$B$2:$AB$826,10,FALSE)</f>
        <v>PHYSPROP</v>
      </c>
      <c r="I383" s="93">
        <f>VLOOKUP(A383,'Parameters Summary'!$B$2:$AB$826,24,FALSE)</f>
        <v>0.18</v>
      </c>
      <c r="J383" s="97" t="str">
        <f>VLOOKUP(A383,'Parameters Summary'!$B$2:$AB$826,25,FALSE)</f>
        <v>PHYSPROP</v>
      </c>
      <c r="K383" s="97">
        <f>VLOOKUP(A383,'Tox Summary'!$O$3:$S$827,2,FALSE)</f>
        <v>0.4</v>
      </c>
      <c r="L383" s="93">
        <f>VLOOKUP(A383,'Parameters Summary'!$B$2:$AB$826,7,FALSE)</f>
        <v>2.9399999999999999E-4</v>
      </c>
      <c r="M383" s="93" t="str">
        <f>VLOOKUP(A383,'Parameters Summary'!$B$2:$AB$826,8,FALSE)</f>
        <v>PHYSPROP</v>
      </c>
      <c r="N383" s="91">
        <f>VLOOKUP(A383,'Parameters Summary'!$B$2:$AB$826,6,FALSE)</f>
        <v>1.20196E-2</v>
      </c>
      <c r="O383" s="91">
        <f t="shared" si="32"/>
        <v>1.20196E-2</v>
      </c>
      <c r="P383" s="91">
        <f t="shared" si="35"/>
        <v>1.20196E-2</v>
      </c>
      <c r="Q383" s="91">
        <f t="shared" si="33"/>
        <v>1.20196E-2</v>
      </c>
      <c r="R383" s="91">
        <f t="shared" si="36"/>
        <v>1.20196E-2</v>
      </c>
      <c r="S383" s="91">
        <f t="shared" si="38"/>
        <v>8035.158342832071</v>
      </c>
      <c r="T383" s="93">
        <f>VLOOKUP(A383,'Parameters Summary'!$B$2:$AB$826,15,FALSE)</f>
        <v>2.2344099999999999E-2</v>
      </c>
      <c r="U383" s="93" t="str">
        <f>VLOOKUP(A383,'Parameters Summary'!$B$2:$AB$826,17,FALSE)</f>
        <v>WATER9 (U.S. EPA, 2001)</v>
      </c>
      <c r="V383" s="93">
        <f>VLOOKUP(A383,'Parameters Summary'!$B$2:$AB$826,16,FALSE)</f>
        <v>5.6959E-6</v>
      </c>
      <c r="W383" s="379" t="str">
        <f>VLOOKUP(A383,'Parameters Summary'!$B$2:$AB$826,17,FALSE)</f>
        <v>WATER9 (U.S. EPA, 2001)</v>
      </c>
      <c r="X383" s="290">
        <f>310+273.15</f>
        <v>583.15</v>
      </c>
      <c r="Y383" s="96" t="s">
        <v>553</v>
      </c>
      <c r="Z383" s="96">
        <f>1.5*X383</f>
        <v>874.72499999999991</v>
      </c>
      <c r="AA383" s="96" t="s">
        <v>2220</v>
      </c>
      <c r="AB383" s="96">
        <v>13000</v>
      </c>
      <c r="AC383" s="96" t="s">
        <v>2227</v>
      </c>
      <c r="AD383" s="93">
        <f>VLOOKUP(A383,'Parameters Summary'!$B$2:$AB$826,20,FALSE)</f>
        <v>41260</v>
      </c>
      <c r="AE383" s="97" t="str">
        <f>VLOOKUP(A383,'Parameters Summary'!$B$2:$AB$826,21,FALSE)</f>
        <v>EPI</v>
      </c>
      <c r="AF383" s="380"/>
      <c r="AG383" s="97"/>
      <c r="AH383" s="92"/>
      <c r="AI383" s="96"/>
      <c r="AJ383" s="330"/>
      <c r="AL383" s="81"/>
    </row>
    <row r="384" spans="1:38" ht="12.75" customHeight="1">
      <c r="A384" s="95" t="s">
        <v>1</v>
      </c>
      <c r="B384" s="96" t="s">
        <v>1177</v>
      </c>
      <c r="C384" s="96" t="str">
        <f t="shared" si="34"/>
        <v>Yes</v>
      </c>
      <c r="D384" s="96" t="str">
        <f>VLOOKUP(A384,'Tox Summary'!$O$3:$R$824,3,FALSE)</f>
        <v>Yes</v>
      </c>
      <c r="E384" s="97">
        <f>VLOOKUP(A384,'Parameters Summary'!$B$2:$AB$826,4,FALSE)</f>
        <v>389.32</v>
      </c>
      <c r="F384" s="97" t="str">
        <f>VLOOKUP(A384,'Parameters Summary'!$B$2:$AB$826,5,FALSE)</f>
        <v>PHYSPROP</v>
      </c>
      <c r="G384" s="93">
        <f>VLOOKUP(A384,'Parameters Summary'!$B$2:$AB$826,9,FALSE)</f>
        <v>1.95E-5</v>
      </c>
      <c r="H384" s="93" t="str">
        <f>VLOOKUP(A384,'Parameters Summary'!$B$2:$AB$826,10,FALSE)</f>
        <v>PHYSPROP</v>
      </c>
      <c r="I384" s="93">
        <f>VLOOKUP(A384,'Parameters Summary'!$B$2:$AB$826,24,FALSE)</f>
        <v>0.2</v>
      </c>
      <c r="J384" s="97" t="str">
        <f>VLOOKUP(A384,'Parameters Summary'!$B$2:$AB$826,25,FALSE)</f>
        <v>PHYSPROP</v>
      </c>
      <c r="K384" s="97">
        <f>VLOOKUP(A384,'Tox Summary'!$O$3:$S$827,2,FALSE)</f>
        <v>0.2</v>
      </c>
      <c r="L384" s="93">
        <f>VLOOKUP(A384,'Parameters Summary'!$B$2:$AB$826,7,FALSE)</f>
        <v>2.0999999999999999E-5</v>
      </c>
      <c r="M384" s="93" t="str">
        <f>VLOOKUP(A384,'Parameters Summary'!$B$2:$AB$826,8,FALSE)</f>
        <v>PHYSPROP</v>
      </c>
      <c r="N384" s="91">
        <f>VLOOKUP(A384,'Parameters Summary'!$B$2:$AB$826,6,FALSE)</f>
        <v>8.585E-4</v>
      </c>
      <c r="O384" s="91">
        <f t="shared" si="32"/>
        <v>8.585E-4</v>
      </c>
      <c r="P384" s="91">
        <f t="shared" si="35"/>
        <v>8.585E-4</v>
      </c>
      <c r="Q384" s="91">
        <f t="shared" si="33"/>
        <v>8.585E-4</v>
      </c>
      <c r="R384" s="91">
        <f t="shared" si="36"/>
        <v>8.585E-4</v>
      </c>
      <c r="S384" s="91">
        <f t="shared" si="38"/>
        <v>408.50231033437757</v>
      </c>
      <c r="T384" s="93">
        <f>VLOOKUP(A384,'Parameters Summary'!$B$2:$AB$826,15,FALSE)</f>
        <v>2.40006E-2</v>
      </c>
      <c r="U384" s="93" t="str">
        <f>VLOOKUP(A384,'Parameters Summary'!$B$2:$AB$826,17,FALSE)</f>
        <v>WATER9 (U.S. EPA, 2001)</v>
      </c>
      <c r="V384" s="93">
        <f>VLOOKUP(A384,'Parameters Summary'!$B$2:$AB$826,16,FALSE)</f>
        <v>6.2474999999999999E-6</v>
      </c>
      <c r="W384" s="379" t="str">
        <f>VLOOKUP(A384,'Parameters Summary'!$B$2:$AB$826,17,FALSE)</f>
        <v>WATER9 (U.S. EPA, 2001)</v>
      </c>
      <c r="X384" s="290">
        <f>340.81+273.15</f>
        <v>613.96</v>
      </c>
      <c r="Y384" s="96" t="s">
        <v>553</v>
      </c>
      <c r="Z384" s="96">
        <f>1.5*X384</f>
        <v>920.94</v>
      </c>
      <c r="AA384" s="96" t="s">
        <v>2220</v>
      </c>
      <c r="AB384" s="96">
        <v>16000</v>
      </c>
      <c r="AC384" s="96" t="s">
        <v>2227</v>
      </c>
      <c r="AD384" s="93">
        <f>VLOOKUP(A384,'Parameters Summary'!$B$2:$AB$826,20,FALSE)</f>
        <v>10110</v>
      </c>
      <c r="AE384" s="97" t="str">
        <f>VLOOKUP(A384,'Parameters Summary'!$B$2:$AB$826,21,FALSE)</f>
        <v>EPI</v>
      </c>
      <c r="AF384" s="380"/>
      <c r="AG384" s="97"/>
      <c r="AH384" s="92"/>
      <c r="AI384" s="96"/>
      <c r="AJ384" s="330"/>
      <c r="AL384" s="81"/>
    </row>
    <row r="385" spans="1:38" ht="12.75" customHeight="1">
      <c r="A385" s="95" t="s">
        <v>188</v>
      </c>
      <c r="B385" s="96" t="s">
        <v>2237</v>
      </c>
      <c r="C385" s="96" t="str">
        <f t="shared" si="34"/>
        <v>Yes</v>
      </c>
      <c r="D385" s="96" t="str">
        <f>VLOOKUP(A385,'Tox Summary'!$O$3:$R$824,3,FALSE)</f>
        <v>Yes</v>
      </c>
      <c r="E385" s="97">
        <f>VLOOKUP(A385,'Parameters Summary'!$B$2:$AB$826,4,FALSE)</f>
        <v>395.33</v>
      </c>
      <c r="F385" s="97" t="str">
        <f>VLOOKUP(A385,'Parameters Summary'!$B$2:$AB$826,5,FALSE)</f>
        <v>PHYSPROP</v>
      </c>
      <c r="G385" s="93">
        <f>VLOOKUP(A385,'Parameters Summary'!$B$2:$AB$826,9,FALSE)</f>
        <v>1.3E-7</v>
      </c>
      <c r="H385" s="93" t="str">
        <f>VLOOKUP(A385,'Parameters Summary'!$B$2:$AB$826,10,FALSE)</f>
        <v>PHYSPROP</v>
      </c>
      <c r="I385" s="93">
        <f>VLOOKUP(A385,'Parameters Summary'!$B$2:$AB$826,24,FALSE)</f>
        <v>7.5299999999999998E-4</v>
      </c>
      <c r="J385" s="97" t="str">
        <f>VLOOKUP(A385,'Parameters Summary'!$B$2:$AB$826,25,FALSE)</f>
        <v>PHYSPROP</v>
      </c>
      <c r="K385" s="97" t="str">
        <f>VLOOKUP(A385,'Tox Summary'!$O$3:$S$827,2,FALSE)</f>
        <v/>
      </c>
      <c r="L385" s="93">
        <f>VLOOKUP(A385,'Parameters Summary'!$B$2:$AB$826,7,FALSE)</f>
        <v>5.0699999999999999E-5</v>
      </c>
      <c r="M385" s="93" t="str">
        <f>VLOOKUP(A385,'Parameters Summary'!$B$2:$AB$826,8,FALSE)</f>
        <v>PHYSPROP</v>
      </c>
      <c r="N385" s="91">
        <f>VLOOKUP(A385,'Parameters Summary'!$B$2:$AB$826,6,FALSE)</f>
        <v>2.0728000000000001E-3</v>
      </c>
      <c r="O385" s="91" t="str">
        <f t="shared" si="32"/>
        <v/>
      </c>
      <c r="P385" s="91">
        <f t="shared" si="35"/>
        <v>2.0728000000000001E-3</v>
      </c>
      <c r="Q385" s="91" t="str">
        <f t="shared" si="33"/>
        <v/>
      </c>
      <c r="R385" s="91">
        <f t="shared" si="36"/>
        <v>2.0728000000000001E-3</v>
      </c>
      <c r="S385" s="91" t="str">
        <f t="shared" si="38"/>
        <v/>
      </c>
      <c r="T385" s="93">
        <f>VLOOKUP(A385,'Parameters Summary'!$B$2:$AB$826,15,FALSE)</f>
        <v>4.2441399999999997E-2</v>
      </c>
      <c r="U385" s="93" t="str">
        <f>VLOOKUP(A385,'Parameters Summary'!$B$2:$AB$826,17,FALSE)</f>
        <v>WATER9 (U.S. EPA, 2001)</v>
      </c>
      <c r="V385" s="93">
        <f>VLOOKUP(A385,'Parameters Summary'!$B$2:$AB$826,16,FALSE)</f>
        <v>5.6864999999999997E-6</v>
      </c>
      <c r="W385" s="379" t="str">
        <f>VLOOKUP(A385,'Parameters Summary'!$B$2:$AB$826,17,FALSE)</f>
        <v>WATER9 (U.S. EPA, 2001)</v>
      </c>
      <c r="X385" s="290">
        <f>415.6+273.15</f>
        <v>688.75</v>
      </c>
      <c r="Y385" s="96" t="s">
        <v>553</v>
      </c>
      <c r="Z385" s="96">
        <f>1.5*X385</f>
        <v>1033.125</v>
      </c>
      <c r="AA385" s="96" t="s">
        <v>2220</v>
      </c>
      <c r="AB385" s="96" t="s">
        <v>1651</v>
      </c>
      <c r="AC385" s="96"/>
      <c r="AD385" s="93">
        <f>VLOOKUP(A385,'Parameters Summary'!$B$2:$AB$826,20,FALSE)</f>
        <v>349700</v>
      </c>
      <c r="AE385" s="97" t="str">
        <f>VLOOKUP(A385,'Parameters Summary'!$B$2:$AB$826,21,FALSE)</f>
        <v>EPI</v>
      </c>
      <c r="AF385" s="380"/>
      <c r="AG385" s="97"/>
      <c r="AH385" s="92"/>
      <c r="AI385" s="96"/>
      <c r="AJ385" s="330"/>
      <c r="AL385" s="81"/>
    </row>
    <row r="386" spans="1:38" ht="12.75" customHeight="1">
      <c r="A386" s="96" t="s">
        <v>2</v>
      </c>
      <c r="B386" s="96" t="s">
        <v>1178</v>
      </c>
      <c r="C386" s="96" t="str">
        <f t="shared" si="34"/>
        <v>Yes</v>
      </c>
      <c r="D386" s="96" t="str">
        <f>VLOOKUP(A386,'Tox Summary'!$O$3:$R$824,3,FALSE)</f>
        <v>Yes</v>
      </c>
      <c r="E386" s="97">
        <f>VLOOKUP(A386,'Parameters Summary'!$B$2:$AB$826,4,FALSE)</f>
        <v>551.49</v>
      </c>
      <c r="F386" s="97" t="str">
        <f>VLOOKUP(A386,'Parameters Summary'!$B$2:$AB$826,5,FALSE)</f>
        <v>PHYSPROP</v>
      </c>
      <c r="G386" s="93">
        <f>VLOOKUP(A386,'Parameters Summary'!$B$2:$AB$826,9,FALSE)</f>
        <v>1.63E-8</v>
      </c>
      <c r="H386" s="93" t="str">
        <f>VLOOKUP(A386,'Parameters Summary'!$B$2:$AB$826,10,FALSE)</f>
        <v>PHYSPROP</v>
      </c>
      <c r="I386" s="93">
        <f>VLOOKUP(A386,'Parameters Summary'!$B$2:$AB$826,24,FALSE)</f>
        <v>1.6000000000000001E-4</v>
      </c>
      <c r="J386" s="97" t="str">
        <f>VLOOKUP(A386,'Parameters Summary'!$B$2:$AB$826,25,FALSE)</f>
        <v>PHYSPROP</v>
      </c>
      <c r="K386" s="97" t="str">
        <f>VLOOKUP(A386,'Tox Summary'!$O$3:$S$827,2,FALSE)</f>
        <v/>
      </c>
      <c r="L386" s="93">
        <f>VLOOKUP(A386,'Parameters Summary'!$B$2:$AB$826,7,FALSE)</f>
        <v>2.8099999999999999E-5</v>
      </c>
      <c r="M386" s="93" t="str">
        <f>VLOOKUP(A386,'Parameters Summary'!$B$2:$AB$826,8,FALSE)</f>
        <v>PHYSPROP</v>
      </c>
      <c r="N386" s="91">
        <f>VLOOKUP(A386,'Parameters Summary'!$B$2:$AB$826,6,FALSE)</f>
        <v>1.1488E-3</v>
      </c>
      <c r="O386" s="91" t="str">
        <f t="shared" si="32"/>
        <v/>
      </c>
      <c r="P386" s="91">
        <f t="shared" si="35"/>
        <v>1.1488E-3</v>
      </c>
      <c r="Q386" s="91" t="str">
        <f t="shared" si="33"/>
        <v/>
      </c>
      <c r="R386" s="91">
        <f t="shared" si="36"/>
        <v>1.1488E-3</v>
      </c>
      <c r="S386" s="91" t="str">
        <f t="shared" si="38"/>
        <v/>
      </c>
      <c r="T386" s="93">
        <f>VLOOKUP(A386,'Parameters Summary'!$B$2:$AB$826,15,FALSE)</f>
        <v>2.4756799999999999E-2</v>
      </c>
      <c r="U386" s="93" t="str">
        <f>VLOOKUP(A386,'Parameters Summary'!$B$2:$AB$826,17,FALSE)</f>
        <v>WATER9 (U.S. EPA, 2001)</v>
      </c>
      <c r="V386" s="93">
        <f>VLOOKUP(A386,'Parameters Summary'!$B$2:$AB$826,16,FALSE)</f>
        <v>6.5883000000000001E-6</v>
      </c>
      <c r="W386" s="379" t="str">
        <f>VLOOKUP(A386,'Parameters Summary'!$B$2:$AB$826,17,FALSE)</f>
        <v>WATER9 (U.S. EPA, 2001)</v>
      </c>
      <c r="X386" s="347">
        <f>370.7+273</f>
        <v>643.70000000000005</v>
      </c>
      <c r="Y386" s="96" t="s">
        <v>553</v>
      </c>
      <c r="Z386" s="96" t="s">
        <v>1653</v>
      </c>
      <c r="AA386" s="96"/>
      <c r="AB386" s="96" t="s">
        <v>1651</v>
      </c>
      <c r="AC386" s="96"/>
      <c r="AD386" s="93">
        <f>VLOOKUP(A386,'Parameters Summary'!$B$2:$AB$826,20,FALSE)</f>
        <v>2807</v>
      </c>
      <c r="AE386" s="97" t="str">
        <f>VLOOKUP(A386,'Parameters Summary'!$B$2:$AB$826,21,FALSE)</f>
        <v>EPI</v>
      </c>
      <c r="AF386" s="97"/>
      <c r="AG386" s="94"/>
      <c r="AH386" s="92"/>
      <c r="AI386" s="96"/>
      <c r="AJ386" s="330"/>
      <c r="AL386" s="81"/>
    </row>
    <row r="387" spans="1:38" ht="12.75" customHeight="1">
      <c r="A387" s="96" t="s">
        <v>3</v>
      </c>
      <c r="B387" s="96" t="s">
        <v>535</v>
      </c>
      <c r="C387" s="96" t="str">
        <f t="shared" si="34"/>
        <v>No</v>
      </c>
      <c r="D387" s="96" t="str">
        <f>VLOOKUP(A387,'Tox Summary'!$O$3:$R$824,3,FALSE)</f>
        <v>Yes</v>
      </c>
      <c r="E387" s="97">
        <f>VLOOKUP(A387,'Parameters Summary'!$B$2:$AB$826,4,FALSE)</f>
        <v>643.58356000000003</v>
      </c>
      <c r="F387" s="97" t="str">
        <f>VLOOKUP(A387,'Parameters Summary'!$B$2:$AB$826,5,FALSE)</f>
        <v>PubChem</v>
      </c>
      <c r="G387" s="93">
        <f>VLOOKUP(A387,'Parameters Summary'!$B$2:$AB$826,9,FALSE)</f>
        <v>5.8000000000000004E-6</v>
      </c>
      <c r="H387" s="93" t="str">
        <f>VLOOKUP(A387,'Parameters Summary'!$B$2:$AB$826,10,FALSE)</f>
        <v>IRIS Profile</v>
      </c>
      <c r="I387" s="93">
        <f>VLOOKUP(A387,'Parameters Summary'!$B$2:$AB$826,24,FALSE)</f>
        <v>8.9999999999999998E-4</v>
      </c>
      <c r="J387" s="97" t="str">
        <f>VLOOKUP(A387,'Parameters Summary'!$B$2:$AB$826,25,FALSE)</f>
        <v>IRIS Profile</v>
      </c>
      <c r="K387" s="97" t="str">
        <f>VLOOKUP(A387,'Tox Summary'!$O$3:$S$827,2,FALSE)</f>
        <v/>
      </c>
      <c r="L387" s="93" t="str">
        <f>VLOOKUP(A387,'Parameters Summary'!$B$2:$AB$826,7,FALSE)</f>
        <v xml:space="preserve"> </v>
      </c>
      <c r="M387" s="93" t="str">
        <f>VLOOKUP(A387,'Parameters Summary'!$B$2:$AB$826,8,FALSE)</f>
        <v/>
      </c>
      <c r="N387" s="91" t="str">
        <f>VLOOKUP(A387,'Parameters Summary'!$B$2:$AB$826,6,FALSE)</f>
        <v xml:space="preserve"> </v>
      </c>
      <c r="O387" s="91" t="str">
        <f t="shared" si="32"/>
        <v/>
      </c>
      <c r="P387" s="91" t="str">
        <f t="shared" si="35"/>
        <v xml:space="preserve"> </v>
      </c>
      <c r="Q387" s="91" t="str">
        <f t="shared" si="33"/>
        <v/>
      </c>
      <c r="R387" s="91" t="str">
        <f t="shared" si="36"/>
        <v xml:space="preserve"> </v>
      </c>
      <c r="S387" s="91" t="str">
        <f t="shared" si="38"/>
        <v/>
      </c>
      <c r="T387" s="93">
        <f>VLOOKUP(A387,'Parameters Summary'!$B$2:$AB$826,15,FALSE)</f>
        <v>2.5488899999999998E-2</v>
      </c>
      <c r="U387" s="93" t="str">
        <f>VLOOKUP(A387,'Parameters Summary'!$B$2:$AB$826,17,FALSE)</f>
        <v>WATER9 (U.S. EPA, 2001)</v>
      </c>
      <c r="V387" s="93">
        <f>VLOOKUP(A387,'Parameters Summary'!$B$2:$AB$826,16,FALSE)</f>
        <v>2.9782000000000001E-6</v>
      </c>
      <c r="W387" s="379" t="str">
        <f>VLOOKUP(A387,'Parameters Summary'!$B$2:$AB$826,17,FALSE)</f>
        <v>WATER9 (U.S. EPA, 2001)</v>
      </c>
      <c r="X387" s="347"/>
      <c r="Y387" s="96"/>
      <c r="Z387" s="96" t="s">
        <v>1653</v>
      </c>
      <c r="AA387" s="96"/>
      <c r="AB387" s="96" t="s">
        <v>1651</v>
      </c>
      <c r="AC387" s="96"/>
      <c r="AD387" s="93" t="str">
        <f>VLOOKUP(A387,'Parameters Summary'!$B$2:$AB$826,20,FALSE)</f>
        <v xml:space="preserve"> </v>
      </c>
      <c r="AE387" s="97" t="str">
        <f>VLOOKUP(A387,'Parameters Summary'!$B$2:$AB$826,21,FALSE)</f>
        <v/>
      </c>
      <c r="AF387" s="97"/>
      <c r="AG387" s="94"/>
      <c r="AH387" s="92"/>
      <c r="AI387" s="96"/>
      <c r="AJ387" s="330"/>
      <c r="AL387" s="81"/>
    </row>
    <row r="388" spans="1:38" ht="12.75" customHeight="1">
      <c r="A388" s="95" t="s">
        <v>4</v>
      </c>
      <c r="B388" s="96" t="s">
        <v>383</v>
      </c>
      <c r="C388" s="96" t="str">
        <f t="shared" si="34"/>
        <v>Yes</v>
      </c>
      <c r="D388" s="96" t="str">
        <f>VLOOKUP(A388,'Tox Summary'!$O$3:$R$824,3,FALSE)</f>
        <v>Yes</v>
      </c>
      <c r="E388" s="97">
        <f>VLOOKUP(A388,'Parameters Summary'!$B$2:$AB$826,4,FALSE)</f>
        <v>284.77999999999997</v>
      </c>
      <c r="F388" s="97" t="str">
        <f>VLOOKUP(A388,'Parameters Summary'!$B$2:$AB$826,5,FALSE)</f>
        <v>PHYSPROP</v>
      </c>
      <c r="G388" s="93">
        <f>VLOOKUP(A388,'Parameters Summary'!$B$2:$AB$826,9,FALSE)</f>
        <v>1.8E-5</v>
      </c>
      <c r="H388" s="93" t="str">
        <f>VLOOKUP(A388,'Parameters Summary'!$B$2:$AB$826,10,FALSE)</f>
        <v>PHYSPROP</v>
      </c>
      <c r="I388" s="93">
        <f>VLOOKUP(A388,'Parameters Summary'!$B$2:$AB$826,24,FALSE)</f>
        <v>6.1999999999999998E-3</v>
      </c>
      <c r="J388" s="97" t="str">
        <f>VLOOKUP(A388,'Parameters Summary'!$B$2:$AB$826,25,FALSE)</f>
        <v>PHYSPROP</v>
      </c>
      <c r="K388" s="97">
        <f>VLOOKUP(A388,'Tox Summary'!$O$3:$S$827,2,FALSE)</f>
        <v>1</v>
      </c>
      <c r="L388" s="93">
        <f>VLOOKUP(A388,'Parameters Summary'!$B$2:$AB$826,7,FALSE)</f>
        <v>1.6999999999999999E-3</v>
      </c>
      <c r="M388" s="93" t="str">
        <f>VLOOKUP(A388,'Parameters Summary'!$B$2:$AB$826,8,FALSE)</f>
        <v>PHYSPROP</v>
      </c>
      <c r="N388" s="91">
        <f>VLOOKUP(A388,'Parameters Summary'!$B$2:$AB$826,6,FALSE)</f>
        <v>6.9501199999999999E-2</v>
      </c>
      <c r="O388" s="91">
        <f t="shared" si="32"/>
        <v>6.9501199999999999E-2</v>
      </c>
      <c r="P388" s="91">
        <f t="shared" si="35"/>
        <v>6.9501199999999999E-2</v>
      </c>
      <c r="Q388" s="91">
        <f t="shared" si="33"/>
        <v>6.9501199999999999E-2</v>
      </c>
      <c r="R388" s="91">
        <f t="shared" si="36"/>
        <v>6.9501199999999999E-2</v>
      </c>
      <c r="S388" s="91">
        <f t="shared" si="38"/>
        <v>275.82598756891474</v>
      </c>
      <c r="T388" s="93">
        <f>VLOOKUP(A388,'Parameters Summary'!$B$2:$AB$826,15,FALSE)</f>
        <v>2.89745E-2</v>
      </c>
      <c r="U388" s="93" t="str">
        <f>VLOOKUP(A388,'Parameters Summary'!$B$2:$AB$826,17,FALSE)</f>
        <v>WATER9 (U.S. EPA, 2001)</v>
      </c>
      <c r="V388" s="93">
        <f>VLOOKUP(A388,'Parameters Summary'!$B$2:$AB$826,16,FALSE)</f>
        <v>7.8497000000000004E-6</v>
      </c>
      <c r="W388" s="379" t="str">
        <f>VLOOKUP(A388,'Parameters Summary'!$B$2:$AB$826,17,FALSE)</f>
        <v>WATER9 (U.S. EPA, 2001)</v>
      </c>
      <c r="X388" s="290">
        <f>325+273.15</f>
        <v>598.15</v>
      </c>
      <c r="Y388" s="96" t="s">
        <v>553</v>
      </c>
      <c r="Z388" s="96">
        <f t="shared" ref="Z388:Z393" si="39">1.5*X388</f>
        <v>897.22499999999991</v>
      </c>
      <c r="AA388" s="96" t="s">
        <v>2220</v>
      </c>
      <c r="AB388" s="96">
        <f>49*238.846</f>
        <v>11703.454</v>
      </c>
      <c r="AC388" s="96" t="s">
        <v>2218</v>
      </c>
      <c r="AD388" s="93">
        <f>VLOOKUP(A388,'Parameters Summary'!$B$2:$AB$826,20,FALSE)</f>
        <v>6195</v>
      </c>
      <c r="AE388" s="97" t="str">
        <f>VLOOKUP(A388,'Parameters Summary'!$B$2:$AB$826,21,FALSE)</f>
        <v>EPI</v>
      </c>
      <c r="AF388" s="380"/>
      <c r="AG388" s="97"/>
      <c r="AH388" s="92"/>
      <c r="AI388" s="96"/>
      <c r="AJ388" s="330"/>
      <c r="AL388" s="81"/>
    </row>
    <row r="389" spans="1:38" ht="12.75" customHeight="1">
      <c r="A389" s="95" t="s">
        <v>191</v>
      </c>
      <c r="B389" s="96" t="s">
        <v>2238</v>
      </c>
      <c r="C389" s="96" t="str">
        <f t="shared" si="34"/>
        <v>Yes</v>
      </c>
      <c r="D389" s="96" t="str">
        <f>VLOOKUP(A389,'Tox Summary'!$O$3:$R$824,3,FALSE)</f>
        <v>No</v>
      </c>
      <c r="E389" s="97">
        <f>VLOOKUP(A389,'Parameters Summary'!$B$2:$AB$826,4,FALSE)</f>
        <v>360.88</v>
      </c>
      <c r="F389" s="97" t="str">
        <f>VLOOKUP(A389,'Parameters Summary'!$B$2:$AB$826,5,FALSE)</f>
        <v>PHYSPROP</v>
      </c>
      <c r="G389" s="93">
        <f>VLOOKUP(A389,'Parameters Summary'!$B$2:$AB$826,9,FALSE)</f>
        <v>1.61E-6</v>
      </c>
      <c r="H389" s="93" t="str">
        <f>VLOOKUP(A389,'Parameters Summary'!$B$2:$AB$826,10,FALSE)</f>
        <v>PHYSPROP</v>
      </c>
      <c r="I389" s="93">
        <f>VLOOKUP(A389,'Parameters Summary'!$B$2:$AB$826,24,FALSE)</f>
        <v>5.3299999999999997E-3</v>
      </c>
      <c r="J389" s="97" t="str">
        <f>VLOOKUP(A389,'Parameters Summary'!$B$2:$AB$826,25,FALSE)</f>
        <v>PHYSPROP</v>
      </c>
      <c r="K389" s="97" t="str">
        <f>VLOOKUP(A389,'Tox Summary'!$O$3:$S$827,2,FALSE)</f>
        <v/>
      </c>
      <c r="L389" s="93">
        <f>VLOOKUP(A389,'Parameters Summary'!$B$2:$AB$826,7,FALSE)</f>
        <v>1.4300000000000001E-4</v>
      </c>
      <c r="M389" s="93" t="str">
        <f>VLOOKUP(A389,'Parameters Summary'!$B$2:$AB$826,8,FALSE)</f>
        <v>EPI</v>
      </c>
      <c r="N389" s="91">
        <f>VLOOKUP(A389,'Parameters Summary'!$B$2:$AB$826,6,FALSE)</f>
        <v>5.8462999999999996E-3</v>
      </c>
      <c r="O389" s="91" t="str">
        <f t="shared" si="32"/>
        <v/>
      </c>
      <c r="P389" s="91">
        <f t="shared" si="35"/>
        <v>5.8462999999999996E-3</v>
      </c>
      <c r="Q389" s="91" t="str">
        <f t="shared" si="33"/>
        <v/>
      </c>
      <c r="R389" s="91">
        <f t="shared" si="36"/>
        <v>5.8462999999999996E-3</v>
      </c>
      <c r="S389" s="91" t="str">
        <f t="shared" si="38"/>
        <v/>
      </c>
      <c r="T389" s="93">
        <f>VLOOKUP(A389,'Parameters Summary'!$B$2:$AB$826,15,FALSE)</f>
        <v>4.4421000000000002E-2</v>
      </c>
      <c r="U389" s="93" t="str">
        <f>VLOOKUP(A389,'Parameters Summary'!$B$2:$AB$826,17,FALSE)</f>
        <v>WATER9 (U.S. EPA, 2001)</v>
      </c>
      <c r="V389" s="93">
        <f>VLOOKUP(A389,'Parameters Summary'!$B$2:$AB$826,16,FALSE)</f>
        <v>5.8638999999999999E-6</v>
      </c>
      <c r="W389" s="379" t="str">
        <f>VLOOKUP(A389,'Parameters Summary'!$B$2:$AB$826,17,FALSE)</f>
        <v>WATER9 (U.S. EPA, 2001)</v>
      </c>
      <c r="X389" s="290">
        <f>396.9+273.15</f>
        <v>670.05</v>
      </c>
      <c r="Y389" s="96" t="s">
        <v>553</v>
      </c>
      <c r="Z389" s="96">
        <f t="shared" si="39"/>
        <v>1005.0749999999999</v>
      </c>
      <c r="AA389" s="96" t="s">
        <v>2220</v>
      </c>
      <c r="AB389" s="96" t="s">
        <v>1651</v>
      </c>
      <c r="AC389" s="96"/>
      <c r="AD389" s="93">
        <f>VLOOKUP(A389,'Parameters Summary'!$B$2:$AB$826,20,FALSE)</f>
        <v>213600</v>
      </c>
      <c r="AE389" s="97" t="str">
        <f>VLOOKUP(A389,'Parameters Summary'!$B$2:$AB$826,21,FALSE)</f>
        <v>EPI</v>
      </c>
      <c r="AF389" s="380"/>
      <c r="AG389" s="97"/>
      <c r="AH389" s="92"/>
      <c r="AI389" s="96"/>
      <c r="AJ389" s="330"/>
      <c r="AL389" s="81"/>
    </row>
    <row r="390" spans="1:38" ht="12.75" customHeight="1">
      <c r="A390" s="95" t="s">
        <v>190</v>
      </c>
      <c r="B390" s="96" t="s">
        <v>2239</v>
      </c>
      <c r="C390" s="96" t="str">
        <f t="shared" si="34"/>
        <v>Yes</v>
      </c>
      <c r="D390" s="96" t="str">
        <f>VLOOKUP(A390,'Tox Summary'!$O$3:$R$824,3,FALSE)</f>
        <v>Yes</v>
      </c>
      <c r="E390" s="97">
        <f>VLOOKUP(A390,'Parameters Summary'!$B$2:$AB$826,4,FALSE)</f>
        <v>360.88</v>
      </c>
      <c r="F390" s="97" t="str">
        <f>VLOOKUP(A390,'Parameters Summary'!$B$2:$AB$826,5,FALSE)</f>
        <v>PHYSPROP</v>
      </c>
      <c r="G390" s="93">
        <f>VLOOKUP(A390,'Parameters Summary'!$B$2:$AB$826,9,FALSE)</f>
        <v>5.8100000000000003E-7</v>
      </c>
      <c r="H390" s="93" t="str">
        <f>VLOOKUP(A390,'Parameters Summary'!$B$2:$AB$826,10,FALSE)</f>
        <v>EPI</v>
      </c>
      <c r="I390" s="93">
        <f>VLOOKUP(A390,'Parameters Summary'!$B$2:$AB$826,24,FALSE)</f>
        <v>1.6469E-3</v>
      </c>
      <c r="J390" s="97" t="str">
        <f>VLOOKUP(A390,'Parameters Summary'!$B$2:$AB$826,25,FALSE)</f>
        <v>EPI</v>
      </c>
      <c r="K390" s="97" t="str">
        <f>VLOOKUP(A390,'Tox Summary'!$O$3:$S$827,2,FALSE)</f>
        <v/>
      </c>
      <c r="L390" s="93">
        <f>VLOOKUP(A390,'Parameters Summary'!$B$2:$AB$826,7,FALSE)</f>
        <v>1.6200000000000001E-4</v>
      </c>
      <c r="M390" s="93" t="str">
        <f>VLOOKUP(A390,'Parameters Summary'!$B$2:$AB$826,8,FALSE)</f>
        <v>EPI</v>
      </c>
      <c r="N390" s="91">
        <f>VLOOKUP(A390,'Parameters Summary'!$B$2:$AB$826,6,FALSE)</f>
        <v>6.6230999999999998E-3</v>
      </c>
      <c r="O390" s="91" t="str">
        <f t="shared" si="32"/>
        <v/>
      </c>
      <c r="P390" s="91">
        <f t="shared" si="35"/>
        <v>6.6230999999999998E-3</v>
      </c>
      <c r="Q390" s="91" t="str">
        <f t="shared" si="33"/>
        <v/>
      </c>
      <c r="R390" s="91">
        <f t="shared" si="36"/>
        <v>6.6230999999999998E-3</v>
      </c>
      <c r="S390" s="91" t="str">
        <f t="shared" si="38"/>
        <v/>
      </c>
      <c r="T390" s="93">
        <f>VLOOKUP(A390,'Parameters Summary'!$B$2:$AB$826,15,FALSE)</f>
        <v>4.4421000000000002E-2</v>
      </c>
      <c r="U390" s="93" t="str">
        <f>VLOOKUP(A390,'Parameters Summary'!$B$2:$AB$826,17,FALSE)</f>
        <v>WATER9 (U.S. EPA, 2001)</v>
      </c>
      <c r="V390" s="93">
        <f>VLOOKUP(A390,'Parameters Summary'!$B$2:$AB$826,16,FALSE)</f>
        <v>5.8638999999999999E-6</v>
      </c>
      <c r="W390" s="379" t="str">
        <f>VLOOKUP(A390,'Parameters Summary'!$B$2:$AB$826,17,FALSE)</f>
        <v>WATER9 (U.S. EPA, 2001)</v>
      </c>
      <c r="X390" s="290">
        <f>396.9+273.15</f>
        <v>670.05</v>
      </c>
      <c r="Y390" s="96" t="s">
        <v>553</v>
      </c>
      <c r="Z390" s="96">
        <f t="shared" si="39"/>
        <v>1005.0749999999999</v>
      </c>
      <c r="AA390" s="96" t="s">
        <v>2220</v>
      </c>
      <c r="AB390" s="96" t="s">
        <v>1651</v>
      </c>
      <c r="AC390" s="96"/>
      <c r="AD390" s="93">
        <f>VLOOKUP(A390,'Parameters Summary'!$B$2:$AB$826,20,FALSE)</f>
        <v>213600</v>
      </c>
      <c r="AE390" s="97" t="str">
        <f>VLOOKUP(A390,'Parameters Summary'!$B$2:$AB$826,21,FALSE)</f>
        <v>EPI</v>
      </c>
      <c r="AF390" s="380"/>
      <c r="AG390" s="97"/>
      <c r="AH390" s="92"/>
      <c r="AI390" s="96"/>
      <c r="AJ390" s="330"/>
      <c r="AL390" s="81"/>
    </row>
    <row r="391" spans="1:38" ht="12.75" customHeight="1">
      <c r="A391" s="95" t="s">
        <v>189</v>
      </c>
      <c r="B391" s="96" t="s">
        <v>2240</v>
      </c>
      <c r="C391" s="96" t="str">
        <f t="shared" si="34"/>
        <v>Yes</v>
      </c>
      <c r="D391" s="96" t="str">
        <f>VLOOKUP(A391,'Tox Summary'!$O$3:$R$824,3,FALSE)</f>
        <v>Yes</v>
      </c>
      <c r="E391" s="97">
        <f>VLOOKUP(A391,'Parameters Summary'!$B$2:$AB$826,4,FALSE)</f>
        <v>360.88</v>
      </c>
      <c r="F391" s="97" t="str">
        <f>VLOOKUP(A391,'Parameters Summary'!$B$2:$AB$826,5,FALSE)</f>
        <v>PHYSPROP</v>
      </c>
      <c r="G391" s="93">
        <f>VLOOKUP(A391,'Parameters Summary'!$B$2:$AB$826,9,FALSE)</f>
        <v>5.8100000000000003E-7</v>
      </c>
      <c r="H391" s="93" t="str">
        <f>VLOOKUP(A391,'Parameters Summary'!$B$2:$AB$826,10,FALSE)</f>
        <v>PHYSPROP</v>
      </c>
      <c r="I391" s="93">
        <f>VLOOKUP(A391,'Parameters Summary'!$B$2:$AB$826,24,FALSE)</f>
        <v>2.225E-3</v>
      </c>
      <c r="J391" s="97" t="str">
        <f>VLOOKUP(A391,'Parameters Summary'!$B$2:$AB$826,25,FALSE)</f>
        <v>PHYSPROP</v>
      </c>
      <c r="K391" s="97" t="str">
        <f>VLOOKUP(A391,'Tox Summary'!$O$3:$S$827,2,FALSE)</f>
        <v/>
      </c>
      <c r="L391" s="93">
        <f>VLOOKUP(A391,'Parameters Summary'!$B$2:$AB$826,7,FALSE)</f>
        <v>6.8499999999999998E-5</v>
      </c>
      <c r="M391" s="93" t="str">
        <f>VLOOKUP(A391,'Parameters Summary'!$B$2:$AB$826,8,FALSE)</f>
        <v>PHYSPROP</v>
      </c>
      <c r="N391" s="91">
        <f>VLOOKUP(A391,'Parameters Summary'!$B$2:$AB$826,6,FALSE)</f>
        <v>2.8005E-3</v>
      </c>
      <c r="O391" s="91" t="str">
        <f t="shared" si="32"/>
        <v/>
      </c>
      <c r="P391" s="91">
        <f t="shared" si="35"/>
        <v>2.8005E-3</v>
      </c>
      <c r="Q391" s="91" t="str">
        <f t="shared" si="33"/>
        <v/>
      </c>
      <c r="R391" s="91">
        <f t="shared" si="36"/>
        <v>2.8005E-3</v>
      </c>
      <c r="S391" s="91" t="str">
        <f t="shared" si="38"/>
        <v/>
      </c>
      <c r="T391" s="93">
        <f>VLOOKUP(A391,'Parameters Summary'!$B$2:$AB$826,15,FALSE)</f>
        <v>4.4421000000000002E-2</v>
      </c>
      <c r="U391" s="93" t="str">
        <f>VLOOKUP(A391,'Parameters Summary'!$B$2:$AB$826,17,FALSE)</f>
        <v>WATER9 (U.S. EPA, 2001)</v>
      </c>
      <c r="V391" s="93">
        <f>VLOOKUP(A391,'Parameters Summary'!$B$2:$AB$826,16,FALSE)</f>
        <v>5.8638999999999999E-6</v>
      </c>
      <c r="W391" s="379" t="str">
        <f>VLOOKUP(A391,'Parameters Summary'!$B$2:$AB$826,17,FALSE)</f>
        <v>WATER9 (U.S. EPA, 2001)</v>
      </c>
      <c r="X391" s="290">
        <f>396.9+273.15</f>
        <v>670.05</v>
      </c>
      <c r="Y391" s="96" t="s">
        <v>553</v>
      </c>
      <c r="Z391" s="96">
        <f t="shared" si="39"/>
        <v>1005.0749999999999</v>
      </c>
      <c r="AA391" s="96" t="s">
        <v>2220</v>
      </c>
      <c r="AB391" s="96" t="s">
        <v>1651</v>
      </c>
      <c r="AC391" s="96"/>
      <c r="AD391" s="93">
        <f>VLOOKUP(A391,'Parameters Summary'!$B$2:$AB$826,20,FALSE)</f>
        <v>209300</v>
      </c>
      <c r="AE391" s="97" t="str">
        <f>VLOOKUP(A391,'Parameters Summary'!$B$2:$AB$826,21,FALSE)</f>
        <v>EPI</v>
      </c>
      <c r="AF391" s="380"/>
      <c r="AG391" s="97"/>
      <c r="AH391" s="92"/>
      <c r="AI391" s="96"/>
      <c r="AJ391" s="330"/>
      <c r="AL391" s="81"/>
    </row>
    <row r="392" spans="1:38" ht="12.75" customHeight="1">
      <c r="A392" s="95" t="s">
        <v>192</v>
      </c>
      <c r="B392" s="96" t="s">
        <v>2241</v>
      </c>
      <c r="C392" s="96" t="str">
        <f t="shared" si="34"/>
        <v>Yes</v>
      </c>
      <c r="D392" s="96" t="str">
        <f>VLOOKUP(A392,'Tox Summary'!$O$3:$R$824,3,FALSE)</f>
        <v>No</v>
      </c>
      <c r="E392" s="97">
        <f>VLOOKUP(A392,'Parameters Summary'!$B$2:$AB$826,4,FALSE)</f>
        <v>360.88</v>
      </c>
      <c r="F392" s="97" t="str">
        <f>VLOOKUP(A392,'Parameters Summary'!$B$2:$AB$826,5,FALSE)</f>
        <v>PHYSPROP</v>
      </c>
      <c r="G392" s="93">
        <f>VLOOKUP(A392,'Parameters Summary'!$B$2:$AB$826,9,FALSE)</f>
        <v>5.8100000000000003E-7</v>
      </c>
      <c r="H392" s="93" t="str">
        <f>VLOOKUP(A392,'Parameters Summary'!$B$2:$AB$826,10,FALSE)</f>
        <v>PHYSPROP</v>
      </c>
      <c r="I392" s="93">
        <f>VLOOKUP(A392,'Parameters Summary'!$B$2:$AB$826,24,FALSE)</f>
        <v>5.1000000000000004E-4</v>
      </c>
      <c r="J392" s="97" t="str">
        <f>VLOOKUP(A392,'Parameters Summary'!$B$2:$AB$826,25,FALSE)</f>
        <v>PHYSPROP</v>
      </c>
      <c r="K392" s="97" t="str">
        <f>VLOOKUP(A392,'Tox Summary'!$O$3:$S$827,2,FALSE)</f>
        <v/>
      </c>
      <c r="L392" s="93">
        <f>VLOOKUP(A392,'Parameters Summary'!$B$2:$AB$826,7,FALSE)</f>
        <v>6.8499999999999998E-5</v>
      </c>
      <c r="M392" s="93" t="str">
        <f>VLOOKUP(A392,'Parameters Summary'!$B$2:$AB$826,8,FALSE)</f>
        <v>PHYSPROP</v>
      </c>
      <c r="N392" s="91">
        <f>VLOOKUP(A392,'Parameters Summary'!$B$2:$AB$826,6,FALSE)</f>
        <v>2.8005E-3</v>
      </c>
      <c r="O392" s="91" t="str">
        <f t="shared" si="32"/>
        <v/>
      </c>
      <c r="P392" s="91">
        <f t="shared" si="35"/>
        <v>2.8005E-3</v>
      </c>
      <c r="Q392" s="91" t="str">
        <f t="shared" si="33"/>
        <v/>
      </c>
      <c r="R392" s="91">
        <f t="shared" si="36"/>
        <v>2.8005E-3</v>
      </c>
      <c r="S392" s="91" t="str">
        <f t="shared" si="38"/>
        <v/>
      </c>
      <c r="T392" s="93">
        <f>VLOOKUP(A392,'Parameters Summary'!$B$2:$AB$826,15,FALSE)</f>
        <v>4.4421000000000002E-2</v>
      </c>
      <c r="U392" s="93" t="str">
        <f>VLOOKUP(A392,'Parameters Summary'!$B$2:$AB$826,17,FALSE)</f>
        <v>WATER9 (U.S. EPA, 2001)</v>
      </c>
      <c r="V392" s="93">
        <f>VLOOKUP(A392,'Parameters Summary'!$B$2:$AB$826,16,FALSE)</f>
        <v>5.8638999999999999E-6</v>
      </c>
      <c r="W392" s="379" t="str">
        <f>VLOOKUP(A392,'Parameters Summary'!$B$2:$AB$826,17,FALSE)</f>
        <v>WATER9 (U.S. EPA, 2001)</v>
      </c>
      <c r="X392" s="290">
        <f>396.9+273.15</f>
        <v>670.05</v>
      </c>
      <c r="Y392" s="96" t="s">
        <v>553</v>
      </c>
      <c r="Z392" s="96">
        <f t="shared" si="39"/>
        <v>1005.0749999999999</v>
      </c>
      <c r="AA392" s="96" t="s">
        <v>2220</v>
      </c>
      <c r="AB392" s="96" t="s">
        <v>1651</v>
      </c>
      <c r="AC392" s="96"/>
      <c r="AD392" s="93">
        <f>VLOOKUP(A392,'Parameters Summary'!$B$2:$AB$826,20,FALSE)</f>
        <v>209300</v>
      </c>
      <c r="AE392" s="97" t="str">
        <f>VLOOKUP(A392,'Parameters Summary'!$B$2:$AB$826,21,FALSE)</f>
        <v>EPI</v>
      </c>
      <c r="AF392" s="380"/>
      <c r="AG392" s="97"/>
      <c r="AH392" s="92"/>
      <c r="AI392" s="96"/>
      <c r="AJ392" s="330"/>
      <c r="AL392" s="81"/>
    </row>
    <row r="393" spans="1:38" ht="12.75" customHeight="1">
      <c r="A393" s="95" t="s">
        <v>5</v>
      </c>
      <c r="B393" s="96" t="s">
        <v>1179</v>
      </c>
      <c r="C393" s="96" t="str">
        <f t="shared" si="34"/>
        <v>Yes</v>
      </c>
      <c r="D393" s="96" t="str">
        <f>VLOOKUP(A393,'Tox Summary'!$O$3:$R$824,3,FALSE)</f>
        <v>No</v>
      </c>
      <c r="E393" s="97">
        <f>VLOOKUP(A393,'Parameters Summary'!$B$2:$AB$826,4,FALSE)</f>
        <v>260.76</v>
      </c>
      <c r="F393" s="97" t="str">
        <f>VLOOKUP(A393,'Parameters Summary'!$B$2:$AB$826,5,FALSE)</f>
        <v>PHYSPROP</v>
      </c>
      <c r="G393" s="93">
        <f>VLOOKUP(A393,'Parameters Summary'!$B$2:$AB$826,9,FALSE)</f>
        <v>0.22</v>
      </c>
      <c r="H393" s="93" t="str">
        <f>VLOOKUP(A393,'Parameters Summary'!$B$2:$AB$826,10,FALSE)</f>
        <v>PHYSPROP</v>
      </c>
      <c r="I393" s="93">
        <f>VLOOKUP(A393,'Parameters Summary'!$B$2:$AB$826,24,FALSE)</f>
        <v>3.2</v>
      </c>
      <c r="J393" s="97" t="str">
        <f>VLOOKUP(A393,'Parameters Summary'!$B$2:$AB$826,25,FALSE)</f>
        <v>PHYSPROP</v>
      </c>
      <c r="K393" s="97" t="str">
        <f>VLOOKUP(A393,'Tox Summary'!$O$3:$S$827,2,FALSE)</f>
        <v/>
      </c>
      <c r="L393" s="93">
        <f>VLOOKUP(A393,'Parameters Summary'!$B$2:$AB$826,7,FALSE)</f>
        <v>1.03E-2</v>
      </c>
      <c r="M393" s="93" t="str">
        <f>VLOOKUP(A393,'Parameters Summary'!$B$2:$AB$826,8,FALSE)</f>
        <v>PHYSPROP</v>
      </c>
      <c r="N393" s="91">
        <f>VLOOKUP(A393,'Parameters Summary'!$B$2:$AB$826,6,FALSE)</f>
        <v>0.42109570000000002</v>
      </c>
      <c r="O393" s="91">
        <f t="shared" si="32"/>
        <v>0.42109570000000002</v>
      </c>
      <c r="P393" s="91">
        <f t="shared" si="35"/>
        <v>0.42109570000000002</v>
      </c>
      <c r="Q393" s="91">
        <f t="shared" si="33"/>
        <v>0.42109570000000002</v>
      </c>
      <c r="R393" s="91">
        <f t="shared" si="36"/>
        <v>0.42109570000000002</v>
      </c>
      <c r="S393" s="91">
        <f t="shared" si="38"/>
        <v>3086859.3678674856</v>
      </c>
      <c r="T393" s="93">
        <f>VLOOKUP(A393,'Parameters Summary'!$B$2:$AB$826,15,FALSE)</f>
        <v>2.6744500000000001E-2</v>
      </c>
      <c r="U393" s="93" t="str">
        <f>VLOOKUP(A393,'Parameters Summary'!$B$2:$AB$826,17,FALSE)</f>
        <v>WATER9 (U.S. EPA, 2001)</v>
      </c>
      <c r="V393" s="93">
        <f>VLOOKUP(A393,'Parameters Summary'!$B$2:$AB$826,16,FALSE)</f>
        <v>7.0264000000000002E-6</v>
      </c>
      <c r="W393" s="379" t="str">
        <f>VLOOKUP(A393,'Parameters Summary'!$B$2:$AB$826,17,FALSE)</f>
        <v>WATER9 (U.S. EPA, 2001)</v>
      </c>
      <c r="X393" s="290">
        <f>215+273.15</f>
        <v>488.15</v>
      </c>
      <c r="Y393" s="96" t="s">
        <v>553</v>
      </c>
      <c r="Z393" s="96">
        <f t="shared" si="39"/>
        <v>732.22499999999991</v>
      </c>
      <c r="AA393" s="96" t="s">
        <v>2220</v>
      </c>
      <c r="AB393" s="96">
        <v>10206</v>
      </c>
      <c r="AC393" s="96" t="s">
        <v>2227</v>
      </c>
      <c r="AD393" s="93">
        <f>VLOOKUP(A393,'Parameters Summary'!$B$2:$AB$826,20,FALSE)</f>
        <v>845.2</v>
      </c>
      <c r="AE393" s="97" t="str">
        <f>VLOOKUP(A393,'Parameters Summary'!$B$2:$AB$826,21,FALSE)</f>
        <v>EPI</v>
      </c>
      <c r="AF393" s="380"/>
      <c r="AG393" s="97"/>
      <c r="AH393" s="92"/>
      <c r="AI393" s="96"/>
      <c r="AJ393" s="330"/>
      <c r="AL393" s="81"/>
    </row>
    <row r="394" spans="1:38" ht="12.75" customHeight="1">
      <c r="A394" s="96" t="s">
        <v>6</v>
      </c>
      <c r="B394" s="96" t="s">
        <v>1180</v>
      </c>
      <c r="C394" s="96" t="str">
        <f t="shared" si="34"/>
        <v>No</v>
      </c>
      <c r="D394" s="96" t="str">
        <f>VLOOKUP(A394,'Tox Summary'!$O$3:$R$824,3,FALSE)</f>
        <v>No</v>
      </c>
      <c r="E394" s="97">
        <f>VLOOKUP(A394,'Parameters Summary'!$B$2:$AB$826,4,FALSE)</f>
        <v>290.83</v>
      </c>
      <c r="F394" s="97" t="str">
        <f>VLOOKUP(A394,'Parameters Summary'!$B$2:$AB$826,5,FALSE)</f>
        <v>PHYSPROP</v>
      </c>
      <c r="G394" s="93">
        <f>VLOOKUP(A394,'Parameters Summary'!$B$2:$AB$826,9,FALSE)</f>
        <v>3.5200000000000002E-5</v>
      </c>
      <c r="H394" s="93" t="str">
        <f>VLOOKUP(A394,'Parameters Summary'!$B$2:$AB$826,10,FALSE)</f>
        <v>EPI</v>
      </c>
      <c r="I394" s="93">
        <f>VLOOKUP(A394,'Parameters Summary'!$B$2:$AB$826,24,FALSE)</f>
        <v>2</v>
      </c>
      <c r="J394" s="97" t="str">
        <f>VLOOKUP(A394,'Parameters Summary'!$B$2:$AB$826,25,FALSE)</f>
        <v>PHYSPROP</v>
      </c>
      <c r="K394" s="97" t="str">
        <f>VLOOKUP(A394,'Tox Summary'!$O$3:$S$827,2,FALSE)</f>
        <v/>
      </c>
      <c r="L394" s="93">
        <f>VLOOKUP(A394,'Parameters Summary'!$B$2:$AB$826,7,FALSE)</f>
        <v>6.7000000000000002E-6</v>
      </c>
      <c r="M394" s="93" t="str">
        <f>VLOOKUP(A394,'Parameters Summary'!$B$2:$AB$826,8,FALSE)</f>
        <v>PHYSPROP</v>
      </c>
      <c r="N394" s="91">
        <f>VLOOKUP(A394,'Parameters Summary'!$B$2:$AB$826,6,FALSE)</f>
        <v>2.7389999999999999E-4</v>
      </c>
      <c r="O394" s="91" t="str">
        <f t="shared" si="32"/>
        <v/>
      </c>
      <c r="P394" s="91">
        <f t="shared" si="35"/>
        <v>2.7389999999999999E-4</v>
      </c>
      <c r="Q394" s="91" t="str">
        <f t="shared" si="33"/>
        <v/>
      </c>
      <c r="R394" s="91">
        <f t="shared" si="36"/>
        <v>2.7389999999999999E-4</v>
      </c>
      <c r="S394" s="91" t="str">
        <f t="shared" si="38"/>
        <v/>
      </c>
      <c r="T394" s="93">
        <f>VLOOKUP(A394,'Parameters Summary'!$B$2:$AB$826,15,FALSE)</f>
        <v>4.3284000000000003E-2</v>
      </c>
      <c r="U394" s="93" t="str">
        <f>VLOOKUP(A394,'Parameters Summary'!$B$2:$AB$826,17,FALSE)</f>
        <v>WATER9 (U.S. EPA, 2001)</v>
      </c>
      <c r="V394" s="93">
        <f>VLOOKUP(A394,'Parameters Summary'!$B$2:$AB$826,16,FALSE)</f>
        <v>5.0574000000000001E-6</v>
      </c>
      <c r="W394" s="379" t="str">
        <f>VLOOKUP(A394,'Parameters Summary'!$B$2:$AB$826,17,FALSE)</f>
        <v>WATER9 (U.S. EPA, 2001)</v>
      </c>
      <c r="X394" s="290">
        <v>561.15</v>
      </c>
      <c r="Y394" s="96" t="s">
        <v>553</v>
      </c>
      <c r="Z394" s="96" t="s">
        <v>1653</v>
      </c>
      <c r="AA394" s="96"/>
      <c r="AB394" s="96" t="s">
        <v>1651</v>
      </c>
      <c r="AC394" s="96"/>
      <c r="AD394" s="93">
        <f>VLOOKUP(A394,'Parameters Summary'!$B$2:$AB$826,20,FALSE)</f>
        <v>2807</v>
      </c>
      <c r="AE394" s="97" t="str">
        <f>VLOOKUP(A394,'Parameters Summary'!$B$2:$AB$826,21,FALSE)</f>
        <v>EPI</v>
      </c>
      <c r="AF394" s="97"/>
      <c r="AG394" s="94"/>
      <c r="AH394" s="92"/>
      <c r="AI394" s="96"/>
      <c r="AJ394" s="330"/>
      <c r="AL394" s="81"/>
    </row>
    <row r="395" spans="1:38" ht="12.75" customHeight="1">
      <c r="A395" s="96" t="s">
        <v>7</v>
      </c>
      <c r="B395" s="96" t="s">
        <v>1181</v>
      </c>
      <c r="C395" s="96" t="str">
        <f t="shared" si="34"/>
        <v>No</v>
      </c>
      <c r="D395" s="96" t="str">
        <f>VLOOKUP(A395,'Tox Summary'!$O$3:$R$824,3,FALSE)</f>
        <v>Yes</v>
      </c>
      <c r="E395" s="97">
        <f>VLOOKUP(A395,'Parameters Summary'!$B$2:$AB$826,4,FALSE)</f>
        <v>290.83</v>
      </c>
      <c r="F395" s="97" t="str">
        <f>VLOOKUP(A395,'Parameters Summary'!$B$2:$AB$826,5,FALSE)</f>
        <v>PHYSPROP</v>
      </c>
      <c r="G395" s="93">
        <f>VLOOKUP(A395,'Parameters Summary'!$B$2:$AB$826,9,FALSE)</f>
        <v>3.5999999999999999E-7</v>
      </c>
      <c r="H395" s="93" t="str">
        <f>VLOOKUP(A395,'Parameters Summary'!$B$2:$AB$826,10,FALSE)</f>
        <v>PHYSPROP</v>
      </c>
      <c r="I395" s="93">
        <f>VLOOKUP(A395,'Parameters Summary'!$B$2:$AB$826,24,FALSE)</f>
        <v>0.24</v>
      </c>
      <c r="J395" s="97" t="str">
        <f>VLOOKUP(A395,'Parameters Summary'!$B$2:$AB$826,25,FALSE)</f>
        <v>PHYSPROP</v>
      </c>
      <c r="K395" s="97" t="str">
        <f>VLOOKUP(A395,'Tox Summary'!$O$3:$S$827,2,FALSE)</f>
        <v/>
      </c>
      <c r="L395" s="93">
        <f>VLOOKUP(A395,'Parameters Summary'!$B$2:$AB$826,7,FALSE)</f>
        <v>4.4000000000000002E-7</v>
      </c>
      <c r="M395" s="93" t="str">
        <f>VLOOKUP(A395,'Parameters Summary'!$B$2:$AB$826,8,FALSE)</f>
        <v>PHYSPROP</v>
      </c>
      <c r="N395" s="91">
        <f>VLOOKUP(A395,'Parameters Summary'!$B$2:$AB$826,6,FALSE)</f>
        <v>1.8E-5</v>
      </c>
      <c r="O395" s="91" t="str">
        <f t="shared" si="32"/>
        <v/>
      </c>
      <c r="P395" s="91">
        <f t="shared" si="35"/>
        <v>1.8E-5</v>
      </c>
      <c r="Q395" s="91" t="str">
        <f t="shared" si="33"/>
        <v/>
      </c>
      <c r="R395" s="91">
        <f t="shared" si="36"/>
        <v>1.8E-5</v>
      </c>
      <c r="S395" s="91" t="str">
        <f t="shared" si="38"/>
        <v/>
      </c>
      <c r="T395" s="93">
        <f>VLOOKUP(A395,'Parameters Summary'!$B$2:$AB$826,15,FALSE)</f>
        <v>2.7667199999999999E-2</v>
      </c>
      <c r="U395" s="93" t="str">
        <f>VLOOKUP(A395,'Parameters Summary'!$B$2:$AB$826,17,FALSE)</f>
        <v>WATER9 (U.S. EPA, 2001)</v>
      </c>
      <c r="V395" s="93">
        <f>VLOOKUP(A395,'Parameters Summary'!$B$2:$AB$826,16,FALSE)</f>
        <v>7.3954999999999998E-6</v>
      </c>
      <c r="W395" s="379" t="str">
        <f>VLOOKUP(A395,'Parameters Summary'!$B$2:$AB$826,17,FALSE)</f>
        <v>WATER9 (U.S. EPA, 2001)</v>
      </c>
      <c r="X395" s="290">
        <v>333.15</v>
      </c>
      <c r="Y395" s="96" t="s">
        <v>553</v>
      </c>
      <c r="Z395" s="96" t="s">
        <v>1653</v>
      </c>
      <c r="AA395" s="96"/>
      <c r="AB395" s="96" t="s">
        <v>1651</v>
      </c>
      <c r="AC395" s="96"/>
      <c r="AD395" s="93">
        <f>VLOOKUP(A395,'Parameters Summary'!$B$2:$AB$826,20,FALSE)</f>
        <v>2807</v>
      </c>
      <c r="AE395" s="97" t="str">
        <f>VLOOKUP(A395,'Parameters Summary'!$B$2:$AB$826,21,FALSE)</f>
        <v>EPI</v>
      </c>
      <c r="AF395" s="97"/>
      <c r="AG395" s="94"/>
      <c r="AH395" s="92"/>
      <c r="AI395" s="96"/>
      <c r="AJ395" s="330"/>
      <c r="AL395" s="81"/>
    </row>
    <row r="396" spans="1:38" ht="12.75" customHeight="1">
      <c r="A396" s="96" t="s">
        <v>8</v>
      </c>
      <c r="B396" s="96" t="s">
        <v>1182</v>
      </c>
      <c r="C396" s="96" t="str">
        <f t="shared" si="34"/>
        <v>No</v>
      </c>
      <c r="D396" s="96" t="str">
        <f>VLOOKUP(A396,'Tox Summary'!$O$3:$R$824,3,FALSE)</f>
        <v>No</v>
      </c>
      <c r="E396" s="97">
        <f>VLOOKUP(A396,'Parameters Summary'!$B$2:$AB$826,4,FALSE)</f>
        <v>290.83</v>
      </c>
      <c r="F396" s="97" t="str">
        <f>VLOOKUP(A396,'Parameters Summary'!$B$2:$AB$826,5,FALSE)</f>
        <v>PHYSPROP</v>
      </c>
      <c r="G396" s="93">
        <f>VLOOKUP(A396,'Parameters Summary'!$B$2:$AB$826,9,FALSE)</f>
        <v>4.1999999999999998E-5</v>
      </c>
      <c r="H396" s="93" t="str">
        <f>VLOOKUP(A396,'Parameters Summary'!$B$2:$AB$826,10,FALSE)</f>
        <v>PHYSPROP</v>
      </c>
      <c r="I396" s="93">
        <f>VLOOKUP(A396,'Parameters Summary'!$B$2:$AB$826,24,FALSE)</f>
        <v>7.3</v>
      </c>
      <c r="J396" s="97" t="str">
        <f>VLOOKUP(A396,'Parameters Summary'!$B$2:$AB$826,25,FALSE)</f>
        <v>PHYSPROP</v>
      </c>
      <c r="K396" s="97">
        <f>VLOOKUP(A396,'Tox Summary'!$O$3:$S$827,2,FALSE)</f>
        <v>0.2</v>
      </c>
      <c r="L396" s="93">
        <f>VLOOKUP(A396,'Parameters Summary'!$B$2:$AB$826,7,FALSE)</f>
        <v>5.1399999999999999E-6</v>
      </c>
      <c r="M396" s="93" t="str">
        <f>VLOOKUP(A396,'Parameters Summary'!$B$2:$AB$826,8,FALSE)</f>
        <v>PHYSPROP</v>
      </c>
      <c r="N396" s="91">
        <f>VLOOKUP(A396,'Parameters Summary'!$B$2:$AB$826,6,FALSE)</f>
        <v>2.1010000000000001E-4</v>
      </c>
      <c r="O396" s="91" t="str">
        <f t="shared" si="32"/>
        <v/>
      </c>
      <c r="P396" s="91">
        <f t="shared" si="35"/>
        <v>2.1010000000000001E-4</v>
      </c>
      <c r="Q396" s="91" t="str">
        <f t="shared" si="33"/>
        <v/>
      </c>
      <c r="R396" s="91">
        <f t="shared" si="36"/>
        <v>2.1010000000000001E-4</v>
      </c>
      <c r="S396" s="91" t="str">
        <f t="shared" si="38"/>
        <v/>
      </c>
      <c r="T396" s="93">
        <f>VLOOKUP(A396,'Parameters Summary'!$B$2:$AB$826,15,FALSE)</f>
        <v>4.3284000000000003E-2</v>
      </c>
      <c r="U396" s="93" t="str">
        <f>VLOOKUP(A396,'Parameters Summary'!$B$2:$AB$826,17,FALSE)</f>
        <v>WATER9 (U.S. EPA, 2001)</v>
      </c>
      <c r="V396" s="93">
        <f>VLOOKUP(A396,'Parameters Summary'!$B$2:$AB$826,16,FALSE)</f>
        <v>5.0574000000000001E-6</v>
      </c>
      <c r="W396" s="379" t="str">
        <f>VLOOKUP(A396,'Parameters Summary'!$B$2:$AB$826,17,FALSE)</f>
        <v>WATER9 (U.S. EPA, 2001)</v>
      </c>
      <c r="X396" s="290">
        <v>596.54999999999995</v>
      </c>
      <c r="Y396" s="96" t="s">
        <v>553</v>
      </c>
      <c r="Z396" s="96" t="s">
        <v>1653</v>
      </c>
      <c r="AA396" s="96"/>
      <c r="AB396" s="96" t="s">
        <v>1651</v>
      </c>
      <c r="AC396" s="96"/>
      <c r="AD396" s="93">
        <f>VLOOKUP(A396,'Parameters Summary'!$B$2:$AB$826,20,FALSE)</f>
        <v>2807</v>
      </c>
      <c r="AE396" s="97" t="str">
        <f>VLOOKUP(A396,'Parameters Summary'!$B$2:$AB$826,21,FALSE)</f>
        <v>EPI</v>
      </c>
      <c r="AF396" s="97"/>
      <c r="AG396" s="94"/>
      <c r="AH396" s="92"/>
      <c r="AI396" s="96"/>
      <c r="AJ396" s="330"/>
      <c r="AL396" s="81"/>
    </row>
    <row r="397" spans="1:38" ht="12.75" customHeight="1">
      <c r="A397" s="96" t="s">
        <v>9</v>
      </c>
      <c r="B397" s="96" t="s">
        <v>1183</v>
      </c>
      <c r="C397" s="96" t="str">
        <f t="shared" si="34"/>
        <v>No</v>
      </c>
      <c r="D397" s="96" t="str">
        <f>VLOOKUP(A397,'Tox Summary'!$O$3:$R$824,3,FALSE)</f>
        <v>Yes</v>
      </c>
      <c r="E397" s="97">
        <f>VLOOKUP(A397,'Parameters Summary'!$B$2:$AB$826,4,FALSE)</f>
        <v>290.83</v>
      </c>
      <c r="F397" s="97" t="str">
        <f>VLOOKUP(A397,'Parameters Summary'!$B$2:$AB$826,5,FALSE)</f>
        <v>PHYSPROP</v>
      </c>
      <c r="G397" s="93">
        <f>VLOOKUP(A397,'Parameters Summary'!$B$2:$AB$826,9,FALSE)</f>
        <v>3.5200000000000002E-5</v>
      </c>
      <c r="H397" s="93" t="str">
        <f>VLOOKUP(A397,'Parameters Summary'!$B$2:$AB$826,10,FALSE)</f>
        <v>EPI</v>
      </c>
      <c r="I397" s="93">
        <f>VLOOKUP(A397,'Parameters Summary'!$B$2:$AB$826,24,FALSE)</f>
        <v>8</v>
      </c>
      <c r="J397" s="97" t="str">
        <f>VLOOKUP(A397,'Parameters Summary'!$B$2:$AB$826,25,FALSE)</f>
        <v>PHYSPROP</v>
      </c>
      <c r="K397" s="97" t="str">
        <f>VLOOKUP(A397,'Tox Summary'!$O$3:$S$827,2,FALSE)</f>
        <v/>
      </c>
      <c r="L397" s="93">
        <f>VLOOKUP(A397,'Parameters Summary'!$B$2:$AB$826,7,FALSE)</f>
        <v>5.1399999999999999E-6</v>
      </c>
      <c r="M397" s="93" t="str">
        <f>VLOOKUP(A397,'Parameters Summary'!$B$2:$AB$826,8,FALSE)</f>
        <v>EPI</v>
      </c>
      <c r="N397" s="91">
        <f>VLOOKUP(A397,'Parameters Summary'!$B$2:$AB$826,6,FALSE)</f>
        <v>2.1010000000000001E-4</v>
      </c>
      <c r="O397" s="91" t="str">
        <f t="shared" ref="O397:O459" si="40">IF(OR(L397="No Hc25",Z397="No Tcrit",AB397="No DHv,b"),"",N397*EXP((-(AB397*((1-(Tgw+273)/Z397)/(1-X397/Z397))^(IF(X397/Z397&lt;0.57,0.3,IF(X397/Z397&gt;0.71,0.41,0.74*(X397/Z397)-0.116))))/1.9872)*(1/(Tgw+273)-1/298)))</f>
        <v/>
      </c>
      <c r="P397" s="91">
        <f t="shared" si="35"/>
        <v>2.1010000000000001E-4</v>
      </c>
      <c r="Q397" s="91" t="str">
        <f t="shared" ref="Q397:Q459" si="41">IF(OR(L397="No Hc25",Z397="No Tcrit",AB397="No DHv,b"),"",N397*EXP((-(AB397*((1-(Tgw_GW+273)/Z397)/(1-X397/Z397))^(IF(X397/Z397&lt;0.57,0.3,IF(X397/Z397&gt;0.71,0.41,0.74*(X397/Z397)-0.116))))/1.9872)*(1/(Tgw_GW+273)-1/298)))</f>
        <v/>
      </c>
      <c r="R397" s="91">
        <f t="shared" si="36"/>
        <v>2.1010000000000001E-4</v>
      </c>
      <c r="S397" s="91" t="str">
        <f t="shared" si="38"/>
        <v/>
      </c>
      <c r="T397" s="93">
        <f>VLOOKUP(A397,'Parameters Summary'!$B$2:$AB$826,15,FALSE)</f>
        <v>4.3284000000000003E-2</v>
      </c>
      <c r="U397" s="93" t="str">
        <f>VLOOKUP(A397,'Parameters Summary'!$B$2:$AB$826,17,FALSE)</f>
        <v>WATER9 (U.S. EPA, 2001)</v>
      </c>
      <c r="V397" s="93">
        <f>VLOOKUP(A397,'Parameters Summary'!$B$2:$AB$826,16,FALSE)</f>
        <v>5.0574000000000001E-6</v>
      </c>
      <c r="W397" s="379" t="str">
        <f>VLOOKUP(A397,'Parameters Summary'!$B$2:$AB$826,17,FALSE)</f>
        <v>WATER9 (U.S. EPA, 2001)</v>
      </c>
      <c r="X397" s="347"/>
      <c r="Y397" s="96"/>
      <c r="Z397" s="96" t="s">
        <v>1653</v>
      </c>
      <c r="AA397" s="96"/>
      <c r="AB397" s="96" t="s">
        <v>1651</v>
      </c>
      <c r="AC397" s="96"/>
      <c r="AD397" s="93">
        <f>VLOOKUP(A397,'Parameters Summary'!$B$2:$AB$826,20,FALSE)</f>
        <v>2807</v>
      </c>
      <c r="AE397" s="97" t="str">
        <f>VLOOKUP(A397,'Parameters Summary'!$B$2:$AB$826,21,FALSE)</f>
        <v>EPI</v>
      </c>
      <c r="AF397" s="97"/>
      <c r="AG397" s="94"/>
      <c r="AH397" s="92"/>
      <c r="AI397" s="96"/>
      <c r="AJ397" s="330"/>
      <c r="AL397" s="81"/>
    </row>
    <row r="398" spans="1:38" ht="12.75" customHeight="1">
      <c r="A398" s="95" t="s">
        <v>10</v>
      </c>
      <c r="B398" s="96" t="s">
        <v>384</v>
      </c>
      <c r="C398" s="96" t="str">
        <f t="shared" ref="C398:C460" si="42">IF((COUNTIF(G398,"&gt;1")+COUNTIF(L398,"&gt;1E-5"))&gt;0,"Yes","No")</f>
        <v>Yes</v>
      </c>
      <c r="D398" s="96" t="str">
        <f>VLOOKUP(A398,'Tox Summary'!$O$3:$R$824,3,FALSE)</f>
        <v>No</v>
      </c>
      <c r="E398" s="97">
        <f>VLOOKUP(A398,'Parameters Summary'!$B$2:$AB$826,4,FALSE)</f>
        <v>272.77</v>
      </c>
      <c r="F398" s="97" t="str">
        <f>VLOOKUP(A398,'Parameters Summary'!$B$2:$AB$826,5,FALSE)</f>
        <v>PHYSPROP</v>
      </c>
      <c r="G398" s="93">
        <f>VLOOKUP(A398,'Parameters Summary'!$B$2:$AB$826,9,FALSE)</f>
        <v>0.06</v>
      </c>
      <c r="H398" s="93" t="str">
        <f>VLOOKUP(A398,'Parameters Summary'!$B$2:$AB$826,10,FALSE)</f>
        <v>PHYSPROP</v>
      </c>
      <c r="I398" s="93">
        <f>VLOOKUP(A398,'Parameters Summary'!$B$2:$AB$826,24,FALSE)</f>
        <v>1.8</v>
      </c>
      <c r="J398" s="97" t="str">
        <f>VLOOKUP(A398,'Parameters Summary'!$B$2:$AB$826,25,FALSE)</f>
        <v>PHYSPROP</v>
      </c>
      <c r="K398" s="97">
        <f>VLOOKUP(A398,'Tox Summary'!$O$3:$S$827,2,FALSE)</f>
        <v>50</v>
      </c>
      <c r="L398" s="93">
        <f>VLOOKUP(A398,'Parameters Summary'!$B$2:$AB$826,7,FALSE)</f>
        <v>2.7E-2</v>
      </c>
      <c r="M398" s="93" t="str">
        <f>VLOOKUP(A398,'Parameters Summary'!$B$2:$AB$826,8,FALSE)</f>
        <v>PHYSPROP</v>
      </c>
      <c r="N398" s="91">
        <f>VLOOKUP(A398,'Parameters Summary'!$B$2:$AB$826,6,FALSE)</f>
        <v>1.1038429999999999</v>
      </c>
      <c r="O398" s="91">
        <f t="shared" si="40"/>
        <v>1.1038429999999999</v>
      </c>
      <c r="P398" s="91">
        <f t="shared" ref="P398:P460" si="43">IF(O398="",N398,O398)</f>
        <v>1.1038429999999999</v>
      </c>
      <c r="Q398" s="91">
        <f t="shared" si="41"/>
        <v>1.1038429999999999</v>
      </c>
      <c r="R398" s="91">
        <f t="shared" ref="R398:R460" si="44">IF(Q398="",P398,Q398)</f>
        <v>1.1038429999999999</v>
      </c>
      <c r="S398" s="91">
        <f t="shared" si="38"/>
        <v>880645.34762709076</v>
      </c>
      <c r="T398" s="93">
        <f>VLOOKUP(A398,'Parameters Summary'!$B$2:$AB$826,15,FALSE)</f>
        <v>2.7238200000000001E-2</v>
      </c>
      <c r="U398" s="93" t="str">
        <f>VLOOKUP(A398,'Parameters Summary'!$B$2:$AB$826,17,FALSE)</f>
        <v>WATER9 (U.S. EPA, 2001)</v>
      </c>
      <c r="V398" s="93">
        <f>VLOOKUP(A398,'Parameters Summary'!$B$2:$AB$826,16,FALSE)</f>
        <v>7.2169999999999997E-6</v>
      </c>
      <c r="W398" s="379" t="str">
        <f>VLOOKUP(A398,'Parameters Summary'!$B$2:$AB$826,17,FALSE)</f>
        <v>WATER9 (U.S. EPA, 2001)</v>
      </c>
      <c r="X398" s="290">
        <f>239+273.15</f>
        <v>512.15</v>
      </c>
      <c r="Y398" s="96" t="s">
        <v>553</v>
      </c>
      <c r="Z398" s="96">
        <f>1.5*X398</f>
        <v>768.22499999999991</v>
      </c>
      <c r="AA398" s="96" t="s">
        <v>2220</v>
      </c>
      <c r="AB398" s="96">
        <f>180000*0.238846</f>
        <v>42992.28</v>
      </c>
      <c r="AC398" s="96" t="s">
        <v>2218</v>
      </c>
      <c r="AD398" s="93">
        <f>VLOOKUP(A398,'Parameters Summary'!$B$2:$AB$826,20,FALSE)</f>
        <v>1404</v>
      </c>
      <c r="AE398" s="97" t="str">
        <f>VLOOKUP(A398,'Parameters Summary'!$B$2:$AB$826,21,FALSE)</f>
        <v>EPI</v>
      </c>
      <c r="AF398" s="380"/>
      <c r="AG398" s="97"/>
      <c r="AH398" s="92"/>
      <c r="AI398" s="96"/>
      <c r="AJ398" s="330"/>
      <c r="AL398" s="81"/>
    </row>
    <row r="399" spans="1:38" ht="12.75" customHeight="1">
      <c r="A399" s="96" t="s">
        <v>2176</v>
      </c>
      <c r="B399" s="96" t="s">
        <v>2410</v>
      </c>
      <c r="C399" s="96" t="str">
        <f t="shared" si="42"/>
        <v>No</v>
      </c>
      <c r="D399" s="96" t="str">
        <f>VLOOKUP(A399,'Tox Summary'!$O$3:$R$824,3,FALSE)</f>
        <v>No</v>
      </c>
      <c r="E399" s="97">
        <f>VLOOKUP(A399,'Parameters Summary'!$B$2:$AB$826,4,FALSE)</f>
        <v>390.87</v>
      </c>
      <c r="F399" s="97" t="str">
        <f>VLOOKUP(A399,'Parameters Summary'!$B$2:$AB$826,5,FALSE)</f>
        <v>EPI</v>
      </c>
      <c r="G399" s="93">
        <f>VLOOKUP(A399,'Parameters Summary'!$B$2:$AB$826,9,FALSE)</f>
        <v>4.4000000000000003E-11</v>
      </c>
      <c r="H399" s="93" t="str">
        <f>VLOOKUP(A399,'Parameters Summary'!$B$2:$AB$826,10,FALSE)</f>
        <v>EPI</v>
      </c>
      <c r="I399" s="93">
        <f>VLOOKUP(A399,'Parameters Summary'!$B$2:$AB$826,24,FALSE)</f>
        <v>3.9999999999999998E-6</v>
      </c>
      <c r="J399" s="97" t="str">
        <f>VLOOKUP(A399,'Parameters Summary'!$B$2:$AB$826,25,FALSE)</f>
        <v>EPI</v>
      </c>
      <c r="K399" s="97" t="str">
        <f>VLOOKUP(A399,'Tox Summary'!$O$3:$S$827,2,FALSE)</f>
        <v/>
      </c>
      <c r="L399" s="93">
        <f>VLOOKUP(A399,'Parameters Summary'!$B$2:$AB$826,7,FALSE)</f>
        <v>5.6999999999999996E-6</v>
      </c>
      <c r="M399" s="93" t="str">
        <f>VLOOKUP(A399,'Parameters Summary'!$B$2:$AB$826,8,FALSE)</f>
        <v>EPI</v>
      </c>
      <c r="N399" s="91">
        <f>VLOOKUP(A399,'Parameters Summary'!$B$2:$AB$826,6,FALSE)</f>
        <v>2.33E-4</v>
      </c>
      <c r="O399" s="91" t="str">
        <f t="shared" si="40"/>
        <v/>
      </c>
      <c r="P399" s="91">
        <f t="shared" si="43"/>
        <v>2.33E-4</v>
      </c>
      <c r="Q399" s="91" t="str">
        <f t="shared" si="41"/>
        <v/>
      </c>
      <c r="R399" s="91">
        <f t="shared" si="44"/>
        <v>2.33E-4</v>
      </c>
      <c r="S399" s="91"/>
      <c r="T399" s="93">
        <f>VLOOKUP(A399,'Parameters Summary'!$B$2:$AB$826,15,FALSE)</f>
        <v>4.26828E-2</v>
      </c>
      <c r="U399" s="93" t="str">
        <f>VLOOKUP(A399,'Parameters Summary'!$B$2:$AB$826,17,FALSE)</f>
        <v>WATER9 (U.S. EPA, 2001)</v>
      </c>
      <c r="V399" s="93">
        <f>VLOOKUP(A399,'Parameters Summary'!$B$2:$AB$826,16,FALSE)</f>
        <v>4.1527000000000001E-6</v>
      </c>
      <c r="W399" s="379" t="str">
        <f>VLOOKUP(A399,'Parameters Summary'!$B$2:$AB$826,17,FALSE)</f>
        <v>WATER9 (U.S. EPA, 2001)</v>
      </c>
      <c r="X399" s="347"/>
      <c r="Y399" s="96"/>
      <c r="Z399" s="96" t="s">
        <v>1653</v>
      </c>
      <c r="AA399" s="96"/>
      <c r="AB399" s="96" t="s">
        <v>1651</v>
      </c>
      <c r="AC399" s="96"/>
      <c r="AD399" s="93">
        <f>VLOOKUP(A399,'Parameters Summary'!$B$2:$AB$826,20,FALSE)</f>
        <v>695200</v>
      </c>
      <c r="AE399" s="97" t="str">
        <f>VLOOKUP(A399,'Parameters Summary'!$B$2:$AB$826,21,FALSE)</f>
        <v>EPI</v>
      </c>
      <c r="AF399" s="97"/>
      <c r="AG399" s="94"/>
      <c r="AH399" s="92"/>
      <c r="AI399" s="96"/>
      <c r="AJ399" s="330"/>
      <c r="AL399" s="81"/>
    </row>
    <row r="400" spans="1:38" ht="12.75" customHeight="1">
      <c r="A400" s="95" t="s">
        <v>11</v>
      </c>
      <c r="B400" s="96" t="s">
        <v>385</v>
      </c>
      <c r="C400" s="96" t="str">
        <f t="shared" si="42"/>
        <v>Yes</v>
      </c>
      <c r="D400" s="96" t="str">
        <f>VLOOKUP(A400,'Tox Summary'!$O$3:$R$824,3,FALSE)</f>
        <v>Yes</v>
      </c>
      <c r="E400" s="97">
        <f>VLOOKUP(A400,'Parameters Summary'!$B$2:$AB$826,4,FALSE)</f>
        <v>236.74</v>
      </c>
      <c r="F400" s="97" t="str">
        <f>VLOOKUP(A400,'Parameters Summary'!$B$2:$AB$826,5,FALSE)</f>
        <v>PHYSPROP</v>
      </c>
      <c r="G400" s="93">
        <f>VLOOKUP(A400,'Parameters Summary'!$B$2:$AB$826,9,FALSE)</f>
        <v>0.21</v>
      </c>
      <c r="H400" s="93" t="str">
        <f>VLOOKUP(A400,'Parameters Summary'!$B$2:$AB$826,10,FALSE)</f>
        <v>PHYSPROP</v>
      </c>
      <c r="I400" s="93">
        <f>VLOOKUP(A400,'Parameters Summary'!$B$2:$AB$826,24,FALSE)</f>
        <v>50</v>
      </c>
      <c r="J400" s="97" t="str">
        <f>VLOOKUP(A400,'Parameters Summary'!$B$2:$AB$826,25,FALSE)</f>
        <v>PHYSPROP</v>
      </c>
      <c r="K400" s="97" t="str">
        <f>VLOOKUP(A400,'Tox Summary'!$O$3:$S$827,2,FALSE)</f>
        <v/>
      </c>
      <c r="L400" s="93">
        <f>VLOOKUP(A400,'Parameters Summary'!$B$2:$AB$826,7,FALSE)</f>
        <v>3.8899999999999998E-3</v>
      </c>
      <c r="M400" s="93" t="str">
        <f>VLOOKUP(A400,'Parameters Summary'!$B$2:$AB$826,8,FALSE)</f>
        <v>PHYSPROP</v>
      </c>
      <c r="N400" s="91">
        <f>VLOOKUP(A400,'Parameters Summary'!$B$2:$AB$826,6,FALSE)</f>
        <v>0.15903519999999999</v>
      </c>
      <c r="O400" s="91">
        <f t="shared" si="40"/>
        <v>0.15903519999999999</v>
      </c>
      <c r="P400" s="91">
        <f t="shared" si="43"/>
        <v>0.15903519999999999</v>
      </c>
      <c r="Q400" s="91">
        <f t="shared" si="41"/>
        <v>0.15903519999999999</v>
      </c>
      <c r="R400" s="91">
        <f t="shared" si="44"/>
        <v>0.15903519999999999</v>
      </c>
      <c r="S400" s="91">
        <f t="shared" ref="S400:S462" si="45">IF(OR(G400="No VP",Z400="No Tcrit",AB400="No DHv,b",L400="No Hc25"),"",G400*E400*53808.7856452378*O400/N400)</f>
        <v>2675125.3018672555</v>
      </c>
      <c r="T400" s="93">
        <f>VLOOKUP(A400,'Parameters Summary'!$B$2:$AB$826,15,FALSE)</f>
        <v>3.2093799999999999E-2</v>
      </c>
      <c r="U400" s="93" t="str">
        <f>VLOOKUP(A400,'Parameters Summary'!$B$2:$AB$826,17,FALSE)</f>
        <v>WATER9 (U.S. EPA, 2001)</v>
      </c>
      <c r="V400" s="93">
        <f>VLOOKUP(A400,'Parameters Summary'!$B$2:$AB$826,16,FALSE)</f>
        <v>8.8904000000000005E-6</v>
      </c>
      <c r="W400" s="379" t="str">
        <f>VLOOKUP(A400,'Parameters Summary'!$B$2:$AB$826,17,FALSE)</f>
        <v>WATER9 (U.S. EPA, 2001)</v>
      </c>
      <c r="X400" s="290">
        <f>154.45+273.15</f>
        <v>427.59999999999997</v>
      </c>
      <c r="Y400" s="96" t="s">
        <v>553</v>
      </c>
      <c r="Z400" s="96">
        <f>1.5*X400</f>
        <v>641.4</v>
      </c>
      <c r="AA400" s="96" t="s">
        <v>2220</v>
      </c>
      <c r="AB400" s="96">
        <v>11711.3</v>
      </c>
      <c r="AC400" s="96" t="s">
        <v>2215</v>
      </c>
      <c r="AD400" s="93">
        <f>VLOOKUP(A400,'Parameters Summary'!$B$2:$AB$826,20,FALSE)</f>
        <v>196.8</v>
      </c>
      <c r="AE400" s="97" t="str">
        <f>VLOOKUP(A400,'Parameters Summary'!$B$2:$AB$826,21,FALSE)</f>
        <v>EPI</v>
      </c>
      <c r="AF400" s="380"/>
      <c r="AG400" s="97"/>
      <c r="AH400" s="92"/>
      <c r="AI400" s="96"/>
      <c r="AJ400" s="330"/>
      <c r="AL400" s="81"/>
    </row>
    <row r="401" spans="1:38" ht="12.75" customHeight="1">
      <c r="A401" s="96" t="s">
        <v>12</v>
      </c>
      <c r="B401" s="96" t="s">
        <v>1184</v>
      </c>
      <c r="C401" s="96" t="str">
        <f t="shared" si="42"/>
        <v>No</v>
      </c>
      <c r="D401" s="96" t="str">
        <f>VLOOKUP(A401,'Tox Summary'!$O$3:$R$824,3,FALSE)</f>
        <v>No</v>
      </c>
      <c r="E401" s="97">
        <f>VLOOKUP(A401,'Parameters Summary'!$B$2:$AB$826,4,FALSE)</f>
        <v>406.91</v>
      </c>
      <c r="F401" s="97" t="str">
        <f>VLOOKUP(A401,'Parameters Summary'!$B$2:$AB$826,5,FALSE)</f>
        <v>PHYSPROP</v>
      </c>
      <c r="G401" s="93">
        <f>VLOOKUP(A401,'Parameters Summary'!$B$2:$AB$826,9,FALSE)</f>
        <v>1.0300000000000001E-10</v>
      </c>
      <c r="H401" s="93" t="str">
        <f>VLOOKUP(A401,'Parameters Summary'!$B$2:$AB$826,10,FALSE)</f>
        <v>PHYSPROP</v>
      </c>
      <c r="I401" s="93">
        <f>VLOOKUP(A401,'Parameters Summary'!$B$2:$AB$826,24,FALSE)</f>
        <v>140</v>
      </c>
      <c r="J401" s="97" t="str">
        <f>VLOOKUP(A401,'Parameters Summary'!$B$2:$AB$826,25,FALSE)</f>
        <v>PHYSPROP</v>
      </c>
      <c r="K401" s="97" t="str">
        <f>VLOOKUP(A401,'Tox Summary'!$O$3:$S$827,2,FALSE)</f>
        <v/>
      </c>
      <c r="L401" s="93">
        <f>VLOOKUP(A401,'Parameters Summary'!$B$2:$AB$826,7,FALSE)</f>
        <v>5.4799999999999999E-13</v>
      </c>
      <c r="M401" s="93" t="str">
        <f>VLOOKUP(A401,'Parameters Summary'!$B$2:$AB$826,8,FALSE)</f>
        <v>PHYSPROP</v>
      </c>
      <c r="N401" s="91">
        <f>VLOOKUP(A401,'Parameters Summary'!$B$2:$AB$826,6,FALSE)</f>
        <v>2.2400000000000001E-11</v>
      </c>
      <c r="O401" s="91" t="str">
        <f t="shared" si="40"/>
        <v/>
      </c>
      <c r="P401" s="91">
        <f t="shared" si="43"/>
        <v>2.2400000000000001E-11</v>
      </c>
      <c r="Q401" s="91" t="str">
        <f t="shared" si="41"/>
        <v/>
      </c>
      <c r="R401" s="91">
        <f t="shared" si="44"/>
        <v>2.2400000000000001E-11</v>
      </c>
      <c r="S401" s="91" t="str">
        <f t="shared" si="45"/>
        <v/>
      </c>
      <c r="T401" s="93">
        <f>VLOOKUP(A401,'Parameters Summary'!$B$2:$AB$826,15,FALSE)</f>
        <v>3.4601E-2</v>
      </c>
      <c r="U401" s="93" t="str">
        <f>VLOOKUP(A401,'Parameters Summary'!$B$2:$AB$826,17,FALSE)</f>
        <v>WATER9 (U.S. EPA, 2001)</v>
      </c>
      <c r="V401" s="93">
        <f>VLOOKUP(A401,'Parameters Summary'!$B$2:$AB$826,16,FALSE)</f>
        <v>4.0427999999999996E-6</v>
      </c>
      <c r="W401" s="379" t="str">
        <f>VLOOKUP(A401,'Parameters Summary'!$B$2:$AB$826,17,FALSE)</f>
        <v>WATER9 (U.S. EPA, 2001)</v>
      </c>
      <c r="X401" s="290">
        <v>752.15</v>
      </c>
      <c r="Y401" s="96" t="s">
        <v>553</v>
      </c>
      <c r="Z401" s="96" t="s">
        <v>1653</v>
      </c>
      <c r="AA401" s="96"/>
      <c r="AB401" s="96" t="s">
        <v>1651</v>
      </c>
      <c r="AC401" s="96"/>
      <c r="AD401" s="93">
        <f>VLOOKUP(A401,'Parameters Summary'!$B$2:$AB$826,20,FALSE)</f>
        <v>668600</v>
      </c>
      <c r="AE401" s="97" t="str">
        <f>VLOOKUP(A401,'Parameters Summary'!$B$2:$AB$826,21,FALSE)</f>
        <v>EPI</v>
      </c>
      <c r="AF401" s="97"/>
      <c r="AG401" s="94"/>
      <c r="AH401" s="92"/>
      <c r="AI401" s="96"/>
      <c r="AJ401" s="330"/>
      <c r="AL401" s="81"/>
    </row>
    <row r="402" spans="1:38" ht="12.75" customHeight="1">
      <c r="A402" s="96" t="s">
        <v>13</v>
      </c>
      <c r="B402" s="96" t="s">
        <v>1185</v>
      </c>
      <c r="C402" s="96" t="str">
        <f t="shared" si="42"/>
        <v>No</v>
      </c>
      <c r="D402" s="96" t="str">
        <f>VLOOKUP(A402,'Tox Summary'!$O$3:$R$824,3,FALSE)</f>
        <v>No</v>
      </c>
      <c r="E402" s="97">
        <f>VLOOKUP(A402,'Parameters Summary'!$B$2:$AB$826,4,FALSE)</f>
        <v>222.12</v>
      </c>
      <c r="F402" s="97" t="str">
        <f>VLOOKUP(A402,'Parameters Summary'!$B$2:$AB$826,5,FALSE)</f>
        <v>PHYSPROP</v>
      </c>
      <c r="G402" s="93">
        <f>VLOOKUP(A402,'Parameters Summary'!$B$2:$AB$826,9,FALSE)</f>
        <v>4.1000000000000003E-9</v>
      </c>
      <c r="H402" s="93" t="str">
        <f>VLOOKUP(A402,'Parameters Summary'!$B$2:$AB$826,10,FALSE)</f>
        <v>EPI</v>
      </c>
      <c r="I402" s="93">
        <f>VLOOKUP(A402,'Parameters Summary'!$B$2:$AB$826,24,FALSE)</f>
        <v>59.7</v>
      </c>
      <c r="J402" s="97" t="str">
        <f>VLOOKUP(A402,'Parameters Summary'!$B$2:$AB$826,25,FALSE)</f>
        <v>PHYSPROP</v>
      </c>
      <c r="K402" s="97" t="str">
        <f>VLOOKUP(A402,'Tox Summary'!$O$3:$S$827,2,FALSE)</f>
        <v/>
      </c>
      <c r="L402" s="93">
        <f>VLOOKUP(A402,'Parameters Summary'!$B$2:$AB$826,7,FALSE)</f>
        <v>2.01E-11</v>
      </c>
      <c r="M402" s="93" t="str">
        <f>VLOOKUP(A402,'Parameters Summary'!$B$2:$AB$826,8,FALSE)</f>
        <v>EPI</v>
      </c>
      <c r="N402" s="91">
        <f>VLOOKUP(A402,'Parameters Summary'!$B$2:$AB$826,6,FALSE)</f>
        <v>8.2169999999999996E-10</v>
      </c>
      <c r="O402" s="91" t="str">
        <f t="shared" si="40"/>
        <v/>
      </c>
      <c r="P402" s="91">
        <f t="shared" si="43"/>
        <v>8.2169999999999996E-10</v>
      </c>
      <c r="Q402" s="91" t="str">
        <f t="shared" si="41"/>
        <v/>
      </c>
      <c r="R402" s="91">
        <f t="shared" si="44"/>
        <v>8.2169999999999996E-10</v>
      </c>
      <c r="S402" s="91" t="str">
        <f t="shared" si="45"/>
        <v/>
      </c>
      <c r="T402" s="93">
        <f>VLOOKUP(A402,'Parameters Summary'!$B$2:$AB$826,15,FALSE)</f>
        <v>3.1154100000000001E-2</v>
      </c>
      <c r="U402" s="93" t="str">
        <f>VLOOKUP(A402,'Parameters Summary'!$B$2:$AB$826,17,FALSE)</f>
        <v>WATER9 (U.S. EPA, 2001)</v>
      </c>
      <c r="V402" s="93">
        <f>VLOOKUP(A402,'Parameters Summary'!$B$2:$AB$826,16,FALSE)</f>
        <v>8.4988999999999992E-6</v>
      </c>
      <c r="W402" s="379" t="str">
        <f>VLOOKUP(A402,'Parameters Summary'!$B$2:$AB$826,17,FALSE)</f>
        <v>WATER9 (U.S. EPA, 2001)</v>
      </c>
      <c r="X402" s="347"/>
      <c r="Y402" s="96"/>
      <c r="Z402" s="96" t="s">
        <v>1653</v>
      </c>
      <c r="AA402" s="96"/>
      <c r="AB402" s="96" t="s">
        <v>1651</v>
      </c>
      <c r="AC402" s="96"/>
      <c r="AD402" s="93">
        <f>VLOOKUP(A402,'Parameters Summary'!$B$2:$AB$826,20,FALSE)</f>
        <v>89.07</v>
      </c>
      <c r="AE402" s="97" t="str">
        <f>VLOOKUP(A402,'Parameters Summary'!$B$2:$AB$826,21,FALSE)</f>
        <v>EPI</v>
      </c>
      <c r="AF402" s="97"/>
      <c r="AG402" s="94"/>
      <c r="AH402" s="92"/>
      <c r="AI402" s="96"/>
      <c r="AJ402" s="330"/>
      <c r="AL402" s="81"/>
    </row>
    <row r="403" spans="1:38" ht="12.75" customHeight="1">
      <c r="A403" s="95" t="s">
        <v>14</v>
      </c>
      <c r="B403" s="96" t="s">
        <v>1186</v>
      </c>
      <c r="C403" s="96" t="str">
        <f t="shared" si="42"/>
        <v>Yes</v>
      </c>
      <c r="D403" s="96" t="str">
        <f>VLOOKUP(A403,'Tox Summary'!$O$3:$R$824,3,FALSE)</f>
        <v>No</v>
      </c>
      <c r="E403" s="97">
        <f>VLOOKUP(A403,'Parameters Summary'!$B$2:$AB$826,4,FALSE)</f>
        <v>168.2</v>
      </c>
      <c r="F403" s="97" t="str">
        <f>VLOOKUP(A403,'Parameters Summary'!$B$2:$AB$826,5,FALSE)</f>
        <v>PHYSPROP</v>
      </c>
      <c r="G403" s="93">
        <f>VLOOKUP(A403,'Parameters Summary'!$B$2:$AB$826,9,FALSE)</f>
        <v>0.03</v>
      </c>
      <c r="H403" s="93" t="str">
        <f>VLOOKUP(A403,'Parameters Summary'!$B$2:$AB$826,10,FALSE)</f>
        <v>PHYSPROP</v>
      </c>
      <c r="I403" s="93">
        <f>VLOOKUP(A403,'Parameters Summary'!$B$2:$AB$826,24,FALSE)</f>
        <v>117</v>
      </c>
      <c r="J403" s="97" t="str">
        <f>VLOOKUP(A403,'Parameters Summary'!$B$2:$AB$826,25,FALSE)</f>
        <v>PHYSPROP</v>
      </c>
      <c r="K403" s="97" t="str">
        <f>VLOOKUP(A403,'Tox Summary'!$O$3:$S$827,2,FALSE)</f>
        <v/>
      </c>
      <c r="L403" s="93">
        <f>VLOOKUP(A403,'Parameters Summary'!$B$2:$AB$826,7,FALSE)</f>
        <v>4.8000000000000001E-5</v>
      </c>
      <c r="M403" s="93" t="str">
        <f>VLOOKUP(A403,'Parameters Summary'!$B$2:$AB$826,8,FALSE)</f>
        <v>PHYSPROP</v>
      </c>
      <c r="N403" s="91">
        <f>VLOOKUP(A403,'Parameters Summary'!$B$2:$AB$826,6,FALSE)</f>
        <v>1.9624E-3</v>
      </c>
      <c r="O403" s="91" t="str">
        <f t="shared" si="40"/>
        <v/>
      </c>
      <c r="P403" s="91">
        <f t="shared" si="43"/>
        <v>1.9624E-3</v>
      </c>
      <c r="Q403" s="91" t="str">
        <f t="shared" si="41"/>
        <v/>
      </c>
      <c r="R403" s="91">
        <f t="shared" si="44"/>
        <v>1.9624E-3</v>
      </c>
      <c r="S403" s="91" t="str">
        <f t="shared" si="45"/>
        <v/>
      </c>
      <c r="T403" s="93">
        <f>VLOOKUP(A403,'Parameters Summary'!$B$2:$AB$826,15,FALSE)</f>
        <v>4.0425500000000003E-2</v>
      </c>
      <c r="U403" s="93" t="str">
        <f>VLOOKUP(A403,'Parameters Summary'!$B$2:$AB$826,17,FALSE)</f>
        <v>WATER9 (U.S. EPA, 2001)</v>
      </c>
      <c r="V403" s="93">
        <f>VLOOKUP(A403,'Parameters Summary'!$B$2:$AB$826,16,FALSE)</f>
        <v>7.2308000000000003E-6</v>
      </c>
      <c r="W403" s="379" t="str">
        <f>VLOOKUP(A403,'Parameters Summary'!$B$2:$AB$826,17,FALSE)</f>
        <v>WATER9 (U.S. EPA, 2001)</v>
      </c>
      <c r="X403" s="290">
        <v>528</v>
      </c>
      <c r="Y403" s="96" t="s">
        <v>2217</v>
      </c>
      <c r="Z403" s="96">
        <f>3*X403/2</f>
        <v>792</v>
      </c>
      <c r="AA403" s="96" t="s">
        <v>2220</v>
      </c>
      <c r="AB403" s="96" t="s">
        <v>1651</v>
      </c>
      <c r="AC403" s="96"/>
      <c r="AD403" s="93">
        <f>VLOOKUP(A403,'Parameters Summary'!$B$2:$AB$826,20,FALSE)</f>
        <v>4818</v>
      </c>
      <c r="AE403" s="97" t="str">
        <f>VLOOKUP(A403,'Parameters Summary'!$B$2:$AB$826,21,FALSE)</f>
        <v>EPI</v>
      </c>
      <c r="AF403" s="380"/>
      <c r="AG403" s="97"/>
      <c r="AH403" s="92"/>
      <c r="AI403" s="96"/>
      <c r="AJ403" s="330"/>
      <c r="AL403" s="81"/>
    </row>
    <row r="404" spans="1:38" ht="12.75" customHeight="1">
      <c r="A404" s="96" t="s">
        <v>1833</v>
      </c>
      <c r="B404" s="96" t="s">
        <v>1832</v>
      </c>
      <c r="C404" s="96" t="str">
        <f t="shared" si="42"/>
        <v>No</v>
      </c>
      <c r="D404" s="96" t="str">
        <f>VLOOKUP(A404,'Tox Summary'!$O$3:$R$824,3,FALSE)</f>
        <v>Yes</v>
      </c>
      <c r="E404" s="97">
        <f>VLOOKUP(A404,'Parameters Summary'!$B$2:$AB$826,4,FALSE)</f>
        <v>179.2</v>
      </c>
      <c r="F404" s="97" t="str">
        <f>VLOOKUP(A404,'Parameters Summary'!$B$2:$AB$826,5,FALSE)</f>
        <v>PHYSPROP</v>
      </c>
      <c r="G404" s="93">
        <f>VLOOKUP(A404,'Parameters Summary'!$B$2:$AB$826,9,FALSE)</f>
        <v>4.5999999999999999E-2</v>
      </c>
      <c r="H404" s="93" t="str">
        <f>VLOOKUP(A404,'Parameters Summary'!$B$2:$AB$826,10,FALSE)</f>
        <v>PHYSPROP</v>
      </c>
      <c r="I404" s="93">
        <f>VLOOKUP(A404,'Parameters Summary'!$B$2:$AB$826,24,FALSE)</f>
        <v>1000000</v>
      </c>
      <c r="J404" s="97" t="str">
        <f>VLOOKUP(A404,'Parameters Summary'!$B$2:$AB$826,25,FALSE)</f>
        <v>PHYSPROP</v>
      </c>
      <c r="K404" s="97" t="str">
        <f>VLOOKUP(A404,'Tox Summary'!$O$3:$S$827,2,FALSE)</f>
        <v/>
      </c>
      <c r="L404" s="93">
        <f>VLOOKUP(A404,'Parameters Summary'!$B$2:$AB$826,7,FALSE)</f>
        <v>2E-8</v>
      </c>
      <c r="M404" s="93" t="str">
        <f>VLOOKUP(A404,'Parameters Summary'!$B$2:$AB$826,8,FALSE)</f>
        <v>PHYSPROP</v>
      </c>
      <c r="N404" s="91">
        <f>VLOOKUP(A404,'Parameters Summary'!$B$2:$AB$826,6,FALSE)</f>
        <v>8.1765999999999998E-7</v>
      </c>
      <c r="O404" s="91" t="str">
        <f t="shared" si="40"/>
        <v/>
      </c>
      <c r="P404" s="91">
        <f t="shared" si="43"/>
        <v>8.1765999999999998E-7</v>
      </c>
      <c r="Q404" s="91" t="str">
        <f t="shared" si="41"/>
        <v/>
      </c>
      <c r="R404" s="91">
        <f t="shared" si="44"/>
        <v>8.1765999999999998E-7</v>
      </c>
      <c r="S404" s="91" t="str">
        <f t="shared" si="45"/>
        <v/>
      </c>
      <c r="T404" s="93">
        <f>VLOOKUP(A404,'Parameters Summary'!$B$2:$AB$826,15,FALSE)</f>
        <v>3.4836800000000001E-2</v>
      </c>
      <c r="U404" s="93" t="str">
        <f>VLOOKUP(A404,'Parameters Summary'!$B$2:$AB$826,17,FALSE)</f>
        <v>WATER9 (U.S. EPA, 2001)</v>
      </c>
      <c r="V404" s="93">
        <f>VLOOKUP(A404,'Parameters Summary'!$B$2:$AB$826,16,FALSE)</f>
        <v>6.8701999999999999E-6</v>
      </c>
      <c r="W404" s="379" t="str">
        <f>VLOOKUP(A404,'Parameters Summary'!$B$2:$AB$826,17,FALSE)</f>
        <v>WATER9 (U.S. EPA, 2001)</v>
      </c>
      <c r="X404" s="290">
        <v>505.65</v>
      </c>
      <c r="Y404" s="96" t="s">
        <v>553</v>
      </c>
      <c r="Z404" s="96" t="s">
        <v>1653</v>
      </c>
      <c r="AA404" s="96"/>
      <c r="AB404" s="96" t="s">
        <v>1651</v>
      </c>
      <c r="AC404" s="96"/>
      <c r="AD404" s="93">
        <f>VLOOKUP(A404,'Parameters Summary'!$B$2:$AB$826,20,FALSE)</f>
        <v>10</v>
      </c>
      <c r="AE404" s="97" t="str">
        <f>VLOOKUP(A404,'Parameters Summary'!$B$2:$AB$826,21,FALSE)</f>
        <v>EPI</v>
      </c>
      <c r="AF404" s="97"/>
      <c r="AG404" s="94"/>
      <c r="AH404" s="92"/>
      <c r="AI404" s="96"/>
      <c r="AJ404" s="330"/>
      <c r="AL404" s="81"/>
    </row>
    <row r="405" spans="1:38" ht="12.75" customHeight="1">
      <c r="A405" s="95" t="s">
        <v>15</v>
      </c>
      <c r="B405" s="96" t="s">
        <v>1187</v>
      </c>
      <c r="C405" s="96" t="str">
        <f t="shared" si="42"/>
        <v>Yes</v>
      </c>
      <c r="D405" s="96" t="str">
        <f>VLOOKUP(A405,'Tox Summary'!$O$3:$R$824,3,FALSE)</f>
        <v>Yes</v>
      </c>
      <c r="E405" s="97">
        <f>VLOOKUP(A405,'Parameters Summary'!$B$2:$AB$826,4,FALSE)</f>
        <v>86.177999999999997</v>
      </c>
      <c r="F405" s="97" t="str">
        <f>VLOOKUP(A405,'Parameters Summary'!$B$2:$AB$826,5,FALSE)</f>
        <v>PHYSPROP</v>
      </c>
      <c r="G405" s="93">
        <f>VLOOKUP(A405,'Parameters Summary'!$B$2:$AB$826,9,FALSE)</f>
        <v>151.30000000000001</v>
      </c>
      <c r="H405" s="93" t="str">
        <f>VLOOKUP(A405,'Parameters Summary'!$B$2:$AB$826,10,FALSE)</f>
        <v>PHYSPROP</v>
      </c>
      <c r="I405" s="93">
        <f>VLOOKUP(A405,'Parameters Summary'!$B$2:$AB$826,24,FALSE)</f>
        <v>9.5</v>
      </c>
      <c r="J405" s="97" t="str">
        <f>VLOOKUP(A405,'Parameters Summary'!$B$2:$AB$826,25,FALSE)</f>
        <v>PHYSPROP</v>
      </c>
      <c r="K405" s="97" t="str">
        <f>VLOOKUP(A405,'Tox Summary'!$O$3:$S$827,2,FALSE)</f>
        <v/>
      </c>
      <c r="L405" s="93">
        <f>VLOOKUP(A405,'Parameters Summary'!$B$2:$AB$826,7,FALSE)</f>
        <v>1.8</v>
      </c>
      <c r="M405" s="93" t="str">
        <f>VLOOKUP(A405,'Parameters Summary'!$B$2:$AB$826,8,FALSE)</f>
        <v>EPI</v>
      </c>
      <c r="N405" s="91">
        <f>VLOOKUP(A405,'Parameters Summary'!$B$2:$AB$826,6,FALSE)</f>
        <v>73.589534</v>
      </c>
      <c r="O405" s="91">
        <f t="shared" si="40"/>
        <v>73.589534</v>
      </c>
      <c r="P405" s="91">
        <f t="shared" si="43"/>
        <v>73.589534</v>
      </c>
      <c r="Q405" s="91">
        <f t="shared" si="41"/>
        <v>73.589534</v>
      </c>
      <c r="R405" s="91">
        <f t="shared" si="44"/>
        <v>73.589534</v>
      </c>
      <c r="S405" s="91">
        <f t="shared" si="45"/>
        <v>701598302.98843133</v>
      </c>
      <c r="T405" s="93">
        <f>VLOOKUP(A405,'Parameters Summary'!$B$2:$AB$826,15,FALSE)</f>
        <v>7.3107800000000001E-2</v>
      </c>
      <c r="U405" s="93" t="str">
        <f>VLOOKUP(A405,'Parameters Summary'!$B$2:$AB$826,17,FALSE)</f>
        <v>WATER9 (U.S. EPA, 2001)</v>
      </c>
      <c r="V405" s="93">
        <f>VLOOKUP(A405,'Parameters Summary'!$B$2:$AB$826,16,FALSE)</f>
        <v>8.1658000000000007E-6</v>
      </c>
      <c r="W405" s="379" t="str">
        <f>VLOOKUP(A405,'Parameters Summary'!$B$2:$AB$826,17,FALSE)</f>
        <v>WATER9 (U.S. EPA, 2001)</v>
      </c>
      <c r="X405" s="290">
        <v>341.7</v>
      </c>
      <c r="Y405" s="96" t="s">
        <v>553</v>
      </c>
      <c r="Z405" s="96">
        <v>508</v>
      </c>
      <c r="AA405" s="96" t="s">
        <v>2221</v>
      </c>
      <c r="AB405" s="96">
        <v>6895.15</v>
      </c>
      <c r="AC405" s="96" t="s">
        <v>2221</v>
      </c>
      <c r="AD405" s="93">
        <f>VLOOKUP(A405,'Parameters Summary'!$B$2:$AB$826,20,FALSE)</f>
        <v>131.5</v>
      </c>
      <c r="AE405" s="97" t="str">
        <f>VLOOKUP(A405,'Parameters Summary'!$B$2:$AB$826,21,FALSE)</f>
        <v>EPI</v>
      </c>
      <c r="AF405" s="380">
        <v>1.1000000000000001</v>
      </c>
      <c r="AG405" s="97" t="s">
        <v>302</v>
      </c>
      <c r="AH405" s="92"/>
      <c r="AI405" s="96"/>
      <c r="AJ405" s="330"/>
      <c r="AL405" s="81"/>
    </row>
    <row r="406" spans="1:38" ht="12.75" customHeight="1">
      <c r="A406" s="96" t="s">
        <v>16</v>
      </c>
      <c r="B406" s="96" t="s">
        <v>1188</v>
      </c>
      <c r="C406" s="96" t="str">
        <f t="shared" si="42"/>
        <v>No</v>
      </c>
      <c r="D406" s="96" t="str">
        <f>VLOOKUP(A406,'Tox Summary'!$O$3:$R$824,3,FALSE)</f>
        <v>Yes</v>
      </c>
      <c r="E406" s="97">
        <f>VLOOKUP(A406,'Parameters Summary'!$B$2:$AB$826,4,FALSE)</f>
        <v>146.13999999999999</v>
      </c>
      <c r="F406" s="97" t="str">
        <f>VLOOKUP(A406,'Parameters Summary'!$B$2:$AB$826,5,FALSE)</f>
        <v>PHYSPROP</v>
      </c>
      <c r="G406" s="93">
        <f>VLOOKUP(A406,'Parameters Summary'!$B$2:$AB$826,9,FALSE)</f>
        <v>3.1800000000000002E-7</v>
      </c>
      <c r="H406" s="93" t="str">
        <f>VLOOKUP(A406,'Parameters Summary'!$B$2:$AB$826,10,FALSE)</f>
        <v>EPI</v>
      </c>
      <c r="I406" s="93">
        <f>VLOOKUP(A406,'Parameters Summary'!$B$2:$AB$826,24,FALSE)</f>
        <v>30800</v>
      </c>
      <c r="J406" s="97" t="str">
        <f>VLOOKUP(A406,'Parameters Summary'!$B$2:$AB$826,25,FALSE)</f>
        <v>PHYSPROP</v>
      </c>
      <c r="K406" s="97" t="str">
        <f>VLOOKUP(A406,'Tox Summary'!$O$3:$S$827,2,FALSE)</f>
        <v/>
      </c>
      <c r="L406" s="93">
        <f>VLOOKUP(A406,'Parameters Summary'!$B$2:$AB$826,7,FALSE)</f>
        <v>4.7099999999999999E-12</v>
      </c>
      <c r="M406" s="93" t="str">
        <f>VLOOKUP(A406,'Parameters Summary'!$B$2:$AB$826,8,FALSE)</f>
        <v>EPI</v>
      </c>
      <c r="N406" s="91">
        <f>VLOOKUP(A406,'Parameters Summary'!$B$2:$AB$826,6,FALSE)</f>
        <v>1.9260000000000001E-10</v>
      </c>
      <c r="O406" s="91" t="str">
        <f t="shared" si="40"/>
        <v/>
      </c>
      <c r="P406" s="91">
        <f t="shared" si="43"/>
        <v>1.9260000000000001E-10</v>
      </c>
      <c r="Q406" s="91" t="str">
        <f t="shared" si="41"/>
        <v/>
      </c>
      <c r="R406" s="91">
        <f t="shared" si="44"/>
        <v>1.9260000000000001E-10</v>
      </c>
      <c r="S406" s="91" t="str">
        <f t="shared" si="45"/>
        <v/>
      </c>
      <c r="T406" s="93">
        <f>VLOOKUP(A406,'Parameters Summary'!$B$2:$AB$826,15,FALSE)</f>
        <v>5.7681900000000001E-2</v>
      </c>
      <c r="U406" s="93" t="str">
        <f>VLOOKUP(A406,'Parameters Summary'!$B$2:$AB$826,17,FALSE)</f>
        <v>WATER9 (U.S. EPA, 2001)</v>
      </c>
      <c r="V406" s="93">
        <f>VLOOKUP(A406,'Parameters Summary'!$B$2:$AB$826,16,FALSE)</f>
        <v>9.1734999999999995E-6</v>
      </c>
      <c r="W406" s="379" t="str">
        <f>VLOOKUP(A406,'Parameters Summary'!$B$2:$AB$826,17,FALSE)</f>
        <v>WATER9 (U.S. EPA, 2001)</v>
      </c>
      <c r="X406" s="290">
        <v>610.65</v>
      </c>
      <c r="Y406" s="96" t="s">
        <v>553</v>
      </c>
      <c r="Z406" s="96" t="s">
        <v>1653</v>
      </c>
      <c r="AA406" s="96"/>
      <c r="AB406" s="96" t="s">
        <v>1651</v>
      </c>
      <c r="AC406" s="96"/>
      <c r="AD406" s="93">
        <f>VLOOKUP(A406,'Parameters Summary'!$B$2:$AB$826,20,FALSE)</f>
        <v>24.34</v>
      </c>
      <c r="AE406" s="97" t="str">
        <f>VLOOKUP(A406,'Parameters Summary'!$B$2:$AB$826,21,FALSE)</f>
        <v>EPI</v>
      </c>
      <c r="AF406" s="97"/>
      <c r="AG406" s="94"/>
      <c r="AH406" s="92"/>
      <c r="AI406" s="96"/>
      <c r="AJ406" s="330"/>
      <c r="AL406" s="81"/>
    </row>
    <row r="407" spans="1:38" ht="12.75" customHeight="1">
      <c r="A407" s="95" t="s">
        <v>17</v>
      </c>
      <c r="B407" s="96" t="s">
        <v>588</v>
      </c>
      <c r="C407" s="96" t="str">
        <f t="shared" si="42"/>
        <v>Yes</v>
      </c>
      <c r="D407" s="96" t="str">
        <f>VLOOKUP(A407,'Tox Summary'!$O$3:$R$824,3,FALSE)</f>
        <v>Yes</v>
      </c>
      <c r="E407" s="97">
        <f>VLOOKUP(A407,'Parameters Summary'!$B$2:$AB$826,4,FALSE)</f>
        <v>100.16</v>
      </c>
      <c r="F407" s="97" t="str">
        <f>VLOOKUP(A407,'Parameters Summary'!$B$2:$AB$826,5,FALSE)</f>
        <v>PHYSPROP</v>
      </c>
      <c r="G407" s="93">
        <f>VLOOKUP(A407,'Parameters Summary'!$B$2:$AB$826,9,FALSE)</f>
        <v>11.6</v>
      </c>
      <c r="H407" s="93" t="str">
        <f>VLOOKUP(A407,'Parameters Summary'!$B$2:$AB$826,10,FALSE)</f>
        <v>PHYSPROP</v>
      </c>
      <c r="I407" s="93">
        <f>VLOOKUP(A407,'Parameters Summary'!$B$2:$AB$826,24,FALSE)</f>
        <v>17200</v>
      </c>
      <c r="J407" s="97" t="str">
        <f>VLOOKUP(A407,'Parameters Summary'!$B$2:$AB$826,25,FALSE)</f>
        <v>PHYSPROP</v>
      </c>
      <c r="K407" s="97" t="str">
        <f>VLOOKUP(A407,'Tox Summary'!$O$3:$S$827,2,FALSE)</f>
        <v/>
      </c>
      <c r="L407" s="93">
        <f>VLOOKUP(A407,'Parameters Summary'!$B$2:$AB$826,7,FALSE)</f>
        <v>9.3200000000000002E-5</v>
      </c>
      <c r="M407" s="93" t="str">
        <f>VLOOKUP(A407,'Parameters Summary'!$B$2:$AB$826,8,FALSE)</f>
        <v>EPI</v>
      </c>
      <c r="N407" s="91">
        <f>VLOOKUP(A407,'Parameters Summary'!$B$2:$AB$826,6,FALSE)</f>
        <v>3.8103E-3</v>
      </c>
      <c r="O407" s="91">
        <f t="shared" si="40"/>
        <v>3.8103E-3</v>
      </c>
      <c r="P407" s="91">
        <f t="shared" si="43"/>
        <v>3.8103E-3</v>
      </c>
      <c r="Q407" s="91">
        <f t="shared" si="41"/>
        <v>3.8103E-3</v>
      </c>
      <c r="R407" s="91">
        <f t="shared" si="44"/>
        <v>3.8103E-3</v>
      </c>
      <c r="S407" s="91">
        <f t="shared" si="45"/>
        <v>62518060.454633407</v>
      </c>
      <c r="T407" s="93">
        <f>VLOOKUP(A407,'Parameters Summary'!$B$2:$AB$826,15,FALSE)</f>
        <v>7.0356399999999999E-2</v>
      </c>
      <c r="U407" s="93" t="str">
        <f>VLOOKUP(A407,'Parameters Summary'!$B$2:$AB$826,17,FALSE)</f>
        <v>WATER9 (U.S. EPA, 2001)</v>
      </c>
      <c r="V407" s="93">
        <f>VLOOKUP(A407,'Parameters Summary'!$B$2:$AB$826,16,FALSE)</f>
        <v>8.4403999999999997E-6</v>
      </c>
      <c r="W407" s="379" t="str">
        <f>VLOOKUP(A407,'Parameters Summary'!$B$2:$AB$826,17,FALSE)</f>
        <v>WATER9 (U.S. EPA, 2001)</v>
      </c>
      <c r="X407" s="290">
        <v>400.6</v>
      </c>
      <c r="Y407" s="96" t="s">
        <v>2217</v>
      </c>
      <c r="Z407" s="96">
        <f>3*X407/2</f>
        <v>600.90000000000009</v>
      </c>
      <c r="AA407" s="96" t="s">
        <v>2220</v>
      </c>
      <c r="AB407" s="96">
        <v>8610.39</v>
      </c>
      <c r="AC407" s="96" t="s">
        <v>2218</v>
      </c>
      <c r="AD407" s="93">
        <f>VLOOKUP(A407,'Parameters Summary'!$B$2:$AB$826,20,FALSE)</f>
        <v>14.98</v>
      </c>
      <c r="AE407" s="97" t="str">
        <f>VLOOKUP(A407,'Parameters Summary'!$B$2:$AB$826,21,FALSE)</f>
        <v>EPI</v>
      </c>
      <c r="AF407" s="380"/>
      <c r="AG407" s="97"/>
      <c r="AH407" s="92"/>
      <c r="AI407" s="96"/>
      <c r="AJ407" s="330"/>
      <c r="AL407" s="81"/>
    </row>
    <row r="408" spans="1:38" ht="12.75" customHeight="1">
      <c r="A408" s="96" t="s">
        <v>18</v>
      </c>
      <c r="B408" s="96" t="s">
        <v>1189</v>
      </c>
      <c r="C408" s="96" t="str">
        <f t="shared" si="42"/>
        <v>No</v>
      </c>
      <c r="D408" s="96" t="str">
        <f>VLOOKUP(A408,'Tox Summary'!$O$3:$R$824,3,FALSE)</f>
        <v>Yes</v>
      </c>
      <c r="E408" s="97">
        <f>VLOOKUP(A408,'Parameters Summary'!$B$2:$AB$826,4,FALSE)</f>
        <v>252.32</v>
      </c>
      <c r="F408" s="97" t="str">
        <f>VLOOKUP(A408,'Parameters Summary'!$B$2:$AB$826,5,FALSE)</f>
        <v>PHYSPROP</v>
      </c>
      <c r="G408" s="93">
        <f>VLOOKUP(A408,'Parameters Summary'!$B$2:$AB$826,9,FALSE)</f>
        <v>2.2499999999999999E-7</v>
      </c>
      <c r="H408" s="93" t="str">
        <f>VLOOKUP(A408,'Parameters Summary'!$B$2:$AB$826,10,FALSE)</f>
        <v>EPI</v>
      </c>
      <c r="I408" s="93">
        <f>VLOOKUP(A408,'Parameters Summary'!$B$2:$AB$826,24,FALSE)</f>
        <v>33000</v>
      </c>
      <c r="J408" s="97" t="str">
        <f>VLOOKUP(A408,'Parameters Summary'!$B$2:$AB$826,25,FALSE)</f>
        <v>PHYSPROP</v>
      </c>
      <c r="K408" s="97" t="str">
        <f>VLOOKUP(A408,'Tox Summary'!$O$3:$S$827,2,FALSE)</f>
        <v/>
      </c>
      <c r="L408" s="93">
        <f>VLOOKUP(A408,'Parameters Summary'!$B$2:$AB$826,7,FALSE)</f>
        <v>2.2600000000000001E-12</v>
      </c>
      <c r="M408" s="93" t="str">
        <f>VLOOKUP(A408,'Parameters Summary'!$B$2:$AB$826,8,FALSE)</f>
        <v>EPI</v>
      </c>
      <c r="N408" s="91">
        <f>VLOOKUP(A408,'Parameters Summary'!$B$2:$AB$826,6,FALSE)</f>
        <v>9.2399999999999999E-11</v>
      </c>
      <c r="O408" s="91" t="str">
        <f t="shared" si="40"/>
        <v/>
      </c>
      <c r="P408" s="91">
        <f t="shared" si="43"/>
        <v>9.2399999999999999E-11</v>
      </c>
      <c r="Q408" s="91" t="str">
        <f t="shared" si="41"/>
        <v/>
      </c>
      <c r="R408" s="91">
        <f t="shared" si="44"/>
        <v>9.2399999999999999E-11</v>
      </c>
      <c r="S408" s="91" t="str">
        <f t="shared" si="45"/>
        <v/>
      </c>
      <c r="T408" s="93">
        <f>VLOOKUP(A408,'Parameters Summary'!$B$2:$AB$826,15,FALSE)</f>
        <v>2.4566299999999999E-2</v>
      </c>
      <c r="U408" s="93" t="str">
        <f>VLOOKUP(A408,'Parameters Summary'!$B$2:$AB$826,17,FALSE)</f>
        <v>WATER9 (U.S. EPA, 2001)</v>
      </c>
      <c r="V408" s="93">
        <f>VLOOKUP(A408,'Parameters Summary'!$B$2:$AB$826,16,FALSE)</f>
        <v>6.2841999999999999E-6</v>
      </c>
      <c r="W408" s="379" t="str">
        <f>VLOOKUP(A408,'Parameters Summary'!$B$2:$AB$826,17,FALSE)</f>
        <v>WATER9 (U.S. EPA, 2001)</v>
      </c>
      <c r="X408" s="347"/>
      <c r="Y408" s="96"/>
      <c r="Z408" s="96" t="s">
        <v>1653</v>
      </c>
      <c r="AA408" s="96"/>
      <c r="AB408" s="96" t="s">
        <v>1651</v>
      </c>
      <c r="AC408" s="96"/>
      <c r="AD408" s="93">
        <f>VLOOKUP(A408,'Parameters Summary'!$B$2:$AB$826,20,FALSE)</f>
        <v>129.4</v>
      </c>
      <c r="AE408" s="97" t="str">
        <f>VLOOKUP(A408,'Parameters Summary'!$B$2:$AB$826,21,FALSE)</f>
        <v>EPI</v>
      </c>
      <c r="AF408" s="97"/>
      <c r="AG408" s="94"/>
      <c r="AH408" s="92"/>
      <c r="AI408" s="96"/>
      <c r="AJ408" s="330"/>
      <c r="AL408" s="81"/>
    </row>
    <row r="409" spans="1:38" ht="12.75" customHeight="1">
      <c r="A409" s="96" t="s">
        <v>248</v>
      </c>
      <c r="B409" s="96" t="s">
        <v>2311</v>
      </c>
      <c r="C409" s="96" t="str">
        <f t="shared" si="42"/>
        <v>No</v>
      </c>
      <c r="D409" s="96" t="str">
        <f>VLOOKUP(A409,'Tox Summary'!$O$3:$R$824,3,FALSE)</f>
        <v>No</v>
      </c>
      <c r="E409" s="97">
        <f>VLOOKUP(A409,'Parameters Summary'!$B$2:$AB$826,4,FALSE)</f>
        <v>352.89</v>
      </c>
      <c r="F409" s="97" t="str">
        <f>VLOOKUP(A409,'Parameters Summary'!$B$2:$AB$826,5,FALSE)</f>
        <v>PHYSPROP</v>
      </c>
      <c r="G409" s="93">
        <f>VLOOKUP(A409,'Parameters Summary'!$B$2:$AB$826,9,FALSE)</f>
        <v>2.55E-8</v>
      </c>
      <c r="H409" s="93" t="str">
        <f>VLOOKUP(A409,'Parameters Summary'!$B$2:$AB$826,10,FALSE)</f>
        <v>PHYSPROP</v>
      </c>
      <c r="I409" s="93">
        <f>VLOOKUP(A409,'Parameters Summary'!$B$2:$AB$826,24,FALSE)</f>
        <v>0.5</v>
      </c>
      <c r="J409" s="97" t="str">
        <f>VLOOKUP(A409,'Parameters Summary'!$B$2:$AB$826,25,FALSE)</f>
        <v>PHYSPROP</v>
      </c>
      <c r="K409" s="97" t="str">
        <f>VLOOKUP(A409,'Tox Summary'!$O$3:$S$827,2,FALSE)</f>
        <v/>
      </c>
      <c r="L409" s="93">
        <f>VLOOKUP(A409,'Parameters Summary'!$B$2:$AB$826,7,FALSE)</f>
        <v>2.37E-8</v>
      </c>
      <c r="M409" s="93" t="str">
        <f>VLOOKUP(A409,'Parameters Summary'!$B$2:$AB$826,8,FALSE)</f>
        <v>EPI</v>
      </c>
      <c r="N409" s="91">
        <f>VLOOKUP(A409,'Parameters Summary'!$B$2:$AB$826,6,FALSE)</f>
        <v>9.6892999999999993E-7</v>
      </c>
      <c r="O409" s="91" t="str">
        <f t="shared" si="40"/>
        <v/>
      </c>
      <c r="P409" s="91">
        <f t="shared" si="43"/>
        <v>9.6892999999999993E-7</v>
      </c>
      <c r="Q409" s="91" t="str">
        <f t="shared" si="41"/>
        <v/>
      </c>
      <c r="R409" s="91">
        <f t="shared" si="44"/>
        <v>9.6892999999999993E-7</v>
      </c>
      <c r="S409" s="91" t="str">
        <f t="shared" si="45"/>
        <v/>
      </c>
      <c r="T409" s="93">
        <f>VLOOKUP(A409,'Parameters Summary'!$B$2:$AB$826,15,FALSE)</f>
        <v>3.8047600000000001E-2</v>
      </c>
      <c r="U409" s="93" t="str">
        <f>VLOOKUP(A409,'Parameters Summary'!$B$2:$AB$826,17,FALSE)</f>
        <v>WATER9 (U.S. EPA, 2001)</v>
      </c>
      <c r="V409" s="93">
        <f>VLOOKUP(A409,'Parameters Summary'!$B$2:$AB$826,16,FALSE)</f>
        <v>4.4456000000000003E-6</v>
      </c>
      <c r="W409" s="379" t="str">
        <f>VLOOKUP(A409,'Parameters Summary'!$B$2:$AB$826,17,FALSE)</f>
        <v>WATER9 (U.S. EPA, 2001)</v>
      </c>
      <c r="X409" s="347"/>
      <c r="Y409" s="96"/>
      <c r="Z409" s="96" t="s">
        <v>1653</v>
      </c>
      <c r="AA409" s="96"/>
      <c r="AB409" s="96" t="s">
        <v>1651</v>
      </c>
      <c r="AC409" s="96"/>
      <c r="AD409" s="93">
        <f>VLOOKUP(A409,'Parameters Summary'!$B$2:$AB$826,20,FALSE)</f>
        <v>2120</v>
      </c>
      <c r="AE409" s="97" t="str">
        <f>VLOOKUP(A409,'Parameters Summary'!$B$2:$AB$826,21,FALSE)</f>
        <v>EPI</v>
      </c>
      <c r="AF409" s="97"/>
      <c r="AG409" s="94"/>
      <c r="AH409" s="92"/>
      <c r="AI409" s="96"/>
      <c r="AJ409" s="330"/>
      <c r="AL409" s="81"/>
    </row>
    <row r="410" spans="1:38" ht="12.75" customHeight="1">
      <c r="A410" s="96" t="s">
        <v>654</v>
      </c>
      <c r="B410" s="96" t="s">
        <v>2312</v>
      </c>
      <c r="C410" s="96" t="str">
        <f t="shared" si="42"/>
        <v>No</v>
      </c>
      <c r="D410" s="96" t="str">
        <f>VLOOKUP(A410,'Tox Summary'!$O$3:$R$824,3,FALSE)</f>
        <v>No</v>
      </c>
      <c r="E410" s="97">
        <f>VLOOKUP(A410,'Parameters Summary'!$B$2:$AB$826,4,FALSE)</f>
        <v>494.49</v>
      </c>
      <c r="F410" s="97" t="str">
        <f>VLOOKUP(A410,'Parameters Summary'!$B$2:$AB$826,5,FALSE)</f>
        <v>PHYSPROP</v>
      </c>
      <c r="G410" s="93">
        <f>VLOOKUP(A410,'Parameters Summary'!$B$2:$AB$826,9,FALSE)</f>
        <v>2.03E-8</v>
      </c>
      <c r="H410" s="93" t="str">
        <f>VLOOKUP(A410,'Parameters Summary'!$B$2:$AB$826,10,FALSE)</f>
        <v>PHYSPROP</v>
      </c>
      <c r="I410" s="93">
        <f>VLOOKUP(A410,'Parameters Summary'!$B$2:$AB$826,24,FALSE)</f>
        <v>6.0000000000000001E-3</v>
      </c>
      <c r="J410" s="97" t="str">
        <f>VLOOKUP(A410,'Parameters Summary'!$B$2:$AB$826,25,FALSE)</f>
        <v>PHYSPROP</v>
      </c>
      <c r="K410" s="97" t="str">
        <f>VLOOKUP(A410,'Tox Summary'!$O$3:$S$827,2,FALSE)</f>
        <v/>
      </c>
      <c r="L410" s="93">
        <f>VLOOKUP(A410,'Parameters Summary'!$B$2:$AB$826,7,FALSE)</f>
        <v>2.2000000000000001E-6</v>
      </c>
      <c r="M410" s="93" t="str">
        <f>VLOOKUP(A410,'Parameters Summary'!$B$2:$AB$826,8,FALSE)</f>
        <v>EPI</v>
      </c>
      <c r="N410" s="91">
        <f>VLOOKUP(A410,'Parameters Summary'!$B$2:$AB$826,6,FALSE)</f>
        <v>8.9900000000000003E-5</v>
      </c>
      <c r="O410" s="91" t="str">
        <f t="shared" si="40"/>
        <v/>
      </c>
      <c r="P410" s="91">
        <f t="shared" si="43"/>
        <v>8.9900000000000003E-5</v>
      </c>
      <c r="Q410" s="91" t="str">
        <f t="shared" si="41"/>
        <v/>
      </c>
      <c r="R410" s="91">
        <f t="shared" si="44"/>
        <v>8.9900000000000003E-5</v>
      </c>
      <c r="S410" s="91" t="str">
        <f t="shared" si="45"/>
        <v/>
      </c>
      <c r="T410" s="93">
        <f>VLOOKUP(A410,'Parameters Summary'!$B$2:$AB$826,15,FALSE)</f>
        <v>3.03843E-2</v>
      </c>
      <c r="U410" s="93" t="str">
        <f>VLOOKUP(A410,'Parameters Summary'!$B$2:$AB$826,17,FALSE)</f>
        <v>WATER9 (U.S. EPA, 2001)</v>
      </c>
      <c r="V410" s="93">
        <f>VLOOKUP(A410,'Parameters Summary'!$B$2:$AB$826,16,FALSE)</f>
        <v>3.5501999999999999E-6</v>
      </c>
      <c r="W410" s="379" t="str">
        <f>VLOOKUP(A410,'Parameters Summary'!$B$2:$AB$826,17,FALSE)</f>
        <v>WATER9 (U.S. EPA, 2001)</v>
      </c>
      <c r="X410" s="347"/>
      <c r="Y410" s="96"/>
      <c r="Z410" s="96" t="s">
        <v>1653</v>
      </c>
      <c r="AA410" s="96"/>
      <c r="AB410" s="96" t="s">
        <v>1651</v>
      </c>
      <c r="AC410" s="96"/>
      <c r="AD410" s="93">
        <f>VLOOKUP(A410,'Parameters Summary'!$B$2:$AB$826,20,FALSE)</f>
        <v>179700000</v>
      </c>
      <c r="AE410" s="97" t="str">
        <f>VLOOKUP(A410,'Parameters Summary'!$B$2:$AB$826,21,FALSE)</f>
        <v>EPI</v>
      </c>
      <c r="AF410" s="97"/>
      <c r="AG410" s="94"/>
      <c r="AH410" s="92"/>
      <c r="AI410" s="96"/>
      <c r="AJ410" s="330"/>
      <c r="AL410" s="81"/>
    </row>
    <row r="411" spans="1:38" ht="12.75" customHeight="1">
      <c r="A411" s="95" t="s">
        <v>19</v>
      </c>
      <c r="B411" s="96" t="s">
        <v>1407</v>
      </c>
      <c r="C411" s="96" t="str">
        <f t="shared" si="42"/>
        <v>Yes</v>
      </c>
      <c r="D411" s="96" t="str">
        <f>VLOOKUP(A411,'Tox Summary'!$O$3:$R$824,3,FALSE)</f>
        <v>No</v>
      </c>
      <c r="E411" s="97">
        <f>VLOOKUP(A411,'Parameters Summary'!$B$2:$AB$826,4,FALSE)</f>
        <v>32.045000000000002</v>
      </c>
      <c r="F411" s="97" t="str">
        <f>VLOOKUP(A411,'Parameters Summary'!$B$2:$AB$826,5,FALSE)</f>
        <v>PHYSPROP</v>
      </c>
      <c r="G411" s="93">
        <f>VLOOKUP(A411,'Parameters Summary'!$B$2:$AB$826,9,FALSE)</f>
        <v>14.38</v>
      </c>
      <c r="H411" s="93" t="str">
        <f>VLOOKUP(A411,'Parameters Summary'!$B$2:$AB$826,10,FALSE)</f>
        <v>PHYSPROP</v>
      </c>
      <c r="I411" s="93">
        <f>VLOOKUP(A411,'Parameters Summary'!$B$2:$AB$826,24,FALSE)</f>
        <v>1000000</v>
      </c>
      <c r="J411" s="97" t="str">
        <f>VLOOKUP(A411,'Parameters Summary'!$B$2:$AB$826,25,FALSE)</f>
        <v>PHYSPROP</v>
      </c>
      <c r="K411" s="97" t="str">
        <f>VLOOKUP(A411,'Tox Summary'!$O$3:$S$827,2,FALSE)</f>
        <v/>
      </c>
      <c r="L411" s="93">
        <f>VLOOKUP(A411,'Parameters Summary'!$B$2:$AB$826,7,FALSE)</f>
        <v>6.0999999999999998E-7</v>
      </c>
      <c r="M411" s="93" t="str">
        <f>VLOOKUP(A411,'Parameters Summary'!$B$2:$AB$826,8,FALSE)</f>
        <v>PubChem</v>
      </c>
      <c r="N411" s="91">
        <f>VLOOKUP(A411,'Parameters Summary'!$B$2:$AB$826,6,FALSE)</f>
        <v>2.5000000000000001E-5</v>
      </c>
      <c r="O411" s="91">
        <f t="shared" si="40"/>
        <v>2.5000000000000001E-5</v>
      </c>
      <c r="P411" s="91">
        <f t="shared" si="43"/>
        <v>2.5000000000000001E-5</v>
      </c>
      <c r="Q411" s="91">
        <f t="shared" si="41"/>
        <v>2.5000000000000001E-5</v>
      </c>
      <c r="R411" s="91">
        <f t="shared" si="44"/>
        <v>2.5000000000000001E-5</v>
      </c>
      <c r="S411" s="91">
        <f t="shared" si="45"/>
        <v>24795470.467703663</v>
      </c>
      <c r="T411" s="93">
        <f>VLOOKUP(A411,'Parameters Summary'!$B$2:$AB$826,15,FALSE)</f>
        <v>0.1733034</v>
      </c>
      <c r="U411" s="93" t="str">
        <f>VLOOKUP(A411,'Parameters Summary'!$B$2:$AB$826,17,FALSE)</f>
        <v>WATER9 (U.S. EPA, 2001)</v>
      </c>
      <c r="V411" s="93">
        <f>VLOOKUP(A411,'Parameters Summary'!$B$2:$AB$826,16,FALSE)</f>
        <v>1.9000000000000001E-5</v>
      </c>
      <c r="W411" s="379" t="str">
        <f>VLOOKUP(A411,'Parameters Summary'!$B$2:$AB$826,17,FALSE)</f>
        <v>WATER9 (U.S. EPA, 2001)</v>
      </c>
      <c r="X411" s="290">
        <f>113.5+273.15</f>
        <v>386.65</v>
      </c>
      <c r="Y411" s="96" t="s">
        <v>553</v>
      </c>
      <c r="Z411" s="96">
        <f>380+273.15</f>
        <v>653.15</v>
      </c>
      <c r="AA411" s="96" t="s">
        <v>2218</v>
      </c>
      <c r="AB411" s="96">
        <f>45.27*238.846</f>
        <v>10812.558420000001</v>
      </c>
      <c r="AC411" s="96" t="s">
        <v>2218</v>
      </c>
      <c r="AD411" s="93" t="str">
        <f>VLOOKUP(A411,'Parameters Summary'!$B$2:$AB$826,20,FALSE)</f>
        <v xml:space="preserve"> </v>
      </c>
      <c r="AE411" s="97" t="str">
        <f>VLOOKUP(A411,'Parameters Summary'!$B$2:$AB$826,21,FALSE)</f>
        <v/>
      </c>
      <c r="AF411" s="380">
        <v>2.9</v>
      </c>
      <c r="AG411" s="97" t="s">
        <v>302</v>
      </c>
      <c r="AH411" s="92"/>
      <c r="AI411" s="96"/>
      <c r="AJ411" s="330"/>
      <c r="AL411" s="81"/>
    </row>
    <row r="412" spans="1:38" ht="12.75" customHeight="1">
      <c r="A412" s="96" t="s">
        <v>20</v>
      </c>
      <c r="B412" s="96" t="s">
        <v>1190</v>
      </c>
      <c r="C412" s="96" t="str">
        <f t="shared" si="42"/>
        <v>No</v>
      </c>
      <c r="D412" s="96" t="str">
        <f>VLOOKUP(A412,'Tox Summary'!$O$3:$R$824,3,FALSE)</f>
        <v>No</v>
      </c>
      <c r="E412" s="97">
        <f>VLOOKUP(A412,'Parameters Summary'!$B$2:$AB$826,4,FALSE)</f>
        <v>128.1</v>
      </c>
      <c r="F412" s="97" t="str">
        <f>VLOOKUP(A412,'Parameters Summary'!$B$2:$AB$826,5,FALSE)</f>
        <v>EPI</v>
      </c>
      <c r="G412" s="93" t="s">
        <v>2439</v>
      </c>
      <c r="H412" s="93" t="str">
        <f>VLOOKUP(A412,'Parameters Summary'!$B$2:$AB$826,10,FALSE)</f>
        <v/>
      </c>
      <c r="I412" s="93">
        <f>VLOOKUP(A412,'Parameters Summary'!$B$2:$AB$826,24,FALSE)</f>
        <v>30550</v>
      </c>
      <c r="J412" s="97" t="str">
        <f>VLOOKUP(A412,'Parameters Summary'!$B$2:$AB$826,25,FALSE)</f>
        <v>PERRY</v>
      </c>
      <c r="K412" s="97" t="str">
        <f>VLOOKUP(A412,'Tox Summary'!$O$3:$S$827,2,FALSE)</f>
        <v/>
      </c>
      <c r="L412" s="93" t="s">
        <v>2298</v>
      </c>
      <c r="M412" s="93" t="str">
        <f>VLOOKUP(A412,'Parameters Summary'!$B$2:$AB$826,8,FALSE)</f>
        <v/>
      </c>
      <c r="N412" s="91" t="str">
        <f>VLOOKUP(A412,'Parameters Summary'!$B$2:$AB$826,6,FALSE)</f>
        <v xml:space="preserve"> </v>
      </c>
      <c r="O412" s="91" t="str">
        <f t="shared" si="40"/>
        <v/>
      </c>
      <c r="P412" s="91" t="str">
        <f t="shared" si="43"/>
        <v xml:space="preserve"> </v>
      </c>
      <c r="Q412" s="91" t="str">
        <f t="shared" si="41"/>
        <v/>
      </c>
      <c r="R412" s="91" t="str">
        <f t="shared" si="44"/>
        <v xml:space="preserve"> </v>
      </c>
      <c r="S412" s="91" t="str">
        <f t="shared" si="45"/>
        <v/>
      </c>
      <c r="T412" s="93" t="str">
        <f>VLOOKUP(A412,'Parameters Summary'!$B$2:$AB$826,15,FALSE)</f>
        <v xml:space="preserve"> </v>
      </c>
      <c r="U412" s="93" t="str">
        <f>VLOOKUP(A412,'Parameters Summary'!$B$2:$AB$826,17,FALSE)</f>
        <v/>
      </c>
      <c r="V412" s="93" t="str">
        <f>VLOOKUP(A412,'Parameters Summary'!$B$2:$AB$826,16,FALSE)</f>
        <v xml:space="preserve"> </v>
      </c>
      <c r="W412" s="379" t="str">
        <f>VLOOKUP(A412,'Parameters Summary'!$B$2:$AB$826,17,FALSE)</f>
        <v/>
      </c>
      <c r="X412" s="347"/>
      <c r="Y412" s="96"/>
      <c r="Z412" s="96" t="s">
        <v>1653</v>
      </c>
      <c r="AA412" s="96"/>
      <c r="AB412" s="96" t="s">
        <v>1651</v>
      </c>
      <c r="AC412" s="96"/>
      <c r="AD412" s="93" t="str">
        <f>VLOOKUP(A412,'Parameters Summary'!$B$2:$AB$826,20,FALSE)</f>
        <v xml:space="preserve"> </v>
      </c>
      <c r="AE412" s="97" t="str">
        <f>VLOOKUP(A412,'Parameters Summary'!$B$2:$AB$826,21,FALSE)</f>
        <v/>
      </c>
      <c r="AF412" s="97"/>
      <c r="AG412" s="94"/>
      <c r="AH412" s="92"/>
      <c r="AI412" s="96"/>
      <c r="AJ412" s="330"/>
      <c r="AL412" s="81"/>
    </row>
    <row r="413" spans="1:38" ht="12.75" customHeight="1">
      <c r="A413" s="95" t="s">
        <v>21</v>
      </c>
      <c r="B413" s="96" t="s">
        <v>1191</v>
      </c>
      <c r="C413" s="96" t="str">
        <f t="shared" si="42"/>
        <v>Yes</v>
      </c>
      <c r="D413" s="96" t="str">
        <f>VLOOKUP(A413,'Tox Summary'!$O$3:$R$824,3,FALSE)</f>
        <v>No</v>
      </c>
      <c r="E413" s="97">
        <f>VLOOKUP(A413,'Parameters Summary'!$B$2:$AB$826,4,FALSE)</f>
        <v>35.450000000000003</v>
      </c>
      <c r="F413" s="97" t="str">
        <f>VLOOKUP(A413,'Parameters Summary'!$B$2:$AB$826,5,FALSE)</f>
        <v>EPI</v>
      </c>
      <c r="G413" s="93">
        <f>VLOOKUP(A413,'Parameters Summary'!$B$2:$AB$826,9,FALSE)</f>
        <v>32452</v>
      </c>
      <c r="H413" s="93" t="str">
        <f>VLOOKUP(A413,'Parameters Summary'!$B$2:$AB$826,10,FALSE)</f>
        <v>PubChem</v>
      </c>
      <c r="I413" s="93">
        <f>VLOOKUP(A413,'Parameters Summary'!$B$2:$AB$826,24,FALSE)</f>
        <v>673000</v>
      </c>
      <c r="J413" s="97" t="str">
        <f>VLOOKUP(A413,'Parameters Summary'!$B$2:$AB$826,25,FALSE)</f>
        <v>Toxnet HSDB</v>
      </c>
      <c r="K413" s="97" t="str">
        <f>VLOOKUP(A413,'Tox Summary'!$O$3:$S$827,2,FALSE)</f>
        <v/>
      </c>
      <c r="L413" s="93">
        <f>VLOOKUP(A413,'Parameters Summary'!$B$2:$AB$826,7,FALSE)</f>
        <v>2040000</v>
      </c>
      <c r="M413" s="93" t="str">
        <f>VLOOKUP(A413,'Parameters Summary'!$B$2:$AB$826,8,FALSE)</f>
        <v>Toxnet HSDB</v>
      </c>
      <c r="N413" s="91">
        <f>VLOOKUP(A413,'Parameters Summary'!$B$2:$AB$826,6,FALSE)</f>
        <v>83401472</v>
      </c>
      <c r="O413" s="91">
        <f t="shared" si="40"/>
        <v>83401472</v>
      </c>
      <c r="P413" s="91">
        <f t="shared" si="43"/>
        <v>83401472</v>
      </c>
      <c r="Q413" s="91">
        <f t="shared" si="41"/>
        <v>83401472</v>
      </c>
      <c r="R413" s="91">
        <f t="shared" si="44"/>
        <v>83401472</v>
      </c>
      <c r="S413" s="91">
        <f t="shared" si="45"/>
        <v>61902886131.865669</v>
      </c>
      <c r="T413" s="93">
        <f>VLOOKUP(A413,'Parameters Summary'!$B$2:$AB$826,15,FALSE)</f>
        <v>0.1879912</v>
      </c>
      <c r="U413" s="93" t="str">
        <f>VLOOKUP(A413,'Parameters Summary'!$B$2:$AB$826,17,FALSE)</f>
        <v>WATER9 (U.S. EPA, 2001)</v>
      </c>
      <c r="V413" s="93">
        <f>VLOOKUP(A413,'Parameters Summary'!$B$2:$AB$826,16,FALSE)</f>
        <v>2.27E-5</v>
      </c>
      <c r="W413" s="379" t="str">
        <f>VLOOKUP(A413,'Parameters Summary'!$B$2:$AB$826,17,FALSE)</f>
        <v>WATER9 (U.S. EPA, 2001)</v>
      </c>
      <c r="X413" s="290">
        <f>-85.05+273.15</f>
        <v>188.09999999999997</v>
      </c>
      <c r="Y413" s="96" t="s">
        <v>2218</v>
      </c>
      <c r="Z413" s="96">
        <f>51.4+273.15</f>
        <v>324.54999999999995</v>
      </c>
      <c r="AA413" s="96" t="s">
        <v>2218</v>
      </c>
      <c r="AB413" s="96">
        <f>16.1421*238.846</f>
        <v>3855.4760166000001</v>
      </c>
      <c r="AC413" s="96" t="s">
        <v>2218</v>
      </c>
      <c r="AD413" s="93" t="str">
        <f>VLOOKUP(A413,'Parameters Summary'!$B$2:$AB$826,20,FALSE)</f>
        <v xml:space="preserve"> </v>
      </c>
      <c r="AE413" s="97" t="str">
        <f>VLOOKUP(A413,'Parameters Summary'!$B$2:$AB$826,21,FALSE)</f>
        <v/>
      </c>
      <c r="AF413" s="380"/>
      <c r="AG413" s="97"/>
      <c r="AH413" s="92"/>
      <c r="AI413" s="96"/>
      <c r="AJ413" s="330"/>
      <c r="AL413" s="81"/>
    </row>
    <row r="414" spans="1:38" ht="12.75" customHeight="1">
      <c r="A414" s="95" t="s">
        <v>794</v>
      </c>
      <c r="B414" s="96" t="s">
        <v>2242</v>
      </c>
      <c r="C414" s="96" t="str">
        <f t="shared" si="42"/>
        <v>Yes</v>
      </c>
      <c r="D414" s="96" t="str">
        <f>VLOOKUP(A414,'Tox Summary'!$O$3:$R$824,3,FALSE)</f>
        <v>No</v>
      </c>
      <c r="E414" s="97">
        <f>VLOOKUP(A414,'Parameters Summary'!$B$2:$AB$826,4,FALSE)</f>
        <v>27.026</v>
      </c>
      <c r="F414" s="97" t="str">
        <f>VLOOKUP(A414,'Parameters Summary'!$B$2:$AB$826,5,FALSE)</f>
        <v>PHYSPROP</v>
      </c>
      <c r="G414" s="93">
        <f>VLOOKUP(A414,'Parameters Summary'!$B$2:$AB$826,9,FALSE)</f>
        <v>741.9</v>
      </c>
      <c r="H414" s="93" t="str">
        <f>VLOOKUP(A414,'Parameters Summary'!$B$2:$AB$826,10,FALSE)</f>
        <v>PHYSPROP</v>
      </c>
      <c r="I414" s="93">
        <f>VLOOKUP(A414,'Parameters Summary'!$B$2:$AB$826,24,FALSE)</f>
        <v>1000000</v>
      </c>
      <c r="J414" s="97" t="str">
        <f>VLOOKUP(A414,'Parameters Summary'!$B$2:$AB$826,25,FALSE)</f>
        <v>PHYSPROP</v>
      </c>
      <c r="K414" s="97" t="str">
        <f>VLOOKUP(A414,'Tox Summary'!$O$3:$S$827,2,FALSE)</f>
        <v/>
      </c>
      <c r="L414" s="93">
        <f>VLOOKUP(A414,'Parameters Summary'!$B$2:$AB$826,7,FALSE)</f>
        <v>1.3300000000000001E-4</v>
      </c>
      <c r="M414" s="93" t="str">
        <f>VLOOKUP(A414,'Parameters Summary'!$B$2:$AB$826,8,FALSE)</f>
        <v>PHYSPROP</v>
      </c>
      <c r="N414" s="91">
        <f>VLOOKUP(A414,'Parameters Summary'!$B$2:$AB$826,6,FALSE)</f>
        <v>5.4374000000000002E-3</v>
      </c>
      <c r="O414" s="91">
        <f t="shared" si="40"/>
        <v>5.4374000000000002E-3</v>
      </c>
      <c r="P414" s="91">
        <f t="shared" si="43"/>
        <v>5.4374000000000002E-3</v>
      </c>
      <c r="Q414" s="91">
        <f t="shared" si="41"/>
        <v>5.4374000000000002E-3</v>
      </c>
      <c r="R414" s="91">
        <f t="shared" si="44"/>
        <v>5.4374000000000002E-3</v>
      </c>
      <c r="S414" s="91">
        <f t="shared" si="45"/>
        <v>1078897867.0852771</v>
      </c>
      <c r="T414" s="93">
        <f>VLOOKUP(A414,'Parameters Summary'!$B$2:$AB$826,15,FALSE)</f>
        <v>0.1678036</v>
      </c>
      <c r="U414" s="93" t="str">
        <f>VLOOKUP(A414,'Parameters Summary'!$B$2:$AB$826,17,FALSE)</f>
        <v>WATER9 (U.S. EPA, 2001)</v>
      </c>
      <c r="V414" s="93">
        <f>VLOOKUP(A414,'Parameters Summary'!$B$2:$AB$826,16,FALSE)</f>
        <v>1.6799999999999998E-5</v>
      </c>
      <c r="W414" s="379" t="str">
        <f>VLOOKUP(A414,'Parameters Summary'!$B$2:$AB$826,17,FALSE)</f>
        <v>WATER9 (U.S. EPA, 2001)</v>
      </c>
      <c r="X414" s="290">
        <v>298.60000000000002</v>
      </c>
      <c r="Y414" s="96" t="s">
        <v>553</v>
      </c>
      <c r="Z414" s="96">
        <v>456.7</v>
      </c>
      <c r="AA414" s="96" t="s">
        <v>2221</v>
      </c>
      <c r="AB414" s="96">
        <v>6676.41</v>
      </c>
      <c r="AC414" s="96" t="s">
        <v>2224</v>
      </c>
      <c r="AD414" s="93" t="str">
        <f>VLOOKUP(A414,'Parameters Summary'!$B$2:$AB$826,20,FALSE)</f>
        <v xml:space="preserve"> </v>
      </c>
      <c r="AE414" s="97" t="str">
        <f>VLOOKUP(A414,'Parameters Summary'!$B$2:$AB$826,21,FALSE)</f>
        <v/>
      </c>
      <c r="AF414" s="380">
        <v>5.6</v>
      </c>
      <c r="AG414" s="97" t="s">
        <v>302</v>
      </c>
      <c r="AH414" s="92"/>
      <c r="AI414" s="96"/>
      <c r="AJ414" s="330"/>
      <c r="AL414" s="81"/>
    </row>
    <row r="415" spans="1:38" ht="12.75" customHeight="1">
      <c r="A415" s="95" t="s">
        <v>22</v>
      </c>
      <c r="B415" s="96" t="s">
        <v>589</v>
      </c>
      <c r="C415" s="96" t="str">
        <f t="shared" si="42"/>
        <v>Yes</v>
      </c>
      <c r="D415" s="96" t="str">
        <f>VLOOKUP(A415,'Tox Summary'!$O$3:$R$824,3,FALSE)</f>
        <v>No</v>
      </c>
      <c r="E415" s="97">
        <f>VLOOKUP(A415,'Parameters Summary'!$B$2:$AB$826,4,FALSE)</f>
        <v>20.006</v>
      </c>
      <c r="F415" s="97" t="str">
        <f>VLOOKUP(A415,'Parameters Summary'!$B$2:$AB$826,5,FALSE)</f>
        <v>PHYSPROP</v>
      </c>
      <c r="G415" s="93">
        <f>VLOOKUP(A415,'Parameters Summary'!$B$2:$AB$826,9,FALSE)</f>
        <v>917.2</v>
      </c>
      <c r="H415" s="93" t="str">
        <f>VLOOKUP(A415,'Parameters Summary'!$B$2:$AB$826,10,FALSE)</f>
        <v>PHYSPROP</v>
      </c>
      <c r="I415" s="93">
        <f>VLOOKUP(A415,'Parameters Summary'!$B$2:$AB$826,24,FALSE)</f>
        <v>1000000</v>
      </c>
      <c r="J415" s="97" t="str">
        <f>VLOOKUP(A415,'Parameters Summary'!$B$2:$AB$826,25,FALSE)</f>
        <v>PHYSPROP</v>
      </c>
      <c r="K415" s="97" t="str">
        <f>VLOOKUP(A415,'Tox Summary'!$O$3:$S$827,2,FALSE)</f>
        <v/>
      </c>
      <c r="L415" s="93">
        <f>VLOOKUP(A415,'Parameters Summary'!$B$2:$AB$826,7,FALSE)</f>
        <v>1.0399999999999999E-4</v>
      </c>
      <c r="M415" s="93" t="str">
        <f>VLOOKUP(A415,'Parameters Summary'!$B$2:$AB$826,8,FALSE)</f>
        <v>PHYSPROP</v>
      </c>
      <c r="N415" s="91">
        <f>VLOOKUP(A415,'Parameters Summary'!$B$2:$AB$826,6,FALSE)</f>
        <v>4.2518E-3</v>
      </c>
      <c r="O415" s="91">
        <f t="shared" si="40"/>
        <v>4.2518E-3</v>
      </c>
      <c r="P415" s="91">
        <f t="shared" si="43"/>
        <v>4.2518E-3</v>
      </c>
      <c r="Q415" s="91">
        <f t="shared" si="41"/>
        <v>4.2518E-3</v>
      </c>
      <c r="R415" s="91">
        <f t="shared" si="44"/>
        <v>4.2518E-3</v>
      </c>
      <c r="S415" s="91">
        <f t="shared" si="45"/>
        <v>987364484.38540506</v>
      </c>
      <c r="T415" s="93">
        <f>VLOOKUP(A415,'Parameters Summary'!$B$2:$AB$826,15,FALSE)</f>
        <v>0.21909960000000001</v>
      </c>
      <c r="U415" s="93" t="str">
        <f>VLOOKUP(A415,'Parameters Summary'!$B$2:$AB$826,17,FALSE)</f>
        <v>WATER9 (U.S. EPA, 2001)</v>
      </c>
      <c r="V415" s="93">
        <f>VLOOKUP(A415,'Parameters Summary'!$B$2:$AB$826,16,FALSE)</f>
        <v>2.23E-5</v>
      </c>
      <c r="W415" s="379" t="str">
        <f>VLOOKUP(A415,'Parameters Summary'!$B$2:$AB$826,17,FALSE)</f>
        <v>WATER9 (U.S. EPA, 2001)</v>
      </c>
      <c r="X415" s="290">
        <f>19.51+273.15</f>
        <v>292.65999999999997</v>
      </c>
      <c r="Y415" s="96" t="s">
        <v>2218</v>
      </c>
      <c r="Z415" s="96">
        <f>188+273.15</f>
        <v>461.15</v>
      </c>
      <c r="AA415" s="96" t="s">
        <v>2218</v>
      </c>
      <c r="AB415" s="96">
        <f>7.493*238.846</f>
        <v>1789.673078</v>
      </c>
      <c r="AC415" s="96" t="s">
        <v>2218</v>
      </c>
      <c r="AD415" s="93" t="str">
        <f>VLOOKUP(A415,'Parameters Summary'!$B$2:$AB$826,20,FALSE)</f>
        <v xml:space="preserve"> </v>
      </c>
      <c r="AE415" s="97" t="str">
        <f>VLOOKUP(A415,'Parameters Summary'!$B$2:$AB$826,21,FALSE)</f>
        <v/>
      </c>
      <c r="AF415" s="380"/>
      <c r="AG415" s="97"/>
      <c r="AH415" s="92"/>
      <c r="AI415" s="96"/>
      <c r="AJ415" s="330"/>
      <c r="AL415" s="81"/>
    </row>
    <row r="416" spans="1:38" ht="12.75" customHeight="1">
      <c r="A416" s="95" t="s">
        <v>23</v>
      </c>
      <c r="B416" s="96" t="s">
        <v>1192</v>
      </c>
      <c r="C416" s="96" t="str">
        <f t="shared" si="42"/>
        <v>Yes</v>
      </c>
      <c r="D416" s="96" t="str">
        <f>VLOOKUP(A416,'Tox Summary'!$O$3:$R$824,3,FALSE)</f>
        <v>No</v>
      </c>
      <c r="E416" s="97">
        <f>VLOOKUP(A416,'Parameters Summary'!$B$2:$AB$826,4,FALSE)</f>
        <v>34.08</v>
      </c>
      <c r="F416" s="97" t="str">
        <f>VLOOKUP(A416,'Parameters Summary'!$B$2:$AB$826,5,FALSE)</f>
        <v>PHYSPROP</v>
      </c>
      <c r="G416" s="93">
        <f>VLOOKUP(A416,'Parameters Summary'!$B$2:$AB$826,9,FALSE)</f>
        <v>15640</v>
      </c>
      <c r="H416" s="93" t="str">
        <f>VLOOKUP(A416,'Parameters Summary'!$B$2:$AB$826,10,FALSE)</f>
        <v>PHYSPROP</v>
      </c>
      <c r="I416" s="93">
        <f>VLOOKUP(A416,'Parameters Summary'!$B$2:$AB$826,24,FALSE)</f>
        <v>3740</v>
      </c>
      <c r="J416" s="97" t="str">
        <f>VLOOKUP(A416,'Parameters Summary'!$B$2:$AB$826,25,FALSE)</f>
        <v>PHYSPROP</v>
      </c>
      <c r="K416" s="97" t="str">
        <f>VLOOKUP(A416,'Tox Summary'!$O$3:$S$827,2,FALSE)</f>
        <v/>
      </c>
      <c r="L416" s="93">
        <f>VLOOKUP(A416,'Parameters Summary'!$B$2:$AB$826,7,FALSE)</f>
        <v>8.5599999999999999E-3</v>
      </c>
      <c r="M416" s="93" t="str">
        <f>VLOOKUP(A416,'Parameters Summary'!$B$2:$AB$826,8,FALSE)</f>
        <v>PhysProp</v>
      </c>
      <c r="N416" s="91">
        <f>VLOOKUP(A416,'Parameters Summary'!$B$2:$AB$826,6,FALSE)</f>
        <v>0.35</v>
      </c>
      <c r="O416" s="91">
        <f t="shared" si="40"/>
        <v>0.35</v>
      </c>
      <c r="P416" s="91">
        <f t="shared" si="43"/>
        <v>0.35</v>
      </c>
      <c r="Q416" s="91">
        <f t="shared" si="41"/>
        <v>0.35</v>
      </c>
      <c r="R416" s="91">
        <f t="shared" si="44"/>
        <v>0.35</v>
      </c>
      <c r="S416" s="91">
        <f t="shared" si="45"/>
        <v>28680685407.310974</v>
      </c>
      <c r="T416" s="93">
        <f>VLOOKUP(A416,'Parameters Summary'!$B$2:$AB$826,15,FALSE)</f>
        <v>0.18806690000000001</v>
      </c>
      <c r="U416" s="93" t="str">
        <f>VLOOKUP(A416,'Parameters Summary'!$B$2:$AB$826,17,FALSE)</f>
        <v>WATER9 (U.S. EPA, 2001)</v>
      </c>
      <c r="V416" s="93">
        <f>VLOOKUP(A416,'Parameters Summary'!$B$2:$AB$826,16,FALSE)</f>
        <v>2.23E-5</v>
      </c>
      <c r="W416" s="379" t="str">
        <f>VLOOKUP(A416,'Parameters Summary'!$B$2:$AB$826,17,FALSE)</f>
        <v>WATER9 (U.S. EPA, 2001)</v>
      </c>
      <c r="X416" s="290">
        <f>-60.33+273.15</f>
        <v>212.82</v>
      </c>
      <c r="Y416" s="96" t="s">
        <v>2218</v>
      </c>
      <c r="Z416" s="96">
        <f>373.1</f>
        <v>373.1</v>
      </c>
      <c r="AA416" s="96" t="s">
        <v>2215</v>
      </c>
      <c r="AB416" s="96">
        <f>18.67*238.846</f>
        <v>4459.2548200000001</v>
      </c>
      <c r="AC416" s="96" t="s">
        <v>2218</v>
      </c>
      <c r="AD416" s="93" t="str">
        <f>VLOOKUP(A416,'Parameters Summary'!$B$2:$AB$826,20,FALSE)</f>
        <v xml:space="preserve"> </v>
      </c>
      <c r="AE416" s="97" t="str">
        <f>VLOOKUP(A416,'Parameters Summary'!$B$2:$AB$826,21,FALSE)</f>
        <v/>
      </c>
      <c r="AF416" s="380">
        <v>4</v>
      </c>
      <c r="AG416" s="97" t="s">
        <v>302</v>
      </c>
      <c r="AH416" s="92"/>
      <c r="AI416" s="96"/>
      <c r="AJ416" s="330"/>
      <c r="AL416" s="81"/>
    </row>
    <row r="417" spans="1:38" ht="12.75" customHeight="1">
      <c r="A417" s="96" t="s">
        <v>24</v>
      </c>
      <c r="B417" s="96" t="s">
        <v>534</v>
      </c>
      <c r="C417" s="96" t="str">
        <f t="shared" si="42"/>
        <v>No</v>
      </c>
      <c r="D417" s="96" t="str">
        <f>VLOOKUP(A417,'Tox Summary'!$O$3:$R$824,3,FALSE)</f>
        <v>No</v>
      </c>
      <c r="E417" s="97">
        <f>VLOOKUP(A417,'Parameters Summary'!$B$2:$AB$826,4,FALSE)</f>
        <v>110.11</v>
      </c>
      <c r="F417" s="97" t="str">
        <f>VLOOKUP(A417,'Parameters Summary'!$B$2:$AB$826,5,FALSE)</f>
        <v>PHYSPROP</v>
      </c>
      <c r="G417" s="93">
        <f>VLOOKUP(A417,'Parameters Summary'!$B$2:$AB$826,9,FALSE)</f>
        <v>2.4000000000000001E-5</v>
      </c>
      <c r="H417" s="93" t="str">
        <f>VLOOKUP(A417,'Parameters Summary'!$B$2:$AB$826,10,FALSE)</f>
        <v>EPI</v>
      </c>
      <c r="I417" s="93">
        <f>VLOOKUP(A417,'Parameters Summary'!$B$2:$AB$826,24,FALSE)</f>
        <v>72000</v>
      </c>
      <c r="J417" s="97" t="str">
        <f>VLOOKUP(A417,'Parameters Summary'!$B$2:$AB$826,25,FALSE)</f>
        <v>PHYSPROP</v>
      </c>
      <c r="K417" s="97" t="str">
        <f>VLOOKUP(A417,'Tox Summary'!$O$3:$S$827,2,FALSE)</f>
        <v/>
      </c>
      <c r="L417" s="93">
        <f>VLOOKUP(A417,'Parameters Summary'!$B$2:$AB$826,7,FALSE)</f>
        <v>4.7300000000000001E-11</v>
      </c>
      <c r="M417" s="93" t="str">
        <f>VLOOKUP(A417,'Parameters Summary'!$B$2:$AB$826,8,FALSE)</f>
        <v>EPI</v>
      </c>
      <c r="N417" s="91">
        <f>VLOOKUP(A417,'Parameters Summary'!$B$2:$AB$826,6,FALSE)</f>
        <v>1.9338000000000001E-9</v>
      </c>
      <c r="O417" s="91" t="str">
        <f t="shared" si="40"/>
        <v/>
      </c>
      <c r="P417" s="91">
        <f t="shared" si="43"/>
        <v>1.9338000000000001E-9</v>
      </c>
      <c r="Q417" s="91" t="str">
        <f t="shared" si="41"/>
        <v/>
      </c>
      <c r="R417" s="91">
        <f t="shared" si="44"/>
        <v>1.9338000000000001E-9</v>
      </c>
      <c r="S417" s="91" t="str">
        <f t="shared" si="45"/>
        <v/>
      </c>
      <c r="T417" s="93">
        <f>VLOOKUP(A417,'Parameters Summary'!$B$2:$AB$826,15,FALSE)</f>
        <v>7.9842499999999997E-2</v>
      </c>
      <c r="U417" s="93" t="str">
        <f>VLOOKUP(A417,'Parameters Summary'!$B$2:$AB$826,17,FALSE)</f>
        <v>WATER9 (U.S. EPA, 2001)</v>
      </c>
      <c r="V417" s="93">
        <f>VLOOKUP(A417,'Parameters Summary'!$B$2:$AB$826,16,FALSE)</f>
        <v>1.0699999999999999E-5</v>
      </c>
      <c r="W417" s="379" t="str">
        <f>VLOOKUP(A417,'Parameters Summary'!$B$2:$AB$826,17,FALSE)</f>
        <v>WATER9 (U.S. EPA, 2001)</v>
      </c>
      <c r="X417" s="290">
        <v>559.15</v>
      </c>
      <c r="Y417" s="96" t="s">
        <v>553</v>
      </c>
      <c r="Z417" s="96" t="s">
        <v>1653</v>
      </c>
      <c r="AA417" s="96"/>
      <c r="AB417" s="96" t="s">
        <v>1651</v>
      </c>
      <c r="AC417" s="96"/>
      <c r="AD417" s="93">
        <f>VLOOKUP(A417,'Parameters Summary'!$B$2:$AB$826,20,FALSE)</f>
        <v>240.5</v>
      </c>
      <c r="AE417" s="97" t="str">
        <f>VLOOKUP(A417,'Parameters Summary'!$B$2:$AB$826,21,FALSE)</f>
        <v>EPI</v>
      </c>
      <c r="AF417" s="97"/>
      <c r="AG417" s="94"/>
      <c r="AH417" s="92"/>
      <c r="AI417" s="96"/>
      <c r="AJ417" s="330"/>
      <c r="AL417" s="81"/>
    </row>
    <row r="418" spans="1:38" ht="12.75" customHeight="1">
      <c r="A418" s="96" t="s">
        <v>25</v>
      </c>
      <c r="B418" s="96" t="s">
        <v>1193</v>
      </c>
      <c r="C418" s="96" t="str">
        <f t="shared" si="42"/>
        <v>No</v>
      </c>
      <c r="D418" s="96" t="str">
        <f>VLOOKUP(A418,'Tox Summary'!$O$3:$R$824,3,FALSE)</f>
        <v>Yes</v>
      </c>
      <c r="E418" s="97">
        <f>VLOOKUP(A418,'Parameters Summary'!$B$2:$AB$826,4,FALSE)</f>
        <v>297.19</v>
      </c>
      <c r="F418" s="97" t="str">
        <f>VLOOKUP(A418,'Parameters Summary'!$B$2:$AB$826,5,FALSE)</f>
        <v>PHYSPROP</v>
      </c>
      <c r="G418" s="93">
        <f>VLOOKUP(A418,'Parameters Summary'!$B$2:$AB$826,9,FALSE)</f>
        <v>1.19E-6</v>
      </c>
      <c r="H418" s="93" t="str">
        <f>VLOOKUP(A418,'Parameters Summary'!$B$2:$AB$826,10,FALSE)</f>
        <v>PHYSPROP</v>
      </c>
      <c r="I418" s="93">
        <f>VLOOKUP(A418,'Parameters Summary'!$B$2:$AB$826,24,FALSE)</f>
        <v>180</v>
      </c>
      <c r="J418" s="97" t="str">
        <f>VLOOKUP(A418,'Parameters Summary'!$B$2:$AB$826,25,FALSE)</f>
        <v>PHYSPROP</v>
      </c>
      <c r="K418" s="97" t="str">
        <f>VLOOKUP(A418,'Tox Summary'!$O$3:$S$827,2,FALSE)</f>
        <v/>
      </c>
      <c r="L418" s="93">
        <f>VLOOKUP(A418,'Parameters Summary'!$B$2:$AB$826,7,FALSE)</f>
        <v>2.5899999999999999E-9</v>
      </c>
      <c r="M418" s="93" t="str">
        <f>VLOOKUP(A418,'Parameters Summary'!$B$2:$AB$826,8,FALSE)</f>
        <v>EPI</v>
      </c>
      <c r="N418" s="91">
        <f>VLOOKUP(A418,'Parameters Summary'!$B$2:$AB$826,6,FALSE)</f>
        <v>1.0589E-7</v>
      </c>
      <c r="O418" s="91" t="str">
        <f t="shared" si="40"/>
        <v/>
      </c>
      <c r="P418" s="91">
        <f t="shared" si="43"/>
        <v>1.0589E-7</v>
      </c>
      <c r="Q418" s="91" t="str">
        <f t="shared" si="41"/>
        <v/>
      </c>
      <c r="R418" s="91">
        <f t="shared" si="44"/>
        <v>1.0589E-7</v>
      </c>
      <c r="S418" s="91" t="str">
        <f t="shared" si="45"/>
        <v/>
      </c>
      <c r="T418" s="93">
        <f>VLOOKUP(A418,'Parameters Summary'!$B$2:$AB$826,15,FALSE)</f>
        <v>2.2493200000000001E-2</v>
      </c>
      <c r="U418" s="93" t="str">
        <f>VLOOKUP(A418,'Parameters Summary'!$B$2:$AB$826,17,FALSE)</f>
        <v>WATER9 (U.S. EPA, 2001)</v>
      </c>
      <c r="V418" s="93">
        <f>VLOOKUP(A418,'Parameters Summary'!$B$2:$AB$826,16,FALSE)</f>
        <v>5.6771999999999996E-6</v>
      </c>
      <c r="W418" s="379" t="str">
        <f>VLOOKUP(A418,'Parameters Summary'!$B$2:$AB$826,17,FALSE)</f>
        <v>WATER9 (U.S. EPA, 2001)</v>
      </c>
      <c r="X418" s="290">
        <v>620.15</v>
      </c>
      <c r="Y418" s="96" t="s">
        <v>553</v>
      </c>
      <c r="Z418" s="96" t="s">
        <v>1653</v>
      </c>
      <c r="AA418" s="96"/>
      <c r="AB418" s="96" t="s">
        <v>1651</v>
      </c>
      <c r="AC418" s="96"/>
      <c r="AD418" s="93">
        <f>VLOOKUP(A418,'Parameters Summary'!$B$2:$AB$826,20,FALSE)</f>
        <v>8495</v>
      </c>
      <c r="AE418" s="97" t="str">
        <f>VLOOKUP(A418,'Parameters Summary'!$B$2:$AB$826,21,FALSE)</f>
        <v>EPI</v>
      </c>
      <c r="AF418" s="97"/>
      <c r="AG418" s="94"/>
      <c r="AH418" s="92"/>
      <c r="AI418" s="96"/>
      <c r="AJ418" s="330"/>
      <c r="AL418" s="81"/>
    </row>
    <row r="419" spans="1:38" ht="12.75" customHeight="1">
      <c r="A419" s="96" t="s">
        <v>26</v>
      </c>
      <c r="B419" s="96" t="s">
        <v>1194</v>
      </c>
      <c r="C419" s="96" t="str">
        <f t="shared" si="42"/>
        <v>No</v>
      </c>
      <c r="D419" s="96" t="str">
        <f>VLOOKUP(A419,'Tox Summary'!$O$3:$R$824,3,FALSE)</f>
        <v>No</v>
      </c>
      <c r="E419" s="97">
        <f>VLOOKUP(A419,'Parameters Summary'!$B$2:$AB$826,4,FALSE)</f>
        <v>311.33999999999997</v>
      </c>
      <c r="F419" s="97" t="str">
        <f>VLOOKUP(A419,'Parameters Summary'!$B$2:$AB$826,5,FALSE)</f>
        <v>PHYSPROP</v>
      </c>
      <c r="G419" s="93">
        <f>VLOOKUP(A419,'Parameters Summary'!$B$2:$AB$826,9,FALSE)</f>
        <v>1.03E-13</v>
      </c>
      <c r="H419" s="93" t="str">
        <f>VLOOKUP(A419,'Parameters Summary'!$B$2:$AB$826,10,FALSE)</f>
        <v>PHYSPROP</v>
      </c>
      <c r="I419" s="93">
        <f>VLOOKUP(A419,'Parameters Summary'!$B$2:$AB$826,24,FALSE)</f>
        <v>90</v>
      </c>
      <c r="J419" s="97" t="str">
        <f>VLOOKUP(A419,'Parameters Summary'!$B$2:$AB$826,25,FALSE)</f>
        <v>PHYSPROP</v>
      </c>
      <c r="K419" s="97" t="str">
        <f>VLOOKUP(A419,'Tox Summary'!$O$3:$S$827,2,FALSE)</f>
        <v/>
      </c>
      <c r="L419" s="93">
        <f>VLOOKUP(A419,'Parameters Summary'!$B$2:$AB$826,7,FALSE)</f>
        <v>6.9100000000000002E-18</v>
      </c>
      <c r="M419" s="93" t="str">
        <f>VLOOKUP(A419,'Parameters Summary'!$B$2:$AB$826,8,FALSE)</f>
        <v>PHYSPROP</v>
      </c>
      <c r="N419" s="91">
        <f>VLOOKUP(A419,'Parameters Summary'!$B$2:$AB$826,6,FALSE)</f>
        <v>2.8250000000000001E-16</v>
      </c>
      <c r="O419" s="91" t="str">
        <f t="shared" si="40"/>
        <v/>
      </c>
      <c r="P419" s="91">
        <f t="shared" si="43"/>
        <v>2.8250000000000001E-16</v>
      </c>
      <c r="Q419" s="91" t="str">
        <f t="shared" si="41"/>
        <v/>
      </c>
      <c r="R419" s="91">
        <f t="shared" si="44"/>
        <v>2.8250000000000001E-16</v>
      </c>
      <c r="S419" s="91" t="str">
        <f t="shared" si="45"/>
        <v/>
      </c>
      <c r="T419" s="93">
        <f>VLOOKUP(A419,'Parameters Summary'!$B$2:$AB$826,15,FALSE)</f>
        <v>4.1361599999999998E-2</v>
      </c>
      <c r="U419" s="93" t="str">
        <f>VLOOKUP(A419,'Parameters Summary'!$B$2:$AB$826,17,FALSE)</f>
        <v>WATER9 (U.S. EPA, 2001)</v>
      </c>
      <c r="V419" s="93">
        <f>VLOOKUP(A419,'Parameters Summary'!$B$2:$AB$826,16,FALSE)</f>
        <v>4.8327999999999997E-6</v>
      </c>
      <c r="W419" s="379" t="str">
        <f>VLOOKUP(A419,'Parameters Summary'!$B$2:$AB$826,17,FALSE)</f>
        <v>WATER9 (U.S. EPA, 2001)</v>
      </c>
      <c r="X419" s="347"/>
      <c r="Y419" s="96"/>
      <c r="Z419" s="96" t="s">
        <v>1653</v>
      </c>
      <c r="AA419" s="96"/>
      <c r="AB419" s="96" t="s">
        <v>1651</v>
      </c>
      <c r="AC419" s="96"/>
      <c r="AD419" s="93">
        <f>VLOOKUP(A419,'Parameters Summary'!$B$2:$AB$826,20,FALSE)</f>
        <v>2386</v>
      </c>
      <c r="AE419" s="97" t="str">
        <f>VLOOKUP(A419,'Parameters Summary'!$B$2:$AB$826,21,FALSE)</f>
        <v>EPI</v>
      </c>
      <c r="AF419" s="97"/>
      <c r="AG419" s="94"/>
      <c r="AH419" s="92"/>
      <c r="AI419" s="96"/>
      <c r="AJ419" s="330"/>
      <c r="AL419" s="81"/>
    </row>
    <row r="420" spans="1:38" ht="12.75" customHeight="1">
      <c r="A420" s="96" t="s">
        <v>239</v>
      </c>
      <c r="B420" s="96" t="s">
        <v>2313</v>
      </c>
      <c r="C420" s="96" t="str">
        <f t="shared" si="42"/>
        <v>No</v>
      </c>
      <c r="D420" s="96" t="str">
        <f>VLOOKUP(A420,'Tox Summary'!$O$3:$R$824,3,FALSE)</f>
        <v>Yes</v>
      </c>
      <c r="E420" s="97">
        <f>VLOOKUP(A420,'Parameters Summary'!$B$2:$AB$826,4,FALSE)</f>
        <v>289.33999999999997</v>
      </c>
      <c r="F420" s="97" t="str">
        <f>VLOOKUP(A420,'Parameters Summary'!$B$2:$AB$826,5,FALSE)</f>
        <v>PHYSPROP</v>
      </c>
      <c r="G420" s="93">
        <f>VLOOKUP(A420,'Parameters Summary'!$B$2:$AB$826,9,FALSE)</f>
        <v>2.15E-11</v>
      </c>
      <c r="H420" s="93" t="str">
        <f>VLOOKUP(A420,'Parameters Summary'!$B$2:$AB$826,10,FALSE)</f>
        <v>PHYSPROP</v>
      </c>
      <c r="I420" s="93">
        <f>VLOOKUP(A420,'Parameters Summary'!$B$2:$AB$826,24,FALSE)</f>
        <v>1400</v>
      </c>
      <c r="J420" s="97" t="str">
        <f>VLOOKUP(A420,'Parameters Summary'!$B$2:$AB$826,25,FALSE)</f>
        <v>PHYSPROP</v>
      </c>
      <c r="K420" s="97" t="str">
        <f>VLOOKUP(A420,'Tox Summary'!$O$3:$S$827,2,FALSE)</f>
        <v/>
      </c>
      <c r="L420" s="93">
        <f>VLOOKUP(A420,'Parameters Summary'!$B$2:$AB$826,7,FALSE)</f>
        <v>1.04E-16</v>
      </c>
      <c r="M420" s="93" t="str">
        <f>VLOOKUP(A420,'Parameters Summary'!$B$2:$AB$826,8,FALSE)</f>
        <v>PHYSPROP</v>
      </c>
      <c r="N420" s="91">
        <f>VLOOKUP(A420,'Parameters Summary'!$B$2:$AB$826,6,FALSE)</f>
        <v>4.2519999999999997E-15</v>
      </c>
      <c r="O420" s="91" t="str">
        <f t="shared" si="40"/>
        <v/>
      </c>
      <c r="P420" s="91">
        <f t="shared" si="43"/>
        <v>4.2519999999999997E-15</v>
      </c>
      <c r="Q420" s="91" t="str">
        <f t="shared" si="41"/>
        <v/>
      </c>
      <c r="R420" s="91">
        <f t="shared" si="44"/>
        <v>4.2519999999999997E-15</v>
      </c>
      <c r="S420" s="91" t="str">
        <f t="shared" si="45"/>
        <v/>
      </c>
      <c r="T420" s="93">
        <f>VLOOKUP(A420,'Parameters Summary'!$B$2:$AB$826,15,FALSE)</f>
        <v>4.3432499999999999E-2</v>
      </c>
      <c r="U420" s="93" t="str">
        <f>VLOOKUP(A420,'Parameters Summary'!$B$2:$AB$826,17,FALSE)</f>
        <v>WATER9 (U.S. EPA, 2001)</v>
      </c>
      <c r="V420" s="93">
        <f>VLOOKUP(A420,'Parameters Summary'!$B$2:$AB$826,16,FALSE)</f>
        <v>5.0746999999999999E-6</v>
      </c>
      <c r="W420" s="379" t="str">
        <f>VLOOKUP(A420,'Parameters Summary'!$B$2:$AB$826,17,FALSE)</f>
        <v>WATER9 (U.S. EPA, 2001)</v>
      </c>
      <c r="X420" s="347"/>
      <c r="Y420" s="96"/>
      <c r="Z420" s="96" t="s">
        <v>1653</v>
      </c>
      <c r="AA420" s="96"/>
      <c r="AB420" s="96" t="s">
        <v>1651</v>
      </c>
      <c r="AC420" s="96"/>
      <c r="AD420" s="93">
        <f>VLOOKUP(A420,'Parameters Summary'!$B$2:$AB$826,20,FALSE)</f>
        <v>339.1</v>
      </c>
      <c r="AE420" s="97" t="str">
        <f>VLOOKUP(A420,'Parameters Summary'!$B$2:$AB$826,21,FALSE)</f>
        <v>EPI</v>
      </c>
      <c r="AF420" s="97"/>
      <c r="AG420" s="94"/>
      <c r="AH420" s="92"/>
      <c r="AI420" s="96"/>
      <c r="AJ420" s="330"/>
      <c r="AL420" s="81"/>
    </row>
    <row r="421" spans="1:38" ht="12.75" customHeight="1">
      <c r="A421" s="96" t="s">
        <v>214</v>
      </c>
      <c r="B421" s="96" t="s">
        <v>2357</v>
      </c>
      <c r="C421" s="96" t="str">
        <f t="shared" si="42"/>
        <v>No</v>
      </c>
      <c r="D421" s="96" t="str">
        <f>VLOOKUP(A421,'Tox Summary'!$O$3:$R$824,3,FALSE)</f>
        <v>No</v>
      </c>
      <c r="E421" s="97">
        <f>VLOOKUP(A421,'Parameters Summary'!$B$2:$AB$826,4,FALSE)</f>
        <v>276.33999999999997</v>
      </c>
      <c r="F421" s="97" t="str">
        <f>VLOOKUP(A421,'Parameters Summary'!$B$2:$AB$826,5,FALSE)</f>
        <v>PHYSPROP</v>
      </c>
      <c r="G421" s="93">
        <f>VLOOKUP(A421,'Parameters Summary'!$B$2:$AB$826,9,FALSE)</f>
        <v>1.2500000000000001E-10</v>
      </c>
      <c r="H421" s="93" t="str">
        <f>VLOOKUP(A421,'Parameters Summary'!$B$2:$AB$826,10,FALSE)</f>
        <v>PHYSPROP</v>
      </c>
      <c r="I421" s="93">
        <f>VLOOKUP(A421,'Parameters Summary'!$B$2:$AB$826,24,FALSE)</f>
        <v>1.9000000000000001E-4</v>
      </c>
      <c r="J421" s="97" t="str">
        <f>VLOOKUP(A421,'Parameters Summary'!$B$2:$AB$826,25,FALSE)</f>
        <v>PHYSPROP</v>
      </c>
      <c r="K421" s="97" t="str">
        <f>VLOOKUP(A421,'Tox Summary'!$O$3:$S$827,2,FALSE)</f>
        <v/>
      </c>
      <c r="L421" s="93">
        <f>VLOOKUP(A421,'Parameters Summary'!$B$2:$AB$826,7,FALSE)</f>
        <v>3.4799999999999999E-7</v>
      </c>
      <c r="M421" s="93" t="str">
        <f>VLOOKUP(A421,'Parameters Summary'!$B$2:$AB$826,8,FALSE)</f>
        <v>PHYSPROP</v>
      </c>
      <c r="N421" s="91">
        <f>VLOOKUP(A421,'Parameters Summary'!$B$2:$AB$826,6,FALSE)</f>
        <v>1.42E-5</v>
      </c>
      <c r="O421" s="91" t="str">
        <f t="shared" si="40"/>
        <v/>
      </c>
      <c r="P421" s="91">
        <f t="shared" si="43"/>
        <v>1.42E-5</v>
      </c>
      <c r="Q421" s="91" t="str">
        <f t="shared" si="41"/>
        <v/>
      </c>
      <c r="R421" s="91">
        <f t="shared" si="44"/>
        <v>1.42E-5</v>
      </c>
      <c r="S421" s="91" t="str">
        <f t="shared" si="45"/>
        <v/>
      </c>
      <c r="T421" s="93">
        <f>VLOOKUP(A421,'Parameters Summary'!$B$2:$AB$826,15,FALSE)</f>
        <v>4.4784200000000003E-2</v>
      </c>
      <c r="U421" s="93" t="str">
        <f>VLOOKUP(A421,'Parameters Summary'!$B$2:$AB$826,17,FALSE)</f>
        <v>WATER9 (U.S. EPA, 2001)</v>
      </c>
      <c r="V421" s="93">
        <f>VLOOKUP(A421,'Parameters Summary'!$B$2:$AB$826,16,FALSE)</f>
        <v>5.2326999999999999E-6</v>
      </c>
      <c r="W421" s="379" t="str">
        <f>VLOOKUP(A421,'Parameters Summary'!$B$2:$AB$826,17,FALSE)</f>
        <v>WATER9 (U.S. EPA, 2001)</v>
      </c>
      <c r="X421" s="290">
        <v>809.15</v>
      </c>
      <c r="Y421" s="96" t="s">
        <v>553</v>
      </c>
      <c r="Z421" s="96" t="s">
        <v>1653</v>
      </c>
      <c r="AA421" s="96"/>
      <c r="AB421" s="96" t="s">
        <v>1651</v>
      </c>
      <c r="AC421" s="96"/>
      <c r="AD421" s="93">
        <f>VLOOKUP(A421,'Parameters Summary'!$B$2:$AB$826,20,FALSE)</f>
        <v>1951000</v>
      </c>
      <c r="AE421" s="97" t="str">
        <f>VLOOKUP(A421,'Parameters Summary'!$B$2:$AB$826,21,FALSE)</f>
        <v>EPI</v>
      </c>
      <c r="AF421" s="97"/>
      <c r="AG421" s="94"/>
      <c r="AH421" s="92"/>
      <c r="AI421" s="96"/>
      <c r="AJ421" s="330"/>
      <c r="AL421" s="81"/>
    </row>
    <row r="422" spans="1:38" ht="12.75" customHeight="1">
      <c r="A422" s="96" t="s">
        <v>27</v>
      </c>
      <c r="B422" s="96" t="s">
        <v>590</v>
      </c>
      <c r="C422" s="96" t="str">
        <f t="shared" si="42"/>
        <v>No</v>
      </c>
      <c r="D422" s="96" t="str">
        <f>VLOOKUP(A422,'Tox Summary'!$O$3:$R$824,3,FALSE)</f>
        <v>No</v>
      </c>
      <c r="E422" s="97">
        <f>VLOOKUP(A422,'Parameters Summary'!$B$2:$AB$826,4,FALSE)</f>
        <v>253.81</v>
      </c>
      <c r="F422" s="97" t="str">
        <f>VLOOKUP(A422,'Parameters Summary'!$B$2:$AB$826,5,FALSE)</f>
        <v>PHYSPROP</v>
      </c>
      <c r="G422" s="93">
        <f>VLOOKUP(A422,'Parameters Summary'!$B$2:$AB$826,9,FALSE)</f>
        <v>0.23300000000000001</v>
      </c>
      <c r="H422" s="93" t="str">
        <f>VLOOKUP(A422,'Parameters Summary'!$B$2:$AB$826,10,FALSE)</f>
        <v>PHYSPROP</v>
      </c>
      <c r="I422" s="93">
        <f>VLOOKUP(A422,'Parameters Summary'!$B$2:$AB$826,24,FALSE)</f>
        <v>330</v>
      </c>
      <c r="J422" s="97" t="str">
        <f>VLOOKUP(A422,'Parameters Summary'!$B$2:$AB$826,25,FALSE)</f>
        <v>PHYSPROP</v>
      </c>
      <c r="K422" s="97" t="str">
        <f>VLOOKUP(A422,'Tox Summary'!$O$3:$S$827,2,FALSE)</f>
        <v/>
      </c>
      <c r="L422" s="93" t="str">
        <f>VLOOKUP(A422,'Parameters Summary'!$B$2:$AB$826,7,FALSE)</f>
        <v xml:space="preserve"> </v>
      </c>
      <c r="M422" s="93" t="str">
        <f>VLOOKUP(A422,'Parameters Summary'!$B$2:$AB$826,8,FALSE)</f>
        <v/>
      </c>
      <c r="N422" s="91" t="str">
        <f>VLOOKUP(A422,'Parameters Summary'!$B$2:$AB$826,6,FALSE)</f>
        <v xml:space="preserve"> </v>
      </c>
      <c r="O422" s="91" t="str">
        <f t="shared" si="40"/>
        <v/>
      </c>
      <c r="P422" s="91" t="str">
        <f t="shared" si="43"/>
        <v xml:space="preserve"> </v>
      </c>
      <c r="Q422" s="91" t="str">
        <f t="shared" si="41"/>
        <v/>
      </c>
      <c r="R422" s="91" t="str">
        <f t="shared" si="44"/>
        <v xml:space="preserve"> </v>
      </c>
      <c r="S422" s="91" t="str">
        <f t="shared" si="45"/>
        <v/>
      </c>
      <c r="T422" s="93" t="str">
        <f>VLOOKUP(A422,'Parameters Summary'!$B$2:$AB$826,15,FALSE)</f>
        <v xml:space="preserve"> </v>
      </c>
      <c r="U422" s="93" t="str">
        <f>VLOOKUP(A422,'Parameters Summary'!$B$2:$AB$826,17,FALSE)</f>
        <v/>
      </c>
      <c r="V422" s="93" t="str">
        <f>VLOOKUP(A422,'Parameters Summary'!$B$2:$AB$826,16,FALSE)</f>
        <v xml:space="preserve"> </v>
      </c>
      <c r="W422" s="379" t="str">
        <f>VLOOKUP(A422,'Parameters Summary'!$B$2:$AB$826,17,FALSE)</f>
        <v/>
      </c>
      <c r="X422" s="290">
        <v>458.39</v>
      </c>
      <c r="Y422" s="96" t="s">
        <v>553</v>
      </c>
      <c r="Z422" s="96">
        <f>1.5*X422</f>
        <v>687.58500000000004</v>
      </c>
      <c r="AA422" s="96" t="s">
        <v>2220</v>
      </c>
      <c r="AB422" s="96" t="s">
        <v>1651</v>
      </c>
      <c r="AC422" s="96"/>
      <c r="AD422" s="93" t="str">
        <f>VLOOKUP(A422,'Parameters Summary'!$B$2:$AB$826,20,FALSE)</f>
        <v xml:space="preserve"> </v>
      </c>
      <c r="AE422" s="97" t="str">
        <f>VLOOKUP(A422,'Parameters Summary'!$B$2:$AB$826,21,FALSE)</f>
        <v/>
      </c>
      <c r="AF422" s="97"/>
      <c r="AG422" s="94"/>
      <c r="AH422" s="92"/>
      <c r="AI422" s="96"/>
      <c r="AJ422" s="330"/>
      <c r="AL422" s="81"/>
    </row>
    <row r="423" spans="1:38" ht="12.75" customHeight="1">
      <c r="A423" s="96" t="s">
        <v>28</v>
      </c>
      <c r="B423" s="96" t="s">
        <v>1195</v>
      </c>
      <c r="C423" s="96" t="str">
        <f t="shared" si="42"/>
        <v>No</v>
      </c>
      <c r="D423" s="96" t="str">
        <f>VLOOKUP(A423,'Tox Summary'!$O$3:$R$824,3,FALSE)</f>
        <v>No</v>
      </c>
      <c r="E423" s="97">
        <f>VLOOKUP(A423,'Parameters Summary'!$B$2:$AB$826,4,FALSE)</f>
        <v>330.17</v>
      </c>
      <c r="F423" s="97" t="str">
        <f>VLOOKUP(A423,'Parameters Summary'!$B$2:$AB$826,5,FALSE)</f>
        <v>PHYSPROP</v>
      </c>
      <c r="G423" s="93">
        <f>VLOOKUP(A423,'Parameters Summary'!$B$2:$AB$826,9,FALSE)</f>
        <v>3.7499999999999997E-9</v>
      </c>
      <c r="H423" s="93" t="str">
        <f>VLOOKUP(A423,'Parameters Summary'!$B$2:$AB$826,10,FALSE)</f>
        <v>PHYSPROP</v>
      </c>
      <c r="I423" s="93">
        <f>VLOOKUP(A423,'Parameters Summary'!$B$2:$AB$826,24,FALSE)</f>
        <v>13.9</v>
      </c>
      <c r="J423" s="97" t="str">
        <f>VLOOKUP(A423,'Parameters Summary'!$B$2:$AB$826,25,FALSE)</f>
        <v>PHYSPROP</v>
      </c>
      <c r="K423" s="97" t="str">
        <f>VLOOKUP(A423,'Tox Summary'!$O$3:$S$827,2,FALSE)</f>
        <v/>
      </c>
      <c r="L423" s="93">
        <f>VLOOKUP(A423,'Parameters Summary'!$B$2:$AB$826,7,FALSE)</f>
        <v>3.12E-9</v>
      </c>
      <c r="M423" s="93" t="str">
        <f>VLOOKUP(A423,'Parameters Summary'!$B$2:$AB$826,8,FALSE)</f>
        <v>PHYSPROP</v>
      </c>
      <c r="N423" s="91">
        <f>VLOOKUP(A423,'Parameters Summary'!$B$2:$AB$826,6,FALSE)</f>
        <v>1.2756000000000001E-7</v>
      </c>
      <c r="O423" s="91" t="str">
        <f t="shared" si="40"/>
        <v/>
      </c>
      <c r="P423" s="91">
        <f t="shared" si="43"/>
        <v>1.2756000000000001E-7</v>
      </c>
      <c r="Q423" s="91" t="str">
        <f t="shared" si="41"/>
        <v/>
      </c>
      <c r="R423" s="91">
        <f t="shared" si="44"/>
        <v>1.2756000000000001E-7</v>
      </c>
      <c r="S423" s="91" t="str">
        <f t="shared" si="45"/>
        <v/>
      </c>
      <c r="T423" s="93">
        <f>VLOOKUP(A423,'Parameters Summary'!$B$2:$AB$826,15,FALSE)</f>
        <v>3.9773599999999999E-2</v>
      </c>
      <c r="U423" s="93" t="str">
        <f>VLOOKUP(A423,'Parameters Summary'!$B$2:$AB$826,17,FALSE)</f>
        <v>WATER9 (U.S. EPA, 2001)</v>
      </c>
      <c r="V423" s="93">
        <f>VLOOKUP(A423,'Parameters Summary'!$B$2:$AB$826,16,FALSE)</f>
        <v>4.6472000000000002E-6</v>
      </c>
      <c r="W423" s="379" t="str">
        <f>VLOOKUP(A423,'Parameters Summary'!$B$2:$AB$826,17,FALSE)</f>
        <v>WATER9 (U.S. EPA, 2001)</v>
      </c>
      <c r="X423" s="347"/>
      <c r="Y423" s="96"/>
      <c r="Z423" s="96" t="s">
        <v>1653</v>
      </c>
      <c r="AA423" s="96"/>
      <c r="AB423" s="96" t="s">
        <v>1651</v>
      </c>
      <c r="AC423" s="96"/>
      <c r="AD423" s="93">
        <f>VLOOKUP(A423,'Parameters Summary'!$B$2:$AB$826,20,FALSE)</f>
        <v>52.52</v>
      </c>
      <c r="AE423" s="97" t="str">
        <f>VLOOKUP(A423,'Parameters Summary'!$B$2:$AB$826,21,FALSE)</f>
        <v>EPI</v>
      </c>
      <c r="AF423" s="97"/>
      <c r="AG423" s="94"/>
      <c r="AH423" s="92"/>
      <c r="AI423" s="96"/>
      <c r="AJ423" s="330"/>
      <c r="AL423" s="81"/>
    </row>
    <row r="424" spans="1:38" ht="12.75" customHeight="1">
      <c r="A424" s="96" t="s">
        <v>29</v>
      </c>
      <c r="B424" s="96" t="s">
        <v>1196</v>
      </c>
      <c r="C424" s="96" t="str">
        <f t="shared" si="42"/>
        <v>No</v>
      </c>
      <c r="D424" s="96" t="str">
        <f>VLOOKUP(A424,'Tox Summary'!$O$3:$R$824,3,FALSE)</f>
        <v>Yes</v>
      </c>
      <c r="E424" s="97">
        <f>VLOOKUP(A424,'Parameters Summary'!$B$2:$AB$826,4,FALSE)</f>
        <v>55.847000000000001</v>
      </c>
      <c r="F424" s="97" t="str">
        <f>VLOOKUP(A424,'Parameters Summary'!$B$2:$AB$826,5,FALSE)</f>
        <v>PHYSPROP</v>
      </c>
      <c r="G424" s="93">
        <f>VLOOKUP(A424,'Parameters Summary'!$B$2:$AB$826,9,FALSE)</f>
        <v>0</v>
      </c>
      <c r="H424" s="93" t="str">
        <f>VLOOKUP(A424,'Parameters Summary'!$B$2:$AB$826,10,FALSE)</f>
        <v>NIOSH</v>
      </c>
      <c r="I424" s="93" t="s">
        <v>2440</v>
      </c>
      <c r="J424" s="97" t="str">
        <f>VLOOKUP(A424,'Parameters Summary'!$B$2:$AB$826,25,FALSE)</f>
        <v/>
      </c>
      <c r="K424" s="97" t="str">
        <f>VLOOKUP(A424,'Tox Summary'!$O$3:$S$827,2,FALSE)</f>
        <v/>
      </c>
      <c r="L424" s="93" t="str">
        <f>VLOOKUP(A424,'Parameters Summary'!$B$2:$AB$826,7,FALSE)</f>
        <v xml:space="preserve"> </v>
      </c>
      <c r="M424" s="93" t="str">
        <f>VLOOKUP(A424,'Parameters Summary'!$B$2:$AB$826,8,FALSE)</f>
        <v/>
      </c>
      <c r="N424" s="91" t="str">
        <f>VLOOKUP(A424,'Parameters Summary'!$B$2:$AB$826,6,FALSE)</f>
        <v xml:space="preserve"> </v>
      </c>
      <c r="O424" s="91" t="str">
        <f t="shared" si="40"/>
        <v/>
      </c>
      <c r="P424" s="91" t="str">
        <f t="shared" si="43"/>
        <v xml:space="preserve"> </v>
      </c>
      <c r="Q424" s="91" t="str">
        <f t="shared" si="41"/>
        <v/>
      </c>
      <c r="R424" s="91" t="str">
        <f t="shared" si="44"/>
        <v xml:space="preserve"> </v>
      </c>
      <c r="S424" s="91" t="str">
        <f t="shared" si="45"/>
        <v/>
      </c>
      <c r="T424" s="93" t="str">
        <f>VLOOKUP(A424,'Parameters Summary'!$B$2:$AB$826,15,FALSE)</f>
        <v xml:space="preserve"> </v>
      </c>
      <c r="U424" s="93" t="str">
        <f>VLOOKUP(A424,'Parameters Summary'!$B$2:$AB$826,17,FALSE)</f>
        <v/>
      </c>
      <c r="V424" s="93" t="str">
        <f>VLOOKUP(A424,'Parameters Summary'!$B$2:$AB$826,16,FALSE)</f>
        <v xml:space="preserve"> </v>
      </c>
      <c r="W424" s="379" t="str">
        <f>VLOOKUP(A424,'Parameters Summary'!$B$2:$AB$826,17,FALSE)</f>
        <v/>
      </c>
      <c r="X424" s="347"/>
      <c r="Y424" s="96"/>
      <c r="Z424" s="96" t="s">
        <v>1653</v>
      </c>
      <c r="AA424" s="96"/>
      <c r="AB424" s="96" t="s">
        <v>1651</v>
      </c>
      <c r="AC424" s="96"/>
      <c r="AD424" s="93" t="str">
        <f>VLOOKUP(A424,'Parameters Summary'!$B$2:$AB$826,20,FALSE)</f>
        <v xml:space="preserve"> </v>
      </c>
      <c r="AE424" s="97" t="str">
        <f>VLOOKUP(A424,'Parameters Summary'!$B$2:$AB$826,21,FALSE)</f>
        <v/>
      </c>
      <c r="AF424" s="97"/>
      <c r="AG424" s="94"/>
      <c r="AH424" s="92"/>
      <c r="AI424" s="96"/>
      <c r="AJ424" s="330"/>
      <c r="AL424" s="81"/>
    </row>
    <row r="425" spans="1:38" ht="12.75" customHeight="1">
      <c r="A425" s="96" t="s">
        <v>30</v>
      </c>
      <c r="B425" s="96" t="s">
        <v>1197</v>
      </c>
      <c r="C425" s="96" t="str">
        <f t="shared" si="42"/>
        <v>Yes</v>
      </c>
      <c r="D425" s="96" t="str">
        <f>VLOOKUP(A425,'Tox Summary'!$O$3:$R$824,3,FALSE)</f>
        <v>No</v>
      </c>
      <c r="E425" s="97">
        <f>VLOOKUP(A425,'Parameters Summary'!$B$2:$AB$826,4,FALSE)</f>
        <v>74.123999999999995</v>
      </c>
      <c r="F425" s="97" t="str">
        <f>VLOOKUP(A425,'Parameters Summary'!$B$2:$AB$826,5,FALSE)</f>
        <v>PHYSPROP</v>
      </c>
      <c r="G425" s="93">
        <f>VLOOKUP(A425,'Parameters Summary'!$B$2:$AB$826,9,FALSE)</f>
        <v>10.45</v>
      </c>
      <c r="H425" s="93" t="str">
        <f>VLOOKUP(A425,'Parameters Summary'!$B$2:$AB$826,10,FALSE)</f>
        <v>PHYSPROP</v>
      </c>
      <c r="I425" s="93">
        <f>VLOOKUP(A425,'Parameters Summary'!$B$2:$AB$826,24,FALSE)</f>
        <v>85000</v>
      </c>
      <c r="J425" s="97" t="str">
        <f>VLOOKUP(A425,'Parameters Summary'!$B$2:$AB$826,25,FALSE)</f>
        <v>PHYSPROP</v>
      </c>
      <c r="K425" s="97" t="str">
        <f>VLOOKUP(A425,'Tox Summary'!$O$3:$S$827,2,FALSE)</f>
        <v/>
      </c>
      <c r="L425" s="93">
        <f>VLOOKUP(A425,'Parameters Summary'!$B$2:$AB$826,7,FALSE)</f>
        <v>9.7799999999999995E-6</v>
      </c>
      <c r="M425" s="93" t="str">
        <f>VLOOKUP(A425,'Parameters Summary'!$B$2:$AB$826,8,FALSE)</f>
        <v>PHYSPROP</v>
      </c>
      <c r="N425" s="91">
        <f>VLOOKUP(A425,'Parameters Summary'!$B$2:$AB$826,6,FALSE)</f>
        <v>3.9980000000000001E-4</v>
      </c>
      <c r="O425" s="91">
        <f t="shared" si="40"/>
        <v>3.9980000000000001E-4</v>
      </c>
      <c r="P425" s="91">
        <f t="shared" si="43"/>
        <v>3.9980000000000001E-4</v>
      </c>
      <c r="Q425" s="91">
        <f t="shared" si="41"/>
        <v>3.9980000000000001E-4</v>
      </c>
      <c r="R425" s="91">
        <f t="shared" si="44"/>
        <v>3.9980000000000001E-4</v>
      </c>
      <c r="S425" s="91">
        <f t="shared" si="45"/>
        <v>41680059.363901481</v>
      </c>
      <c r="T425" s="93">
        <f>VLOOKUP(A425,'Parameters Summary'!$B$2:$AB$826,15,FALSE)</f>
        <v>8.9667700000000003E-2</v>
      </c>
      <c r="U425" s="93" t="str">
        <f>VLOOKUP(A425,'Parameters Summary'!$B$2:$AB$826,17,FALSE)</f>
        <v>WATER9 (U.S. EPA, 2001)</v>
      </c>
      <c r="V425" s="93">
        <f>VLOOKUP(A425,'Parameters Summary'!$B$2:$AB$826,16,FALSE)</f>
        <v>1.0000000000000001E-5</v>
      </c>
      <c r="W425" s="379" t="str">
        <f>VLOOKUP(A425,'Parameters Summary'!$B$2:$AB$826,17,FALSE)</f>
        <v>WATER9 (U.S. EPA, 2001)</v>
      </c>
      <c r="X425" s="290">
        <v>380.95</v>
      </c>
      <c r="Y425" s="96" t="s">
        <v>553</v>
      </c>
      <c r="Z425" s="96">
        <f>274.63+273.15</f>
        <v>547.78</v>
      </c>
      <c r="AA425" s="96" t="s">
        <v>2215</v>
      </c>
      <c r="AB425" s="96">
        <v>103496.65</v>
      </c>
      <c r="AC425" s="96" t="s">
        <v>2214</v>
      </c>
      <c r="AD425" s="93">
        <f>VLOOKUP(A425,'Parameters Summary'!$B$2:$AB$826,20,FALSE)</f>
        <v>2.919</v>
      </c>
      <c r="AE425" s="97" t="str">
        <f>VLOOKUP(A425,'Parameters Summary'!$B$2:$AB$826,21,FALSE)</f>
        <v>EPI</v>
      </c>
      <c r="AF425" s="97"/>
      <c r="AG425" s="94"/>
      <c r="AH425" s="92"/>
      <c r="AI425" s="96"/>
      <c r="AJ425" s="330"/>
      <c r="AL425" s="81"/>
    </row>
    <row r="426" spans="1:38" ht="12.75" customHeight="1">
      <c r="A426" s="96" t="s">
        <v>31</v>
      </c>
      <c r="B426" s="96" t="s">
        <v>386</v>
      </c>
      <c r="C426" s="96" t="str">
        <f t="shared" si="42"/>
        <v>No</v>
      </c>
      <c r="D426" s="96" t="str">
        <f>VLOOKUP(A426,'Tox Summary'!$O$3:$R$824,3,FALSE)</f>
        <v>No</v>
      </c>
      <c r="E426" s="97">
        <f>VLOOKUP(A426,'Parameters Summary'!$B$2:$AB$826,4,FALSE)</f>
        <v>138.21</v>
      </c>
      <c r="F426" s="97" t="str">
        <f>VLOOKUP(A426,'Parameters Summary'!$B$2:$AB$826,5,FALSE)</f>
        <v>PHYSPROP</v>
      </c>
      <c r="G426" s="93">
        <f>VLOOKUP(A426,'Parameters Summary'!$B$2:$AB$826,9,FALSE)</f>
        <v>0.438</v>
      </c>
      <c r="H426" s="93" t="str">
        <f>VLOOKUP(A426,'Parameters Summary'!$B$2:$AB$826,10,FALSE)</f>
        <v>PHYSPROP</v>
      </c>
      <c r="I426" s="93">
        <f>VLOOKUP(A426,'Parameters Summary'!$B$2:$AB$826,24,FALSE)</f>
        <v>12000</v>
      </c>
      <c r="J426" s="97" t="str">
        <f>VLOOKUP(A426,'Parameters Summary'!$B$2:$AB$826,25,FALSE)</f>
        <v>PHYSPROP</v>
      </c>
      <c r="K426" s="97" t="str">
        <f>VLOOKUP(A426,'Tox Summary'!$O$3:$S$827,2,FALSE)</f>
        <v/>
      </c>
      <c r="L426" s="93">
        <f>VLOOKUP(A426,'Parameters Summary'!$B$2:$AB$826,7,FALSE)</f>
        <v>6.64E-6</v>
      </c>
      <c r="M426" s="93" t="str">
        <f>VLOOKUP(A426,'Parameters Summary'!$B$2:$AB$826,8,FALSE)</f>
        <v>EPI</v>
      </c>
      <c r="N426" s="91">
        <f>VLOOKUP(A426,'Parameters Summary'!$B$2:$AB$826,6,FALSE)</f>
        <v>2.7149999999999999E-4</v>
      </c>
      <c r="O426" s="91" t="str">
        <f t="shared" si="40"/>
        <v/>
      </c>
      <c r="P426" s="91">
        <f t="shared" si="43"/>
        <v>2.7149999999999999E-4</v>
      </c>
      <c r="Q426" s="91" t="str">
        <f t="shared" si="41"/>
        <v/>
      </c>
      <c r="R426" s="91">
        <f t="shared" si="44"/>
        <v>2.7149999999999999E-4</v>
      </c>
      <c r="S426" s="91" t="str">
        <f t="shared" si="45"/>
        <v/>
      </c>
      <c r="T426" s="93">
        <f>VLOOKUP(A426,'Parameters Summary'!$B$2:$AB$826,15,FALSE)</f>
        <v>5.2504799999999997E-2</v>
      </c>
      <c r="U426" s="93" t="str">
        <f>VLOOKUP(A426,'Parameters Summary'!$B$2:$AB$826,17,FALSE)</f>
        <v>WATER9 (U.S. EPA, 2001)</v>
      </c>
      <c r="V426" s="93">
        <f>VLOOKUP(A426,'Parameters Summary'!$B$2:$AB$826,16,FALSE)</f>
        <v>7.5295999999999999E-6</v>
      </c>
      <c r="W426" s="379" t="str">
        <f>VLOOKUP(A426,'Parameters Summary'!$B$2:$AB$826,17,FALSE)</f>
        <v>WATER9 (U.S. EPA, 2001)</v>
      </c>
      <c r="X426" s="290">
        <v>488.34999999999997</v>
      </c>
      <c r="Y426" s="96" t="s">
        <v>553</v>
      </c>
      <c r="Z426" s="96" t="s">
        <v>1653</v>
      </c>
      <c r="AA426" s="96"/>
      <c r="AB426" s="96" t="s">
        <v>1651</v>
      </c>
      <c r="AC426" s="96"/>
      <c r="AD426" s="93">
        <f>VLOOKUP(A426,'Parameters Summary'!$B$2:$AB$826,20,FALSE)</f>
        <v>65.150000000000006</v>
      </c>
      <c r="AE426" s="97" t="str">
        <f>VLOOKUP(A426,'Parameters Summary'!$B$2:$AB$826,21,FALSE)</f>
        <v>EPI</v>
      </c>
      <c r="AF426" s="97"/>
      <c r="AG426" s="94"/>
      <c r="AH426" s="92"/>
      <c r="AI426" s="96"/>
      <c r="AJ426" s="330"/>
      <c r="AL426" s="81"/>
    </row>
    <row r="427" spans="1:38" ht="12.75" customHeight="1">
      <c r="A427" s="96" t="s">
        <v>32</v>
      </c>
      <c r="B427" s="96" t="s">
        <v>1198</v>
      </c>
      <c r="C427" s="96" t="str">
        <f t="shared" si="42"/>
        <v>Yes</v>
      </c>
      <c r="D427" s="96" t="str">
        <f>VLOOKUP(A427,'Tox Summary'!$O$3:$R$824,3,FALSE)</f>
        <v>Yes</v>
      </c>
      <c r="E427" s="97">
        <f>VLOOKUP(A427,'Parameters Summary'!$B$2:$AB$826,4,FALSE)</f>
        <v>309.37</v>
      </c>
      <c r="F427" s="97" t="str">
        <f>VLOOKUP(A427,'Parameters Summary'!$B$2:$AB$826,5,FALSE)</f>
        <v>PHYSPROP</v>
      </c>
      <c r="G427" s="93">
        <f>VLOOKUP(A427,'Parameters Summary'!$B$2:$AB$826,9,FALSE)</f>
        <v>3.0000000000000001E-5</v>
      </c>
      <c r="H427" s="93" t="str">
        <f>VLOOKUP(A427,'Parameters Summary'!$B$2:$AB$826,10,FALSE)</f>
        <v>PHYSPROP</v>
      </c>
      <c r="I427" s="93">
        <f>VLOOKUP(A427,'Parameters Summary'!$B$2:$AB$826,24,FALSE)</f>
        <v>0.11</v>
      </c>
      <c r="J427" s="97" t="str">
        <f>VLOOKUP(A427,'Parameters Summary'!$B$2:$AB$826,25,FALSE)</f>
        <v>PHYSPROP</v>
      </c>
      <c r="K427" s="97" t="str">
        <f>VLOOKUP(A427,'Tox Summary'!$O$3:$S$827,2,FALSE)</f>
        <v/>
      </c>
      <c r="L427" s="93">
        <f>VLOOKUP(A427,'Parameters Summary'!$B$2:$AB$826,7,FALSE)</f>
        <v>1.11E-4</v>
      </c>
      <c r="M427" s="93" t="str">
        <f>VLOOKUP(A427,'Parameters Summary'!$B$2:$AB$826,8,FALSE)</f>
        <v>EPI</v>
      </c>
      <c r="N427" s="91">
        <f>VLOOKUP(A427,'Parameters Summary'!$B$2:$AB$826,6,FALSE)</f>
        <v>4.5380000000000004E-3</v>
      </c>
      <c r="O427" s="91" t="str">
        <f t="shared" si="40"/>
        <v/>
      </c>
      <c r="P427" s="91">
        <f t="shared" si="43"/>
        <v>4.5380000000000004E-3</v>
      </c>
      <c r="Q427" s="91" t="str">
        <f t="shared" si="41"/>
        <v/>
      </c>
      <c r="R427" s="91">
        <f t="shared" si="44"/>
        <v>4.5380000000000004E-3</v>
      </c>
      <c r="S427" s="91" t="str">
        <f t="shared" si="45"/>
        <v/>
      </c>
      <c r="T427" s="93">
        <f>VLOOKUP(A427,'Parameters Summary'!$B$2:$AB$826,15,FALSE)</f>
        <v>2.1278999999999999E-2</v>
      </c>
      <c r="U427" s="93" t="str">
        <f>VLOOKUP(A427,'Parameters Summary'!$B$2:$AB$826,17,FALSE)</f>
        <v>WATER9 (U.S. EPA, 2001)</v>
      </c>
      <c r="V427" s="93">
        <f>VLOOKUP(A427,'Parameters Summary'!$B$2:$AB$826,16,FALSE)</f>
        <v>5.3086999999999997E-6</v>
      </c>
      <c r="W427" s="379" t="str">
        <f>VLOOKUP(A427,'Parameters Summary'!$B$2:$AB$826,17,FALSE)</f>
        <v>WATER9 (U.S. EPA, 2001)</v>
      </c>
      <c r="X427" s="347">
        <f>406.57+273</f>
        <v>679.56999999999994</v>
      </c>
      <c r="Y427" s="96" t="s">
        <v>553</v>
      </c>
      <c r="Z427" s="96" t="s">
        <v>1653</v>
      </c>
      <c r="AA427" s="96"/>
      <c r="AB427" s="96" t="s">
        <v>1651</v>
      </c>
      <c r="AC427" s="96"/>
      <c r="AD427" s="93">
        <f>VLOOKUP(A427,'Parameters Summary'!$B$2:$AB$826,20,FALSE)</f>
        <v>11430</v>
      </c>
      <c r="AE427" s="97" t="str">
        <f>VLOOKUP(A427,'Parameters Summary'!$B$2:$AB$826,21,FALSE)</f>
        <v>EPI</v>
      </c>
      <c r="AF427" s="97"/>
      <c r="AG427" s="94"/>
      <c r="AH427" s="92"/>
      <c r="AI427" s="96"/>
      <c r="AJ427" s="330"/>
      <c r="AL427" s="81"/>
    </row>
    <row r="428" spans="1:38" ht="12.75" customHeight="1">
      <c r="A428" s="95" t="s">
        <v>33</v>
      </c>
      <c r="B428" s="96" t="s">
        <v>591</v>
      </c>
      <c r="C428" s="96" t="str">
        <f t="shared" si="42"/>
        <v>Yes</v>
      </c>
      <c r="D428" s="96" t="str">
        <f>VLOOKUP(A428,'Tox Summary'!$O$3:$R$824,3,FALSE)</f>
        <v>Yes</v>
      </c>
      <c r="E428" s="97">
        <f>VLOOKUP(A428,'Parameters Summary'!$B$2:$AB$826,4,FALSE)</f>
        <v>60.097000000000001</v>
      </c>
      <c r="F428" s="97" t="str">
        <f>VLOOKUP(A428,'Parameters Summary'!$B$2:$AB$826,5,FALSE)</f>
        <v>PHYSPROP</v>
      </c>
      <c r="G428" s="93">
        <f>VLOOKUP(A428,'Parameters Summary'!$B$2:$AB$826,9,FALSE)</f>
        <v>45.42</v>
      </c>
      <c r="H428" s="93" t="str">
        <f>VLOOKUP(A428,'Parameters Summary'!$B$2:$AB$826,10,FALSE)</f>
        <v>PHYSPROP</v>
      </c>
      <c r="I428" s="93">
        <f>VLOOKUP(A428,'Parameters Summary'!$B$2:$AB$826,24,FALSE)</f>
        <v>1000000</v>
      </c>
      <c r="J428" s="97" t="str">
        <f>VLOOKUP(A428,'Parameters Summary'!$B$2:$AB$826,25,FALSE)</f>
        <v>PHYSPROP</v>
      </c>
      <c r="K428" s="97" t="str">
        <f>VLOOKUP(A428,'Tox Summary'!$O$3:$S$827,2,FALSE)</f>
        <v/>
      </c>
      <c r="L428" s="93">
        <f>VLOOKUP(A428,'Parameters Summary'!$B$2:$AB$826,7,FALSE)</f>
        <v>8.1000000000000004E-6</v>
      </c>
      <c r="M428" s="93" t="str">
        <f>VLOOKUP(A428,'Parameters Summary'!$B$2:$AB$826,8,FALSE)</f>
        <v>PHYSPROP</v>
      </c>
      <c r="N428" s="91">
        <f>VLOOKUP(A428,'Parameters Summary'!$B$2:$AB$826,6,FALSE)</f>
        <v>3.3119999999999997E-4</v>
      </c>
      <c r="O428" s="91">
        <f t="shared" si="40"/>
        <v>3.3119999999999997E-4</v>
      </c>
      <c r="P428" s="91">
        <f t="shared" si="43"/>
        <v>3.3119999999999997E-4</v>
      </c>
      <c r="Q428" s="91">
        <f t="shared" si="41"/>
        <v>3.3119999999999997E-4</v>
      </c>
      <c r="R428" s="91">
        <f t="shared" si="44"/>
        <v>3.3119999999999997E-4</v>
      </c>
      <c r="S428" s="91">
        <f t="shared" si="45"/>
        <v>146876770.15967068</v>
      </c>
      <c r="T428" s="93">
        <f>VLOOKUP(A428,'Parameters Summary'!$B$2:$AB$826,15,FALSE)</f>
        <v>0.1032261</v>
      </c>
      <c r="U428" s="93" t="str">
        <f>VLOOKUP(A428,'Parameters Summary'!$B$2:$AB$826,17,FALSE)</f>
        <v>WATER9 (U.S. EPA, 2001)</v>
      </c>
      <c r="V428" s="93">
        <f>VLOOKUP(A428,'Parameters Summary'!$B$2:$AB$826,16,FALSE)</f>
        <v>1.1199999999999999E-5</v>
      </c>
      <c r="W428" s="379" t="str">
        <f>VLOOKUP(A428,'Parameters Summary'!$B$2:$AB$826,17,FALSE)</f>
        <v>WATER9 (U.S. EPA, 2001)</v>
      </c>
      <c r="X428" s="290">
        <f>82.3+273.15</f>
        <v>355.45</v>
      </c>
      <c r="Y428" s="96" t="s">
        <v>553</v>
      </c>
      <c r="Z428" s="96">
        <v>508.3</v>
      </c>
      <c r="AA428" s="96" t="s">
        <v>2215</v>
      </c>
      <c r="AB428" s="96">
        <f>45.39*238.846</f>
        <v>10841.219940000001</v>
      </c>
      <c r="AC428" s="96" t="s">
        <v>2218</v>
      </c>
      <c r="AD428" s="93">
        <f>VLOOKUP(A428,'Parameters Summary'!$B$2:$AB$826,20,FALSE)</f>
        <v>1.53</v>
      </c>
      <c r="AE428" s="97" t="str">
        <f>VLOOKUP(A428,'Parameters Summary'!$B$2:$AB$826,21,FALSE)</f>
        <v>EPI</v>
      </c>
      <c r="AF428" s="380">
        <v>2</v>
      </c>
      <c r="AG428" s="97" t="s">
        <v>302</v>
      </c>
      <c r="AH428" s="92"/>
      <c r="AI428" s="96"/>
      <c r="AJ428" s="330"/>
      <c r="AL428" s="81"/>
    </row>
    <row r="429" spans="1:38" ht="12.75" customHeight="1">
      <c r="A429" s="96" t="s">
        <v>34</v>
      </c>
      <c r="B429" s="96" t="s">
        <v>1199</v>
      </c>
      <c r="C429" s="96" t="str">
        <f t="shared" si="42"/>
        <v>No</v>
      </c>
      <c r="D429" s="96" t="str">
        <f>VLOOKUP(A429,'Tox Summary'!$O$3:$R$824,3,FALSE)</f>
        <v>Yes</v>
      </c>
      <c r="E429" s="97">
        <f>VLOOKUP(A429,'Parameters Summary'!$B$2:$AB$826,4,FALSE)</f>
        <v>138.1</v>
      </c>
      <c r="F429" s="97" t="str">
        <f>VLOOKUP(A429,'Parameters Summary'!$B$2:$AB$826,5,FALSE)</f>
        <v>PHYSPROP</v>
      </c>
      <c r="G429" s="93">
        <f>VLOOKUP(A429,'Parameters Summary'!$B$2:$AB$826,9,FALSE)</f>
        <v>1.1900000000000001E-2</v>
      </c>
      <c r="H429" s="93" t="str">
        <f>VLOOKUP(A429,'Parameters Summary'!$B$2:$AB$826,10,FALSE)</f>
        <v>PHYSPROP</v>
      </c>
      <c r="I429" s="93">
        <f>VLOOKUP(A429,'Parameters Summary'!$B$2:$AB$826,24,FALSE)</f>
        <v>50420</v>
      </c>
      <c r="J429" s="97" t="str">
        <f>VLOOKUP(A429,'Parameters Summary'!$B$2:$AB$826,25,FALSE)</f>
        <v>PHYSPROP</v>
      </c>
      <c r="K429" s="97" t="str">
        <f>VLOOKUP(A429,'Tox Summary'!$O$3:$S$827,2,FALSE)</f>
        <v/>
      </c>
      <c r="L429" s="93">
        <f>VLOOKUP(A429,'Parameters Summary'!$B$2:$AB$826,7,FALSE)</f>
        <v>6.8800000000000002E-9</v>
      </c>
      <c r="M429" s="93" t="str">
        <f>VLOOKUP(A429,'Parameters Summary'!$B$2:$AB$826,8,FALSE)</f>
        <v>PHYSPROP</v>
      </c>
      <c r="N429" s="91">
        <f>VLOOKUP(A429,'Parameters Summary'!$B$2:$AB$826,6,FALSE)</f>
        <v>2.8127999999999999E-7</v>
      </c>
      <c r="O429" s="91" t="str">
        <f t="shared" si="40"/>
        <v/>
      </c>
      <c r="P429" s="91">
        <f t="shared" si="43"/>
        <v>2.8127999999999999E-7</v>
      </c>
      <c r="Q429" s="91" t="str">
        <f t="shared" si="41"/>
        <v/>
      </c>
      <c r="R429" s="91">
        <f t="shared" si="44"/>
        <v>2.8127999999999999E-7</v>
      </c>
      <c r="S429" s="91" t="str">
        <f t="shared" si="45"/>
        <v/>
      </c>
      <c r="T429" s="93">
        <f>VLOOKUP(A429,'Parameters Summary'!$B$2:$AB$826,15,FALSE)</f>
        <v>7.1114399999999994E-2</v>
      </c>
      <c r="U429" s="93" t="str">
        <f>VLOOKUP(A429,'Parameters Summary'!$B$2:$AB$826,17,FALSE)</f>
        <v>WATER9 (U.S. EPA, 2001)</v>
      </c>
      <c r="V429" s="93">
        <f>VLOOKUP(A429,'Parameters Summary'!$B$2:$AB$826,16,FALSE)</f>
        <v>8.3092E-6</v>
      </c>
      <c r="W429" s="379" t="str">
        <f>VLOOKUP(A429,'Parameters Summary'!$B$2:$AB$826,17,FALSE)</f>
        <v>WATER9 (U.S. EPA, 2001)</v>
      </c>
      <c r="X429" s="347"/>
      <c r="Y429" s="96"/>
      <c r="Z429" s="96" t="s">
        <v>1653</v>
      </c>
      <c r="AA429" s="96"/>
      <c r="AB429" s="96" t="s">
        <v>1651</v>
      </c>
      <c r="AC429" s="96"/>
      <c r="AD429" s="93">
        <f>VLOOKUP(A429,'Parameters Summary'!$B$2:$AB$826,20,FALSE)</f>
        <v>7.7069999999999999</v>
      </c>
      <c r="AE429" s="97" t="str">
        <f>VLOOKUP(A429,'Parameters Summary'!$B$2:$AB$826,21,FALSE)</f>
        <v>EPI</v>
      </c>
      <c r="AF429" s="97"/>
      <c r="AG429" s="94"/>
      <c r="AH429" s="92"/>
      <c r="AI429" s="96"/>
      <c r="AJ429" s="330"/>
      <c r="AL429" s="81"/>
    </row>
    <row r="430" spans="1:38" ht="12.75" customHeight="1">
      <c r="A430" s="96" t="s">
        <v>35</v>
      </c>
      <c r="B430" s="96" t="s">
        <v>1200</v>
      </c>
      <c r="C430" s="96" t="str">
        <f t="shared" si="42"/>
        <v>No</v>
      </c>
      <c r="D430" s="96" t="str">
        <f>VLOOKUP(A430,'Tox Summary'!$O$3:$R$824,3,FALSE)</f>
        <v>No</v>
      </c>
      <c r="E430" s="97">
        <f>VLOOKUP(A430,'Parameters Summary'!$B$2:$AB$826,4,FALSE)</f>
        <v>332.4</v>
      </c>
      <c r="F430" s="97" t="str">
        <f>VLOOKUP(A430,'Parameters Summary'!$B$2:$AB$826,5,FALSE)</f>
        <v>PHYSPROP</v>
      </c>
      <c r="G430" s="93">
        <f>VLOOKUP(A430,'Parameters Summary'!$B$2:$AB$826,9,FALSE)</f>
        <v>4.1299999999999996E-9</v>
      </c>
      <c r="H430" s="93" t="str">
        <f>VLOOKUP(A430,'Parameters Summary'!$B$2:$AB$826,10,FALSE)</f>
        <v>PHYSPROP</v>
      </c>
      <c r="I430" s="93">
        <f>VLOOKUP(A430,'Parameters Summary'!$B$2:$AB$826,24,FALSE)</f>
        <v>1.42</v>
      </c>
      <c r="J430" s="97" t="str">
        <f>VLOOKUP(A430,'Parameters Summary'!$B$2:$AB$826,25,FALSE)</f>
        <v>PHYSPROP</v>
      </c>
      <c r="K430" s="97" t="str">
        <f>VLOOKUP(A430,'Tox Summary'!$O$3:$S$827,2,FALSE)</f>
        <v/>
      </c>
      <c r="L430" s="93">
        <f>VLOOKUP(A430,'Parameters Summary'!$B$2:$AB$826,7,FALSE)</f>
        <v>1.27E-9</v>
      </c>
      <c r="M430" s="93" t="str">
        <f>VLOOKUP(A430,'Parameters Summary'!$B$2:$AB$826,8,FALSE)</f>
        <v>EPI</v>
      </c>
      <c r="N430" s="91">
        <f>VLOOKUP(A430,'Parameters Summary'!$B$2:$AB$826,6,FALSE)</f>
        <v>5.1922E-8</v>
      </c>
      <c r="O430" s="91" t="str">
        <f t="shared" si="40"/>
        <v/>
      </c>
      <c r="P430" s="91">
        <f t="shared" si="43"/>
        <v>5.1922E-8</v>
      </c>
      <c r="Q430" s="91" t="str">
        <f t="shared" si="41"/>
        <v/>
      </c>
      <c r="R430" s="91">
        <f t="shared" si="44"/>
        <v>5.1922E-8</v>
      </c>
      <c r="S430" s="91" t="str">
        <f t="shared" si="45"/>
        <v/>
      </c>
      <c r="T430" s="93">
        <f>VLOOKUP(A430,'Parameters Summary'!$B$2:$AB$826,15,FALSE)</f>
        <v>3.9595499999999999E-2</v>
      </c>
      <c r="U430" s="93" t="str">
        <f>VLOOKUP(A430,'Parameters Summary'!$B$2:$AB$826,17,FALSE)</f>
        <v>WATER9 (U.S. EPA, 2001)</v>
      </c>
      <c r="V430" s="93">
        <f>VLOOKUP(A430,'Parameters Summary'!$B$2:$AB$826,16,FALSE)</f>
        <v>4.6264000000000003E-6</v>
      </c>
      <c r="W430" s="379" t="str">
        <f>VLOOKUP(A430,'Parameters Summary'!$B$2:$AB$826,17,FALSE)</f>
        <v>WATER9 (U.S. EPA, 2001)</v>
      </c>
      <c r="X430" s="347"/>
      <c r="Y430" s="96"/>
      <c r="Z430" s="96" t="s">
        <v>1653</v>
      </c>
      <c r="AA430" s="96"/>
      <c r="AB430" s="96" t="s">
        <v>1651</v>
      </c>
      <c r="AC430" s="96"/>
      <c r="AD430" s="93">
        <f>VLOOKUP(A430,'Parameters Summary'!$B$2:$AB$826,20,FALSE)</f>
        <v>1262</v>
      </c>
      <c r="AE430" s="97" t="str">
        <f>VLOOKUP(A430,'Parameters Summary'!$B$2:$AB$826,21,FALSE)</f>
        <v>EPI</v>
      </c>
      <c r="AF430" s="97"/>
      <c r="AG430" s="94"/>
      <c r="AH430" s="92"/>
      <c r="AI430" s="96"/>
      <c r="AJ430" s="330"/>
      <c r="AL430" s="81"/>
    </row>
    <row r="431" spans="1:38" ht="12.75" customHeight="1">
      <c r="A431" s="96" t="s">
        <v>37</v>
      </c>
      <c r="B431" s="96" t="s">
        <v>1201</v>
      </c>
      <c r="C431" s="96" t="str">
        <f t="shared" si="42"/>
        <v>No</v>
      </c>
      <c r="D431" s="96" t="str">
        <f>VLOOKUP(A431,'Tox Summary'!$O$3:$R$824,3,FALSE)</f>
        <v>No</v>
      </c>
      <c r="E431" s="97">
        <f>VLOOKUP(A431,'Parameters Summary'!$B$2:$AB$826,4,FALSE)</f>
        <v>461.78</v>
      </c>
      <c r="F431" s="97" t="str">
        <f>VLOOKUP(A431,'Parameters Summary'!$B$2:$AB$826,5,FALSE)</f>
        <v>PHYSPROP</v>
      </c>
      <c r="G431" s="93">
        <f>VLOOKUP(A431,'Parameters Summary'!$B$2:$AB$826,9,FALSE)</f>
        <v>7.0000000000000005E-8</v>
      </c>
      <c r="H431" s="93" t="str">
        <f>VLOOKUP(A431,'Parameters Summary'!$B$2:$AB$826,10,FALSE)</f>
        <v>PHYSPROP</v>
      </c>
      <c r="I431" s="93">
        <f>VLOOKUP(A431,'Parameters Summary'!$B$2:$AB$826,24,FALSE)</f>
        <v>0.1</v>
      </c>
      <c r="J431" s="97" t="str">
        <f>VLOOKUP(A431,'Parameters Summary'!$B$2:$AB$826,25,FALSE)</f>
        <v>PHYSPROP</v>
      </c>
      <c r="K431" s="97" t="str">
        <f>VLOOKUP(A431,'Tox Summary'!$O$3:$S$827,2,FALSE)</f>
        <v/>
      </c>
      <c r="L431" s="93">
        <f>VLOOKUP(A431,'Parameters Summary'!$B$2:$AB$826,7,FALSE)</f>
        <v>4.7199999999999999E-7</v>
      </c>
      <c r="M431" s="93" t="str">
        <f>VLOOKUP(A431,'Parameters Summary'!$B$2:$AB$826,8,FALSE)</f>
        <v>EPI</v>
      </c>
      <c r="N431" s="91">
        <f>VLOOKUP(A431,'Parameters Summary'!$B$2:$AB$826,6,FALSE)</f>
        <v>1.9300000000000002E-5</v>
      </c>
      <c r="O431" s="91" t="str">
        <f t="shared" si="40"/>
        <v/>
      </c>
      <c r="P431" s="91">
        <f t="shared" si="43"/>
        <v>1.9300000000000002E-5</v>
      </c>
      <c r="Q431" s="91" t="str">
        <f t="shared" si="41"/>
        <v/>
      </c>
      <c r="R431" s="91">
        <f t="shared" si="44"/>
        <v>1.9300000000000002E-5</v>
      </c>
      <c r="S431" s="91" t="str">
        <f t="shared" si="45"/>
        <v/>
      </c>
      <c r="T431" s="93">
        <f>VLOOKUP(A431,'Parameters Summary'!$B$2:$AB$826,15,FALSE)</f>
        <v>3.1802700000000003E-2</v>
      </c>
      <c r="U431" s="93" t="str">
        <f>VLOOKUP(A431,'Parameters Summary'!$B$2:$AB$826,17,FALSE)</f>
        <v>WATER9 (U.S. EPA, 2001)</v>
      </c>
      <c r="V431" s="93">
        <f>VLOOKUP(A431,'Parameters Summary'!$B$2:$AB$826,16,FALSE)</f>
        <v>3.7158999999999999E-6</v>
      </c>
      <c r="W431" s="379" t="str">
        <f>VLOOKUP(A431,'Parameters Summary'!$B$2:$AB$826,17,FALSE)</f>
        <v>WATER9 (U.S. EPA, 2001)</v>
      </c>
      <c r="X431" s="347"/>
      <c r="Y431" s="96"/>
      <c r="Z431" s="96" t="s">
        <v>1653</v>
      </c>
      <c r="AA431" s="96"/>
      <c r="AB431" s="96" t="s">
        <v>1651</v>
      </c>
      <c r="AC431" s="96"/>
      <c r="AD431" s="93">
        <f>VLOOKUP(A431,'Parameters Summary'!$B$2:$AB$826,20,FALSE)</f>
        <v>23030</v>
      </c>
      <c r="AE431" s="97" t="str">
        <f>VLOOKUP(A431,'Parameters Summary'!$B$2:$AB$826,21,FALSE)</f>
        <v>EPI</v>
      </c>
      <c r="AF431" s="97"/>
      <c r="AG431" s="94"/>
      <c r="AH431" s="92"/>
      <c r="AI431" s="96"/>
      <c r="AJ431" s="330"/>
      <c r="AL431" s="81"/>
    </row>
    <row r="432" spans="1:38" ht="12.75" customHeight="1">
      <c r="A432" s="96" t="s">
        <v>38</v>
      </c>
      <c r="B432" s="96" t="s">
        <v>2372</v>
      </c>
      <c r="C432" s="96" t="str">
        <f t="shared" si="42"/>
        <v>No</v>
      </c>
      <c r="D432" s="96" t="str">
        <f>VLOOKUP(A432,'Tox Summary'!$O$3:$R$824,3,FALSE)</f>
        <v>No</v>
      </c>
      <c r="E432" s="97">
        <f>VLOOKUP(A432,'Parameters Summary'!$B$2:$AB$826,4,FALSE)</f>
        <v>327.3</v>
      </c>
      <c r="F432" s="97" t="str">
        <f>VLOOKUP(A432,'Parameters Summary'!$B$2:$AB$826,5,FALSE)</f>
        <v>PHYSPROP</v>
      </c>
      <c r="G432" s="93">
        <f>VLOOKUP(A432,'Parameters Summary'!$B$2:$AB$826,9,FALSE)</f>
        <v>7.2199999999999999E-4</v>
      </c>
      <c r="H432" s="93" t="str">
        <f>VLOOKUP(A432,'Parameters Summary'!$B$2:$AB$826,10,FALSE)</f>
        <v>PHYSPROP</v>
      </c>
      <c r="I432" s="93">
        <f>VLOOKUP(A432,'Parameters Summary'!$B$2:$AB$826,24,FALSE)</f>
        <v>1600</v>
      </c>
      <c r="J432" s="97" t="str">
        <f>VLOOKUP(A432,'Parameters Summary'!$B$2:$AB$826,25,FALSE)</f>
        <v>PHYSPROP</v>
      </c>
      <c r="K432" s="97" t="str">
        <f>VLOOKUP(A432,'Tox Summary'!$O$3:$S$827,2,FALSE)</f>
        <v/>
      </c>
      <c r="L432" s="93" t="str">
        <f>VLOOKUP(A432,'Parameters Summary'!$B$2:$AB$826,7,FALSE)</f>
        <v xml:space="preserve"> </v>
      </c>
      <c r="M432" s="93" t="str">
        <f>VLOOKUP(A432,'Parameters Summary'!$B$2:$AB$826,8,FALSE)</f>
        <v/>
      </c>
      <c r="N432" s="91" t="str">
        <f>VLOOKUP(A432,'Parameters Summary'!$B$2:$AB$826,6,FALSE)</f>
        <v xml:space="preserve"> </v>
      </c>
      <c r="O432" s="91" t="str">
        <f t="shared" si="40"/>
        <v/>
      </c>
      <c r="P432" s="91" t="str">
        <f t="shared" si="43"/>
        <v xml:space="preserve"> </v>
      </c>
      <c r="Q432" s="91" t="str">
        <f t="shared" si="41"/>
        <v/>
      </c>
      <c r="R432" s="91" t="str">
        <f t="shared" si="44"/>
        <v xml:space="preserve"> </v>
      </c>
      <c r="S432" s="91" t="str">
        <f t="shared" si="45"/>
        <v/>
      </c>
      <c r="T432" s="93">
        <f>VLOOKUP(A432,'Parameters Summary'!$B$2:$AB$826,15,FALSE)</f>
        <v>3.3267900000000003E-2</v>
      </c>
      <c r="U432" s="93" t="str">
        <f>VLOOKUP(A432,'Parameters Summary'!$B$2:$AB$826,17,FALSE)</f>
        <v>WATER9 (U.S. EPA, 2001)</v>
      </c>
      <c r="V432" s="93">
        <f>VLOOKUP(A432,'Parameters Summary'!$B$2:$AB$826,16,FALSE)</f>
        <v>9.5374999999999997E-6</v>
      </c>
      <c r="W432" s="379" t="str">
        <f>VLOOKUP(A432,'Parameters Summary'!$B$2:$AB$826,17,FALSE)</f>
        <v>WATER9 (U.S. EPA, 2001)</v>
      </c>
      <c r="X432" s="290">
        <v>2013.15</v>
      </c>
      <c r="Y432" s="96" t="s">
        <v>553</v>
      </c>
      <c r="Z432" s="96">
        <f>1.5*X432</f>
        <v>3019.7250000000004</v>
      </c>
      <c r="AA432" s="96" t="s">
        <v>2220</v>
      </c>
      <c r="AB432" s="96" t="s">
        <v>1651</v>
      </c>
      <c r="AC432" s="96"/>
      <c r="AD432" s="93">
        <f>VLOOKUP(A432,'Parameters Summary'!$B$2:$AB$826,20,FALSE)</f>
        <v>1</v>
      </c>
      <c r="AE432" s="97" t="str">
        <f>VLOOKUP(A432,'Parameters Summary'!$B$2:$AB$826,21,FALSE)</f>
        <v>EPI</v>
      </c>
      <c r="AF432" s="97"/>
      <c r="AG432" s="94"/>
      <c r="AH432" s="92"/>
      <c r="AI432" s="96"/>
      <c r="AJ432" s="330"/>
      <c r="AL432" s="81"/>
    </row>
    <row r="433" spans="1:38" ht="12.75" customHeight="1">
      <c r="A433" s="96" t="s">
        <v>39</v>
      </c>
      <c r="B433" s="96" t="s">
        <v>2373</v>
      </c>
      <c r="C433" s="96" t="str">
        <f t="shared" si="42"/>
        <v>No</v>
      </c>
      <c r="D433" s="96" t="str">
        <f>VLOOKUP(A433,'Tox Summary'!$O$3:$R$824,3,FALSE)</f>
        <v>No</v>
      </c>
      <c r="E433" s="97">
        <f>VLOOKUP(A433,'Parameters Summary'!$B$2:$AB$826,4,FALSE)</f>
        <v>207.2</v>
      </c>
      <c r="F433" s="97" t="str">
        <f>VLOOKUP(A433,'Parameters Summary'!$B$2:$AB$826,5,FALSE)</f>
        <v>EPI</v>
      </c>
      <c r="G433" s="93">
        <f>VLOOKUP(A433,'Parameters Summary'!$B$2:$AB$826,9,FALSE)</f>
        <v>0</v>
      </c>
      <c r="H433" s="93" t="str">
        <f>VLOOKUP(A433,'Parameters Summary'!$B$2:$AB$826,10,FALSE)</f>
        <v>NIOSH</v>
      </c>
      <c r="I433" s="93" t="s">
        <v>2440</v>
      </c>
      <c r="J433" s="97" t="str">
        <f>VLOOKUP(A433,'Parameters Summary'!$B$2:$AB$826,25,FALSE)</f>
        <v/>
      </c>
      <c r="K433" s="97">
        <f>VLOOKUP(A433,'Tox Summary'!$O$3:$S$827,2,FALSE)</f>
        <v>15</v>
      </c>
      <c r="L433" s="93" t="str">
        <f>VLOOKUP(A433,'Parameters Summary'!$B$2:$AB$826,7,FALSE)</f>
        <v xml:space="preserve"> </v>
      </c>
      <c r="M433" s="93" t="str">
        <f>VLOOKUP(A433,'Parameters Summary'!$B$2:$AB$826,8,FALSE)</f>
        <v/>
      </c>
      <c r="N433" s="91" t="str">
        <f>VLOOKUP(A433,'Parameters Summary'!$B$2:$AB$826,6,FALSE)</f>
        <v xml:space="preserve"> </v>
      </c>
      <c r="O433" s="91"/>
      <c r="P433" s="91"/>
      <c r="Q433" s="91"/>
      <c r="R433" s="91"/>
      <c r="S433" s="91"/>
      <c r="T433" s="93" t="str">
        <f>VLOOKUP(A433,'Parameters Summary'!$B$2:$AB$826,15,FALSE)</f>
        <v xml:space="preserve"> </v>
      </c>
      <c r="U433" s="93" t="str">
        <f>VLOOKUP(A433,'Parameters Summary'!$B$2:$AB$826,17,FALSE)</f>
        <v/>
      </c>
      <c r="V433" s="93" t="str">
        <f>VLOOKUP(A433,'Parameters Summary'!$B$2:$AB$826,16,FALSE)</f>
        <v xml:space="preserve"> </v>
      </c>
      <c r="W433" s="379" t="str">
        <f>VLOOKUP(A433,'Parameters Summary'!$B$2:$AB$826,17,FALSE)</f>
        <v/>
      </c>
      <c r="X433" s="347">
        <f>1740+273.15</f>
        <v>2013.15</v>
      </c>
      <c r="Y433" s="96"/>
      <c r="Z433" s="96">
        <f>1.5*X433</f>
        <v>3019.7250000000004</v>
      </c>
      <c r="AA433" s="96" t="s">
        <v>2220</v>
      </c>
      <c r="AB433" s="96">
        <v>42543</v>
      </c>
      <c r="AC433" s="96" t="s">
        <v>2202</v>
      </c>
      <c r="AD433" s="93" t="str">
        <f>VLOOKUP(A433,'Parameters Summary'!$B$2:$AB$826,20,FALSE)</f>
        <v xml:space="preserve"> </v>
      </c>
      <c r="AE433" s="97" t="str">
        <f>VLOOKUP(A433,'Parameters Summary'!$B$2:$AB$826,21,FALSE)</f>
        <v/>
      </c>
      <c r="AF433" s="97"/>
      <c r="AG433" s="94"/>
      <c r="AH433" s="92"/>
      <c r="AI433" s="96"/>
      <c r="AJ433" s="330"/>
      <c r="AL433" s="81"/>
    </row>
    <row r="434" spans="1:38" ht="12.75" customHeight="1">
      <c r="A434" s="96" t="s">
        <v>2116</v>
      </c>
      <c r="B434" s="96" t="s">
        <v>2371</v>
      </c>
      <c r="C434" s="96" t="str">
        <f t="shared" si="42"/>
        <v>No</v>
      </c>
      <c r="D434" s="96" t="str">
        <f>VLOOKUP(A434,'Tox Summary'!$O$3:$R$824,3,FALSE)</f>
        <v>No</v>
      </c>
      <c r="E434" s="97">
        <f>VLOOKUP(A434,'Parameters Summary'!$B$2:$AB$826,4,FALSE)</f>
        <v>811.51</v>
      </c>
      <c r="F434" s="97" t="str">
        <f>VLOOKUP(A434,'Parameters Summary'!$B$2:$AB$826,5,FALSE)</f>
        <v>PHYSPROP</v>
      </c>
      <c r="G434" s="93" t="s">
        <v>2439</v>
      </c>
      <c r="H434" s="93" t="str">
        <f>VLOOKUP(A434,'Parameters Summary'!$B$2:$AB$826,10,FALSE)</f>
        <v/>
      </c>
      <c r="I434" s="93">
        <f>VLOOKUP(A434,'Parameters Summary'!$B$2:$AB$826,24,FALSE)</f>
        <v>0</v>
      </c>
      <c r="J434" s="97" t="str">
        <f>VLOOKUP(A434,'Parameters Summary'!$B$2:$AB$826,25,FALSE)</f>
        <v>CRC89</v>
      </c>
      <c r="K434" s="97" t="str">
        <f>VLOOKUP(A434,'Tox Summary'!$O$3:$S$827,2,FALSE)</f>
        <v/>
      </c>
      <c r="L434" s="93" t="s">
        <v>2298</v>
      </c>
      <c r="M434" s="93" t="str">
        <f>VLOOKUP(A434,'Parameters Summary'!$B$2:$AB$826,8,FALSE)</f>
        <v/>
      </c>
      <c r="N434" s="91" t="str">
        <f>VLOOKUP(A434,'Parameters Summary'!$B$2:$AB$826,6,FALSE)</f>
        <v xml:space="preserve"> </v>
      </c>
      <c r="O434" s="91" t="str">
        <f t="shared" si="40"/>
        <v/>
      </c>
      <c r="P434" s="91" t="str">
        <f t="shared" si="43"/>
        <v xml:space="preserve"> </v>
      </c>
      <c r="Q434" s="91" t="str">
        <f t="shared" si="41"/>
        <v/>
      </c>
      <c r="R434" s="91" t="str">
        <f t="shared" si="44"/>
        <v xml:space="preserve"> </v>
      </c>
      <c r="S434" s="91" t="str">
        <f t="shared" si="45"/>
        <v/>
      </c>
      <c r="T434" s="93" t="str">
        <f>VLOOKUP(A434,'Parameters Summary'!$B$2:$AB$826,15,FALSE)</f>
        <v xml:space="preserve"> </v>
      </c>
      <c r="U434" s="93" t="str">
        <f>VLOOKUP(A434,'Parameters Summary'!$B$2:$AB$826,17,FALSE)</f>
        <v/>
      </c>
      <c r="V434" s="93" t="str">
        <f>VLOOKUP(A434,'Parameters Summary'!$B$2:$AB$826,16,FALSE)</f>
        <v xml:space="preserve"> </v>
      </c>
      <c r="W434" s="379" t="str">
        <f>VLOOKUP(A434,'Parameters Summary'!$B$2:$AB$826,17,FALSE)</f>
        <v/>
      </c>
      <c r="X434" s="347"/>
      <c r="Y434" s="96"/>
      <c r="Z434" s="96" t="s">
        <v>1653</v>
      </c>
      <c r="AA434" s="96"/>
      <c r="AB434" s="96" t="s">
        <v>1651</v>
      </c>
      <c r="AC434" s="96"/>
      <c r="AD434" s="93" t="str">
        <f>VLOOKUP(A434,'Parameters Summary'!$B$2:$AB$826,20,FALSE)</f>
        <v xml:space="preserve"> </v>
      </c>
      <c r="AE434" s="97" t="str">
        <f>VLOOKUP(A434,'Parameters Summary'!$B$2:$AB$826,21,FALSE)</f>
        <v/>
      </c>
      <c r="AF434" s="97"/>
      <c r="AG434" s="94"/>
      <c r="AH434" s="92"/>
      <c r="AI434" s="96"/>
      <c r="AJ434" s="330"/>
      <c r="AL434" s="81"/>
    </row>
    <row r="435" spans="1:38" ht="12.75" customHeight="1">
      <c r="A435" s="96" t="s">
        <v>40</v>
      </c>
      <c r="B435" s="96" t="s">
        <v>2374</v>
      </c>
      <c r="C435" s="96" t="str">
        <f t="shared" si="42"/>
        <v>No</v>
      </c>
      <c r="D435" s="96" t="str">
        <f>VLOOKUP(A435,'Tox Summary'!$O$3:$R$824,3,FALSE)</f>
        <v>No</v>
      </c>
      <c r="E435" s="97">
        <f>VLOOKUP(A435,'Parameters Summary'!$B$2:$AB$826,4,FALSE)</f>
        <v>805.67</v>
      </c>
      <c r="F435" s="97" t="str">
        <f>VLOOKUP(A435,'Parameters Summary'!$B$2:$AB$826,5,FALSE)</f>
        <v>PHYSPROP</v>
      </c>
      <c r="G435" s="93">
        <f>VLOOKUP(A435,'Parameters Summary'!$B$2:$AB$826,9,FALSE)</f>
        <v>2.98E-10</v>
      </c>
      <c r="H435" s="93" t="str">
        <f>VLOOKUP(A435,'Parameters Summary'!$B$2:$AB$826,10,FALSE)</f>
        <v>PHYSPROP</v>
      </c>
      <c r="I435" s="93">
        <f>VLOOKUP(A435,'Parameters Summary'!$B$2:$AB$826,24,FALSE)</f>
        <v>62500</v>
      </c>
      <c r="J435" s="97" t="str">
        <f>VLOOKUP(A435,'Parameters Summary'!$B$2:$AB$826,25,FALSE)</f>
        <v>PHYSPROP</v>
      </c>
      <c r="K435" s="97" t="str">
        <f>VLOOKUP(A435,'Tox Summary'!$O$3:$S$827,2,FALSE)</f>
        <v/>
      </c>
      <c r="L435" s="93" t="str">
        <f>VLOOKUP(A435,'Parameters Summary'!$B$2:$AB$826,7,FALSE)</f>
        <v xml:space="preserve"> </v>
      </c>
      <c r="M435" s="93" t="str">
        <f>VLOOKUP(A435,'Parameters Summary'!$B$2:$AB$826,8,FALSE)</f>
        <v/>
      </c>
      <c r="N435" s="91" t="str">
        <f>VLOOKUP(A435,'Parameters Summary'!$B$2:$AB$826,6,FALSE)</f>
        <v xml:space="preserve"> </v>
      </c>
      <c r="O435" s="91" t="str">
        <f t="shared" si="40"/>
        <v/>
      </c>
      <c r="P435" s="91" t="str">
        <f t="shared" si="43"/>
        <v xml:space="preserve"> </v>
      </c>
      <c r="Q435" s="91" t="str">
        <f t="shared" si="41"/>
        <v/>
      </c>
      <c r="R435" s="91" t="str">
        <f t="shared" si="44"/>
        <v xml:space="preserve"> </v>
      </c>
      <c r="S435" s="91" t="str">
        <f t="shared" si="45"/>
        <v/>
      </c>
      <c r="T435" s="93">
        <f>VLOOKUP(A435,'Parameters Summary'!$B$2:$AB$826,15,FALSE)</f>
        <v>2.1944000000000002E-2</v>
      </c>
      <c r="U435" s="93" t="str">
        <f>VLOOKUP(A435,'Parameters Summary'!$B$2:$AB$826,17,FALSE)</f>
        <v>WATER9 (U.S. EPA, 2001)</v>
      </c>
      <c r="V435" s="93">
        <f>VLOOKUP(A435,'Parameters Summary'!$B$2:$AB$826,16,FALSE)</f>
        <v>2.5639999999999999E-6</v>
      </c>
      <c r="W435" s="379" t="str">
        <f>VLOOKUP(A435,'Parameters Summary'!$B$2:$AB$826,17,FALSE)</f>
        <v>WATER9 (U.S. EPA, 2001)</v>
      </c>
      <c r="X435" s="347"/>
      <c r="Y435" s="96"/>
      <c r="Z435" s="96" t="s">
        <v>1653</v>
      </c>
      <c r="AA435" s="96"/>
      <c r="AB435" s="96" t="s">
        <v>1651</v>
      </c>
      <c r="AC435" s="96"/>
      <c r="AD435" s="93">
        <f>VLOOKUP(A435,'Parameters Summary'!$B$2:$AB$826,20,FALSE)</f>
        <v>10.37</v>
      </c>
      <c r="AE435" s="97" t="str">
        <f>VLOOKUP(A435,'Parameters Summary'!$B$2:$AB$826,21,FALSE)</f>
        <v>EPI</v>
      </c>
      <c r="AF435" s="97"/>
      <c r="AG435" s="94"/>
      <c r="AH435" s="92"/>
      <c r="AI435" s="96"/>
      <c r="AJ435" s="330"/>
      <c r="AL435" s="81"/>
    </row>
    <row r="436" spans="1:38" ht="12.75" customHeight="1">
      <c r="A436" s="96" t="s">
        <v>2283</v>
      </c>
      <c r="B436" s="96" t="s">
        <v>2284</v>
      </c>
      <c r="C436" s="96" t="str">
        <f t="shared" si="42"/>
        <v>Yes</v>
      </c>
      <c r="D436" s="96" t="str">
        <f>VLOOKUP(A436,'Tox Summary'!$O$3:$R$824,3,FALSE)</f>
        <v>Yes</v>
      </c>
      <c r="E436" s="97">
        <f>VLOOKUP(A436,'Parameters Summary'!$B$2:$AB$826,4,FALSE)</f>
        <v>207.32</v>
      </c>
      <c r="F436" s="97" t="str">
        <f>VLOOKUP(A436,'Parameters Summary'!$B$2:$AB$826,5,FALSE)</f>
        <v>PHYSPROP</v>
      </c>
      <c r="G436" s="93">
        <f>VLOOKUP(A436,'Parameters Summary'!$B$2:$AB$826,9,FALSE)</f>
        <v>0.57999999999999996</v>
      </c>
      <c r="H436" s="93" t="str">
        <f>VLOOKUP(A436,'Parameters Summary'!$B$2:$AB$826,10,FALSE)</f>
        <v>PHYSPROP</v>
      </c>
      <c r="I436" s="93">
        <f>VLOOKUP(A436,'Parameters Summary'!$B$2:$AB$826,24,FALSE)</f>
        <v>500</v>
      </c>
      <c r="J436" s="97" t="str">
        <f>VLOOKUP(A436,'Parameters Summary'!$B$2:$AB$826,25,FALSE)</f>
        <v>PHYSPROP</v>
      </c>
      <c r="K436" s="97" t="str">
        <f>VLOOKUP(A436,'Tox Summary'!$O$3:$S$827,2,FALSE)</f>
        <v/>
      </c>
      <c r="L436" s="93">
        <f>VLOOKUP(A436,'Parameters Summary'!$B$2:$AB$826,7,FALSE)</f>
        <v>2.1800000000000001E-4</v>
      </c>
      <c r="M436" s="93" t="str">
        <f>VLOOKUP(A436,'Parameters Summary'!$B$2:$AB$826,8,FALSE)</f>
        <v>EPI</v>
      </c>
      <c r="N436" s="91">
        <f>VLOOKUP(A436,'Parameters Summary'!$B$2:$AB$826,6,FALSE)</f>
        <v>8.9099999999999995E-3</v>
      </c>
      <c r="O436" s="91" t="str">
        <f t="shared" si="40"/>
        <v/>
      </c>
      <c r="P436" s="91">
        <f t="shared" si="43"/>
        <v>8.9099999999999995E-3</v>
      </c>
      <c r="Q436" s="91" t="str">
        <f t="shared" si="41"/>
        <v/>
      </c>
      <c r="R436" s="91">
        <f t="shared" si="44"/>
        <v>8.9099999999999995E-3</v>
      </c>
      <c r="S436" s="91" t="str">
        <f t="shared" si="45"/>
        <v/>
      </c>
      <c r="T436" s="93">
        <f>VLOOKUP(A436,'Parameters Summary'!$B$2:$AB$826,15,FALSE)</f>
        <v>3.2784099999999997E-2</v>
      </c>
      <c r="U436" s="93" t="str">
        <f>VLOOKUP(A436,'Parameters Summary'!$B$2:$AB$826,17,FALSE)</f>
        <v>WATER9 (U.S. EPA, 2001)</v>
      </c>
      <c r="V436" s="93">
        <f>VLOOKUP(A436,'Parameters Summary'!$B$2:$AB$826,16,FALSE)</f>
        <v>9.0550000000000005E-6</v>
      </c>
      <c r="W436" s="379" t="str">
        <f>VLOOKUP(A436,'Parameters Summary'!$B$2:$AB$826,17,FALSE)</f>
        <v>WATER9 (U.S. EPA, 2001)</v>
      </c>
      <c r="X436" s="347">
        <v>463.15</v>
      </c>
      <c r="Y436" s="96" t="s">
        <v>1620</v>
      </c>
      <c r="Z436" s="96">
        <f>1.5*X436</f>
        <v>694.72499999999991</v>
      </c>
      <c r="AA436" s="96" t="s">
        <v>2220</v>
      </c>
      <c r="AB436" s="96" t="s">
        <v>1651</v>
      </c>
      <c r="AC436" s="96"/>
      <c r="AD436" s="93">
        <f>VLOOKUP(A436,'Parameters Summary'!$B$2:$AB$826,20,FALSE)</f>
        <v>110.6</v>
      </c>
      <c r="AE436" s="97" t="str">
        <f>VLOOKUP(A436,'Parameters Summary'!$B$2:$AB$826,21,FALSE)</f>
        <v>EPI</v>
      </c>
      <c r="AF436" s="97"/>
      <c r="AG436" s="94"/>
      <c r="AH436" s="92"/>
      <c r="AI436" s="96"/>
      <c r="AJ436" s="330"/>
      <c r="AL436" s="81"/>
    </row>
    <row r="437" spans="1:38" ht="12.75" customHeight="1">
      <c r="A437" s="96" t="s">
        <v>42</v>
      </c>
      <c r="B437" s="96" t="s">
        <v>1203</v>
      </c>
      <c r="C437" s="96" t="str">
        <f t="shared" si="42"/>
        <v>No</v>
      </c>
      <c r="D437" s="96" t="str">
        <f>VLOOKUP(A437,'Tox Summary'!$O$3:$R$824,3,FALSE)</f>
        <v>No</v>
      </c>
      <c r="E437" s="97">
        <f>VLOOKUP(A437,'Parameters Summary'!$B$2:$AB$826,4,FALSE)</f>
        <v>249.1</v>
      </c>
      <c r="F437" s="97" t="str">
        <f>VLOOKUP(A437,'Parameters Summary'!$B$2:$AB$826,5,FALSE)</f>
        <v>PHYSPROP</v>
      </c>
      <c r="G437" s="93">
        <f>VLOOKUP(A437,'Parameters Summary'!$B$2:$AB$826,9,FALSE)</f>
        <v>1.4300000000000001E-6</v>
      </c>
      <c r="H437" s="93" t="str">
        <f>VLOOKUP(A437,'Parameters Summary'!$B$2:$AB$826,10,FALSE)</f>
        <v>PHYSPROP</v>
      </c>
      <c r="I437" s="93">
        <f>VLOOKUP(A437,'Parameters Summary'!$B$2:$AB$826,24,FALSE)</f>
        <v>75</v>
      </c>
      <c r="J437" s="97" t="str">
        <f>VLOOKUP(A437,'Parameters Summary'!$B$2:$AB$826,25,FALSE)</f>
        <v>PHYSPROP</v>
      </c>
      <c r="K437" s="97" t="str">
        <f>VLOOKUP(A437,'Tox Summary'!$O$3:$S$827,2,FALSE)</f>
        <v/>
      </c>
      <c r="L437" s="93">
        <f>VLOOKUP(A437,'Parameters Summary'!$B$2:$AB$826,7,FALSE)</f>
        <v>6.2499999999999997E-9</v>
      </c>
      <c r="M437" s="93" t="str">
        <f>VLOOKUP(A437,'Parameters Summary'!$B$2:$AB$826,8,FALSE)</f>
        <v>EPI</v>
      </c>
      <c r="N437" s="91">
        <f>VLOOKUP(A437,'Parameters Summary'!$B$2:$AB$826,6,FALSE)</f>
        <v>2.5552E-7</v>
      </c>
      <c r="O437" s="91" t="str">
        <f t="shared" si="40"/>
        <v/>
      </c>
      <c r="P437" s="91">
        <f t="shared" si="43"/>
        <v>2.5552E-7</v>
      </c>
      <c r="Q437" s="91" t="str">
        <f t="shared" si="41"/>
        <v/>
      </c>
      <c r="R437" s="91">
        <f t="shared" si="44"/>
        <v>2.5552E-7</v>
      </c>
      <c r="S437" s="91" t="str">
        <f t="shared" si="45"/>
        <v/>
      </c>
      <c r="T437" s="93">
        <f>VLOOKUP(A437,'Parameters Summary'!$B$2:$AB$826,15,FALSE)</f>
        <v>4.7992300000000002E-2</v>
      </c>
      <c r="U437" s="93" t="str">
        <f>VLOOKUP(A437,'Parameters Summary'!$B$2:$AB$826,17,FALSE)</f>
        <v>WATER9 (U.S. EPA, 2001)</v>
      </c>
      <c r="V437" s="93">
        <f>VLOOKUP(A437,'Parameters Summary'!$B$2:$AB$826,16,FALSE)</f>
        <v>5.6075000000000001E-6</v>
      </c>
      <c r="W437" s="379" t="str">
        <f>VLOOKUP(A437,'Parameters Summary'!$B$2:$AB$826,17,FALSE)</f>
        <v>WATER9 (U.S. EPA, 2001)</v>
      </c>
      <c r="X437" s="347"/>
      <c r="Y437" s="96"/>
      <c r="Z437" s="96" t="s">
        <v>1653</v>
      </c>
      <c r="AA437" s="96"/>
      <c r="AB437" s="96" t="s">
        <v>1651</v>
      </c>
      <c r="AC437" s="96"/>
      <c r="AD437" s="93">
        <f>VLOOKUP(A437,'Parameters Summary'!$B$2:$AB$826,20,FALSE)</f>
        <v>339.8</v>
      </c>
      <c r="AE437" s="97" t="str">
        <f>VLOOKUP(A437,'Parameters Summary'!$B$2:$AB$826,21,FALSE)</f>
        <v>EPI</v>
      </c>
      <c r="AF437" s="97"/>
      <c r="AG437" s="94"/>
      <c r="AH437" s="92"/>
      <c r="AI437" s="96"/>
      <c r="AJ437" s="330"/>
      <c r="AL437" s="81"/>
    </row>
    <row r="438" spans="1:38" ht="12.75" customHeight="1">
      <c r="A438" s="96" t="s">
        <v>43</v>
      </c>
      <c r="B438" s="96" t="s">
        <v>536</v>
      </c>
      <c r="C438" s="96" t="str">
        <f t="shared" si="42"/>
        <v>No</v>
      </c>
      <c r="D438" s="96" t="str">
        <f>VLOOKUP(A438,'Tox Summary'!$O$3:$R$824,3,FALSE)</f>
        <v>No</v>
      </c>
      <c r="E438" s="97">
        <f>VLOOKUP(A438,'Parameters Summary'!$B$2:$AB$826,4,FALSE)</f>
        <v>6.94</v>
      </c>
      <c r="F438" s="97" t="str">
        <f>VLOOKUP(A438,'Parameters Summary'!$B$2:$AB$826,5,FALSE)</f>
        <v>EPI</v>
      </c>
      <c r="G438" s="93" t="s">
        <v>2439</v>
      </c>
      <c r="H438" s="93" t="str">
        <f>VLOOKUP(A438,'Parameters Summary'!$B$2:$AB$826,10,FALSE)</f>
        <v/>
      </c>
      <c r="I438" s="93" t="s">
        <v>2440</v>
      </c>
      <c r="J438" s="97" t="str">
        <f>VLOOKUP(A438,'Parameters Summary'!$B$2:$AB$826,25,FALSE)</f>
        <v/>
      </c>
      <c r="K438" s="97" t="str">
        <f>VLOOKUP(A438,'Tox Summary'!$O$3:$S$827,2,FALSE)</f>
        <v/>
      </c>
      <c r="L438" s="93" t="s">
        <v>2298</v>
      </c>
      <c r="M438" s="93" t="str">
        <f>VLOOKUP(A438,'Parameters Summary'!$B$2:$AB$826,8,FALSE)</f>
        <v/>
      </c>
      <c r="N438" s="91" t="str">
        <f>VLOOKUP(A438,'Parameters Summary'!$B$2:$AB$826,6,FALSE)</f>
        <v xml:space="preserve"> </v>
      </c>
      <c r="O438" s="91"/>
      <c r="P438" s="91"/>
      <c r="Q438" s="91"/>
      <c r="R438" s="91"/>
      <c r="S438" s="91"/>
      <c r="T438" s="93" t="str">
        <f>VLOOKUP(A438,'Parameters Summary'!$B$2:$AB$826,15,FALSE)</f>
        <v xml:space="preserve"> </v>
      </c>
      <c r="U438" s="93" t="str">
        <f>VLOOKUP(A438,'Parameters Summary'!$B$2:$AB$826,17,FALSE)</f>
        <v/>
      </c>
      <c r="V438" s="93" t="str">
        <f>VLOOKUP(A438,'Parameters Summary'!$B$2:$AB$826,16,FALSE)</f>
        <v xml:space="preserve"> </v>
      </c>
      <c r="W438" s="379" t="str">
        <f>VLOOKUP(A438,'Parameters Summary'!$B$2:$AB$826,17,FALSE)</f>
        <v/>
      </c>
      <c r="X438" s="347">
        <v>1615.15</v>
      </c>
      <c r="Y438" s="96"/>
      <c r="Z438" s="96">
        <f>1.5*X438</f>
        <v>2422.7250000000004</v>
      </c>
      <c r="AA438" s="96" t="s">
        <v>2220</v>
      </c>
      <c r="AB438" s="96">
        <v>32194.07</v>
      </c>
      <c r="AC438" s="96"/>
      <c r="AD438" s="93" t="str">
        <f>VLOOKUP(A438,'Parameters Summary'!$B$2:$AB$826,20,FALSE)</f>
        <v xml:space="preserve"> </v>
      </c>
      <c r="AE438" s="97" t="str">
        <f>VLOOKUP(A438,'Parameters Summary'!$B$2:$AB$826,21,FALSE)</f>
        <v/>
      </c>
      <c r="AF438" s="97"/>
      <c r="AG438" s="94"/>
      <c r="AH438" s="92"/>
      <c r="AI438" s="96"/>
      <c r="AJ438" s="330"/>
      <c r="AL438" s="81"/>
    </row>
    <row r="439" spans="1:38" ht="12.75" customHeight="1">
      <c r="A439" s="96" t="s">
        <v>44</v>
      </c>
      <c r="B439" s="96" t="s">
        <v>2377</v>
      </c>
      <c r="C439" s="96" t="str">
        <f t="shared" si="42"/>
        <v>No</v>
      </c>
      <c r="D439" s="96" t="str">
        <f>VLOOKUP(A439,'Tox Summary'!$O$3:$R$824,3,FALSE)</f>
        <v>No</v>
      </c>
      <c r="E439" s="97">
        <f>VLOOKUP(A439,'Parameters Summary'!$B$2:$AB$826,4,FALSE)</f>
        <v>106.392</v>
      </c>
      <c r="F439" s="97" t="str">
        <f>VLOOKUP(A439,'Parameters Summary'!$B$2:$AB$826,5,FALSE)</f>
        <v>CRC89</v>
      </c>
      <c r="G439" s="93" t="s">
        <v>2439</v>
      </c>
      <c r="H439" s="93" t="str">
        <f>VLOOKUP(A439,'Parameters Summary'!$B$2:$AB$826,10,FALSE)</f>
        <v/>
      </c>
      <c r="I439" s="93">
        <f>VLOOKUP(A439,'Parameters Summary'!$B$2:$AB$826,24,FALSE)</f>
        <v>587000</v>
      </c>
      <c r="J439" s="97" t="str">
        <f>VLOOKUP(A439,'Parameters Summary'!$B$2:$AB$826,25,FALSE)</f>
        <v>CRC89</v>
      </c>
      <c r="K439" s="97" t="str">
        <f>VLOOKUP(A439,'Tox Summary'!$O$3:$S$827,2,FALSE)</f>
        <v/>
      </c>
      <c r="L439" s="93" t="s">
        <v>2298</v>
      </c>
      <c r="M439" s="93" t="str">
        <f>VLOOKUP(A439,'Parameters Summary'!$B$2:$AB$826,8,FALSE)</f>
        <v/>
      </c>
      <c r="N439" s="91" t="str">
        <f>VLOOKUP(A439,'Parameters Summary'!$B$2:$AB$826,6,FALSE)</f>
        <v xml:space="preserve"> </v>
      </c>
      <c r="O439" s="91" t="str">
        <f t="shared" si="40"/>
        <v/>
      </c>
      <c r="P439" s="91" t="str">
        <f t="shared" si="43"/>
        <v xml:space="preserve"> </v>
      </c>
      <c r="Q439" s="91" t="str">
        <f t="shared" si="41"/>
        <v/>
      </c>
      <c r="R439" s="91" t="str">
        <f t="shared" si="44"/>
        <v xml:space="preserve"> </v>
      </c>
      <c r="S439" s="91" t="str">
        <f t="shared" si="45"/>
        <v/>
      </c>
      <c r="T439" s="93" t="str">
        <f>VLOOKUP(A439,'Parameters Summary'!$B$2:$AB$826,15,FALSE)</f>
        <v xml:space="preserve"> </v>
      </c>
      <c r="U439" s="93" t="str">
        <f>VLOOKUP(A439,'Parameters Summary'!$B$2:$AB$826,17,FALSE)</f>
        <v/>
      </c>
      <c r="V439" s="93" t="str">
        <f>VLOOKUP(A439,'Parameters Summary'!$B$2:$AB$826,16,FALSE)</f>
        <v xml:space="preserve"> </v>
      </c>
      <c r="W439" s="379" t="str">
        <f>VLOOKUP(A439,'Parameters Summary'!$B$2:$AB$826,17,FALSE)</f>
        <v/>
      </c>
      <c r="X439" s="347"/>
      <c r="Y439" s="96"/>
      <c r="Z439" s="96" t="s">
        <v>1653</v>
      </c>
      <c r="AA439" s="96"/>
      <c r="AB439" s="96" t="s">
        <v>1651</v>
      </c>
      <c r="AC439" s="96"/>
      <c r="AD439" s="93" t="str">
        <f>VLOOKUP(A439,'Parameters Summary'!$B$2:$AB$826,20,FALSE)</f>
        <v xml:space="preserve"> </v>
      </c>
      <c r="AE439" s="97" t="str">
        <f>VLOOKUP(A439,'Parameters Summary'!$B$2:$AB$826,21,FALSE)</f>
        <v/>
      </c>
      <c r="AF439" s="97"/>
      <c r="AG439" s="94"/>
      <c r="AH439" s="92"/>
      <c r="AI439" s="96"/>
      <c r="AJ439" s="330"/>
      <c r="AL439" s="81"/>
    </row>
    <row r="440" spans="1:38" ht="12.75" customHeight="1">
      <c r="A440" s="96" t="s">
        <v>49</v>
      </c>
      <c r="B440" s="96" t="s">
        <v>1204</v>
      </c>
      <c r="C440" s="96" t="str">
        <f t="shared" si="42"/>
        <v>No</v>
      </c>
      <c r="D440" s="96" t="str">
        <f>VLOOKUP(A440,'Tox Summary'!$O$3:$R$824,3,FALSE)</f>
        <v>Yes</v>
      </c>
      <c r="E440" s="97">
        <f>VLOOKUP(A440,'Parameters Summary'!$B$2:$AB$826,4,FALSE)</f>
        <v>330.36</v>
      </c>
      <c r="F440" s="97" t="str">
        <f>VLOOKUP(A440,'Parameters Summary'!$B$2:$AB$826,5,FALSE)</f>
        <v>PHYSPROP</v>
      </c>
      <c r="G440" s="93">
        <f>VLOOKUP(A440,'Parameters Summary'!$B$2:$AB$826,9,FALSE)</f>
        <v>3.3799999999999998E-6</v>
      </c>
      <c r="H440" s="93" t="str">
        <f>VLOOKUP(A440,'Parameters Summary'!$B$2:$AB$826,10,FALSE)</f>
        <v>PHYSPROP</v>
      </c>
      <c r="I440" s="93">
        <f>VLOOKUP(A440,'Parameters Summary'!$B$2:$AB$826,24,FALSE)</f>
        <v>143</v>
      </c>
      <c r="J440" s="97" t="str">
        <f>VLOOKUP(A440,'Parameters Summary'!$B$2:$AB$826,25,FALSE)</f>
        <v>PHYSPROP</v>
      </c>
      <c r="K440" s="97" t="str">
        <f>VLOOKUP(A440,'Tox Summary'!$O$3:$S$827,2,FALSE)</f>
        <v/>
      </c>
      <c r="L440" s="93">
        <f>VLOOKUP(A440,'Parameters Summary'!$B$2:$AB$826,7,FALSE)</f>
        <v>4.8900000000000003E-9</v>
      </c>
      <c r="M440" s="93" t="str">
        <f>VLOOKUP(A440,'Parameters Summary'!$B$2:$AB$826,8,FALSE)</f>
        <v>PHYSPROP</v>
      </c>
      <c r="N440" s="91">
        <f>VLOOKUP(A440,'Parameters Summary'!$B$2:$AB$826,6,FALSE)</f>
        <v>1.9992000000000001E-7</v>
      </c>
      <c r="O440" s="91" t="str">
        <f t="shared" si="40"/>
        <v/>
      </c>
      <c r="P440" s="91">
        <f t="shared" si="43"/>
        <v>1.9992000000000001E-7</v>
      </c>
      <c r="Q440" s="91" t="str">
        <f t="shared" si="41"/>
        <v/>
      </c>
      <c r="R440" s="91">
        <f t="shared" si="44"/>
        <v>1.9992000000000001E-7</v>
      </c>
      <c r="S440" s="91" t="str">
        <f t="shared" si="45"/>
        <v/>
      </c>
      <c r="T440" s="93">
        <f>VLOOKUP(A440,'Parameters Summary'!$B$2:$AB$826,15,FALSE)</f>
        <v>2.09873E-2</v>
      </c>
      <c r="U440" s="93" t="str">
        <f>VLOOKUP(A440,'Parameters Summary'!$B$2:$AB$826,17,FALSE)</f>
        <v>WATER9 (U.S. EPA, 2001)</v>
      </c>
      <c r="V440" s="93">
        <f>VLOOKUP(A440,'Parameters Summary'!$B$2:$AB$826,16,FALSE)</f>
        <v>5.2364000000000004E-6</v>
      </c>
      <c r="W440" s="379" t="str">
        <f>VLOOKUP(A440,'Parameters Summary'!$B$2:$AB$826,17,FALSE)</f>
        <v>WATER9 (U.S. EPA, 2001)</v>
      </c>
      <c r="X440" s="290">
        <f>273.15+156.5</f>
        <v>429.65</v>
      </c>
      <c r="Y440" s="96" t="s">
        <v>553</v>
      </c>
      <c r="Z440" s="96" t="s">
        <v>1653</v>
      </c>
      <c r="AA440" s="96"/>
      <c r="AB440" s="96" t="s">
        <v>1651</v>
      </c>
      <c r="AC440" s="96"/>
      <c r="AD440" s="93">
        <f>VLOOKUP(A440,'Parameters Summary'!$B$2:$AB$826,20,FALSE)</f>
        <v>31.27</v>
      </c>
      <c r="AE440" s="97" t="str">
        <f>VLOOKUP(A440,'Parameters Summary'!$B$2:$AB$826,21,FALSE)</f>
        <v>EPI</v>
      </c>
      <c r="AF440" s="97"/>
      <c r="AG440" s="94"/>
      <c r="AH440" s="92"/>
      <c r="AI440" s="96"/>
      <c r="AJ440" s="330"/>
      <c r="AL440" s="81"/>
    </row>
    <row r="441" spans="1:38" ht="12.75" customHeight="1">
      <c r="A441" s="96" t="s">
        <v>50</v>
      </c>
      <c r="B441" s="96" t="s">
        <v>1205</v>
      </c>
      <c r="C441" s="96" t="str">
        <f t="shared" si="42"/>
        <v>No</v>
      </c>
      <c r="D441" s="96" t="str">
        <f>VLOOKUP(A441,'Tox Summary'!$O$3:$R$824,3,FALSE)</f>
        <v>No</v>
      </c>
      <c r="E441" s="97">
        <f>VLOOKUP(A441,'Parameters Summary'!$B$2:$AB$826,4,FALSE)</f>
        <v>98.058999999999997</v>
      </c>
      <c r="F441" s="97" t="str">
        <f>VLOOKUP(A441,'Parameters Summary'!$B$2:$AB$826,5,FALSE)</f>
        <v>PHYSPROP</v>
      </c>
      <c r="G441" s="93">
        <f>VLOOKUP(A441,'Parameters Summary'!$B$2:$AB$826,9,FALSE)</f>
        <v>0.25</v>
      </c>
      <c r="H441" s="93" t="str">
        <f>VLOOKUP(A441,'Parameters Summary'!$B$2:$AB$826,10,FALSE)</f>
        <v>EPI</v>
      </c>
      <c r="I441" s="93">
        <f>VLOOKUP(A441,'Parameters Summary'!$B$2:$AB$826,24,FALSE)</f>
        <v>163000</v>
      </c>
      <c r="J441" s="97" t="str">
        <f>VLOOKUP(A441,'Parameters Summary'!$B$2:$AB$826,25,FALSE)</f>
        <v>PERRY</v>
      </c>
      <c r="K441" s="97" t="str">
        <f>VLOOKUP(A441,'Tox Summary'!$O$3:$S$827,2,FALSE)</f>
        <v/>
      </c>
      <c r="L441" s="93">
        <f>VLOOKUP(A441,'Parameters Summary'!$B$2:$AB$826,7,FALSE)</f>
        <v>3.9299999999999996E-6</v>
      </c>
      <c r="M441" s="93" t="str">
        <f>VLOOKUP(A441,'Parameters Summary'!$B$2:$AB$826,8,FALSE)</f>
        <v>PHYSPROP</v>
      </c>
      <c r="N441" s="91">
        <f>VLOOKUP(A441,'Parameters Summary'!$B$2:$AB$826,6,FALSE)</f>
        <v>1.607E-4</v>
      </c>
      <c r="O441" s="91" t="str">
        <f t="shared" si="40"/>
        <v/>
      </c>
      <c r="P441" s="91">
        <f t="shared" si="43"/>
        <v>1.607E-4</v>
      </c>
      <c r="Q441" s="91" t="str">
        <f t="shared" si="41"/>
        <v/>
      </c>
      <c r="R441" s="91">
        <f t="shared" si="44"/>
        <v>1.607E-4</v>
      </c>
      <c r="S441" s="91" t="str">
        <f t="shared" si="45"/>
        <v/>
      </c>
      <c r="T441" s="93">
        <f>VLOOKUP(A441,'Parameters Summary'!$B$2:$AB$826,15,FALSE)</f>
        <v>8.8395500000000002E-2</v>
      </c>
      <c r="U441" s="93" t="str">
        <f>VLOOKUP(A441,'Parameters Summary'!$B$2:$AB$826,17,FALSE)</f>
        <v>WATER9 (U.S. EPA, 2001)</v>
      </c>
      <c r="V441" s="93">
        <f>VLOOKUP(A441,'Parameters Summary'!$B$2:$AB$826,16,FALSE)</f>
        <v>1.1399999999999999E-5</v>
      </c>
      <c r="W441" s="379" t="str">
        <f>VLOOKUP(A441,'Parameters Summary'!$B$2:$AB$826,17,FALSE)</f>
        <v>WATER9 (U.S. EPA, 2001)</v>
      </c>
      <c r="X441" s="290">
        <v>475.15</v>
      </c>
      <c r="Y441" s="96" t="s">
        <v>553</v>
      </c>
      <c r="Z441" s="96" t="s">
        <v>1653</v>
      </c>
      <c r="AA441" s="96"/>
      <c r="AB441" s="96" t="s">
        <v>1651</v>
      </c>
      <c r="AC441" s="96"/>
      <c r="AD441" s="93">
        <f>VLOOKUP(A441,'Parameters Summary'!$B$2:$AB$826,20,FALSE)</f>
        <v>1</v>
      </c>
      <c r="AE441" s="97" t="str">
        <f>VLOOKUP(A441,'Parameters Summary'!$B$2:$AB$826,21,FALSE)</f>
        <v>EPI</v>
      </c>
      <c r="AF441" s="97"/>
      <c r="AG441" s="94"/>
      <c r="AH441" s="92"/>
      <c r="AI441" s="96"/>
      <c r="AJ441" s="330"/>
      <c r="AL441" s="81"/>
    </row>
    <row r="442" spans="1:38" ht="12.75" customHeight="1">
      <c r="A442" s="96" t="s">
        <v>51</v>
      </c>
      <c r="B442" s="96" t="s">
        <v>1206</v>
      </c>
      <c r="C442" s="96" t="str">
        <f t="shared" si="42"/>
        <v>No</v>
      </c>
      <c r="D442" s="96" t="str">
        <f>VLOOKUP(A442,'Tox Summary'!$O$3:$R$824,3,FALSE)</f>
        <v>No</v>
      </c>
      <c r="E442" s="97">
        <f>VLOOKUP(A442,'Parameters Summary'!$B$2:$AB$826,4,FALSE)</f>
        <v>112.09</v>
      </c>
      <c r="F442" s="97" t="str">
        <f>VLOOKUP(A442,'Parameters Summary'!$B$2:$AB$826,5,FALSE)</f>
        <v>PHYSPROP</v>
      </c>
      <c r="G442" s="93">
        <f>VLOOKUP(A442,'Parameters Summary'!$B$2:$AB$826,9,FALSE)</f>
        <v>2.7700000000000002E-6</v>
      </c>
      <c r="H442" s="93" t="str">
        <f>VLOOKUP(A442,'Parameters Summary'!$B$2:$AB$826,10,FALSE)</f>
        <v>PHYSPROP</v>
      </c>
      <c r="I442" s="93">
        <f>VLOOKUP(A442,'Parameters Summary'!$B$2:$AB$826,24,FALSE)</f>
        <v>4507</v>
      </c>
      <c r="J442" s="97" t="str">
        <f>VLOOKUP(A442,'Parameters Summary'!$B$2:$AB$826,25,FALSE)</f>
        <v>PHYSPROP</v>
      </c>
      <c r="K442" s="97" t="str">
        <f>VLOOKUP(A442,'Tox Summary'!$O$3:$S$827,2,FALSE)</f>
        <v/>
      </c>
      <c r="L442" s="93">
        <f>VLOOKUP(A442,'Parameters Summary'!$B$2:$AB$826,7,FALSE)</f>
        <v>2.6499999999999999E-11</v>
      </c>
      <c r="M442" s="93" t="str">
        <f>VLOOKUP(A442,'Parameters Summary'!$B$2:$AB$826,8,FALSE)</f>
        <v>PHYSPROP</v>
      </c>
      <c r="N442" s="91">
        <f>VLOOKUP(A442,'Parameters Summary'!$B$2:$AB$826,6,FALSE)</f>
        <v>1.0834E-9</v>
      </c>
      <c r="O442" s="91" t="str">
        <f t="shared" si="40"/>
        <v/>
      </c>
      <c r="P442" s="91">
        <f t="shared" si="43"/>
        <v>1.0834E-9</v>
      </c>
      <c r="Q442" s="91" t="str">
        <f t="shared" si="41"/>
        <v/>
      </c>
      <c r="R442" s="91">
        <f t="shared" si="44"/>
        <v>1.0834E-9</v>
      </c>
      <c r="S442" s="91" t="str">
        <f t="shared" si="45"/>
        <v/>
      </c>
      <c r="T442" s="93">
        <f>VLOOKUP(A442,'Parameters Summary'!$B$2:$AB$826,15,FALSE)</f>
        <v>8.1728899999999993E-2</v>
      </c>
      <c r="U442" s="93" t="str">
        <f>VLOOKUP(A442,'Parameters Summary'!$B$2:$AB$826,17,FALSE)</f>
        <v>WATER9 (U.S. EPA, 2001)</v>
      </c>
      <c r="V442" s="93">
        <f>VLOOKUP(A442,'Parameters Summary'!$B$2:$AB$826,16,FALSE)</f>
        <v>9.5494000000000004E-6</v>
      </c>
      <c r="W442" s="379" t="str">
        <f>VLOOKUP(A442,'Parameters Summary'!$B$2:$AB$826,17,FALSE)</f>
        <v>WATER9 (U.S. EPA, 2001)</v>
      </c>
      <c r="X442" s="347"/>
      <c r="Y442" s="96"/>
      <c r="Z442" s="96" t="s">
        <v>1653</v>
      </c>
      <c r="AA442" s="96"/>
      <c r="AB442" s="96" t="s">
        <v>1651</v>
      </c>
      <c r="AC442" s="96"/>
      <c r="AD442" s="93">
        <f>VLOOKUP(A442,'Parameters Summary'!$B$2:$AB$826,20,FALSE)</f>
        <v>3.3029999999999999</v>
      </c>
      <c r="AE442" s="97" t="str">
        <f>VLOOKUP(A442,'Parameters Summary'!$B$2:$AB$826,21,FALSE)</f>
        <v>EPI</v>
      </c>
      <c r="AF442" s="97"/>
      <c r="AG442" s="94"/>
      <c r="AH442" s="92"/>
      <c r="AI442" s="96"/>
      <c r="AJ442" s="330"/>
      <c r="AL442" s="81"/>
    </row>
    <row r="443" spans="1:38" ht="12.75" customHeight="1">
      <c r="A443" s="96" t="s">
        <v>52</v>
      </c>
      <c r="B443" s="96" t="s">
        <v>1207</v>
      </c>
      <c r="C443" s="96" t="str">
        <f t="shared" si="42"/>
        <v>No</v>
      </c>
      <c r="D443" s="96" t="str">
        <f>VLOOKUP(A443,'Tox Summary'!$O$3:$R$824,3,FALSE)</f>
        <v>No</v>
      </c>
      <c r="E443" s="97">
        <f>VLOOKUP(A443,'Parameters Summary'!$B$2:$AB$826,4,FALSE)</f>
        <v>66.063000000000002</v>
      </c>
      <c r="F443" s="97" t="str">
        <f>VLOOKUP(A443,'Parameters Summary'!$B$2:$AB$826,5,FALSE)</f>
        <v>PHYSPROP</v>
      </c>
      <c r="G443" s="93">
        <f>VLOOKUP(A443,'Parameters Summary'!$B$2:$AB$826,9,FALSE)</f>
        <v>0.2</v>
      </c>
      <c r="H443" s="93" t="str">
        <f>VLOOKUP(A443,'Parameters Summary'!$B$2:$AB$826,10,FALSE)</f>
        <v>EPI</v>
      </c>
      <c r="I443" s="93">
        <f>VLOOKUP(A443,'Parameters Summary'!$B$2:$AB$826,24,FALSE)</f>
        <v>133000</v>
      </c>
      <c r="J443" s="97" t="str">
        <f>VLOOKUP(A443,'Parameters Summary'!$B$2:$AB$826,25,FALSE)</f>
        <v>PHYSPROP</v>
      </c>
      <c r="K443" s="97" t="str">
        <f>VLOOKUP(A443,'Tox Summary'!$O$3:$S$827,2,FALSE)</f>
        <v/>
      </c>
      <c r="L443" s="93">
        <f>VLOOKUP(A443,'Parameters Summary'!$B$2:$AB$826,7,FALSE)</f>
        <v>1.31E-7</v>
      </c>
      <c r="M443" s="93" t="str">
        <f>VLOOKUP(A443,'Parameters Summary'!$B$2:$AB$826,8,FALSE)</f>
        <v>EPI</v>
      </c>
      <c r="N443" s="91">
        <f>VLOOKUP(A443,'Parameters Summary'!$B$2:$AB$826,6,FALSE)</f>
        <v>5.3557000000000002E-6</v>
      </c>
      <c r="O443" s="91" t="str">
        <f t="shared" si="40"/>
        <v/>
      </c>
      <c r="P443" s="91">
        <f t="shared" si="43"/>
        <v>5.3557000000000002E-6</v>
      </c>
      <c r="Q443" s="91" t="str">
        <f t="shared" si="41"/>
        <v/>
      </c>
      <c r="R443" s="91">
        <f t="shared" si="44"/>
        <v>5.3557000000000002E-6</v>
      </c>
      <c r="S443" s="91" t="str">
        <f t="shared" si="45"/>
        <v/>
      </c>
      <c r="T443" s="93">
        <f>VLOOKUP(A443,'Parameters Summary'!$B$2:$AB$826,15,FALSE)</f>
        <v>0.1150694</v>
      </c>
      <c r="U443" s="93" t="str">
        <f>VLOOKUP(A443,'Parameters Summary'!$B$2:$AB$826,17,FALSE)</f>
        <v>WATER9 (U.S. EPA, 2001)</v>
      </c>
      <c r="V443" s="93">
        <f>VLOOKUP(A443,'Parameters Summary'!$B$2:$AB$826,16,FALSE)</f>
        <v>1.36E-5</v>
      </c>
      <c r="W443" s="379" t="str">
        <f>VLOOKUP(A443,'Parameters Summary'!$B$2:$AB$826,17,FALSE)</f>
        <v>WATER9 (U.S. EPA, 2001)</v>
      </c>
      <c r="X443" s="290">
        <v>491.65</v>
      </c>
      <c r="Y443" s="96" t="s">
        <v>553</v>
      </c>
      <c r="Z443" s="96" t="s">
        <v>1653</v>
      </c>
      <c r="AA443" s="96"/>
      <c r="AB443" s="96" t="s">
        <v>1651</v>
      </c>
      <c r="AC443" s="96"/>
      <c r="AD443" s="93">
        <f>VLOOKUP(A443,'Parameters Summary'!$B$2:$AB$826,20,FALSE)</f>
        <v>3.3340000000000001</v>
      </c>
      <c r="AE443" s="97" t="str">
        <f>VLOOKUP(A443,'Parameters Summary'!$B$2:$AB$826,21,FALSE)</f>
        <v>EPI</v>
      </c>
      <c r="AF443" s="97"/>
      <c r="AG443" s="94"/>
      <c r="AH443" s="92"/>
      <c r="AI443" s="96"/>
      <c r="AJ443" s="330"/>
      <c r="AL443" s="81"/>
    </row>
    <row r="444" spans="1:38" ht="12.75" customHeight="1">
      <c r="A444" s="96" t="s">
        <v>53</v>
      </c>
      <c r="B444" s="96" t="s">
        <v>1208</v>
      </c>
      <c r="C444" s="96" t="str">
        <f t="shared" si="42"/>
        <v>No</v>
      </c>
      <c r="D444" s="96" t="str">
        <f>VLOOKUP(A444,'Tox Summary'!$O$3:$R$824,3,FALSE)</f>
        <v>Yes</v>
      </c>
      <c r="E444" s="97">
        <f>VLOOKUP(A444,'Parameters Summary'!$B$2:$AB$826,4,FALSE)</f>
        <v>541.03</v>
      </c>
      <c r="F444" s="97" t="str">
        <f>VLOOKUP(A444,'Parameters Summary'!$B$2:$AB$826,5,FALSE)</f>
        <v>PHYSPROP</v>
      </c>
      <c r="G444" s="93">
        <f>VLOOKUP(A444,'Parameters Summary'!$B$2:$AB$826,9,FALSE)</f>
        <v>1.3200000000000001E-10</v>
      </c>
      <c r="H444" s="93" t="str">
        <f>VLOOKUP(A444,'Parameters Summary'!$B$2:$AB$826,10,FALSE)</f>
        <v>PHYSPROP</v>
      </c>
      <c r="I444" s="93">
        <f>VLOOKUP(A444,'Parameters Summary'!$B$2:$AB$826,24,FALSE)</f>
        <v>6.2</v>
      </c>
      <c r="J444" s="97" t="str">
        <f>VLOOKUP(A444,'Parameters Summary'!$B$2:$AB$826,25,FALSE)</f>
        <v>PHYSPROP</v>
      </c>
      <c r="K444" s="97" t="str">
        <f>VLOOKUP(A444,'Tox Summary'!$O$3:$S$827,2,FALSE)</f>
        <v/>
      </c>
      <c r="L444" s="93">
        <f>VLOOKUP(A444,'Parameters Summary'!$B$2:$AB$826,7,FALSE)</f>
        <v>1.52E-11</v>
      </c>
      <c r="M444" s="93" t="str">
        <f>VLOOKUP(A444,'Parameters Summary'!$B$2:$AB$826,8,FALSE)</f>
        <v>PHYSPROP</v>
      </c>
      <c r="N444" s="91">
        <f>VLOOKUP(A444,'Parameters Summary'!$B$2:$AB$826,6,FALSE)</f>
        <v>6.2140000000000005E-10</v>
      </c>
      <c r="O444" s="91" t="str">
        <f t="shared" si="40"/>
        <v/>
      </c>
      <c r="P444" s="91">
        <f t="shared" si="43"/>
        <v>6.2140000000000005E-10</v>
      </c>
      <c r="Q444" s="91" t="str">
        <f t="shared" si="41"/>
        <v/>
      </c>
      <c r="R444" s="91">
        <f t="shared" si="44"/>
        <v>6.2140000000000005E-10</v>
      </c>
      <c r="S444" s="91" t="str">
        <f t="shared" si="45"/>
        <v/>
      </c>
      <c r="T444" s="93">
        <f>VLOOKUP(A444,'Parameters Summary'!$B$2:$AB$826,15,FALSE)</f>
        <v>2.0356599999999999E-2</v>
      </c>
      <c r="U444" s="93" t="str">
        <f>VLOOKUP(A444,'Parameters Summary'!$B$2:$AB$826,17,FALSE)</f>
        <v>WATER9 (U.S. EPA, 2001)</v>
      </c>
      <c r="V444" s="93">
        <f>VLOOKUP(A444,'Parameters Summary'!$B$2:$AB$826,16,FALSE)</f>
        <v>5.1441999999999998E-6</v>
      </c>
      <c r="W444" s="379" t="str">
        <f>VLOOKUP(A444,'Parameters Summary'!$B$2:$AB$826,17,FALSE)</f>
        <v>WATER9 (U.S. EPA, 2001)</v>
      </c>
      <c r="X444" s="347"/>
      <c r="Y444" s="96"/>
      <c r="Z444" s="96" t="s">
        <v>1653</v>
      </c>
      <c r="AA444" s="96"/>
      <c r="AB444" s="96" t="s">
        <v>1651</v>
      </c>
      <c r="AC444" s="96"/>
      <c r="AD444" s="93">
        <f>VLOOKUP(A444,'Parameters Summary'!$B$2:$AB$826,20,FALSE)</f>
        <v>607.6</v>
      </c>
      <c r="AE444" s="97" t="str">
        <f>VLOOKUP(A444,'Parameters Summary'!$B$2:$AB$826,21,FALSE)</f>
        <v>EPI</v>
      </c>
      <c r="AF444" s="97"/>
      <c r="AG444" s="94"/>
      <c r="AH444" s="92"/>
      <c r="AI444" s="96"/>
      <c r="AJ444" s="330"/>
      <c r="AL444" s="81"/>
    </row>
    <row r="445" spans="1:38" ht="12.75" customHeight="1">
      <c r="A445" s="96" t="s">
        <v>54</v>
      </c>
      <c r="B445" s="96" t="s">
        <v>1209</v>
      </c>
      <c r="C445" s="96" t="str">
        <f t="shared" si="42"/>
        <v>No</v>
      </c>
      <c r="D445" s="96" t="str">
        <f>VLOOKUP(A445,'Tox Summary'!$O$3:$R$824,3,FALSE)</f>
        <v>Yes</v>
      </c>
      <c r="E445" s="97">
        <f>VLOOKUP(A445,'Parameters Summary'!$B$2:$AB$826,4,FALSE)</f>
        <v>295.37</v>
      </c>
      <c r="F445" s="97" t="str">
        <f>VLOOKUP(A445,'Parameters Summary'!$B$2:$AB$826,5,FALSE)</f>
        <v>PHYSPROP</v>
      </c>
      <c r="G445" s="93">
        <f>VLOOKUP(A445,'Parameters Summary'!$B$2:$AB$826,9,FALSE)</f>
        <v>7.4999999999999997E-8</v>
      </c>
      <c r="H445" s="93" t="str">
        <f>VLOOKUP(A445,'Parameters Summary'!$B$2:$AB$826,10,FALSE)</f>
        <v>PHYSPROP</v>
      </c>
      <c r="I445" s="93">
        <f>VLOOKUP(A445,'Parameters Summary'!$B$2:$AB$826,24,FALSE)</f>
        <v>6</v>
      </c>
      <c r="J445" s="97" t="str">
        <f>VLOOKUP(A445,'Parameters Summary'!$B$2:$AB$826,25,FALSE)</f>
        <v>PHYSPROP</v>
      </c>
      <c r="K445" s="97" t="str">
        <f>VLOOKUP(A445,'Tox Summary'!$O$3:$S$827,2,FALSE)</f>
        <v/>
      </c>
      <c r="L445" s="93">
        <f>VLOOKUP(A445,'Parameters Summary'!$B$2:$AB$826,7,FALSE)</f>
        <v>4.8600000000000002E-9</v>
      </c>
      <c r="M445" s="93" t="str">
        <f>VLOOKUP(A445,'Parameters Summary'!$B$2:$AB$826,8,FALSE)</f>
        <v>PHYSPROP</v>
      </c>
      <c r="N445" s="91">
        <f>VLOOKUP(A445,'Parameters Summary'!$B$2:$AB$826,6,FALSE)</f>
        <v>1.9868999999999999E-7</v>
      </c>
      <c r="O445" s="91" t="str">
        <f t="shared" si="40"/>
        <v/>
      </c>
      <c r="P445" s="91">
        <f t="shared" si="43"/>
        <v>1.9868999999999999E-7</v>
      </c>
      <c r="Q445" s="91" t="str">
        <f t="shared" si="41"/>
        <v/>
      </c>
      <c r="R445" s="91">
        <f t="shared" si="44"/>
        <v>1.9868999999999999E-7</v>
      </c>
      <c r="S445" s="91" t="str">
        <f t="shared" si="45"/>
        <v/>
      </c>
      <c r="T445" s="93">
        <f>VLOOKUP(A445,'Parameters Summary'!$B$2:$AB$826,15,FALSE)</f>
        <v>4.2839299999999997E-2</v>
      </c>
      <c r="U445" s="93" t="str">
        <f>VLOOKUP(A445,'Parameters Summary'!$B$2:$AB$826,17,FALSE)</f>
        <v>WATER9 (U.S. EPA, 2001)</v>
      </c>
      <c r="V445" s="93">
        <f>VLOOKUP(A445,'Parameters Summary'!$B$2:$AB$826,16,FALSE)</f>
        <v>5.0054000000000004E-6</v>
      </c>
      <c r="W445" s="379" t="str">
        <f>VLOOKUP(A445,'Parameters Summary'!$B$2:$AB$826,17,FALSE)</f>
        <v>WATER9 (U.S. EPA, 2001)</v>
      </c>
      <c r="X445" s="347"/>
      <c r="Y445" s="96"/>
      <c r="Z445" s="96" t="s">
        <v>1653</v>
      </c>
      <c r="AA445" s="96"/>
      <c r="AB445" s="96" t="s">
        <v>1651</v>
      </c>
      <c r="AC445" s="96"/>
      <c r="AD445" s="93">
        <f>VLOOKUP(A445,'Parameters Summary'!$B$2:$AB$826,20,FALSE)</f>
        <v>607.6</v>
      </c>
      <c r="AE445" s="97" t="str">
        <f>VLOOKUP(A445,'Parameters Summary'!$B$2:$AB$826,21,FALSE)</f>
        <v>EPI</v>
      </c>
      <c r="AF445" s="97"/>
      <c r="AG445" s="94"/>
      <c r="AH445" s="92"/>
      <c r="AI445" s="96"/>
      <c r="AJ445" s="330"/>
      <c r="AL445" s="81"/>
    </row>
    <row r="446" spans="1:38" ht="12.75" customHeight="1">
      <c r="A446" s="96" t="s">
        <v>55</v>
      </c>
      <c r="B446" s="96" t="s">
        <v>556</v>
      </c>
      <c r="C446" s="96" t="str">
        <f t="shared" si="42"/>
        <v>No</v>
      </c>
      <c r="D446" s="96" t="str">
        <f>VLOOKUP(A446,'Tox Summary'!$O$3:$R$824,3,FALSE)</f>
        <v>No</v>
      </c>
      <c r="E446" s="97">
        <f>VLOOKUP(A446,'Parameters Summary'!$B$2:$AB$826,4,FALSE)</f>
        <v>54.938000000000002</v>
      </c>
      <c r="F446" s="97" t="str">
        <f>VLOOKUP(A446,'Parameters Summary'!$B$2:$AB$826,5,FALSE)</f>
        <v>PHYSPROP</v>
      </c>
      <c r="G446" s="93">
        <f>VLOOKUP(A446,'Parameters Summary'!$B$2:$AB$826,9,FALSE)</f>
        <v>0</v>
      </c>
      <c r="H446" s="93" t="str">
        <f>VLOOKUP(A446,'Parameters Summary'!$B$2:$AB$826,10,FALSE)</f>
        <v>NIOSH</v>
      </c>
      <c r="I446" s="93" t="s">
        <v>2440</v>
      </c>
      <c r="J446" s="97" t="str">
        <f>VLOOKUP(A446,'Parameters Summary'!$B$2:$AB$826,25,FALSE)</f>
        <v/>
      </c>
      <c r="K446" s="97" t="str">
        <f>VLOOKUP(A446,'Tox Summary'!$O$3:$S$827,2,FALSE)</f>
        <v/>
      </c>
      <c r="L446" s="93" t="str">
        <f>VLOOKUP(A446,'Parameters Summary'!$B$2:$AB$826,7,FALSE)</f>
        <v xml:space="preserve"> </v>
      </c>
      <c r="M446" s="93" t="str">
        <f>VLOOKUP(A446,'Parameters Summary'!$B$2:$AB$826,8,FALSE)</f>
        <v/>
      </c>
      <c r="N446" s="91" t="str">
        <f>VLOOKUP(A446,'Parameters Summary'!$B$2:$AB$826,6,FALSE)</f>
        <v xml:space="preserve"> </v>
      </c>
      <c r="O446" s="91" t="str">
        <f t="shared" si="40"/>
        <v/>
      </c>
      <c r="P446" s="91" t="str">
        <f t="shared" si="43"/>
        <v xml:space="preserve"> </v>
      </c>
      <c r="Q446" s="91" t="str">
        <f t="shared" si="41"/>
        <v/>
      </c>
      <c r="R446" s="91" t="str">
        <f t="shared" si="44"/>
        <v xml:space="preserve"> </v>
      </c>
      <c r="S446" s="91" t="str">
        <f t="shared" si="45"/>
        <v/>
      </c>
      <c r="T446" s="93" t="str">
        <f>VLOOKUP(A446,'Parameters Summary'!$B$2:$AB$826,15,FALSE)</f>
        <v xml:space="preserve"> </v>
      </c>
      <c r="U446" s="93" t="str">
        <f>VLOOKUP(A446,'Parameters Summary'!$B$2:$AB$826,17,FALSE)</f>
        <v/>
      </c>
      <c r="V446" s="93" t="str">
        <f>VLOOKUP(A446,'Parameters Summary'!$B$2:$AB$826,16,FALSE)</f>
        <v xml:space="preserve"> </v>
      </c>
      <c r="W446" s="379" t="str">
        <f>VLOOKUP(A446,'Parameters Summary'!$B$2:$AB$826,17,FALSE)</f>
        <v/>
      </c>
      <c r="X446" s="290">
        <v>2368.15</v>
      </c>
      <c r="Y446" s="96" t="s">
        <v>553</v>
      </c>
      <c r="Z446" s="96">
        <f>1.5*X446</f>
        <v>3552.2250000000004</v>
      </c>
      <c r="AA446" s="96" t="s">
        <v>2220</v>
      </c>
      <c r="AB446" s="96" t="s">
        <v>1651</v>
      </c>
      <c r="AC446" s="96"/>
      <c r="AD446" s="93" t="str">
        <f>VLOOKUP(A446,'Parameters Summary'!$B$2:$AB$826,20,FALSE)</f>
        <v xml:space="preserve"> </v>
      </c>
      <c r="AE446" s="97" t="str">
        <f>VLOOKUP(A446,'Parameters Summary'!$B$2:$AB$826,21,FALSE)</f>
        <v/>
      </c>
      <c r="AF446" s="97"/>
      <c r="AG446" s="94"/>
      <c r="AH446" s="92"/>
      <c r="AI446" s="96"/>
      <c r="AJ446" s="330"/>
      <c r="AL446" s="81"/>
    </row>
    <row r="447" spans="1:38" ht="12.75" customHeight="1">
      <c r="A447" s="96" t="s">
        <v>55</v>
      </c>
      <c r="B447" s="96" t="s">
        <v>556</v>
      </c>
      <c r="C447" s="96" t="str">
        <f t="shared" si="42"/>
        <v>No</v>
      </c>
      <c r="D447" s="96" t="str">
        <f>VLOOKUP(A447,'Tox Summary'!$O$3:$R$824,3,FALSE)</f>
        <v>No</v>
      </c>
      <c r="E447" s="97">
        <f>VLOOKUP(A447,'Parameters Summary'!$B$2:$AB$826,4,FALSE)</f>
        <v>54.938000000000002</v>
      </c>
      <c r="F447" s="97" t="str">
        <f>VLOOKUP(A447,'Parameters Summary'!$B$2:$AB$826,5,FALSE)</f>
        <v>PHYSPROP</v>
      </c>
      <c r="G447" s="93">
        <f>VLOOKUP(A447,'Parameters Summary'!$B$2:$AB$826,9,FALSE)</f>
        <v>0</v>
      </c>
      <c r="H447" s="93" t="str">
        <f>VLOOKUP(A447,'Parameters Summary'!$B$2:$AB$826,10,FALSE)</f>
        <v>NIOSH</v>
      </c>
      <c r="I447" s="93" t="s">
        <v>2440</v>
      </c>
      <c r="J447" s="97" t="str">
        <f>VLOOKUP(A447,'Parameters Summary'!$B$2:$AB$826,25,FALSE)</f>
        <v/>
      </c>
      <c r="K447" s="97" t="str">
        <f>VLOOKUP(A447,'Tox Summary'!$O$3:$S$827,2,FALSE)</f>
        <v/>
      </c>
      <c r="L447" s="93" t="str">
        <f>VLOOKUP(A447,'Parameters Summary'!$B$2:$AB$826,7,FALSE)</f>
        <v xml:space="preserve"> </v>
      </c>
      <c r="M447" s="93" t="str">
        <f>VLOOKUP(A447,'Parameters Summary'!$B$2:$AB$826,8,FALSE)</f>
        <v/>
      </c>
      <c r="N447" s="91" t="str">
        <f>VLOOKUP(A447,'Parameters Summary'!$B$2:$AB$826,6,FALSE)</f>
        <v xml:space="preserve"> </v>
      </c>
      <c r="O447" s="91" t="str">
        <f t="shared" si="40"/>
        <v/>
      </c>
      <c r="P447" s="91" t="str">
        <f t="shared" si="43"/>
        <v xml:space="preserve"> </v>
      </c>
      <c r="Q447" s="91" t="str">
        <f t="shared" si="41"/>
        <v/>
      </c>
      <c r="R447" s="91" t="str">
        <f t="shared" si="44"/>
        <v xml:space="preserve"> </v>
      </c>
      <c r="S447" s="91" t="str">
        <f t="shared" si="45"/>
        <v/>
      </c>
      <c r="T447" s="93" t="str">
        <f>VLOOKUP(A447,'Parameters Summary'!$B$2:$AB$826,15,FALSE)</f>
        <v xml:space="preserve"> </v>
      </c>
      <c r="U447" s="93" t="str">
        <f>VLOOKUP(A447,'Parameters Summary'!$B$2:$AB$826,17,FALSE)</f>
        <v/>
      </c>
      <c r="V447" s="93" t="str">
        <f>VLOOKUP(A447,'Parameters Summary'!$B$2:$AB$826,16,FALSE)</f>
        <v xml:space="preserve"> </v>
      </c>
      <c r="W447" s="379" t="str">
        <f>VLOOKUP(A447,'Parameters Summary'!$B$2:$AB$826,17,FALSE)</f>
        <v/>
      </c>
      <c r="X447" s="290">
        <v>2368.15</v>
      </c>
      <c r="Y447" s="96" t="s">
        <v>553</v>
      </c>
      <c r="Z447" s="96">
        <f>1.5*X447</f>
        <v>3552.2250000000004</v>
      </c>
      <c r="AA447" s="96" t="s">
        <v>2220</v>
      </c>
      <c r="AB447" s="96" t="s">
        <v>1651</v>
      </c>
      <c r="AC447" s="96"/>
      <c r="AD447" s="93" t="str">
        <f>VLOOKUP(A447,'Parameters Summary'!$B$2:$AB$826,20,FALSE)</f>
        <v xml:space="preserve"> </v>
      </c>
      <c r="AE447" s="97" t="str">
        <f>VLOOKUP(A447,'Parameters Summary'!$B$2:$AB$826,21,FALSE)</f>
        <v/>
      </c>
      <c r="AF447" s="97"/>
      <c r="AG447" s="94"/>
      <c r="AH447" s="92"/>
      <c r="AI447" s="96"/>
      <c r="AJ447" s="330"/>
      <c r="AL447" s="81"/>
    </row>
    <row r="448" spans="1:38" ht="12.75" customHeight="1">
      <c r="A448" s="96" t="s">
        <v>46</v>
      </c>
      <c r="B448" s="96" t="s">
        <v>1210</v>
      </c>
      <c r="C448" s="96" t="str">
        <f t="shared" si="42"/>
        <v>No</v>
      </c>
      <c r="D448" s="96" t="str">
        <f>VLOOKUP(A448,'Tox Summary'!$O$3:$R$824,3,FALSE)</f>
        <v>No</v>
      </c>
      <c r="E448" s="97">
        <f>VLOOKUP(A448,'Parameters Summary'!$B$2:$AB$826,4,FALSE)</f>
        <v>200.62</v>
      </c>
      <c r="F448" s="97" t="str">
        <f>VLOOKUP(A448,'Parameters Summary'!$B$2:$AB$826,5,FALSE)</f>
        <v>PHYSPROP</v>
      </c>
      <c r="G448" s="93">
        <f>VLOOKUP(A448,'Parameters Summary'!$B$2:$AB$826,9,FALSE)</f>
        <v>5.9000000000000003E-6</v>
      </c>
      <c r="H448" s="93" t="str">
        <f>VLOOKUP(A448,'Parameters Summary'!$B$2:$AB$826,10,FALSE)</f>
        <v>PHYSPROP</v>
      </c>
      <c r="I448" s="93">
        <f>VLOOKUP(A448,'Parameters Summary'!$B$2:$AB$826,24,FALSE)</f>
        <v>630</v>
      </c>
      <c r="J448" s="97" t="str">
        <f>VLOOKUP(A448,'Parameters Summary'!$B$2:$AB$826,25,FALSE)</f>
        <v>PHYSPROP</v>
      </c>
      <c r="K448" s="97" t="str">
        <f>VLOOKUP(A448,'Tox Summary'!$O$3:$S$827,2,FALSE)</f>
        <v/>
      </c>
      <c r="L448" s="93">
        <f>VLOOKUP(A448,'Parameters Summary'!$B$2:$AB$826,7,FALSE)</f>
        <v>1.33E-9</v>
      </c>
      <c r="M448" s="93" t="str">
        <f>VLOOKUP(A448,'Parameters Summary'!$B$2:$AB$826,8,FALSE)</f>
        <v>EPI</v>
      </c>
      <c r="N448" s="91">
        <f>VLOOKUP(A448,'Parameters Summary'!$B$2:$AB$826,6,FALSE)</f>
        <v>5.4374000000000001E-8</v>
      </c>
      <c r="O448" s="91" t="str">
        <f t="shared" si="40"/>
        <v/>
      </c>
      <c r="P448" s="91">
        <f t="shared" si="43"/>
        <v>5.4374000000000001E-8</v>
      </c>
      <c r="Q448" s="91" t="str">
        <f t="shared" si="41"/>
        <v/>
      </c>
      <c r="R448" s="91">
        <f t="shared" si="44"/>
        <v>5.4374000000000001E-8</v>
      </c>
      <c r="S448" s="91" t="str">
        <f t="shared" si="45"/>
        <v/>
      </c>
      <c r="T448" s="93">
        <f>VLOOKUP(A448,'Parameters Summary'!$B$2:$AB$826,15,FALSE)</f>
        <v>3.06231E-2</v>
      </c>
      <c r="U448" s="93" t="str">
        <f>VLOOKUP(A448,'Parameters Summary'!$B$2:$AB$826,17,FALSE)</f>
        <v>WATER9 (U.S. EPA, 2001)</v>
      </c>
      <c r="V448" s="93">
        <f>VLOOKUP(A448,'Parameters Summary'!$B$2:$AB$826,16,FALSE)</f>
        <v>8.2361000000000006E-6</v>
      </c>
      <c r="W448" s="379" t="str">
        <f>VLOOKUP(A448,'Parameters Summary'!$B$2:$AB$826,17,FALSE)</f>
        <v>WATER9 (U.S. EPA, 2001)</v>
      </c>
      <c r="X448" s="290">
        <v>559.89</v>
      </c>
      <c r="Y448" s="96" t="s">
        <v>553</v>
      </c>
      <c r="Z448" s="96" t="s">
        <v>1653</v>
      </c>
      <c r="AA448" s="96"/>
      <c r="AB448" s="96" t="s">
        <v>1651</v>
      </c>
      <c r="AC448" s="96"/>
      <c r="AD448" s="93">
        <f>VLOOKUP(A448,'Parameters Summary'!$B$2:$AB$826,20,FALSE)</f>
        <v>29.63</v>
      </c>
      <c r="AE448" s="97" t="str">
        <f>VLOOKUP(A448,'Parameters Summary'!$B$2:$AB$826,21,FALSE)</f>
        <v>EPI</v>
      </c>
      <c r="AF448" s="97"/>
      <c r="AG448" s="94"/>
      <c r="AH448" s="92"/>
      <c r="AI448" s="96"/>
      <c r="AJ448" s="330"/>
      <c r="AL448" s="81"/>
    </row>
    <row r="449" spans="1:38" ht="12.75" customHeight="1">
      <c r="A449" s="96" t="s">
        <v>47</v>
      </c>
      <c r="B449" s="96" t="s">
        <v>1211</v>
      </c>
      <c r="C449" s="96" t="str">
        <f t="shared" si="42"/>
        <v>No</v>
      </c>
      <c r="D449" s="96" t="str">
        <f>VLOOKUP(A449,'Tox Summary'!$O$3:$R$824,3,FALSE)</f>
        <v>No</v>
      </c>
      <c r="E449" s="97">
        <f>VLOOKUP(A449,'Parameters Summary'!$B$2:$AB$826,4,FALSE)</f>
        <v>228.68</v>
      </c>
      <c r="F449" s="97" t="str">
        <f>VLOOKUP(A449,'Parameters Summary'!$B$2:$AB$826,5,FALSE)</f>
        <v>PHYSPROP</v>
      </c>
      <c r="G449" s="93">
        <f>VLOOKUP(A449,'Parameters Summary'!$B$2:$AB$826,9,FALSE)</f>
        <v>4.3300000000000003E-7</v>
      </c>
      <c r="H449" s="93" t="str">
        <f>VLOOKUP(A449,'Parameters Summary'!$B$2:$AB$826,10,FALSE)</f>
        <v>PHYSPROP</v>
      </c>
      <c r="I449" s="93">
        <f>VLOOKUP(A449,'Parameters Summary'!$B$2:$AB$826,24,FALSE)</f>
        <v>48</v>
      </c>
      <c r="J449" s="97" t="str">
        <f>VLOOKUP(A449,'Parameters Summary'!$B$2:$AB$826,25,FALSE)</f>
        <v>PHYSPROP</v>
      </c>
      <c r="K449" s="97" t="str">
        <f>VLOOKUP(A449,'Tox Summary'!$O$3:$S$827,2,FALSE)</f>
        <v/>
      </c>
      <c r="L449" s="93">
        <f>VLOOKUP(A449,'Parameters Summary'!$B$2:$AB$826,7,FALSE)</f>
        <v>2.7099999999999999E-9</v>
      </c>
      <c r="M449" s="93" t="str">
        <f>VLOOKUP(A449,'Parameters Summary'!$B$2:$AB$826,8,FALSE)</f>
        <v>EPI</v>
      </c>
      <c r="N449" s="91">
        <f>VLOOKUP(A449,'Parameters Summary'!$B$2:$AB$826,6,FALSE)</f>
        <v>1.1079E-7</v>
      </c>
      <c r="O449" s="91" t="str">
        <f t="shared" si="40"/>
        <v/>
      </c>
      <c r="P449" s="91">
        <f t="shared" si="43"/>
        <v>1.1079E-7</v>
      </c>
      <c r="Q449" s="91" t="str">
        <f t="shared" si="41"/>
        <v/>
      </c>
      <c r="R449" s="91">
        <f t="shared" si="44"/>
        <v>1.1079E-7</v>
      </c>
      <c r="S449" s="91" t="str">
        <f t="shared" si="45"/>
        <v/>
      </c>
      <c r="T449" s="93">
        <f>VLOOKUP(A449,'Parameters Summary'!$B$2:$AB$826,15,FALSE)</f>
        <v>5.0808300000000001E-2</v>
      </c>
      <c r="U449" s="93" t="str">
        <f>VLOOKUP(A449,'Parameters Summary'!$B$2:$AB$826,17,FALSE)</f>
        <v>WATER9 (U.S. EPA, 2001)</v>
      </c>
      <c r="V449" s="93">
        <f>VLOOKUP(A449,'Parameters Summary'!$B$2:$AB$826,16,FALSE)</f>
        <v>5.9366E-6</v>
      </c>
      <c r="W449" s="379" t="str">
        <f>VLOOKUP(A449,'Parameters Summary'!$B$2:$AB$826,17,FALSE)</f>
        <v>WATER9 (U.S. EPA, 2001)</v>
      </c>
      <c r="X449" s="290">
        <f>273.15+280</f>
        <v>553.15</v>
      </c>
      <c r="Y449" s="96" t="s">
        <v>553</v>
      </c>
      <c r="Z449" s="96" t="s">
        <v>1653</v>
      </c>
      <c r="AA449" s="96"/>
      <c r="AB449" s="96" t="s">
        <v>1651</v>
      </c>
      <c r="AC449" s="96"/>
      <c r="AD449" s="93">
        <f>VLOOKUP(A449,'Parameters Summary'!$B$2:$AB$826,20,FALSE)</f>
        <v>98.4</v>
      </c>
      <c r="AE449" s="97" t="str">
        <f>VLOOKUP(A449,'Parameters Summary'!$B$2:$AB$826,21,FALSE)</f>
        <v>EPI</v>
      </c>
      <c r="AF449" s="97"/>
      <c r="AG449" s="94"/>
      <c r="AH449" s="92"/>
      <c r="AI449" s="96"/>
      <c r="AJ449" s="330"/>
      <c r="AL449" s="81"/>
    </row>
    <row r="450" spans="1:38" ht="12.75" customHeight="1">
      <c r="A450" s="96" t="s">
        <v>48</v>
      </c>
      <c r="B450" s="96" t="s">
        <v>1212</v>
      </c>
      <c r="C450" s="96" t="str">
        <f t="shared" si="42"/>
        <v>No</v>
      </c>
      <c r="D450" s="96" t="str">
        <f>VLOOKUP(A450,'Tox Summary'!$O$3:$R$824,3,FALSE)</f>
        <v>Yes</v>
      </c>
      <c r="E450" s="97">
        <f>VLOOKUP(A450,'Parameters Summary'!$B$2:$AB$826,4,FALSE)</f>
        <v>214.65</v>
      </c>
      <c r="F450" s="97" t="str">
        <f>VLOOKUP(A450,'Parameters Summary'!$B$2:$AB$826,5,FALSE)</f>
        <v>PHYSPROP</v>
      </c>
      <c r="G450" s="93">
        <f>VLOOKUP(A450,'Parameters Summary'!$B$2:$AB$826,9,FALSE)</f>
        <v>7.5000000000000002E-7</v>
      </c>
      <c r="H450" s="93" t="str">
        <f>VLOOKUP(A450,'Parameters Summary'!$B$2:$AB$826,10,FALSE)</f>
        <v>PHYSPROP</v>
      </c>
      <c r="I450" s="93">
        <f>VLOOKUP(A450,'Parameters Summary'!$B$2:$AB$826,24,FALSE)</f>
        <v>620</v>
      </c>
      <c r="J450" s="97" t="str">
        <f>VLOOKUP(A450,'Parameters Summary'!$B$2:$AB$826,25,FALSE)</f>
        <v>PHYSPROP</v>
      </c>
      <c r="K450" s="97" t="str">
        <f>VLOOKUP(A450,'Tox Summary'!$O$3:$S$827,2,FALSE)</f>
        <v/>
      </c>
      <c r="L450" s="93">
        <f>VLOOKUP(A450,'Parameters Summary'!$B$2:$AB$826,7,FALSE)</f>
        <v>1.8200000000000001E-8</v>
      </c>
      <c r="M450" s="93" t="str">
        <f>VLOOKUP(A450,'Parameters Summary'!$B$2:$AB$826,8,FALSE)</f>
        <v>PHYSPROP</v>
      </c>
      <c r="N450" s="91">
        <f>VLOOKUP(A450,'Parameters Summary'!$B$2:$AB$826,6,FALSE)</f>
        <v>7.4407000000000002E-7</v>
      </c>
      <c r="O450" s="91" t="str">
        <f t="shared" si="40"/>
        <v/>
      </c>
      <c r="P450" s="91">
        <f t="shared" si="43"/>
        <v>7.4407000000000002E-7</v>
      </c>
      <c r="Q450" s="91" t="str">
        <f t="shared" si="41"/>
        <v/>
      </c>
      <c r="R450" s="91">
        <f t="shared" si="44"/>
        <v>7.4407000000000002E-7</v>
      </c>
      <c r="S450" s="91" t="str">
        <f t="shared" si="45"/>
        <v/>
      </c>
      <c r="T450" s="93">
        <f>VLOOKUP(A450,'Parameters Summary'!$B$2:$AB$826,15,FALSE)</f>
        <v>2.7025799999999999E-2</v>
      </c>
      <c r="U450" s="93" t="str">
        <f>VLOOKUP(A450,'Parameters Summary'!$B$2:$AB$826,17,FALSE)</f>
        <v>WATER9 (U.S. EPA, 2001)</v>
      </c>
      <c r="V450" s="93">
        <f>VLOOKUP(A450,'Parameters Summary'!$B$2:$AB$826,16,FALSE)</f>
        <v>7.0236E-6</v>
      </c>
      <c r="W450" s="379" t="str">
        <f>VLOOKUP(A450,'Parameters Summary'!$B$2:$AB$826,17,FALSE)</f>
        <v>WATER9 (U.S. EPA, 2001)</v>
      </c>
      <c r="X450" s="290">
        <v>571.15</v>
      </c>
      <c r="Y450" s="96" t="s">
        <v>553</v>
      </c>
      <c r="Z450" s="96" t="s">
        <v>1653</v>
      </c>
      <c r="AA450" s="96"/>
      <c r="AB450" s="96" t="s">
        <v>1651</v>
      </c>
      <c r="AC450" s="96"/>
      <c r="AD450" s="93">
        <f>VLOOKUP(A450,'Parameters Summary'!$B$2:$AB$826,20,FALSE)</f>
        <v>48.51</v>
      </c>
      <c r="AE450" s="97" t="str">
        <f>VLOOKUP(A450,'Parameters Summary'!$B$2:$AB$826,21,FALSE)</f>
        <v>EPI</v>
      </c>
      <c r="AF450" s="97"/>
      <c r="AG450" s="94"/>
      <c r="AH450" s="92"/>
      <c r="AI450" s="96"/>
      <c r="AJ450" s="330"/>
      <c r="AL450" s="81"/>
    </row>
    <row r="451" spans="1:38" ht="12.75" customHeight="1">
      <c r="A451" s="96" t="s">
        <v>56</v>
      </c>
      <c r="B451" s="96" t="s">
        <v>1213</v>
      </c>
      <c r="C451" s="96" t="str">
        <f t="shared" si="42"/>
        <v>No</v>
      </c>
      <c r="D451" s="96" t="str">
        <f>VLOOKUP(A451,'Tox Summary'!$O$3:$R$824,3,FALSE)</f>
        <v>No</v>
      </c>
      <c r="E451" s="97">
        <f>VLOOKUP(A451,'Parameters Summary'!$B$2:$AB$826,4,FALSE)</f>
        <v>269.32</v>
      </c>
      <c r="F451" s="97" t="str">
        <f>VLOOKUP(A451,'Parameters Summary'!$B$2:$AB$826,5,FALSE)</f>
        <v>PHYSPROP</v>
      </c>
      <c r="G451" s="93">
        <f>VLOOKUP(A451,'Parameters Summary'!$B$2:$AB$826,9,FALSE)</f>
        <v>3.18E-5</v>
      </c>
      <c r="H451" s="93" t="str">
        <f>VLOOKUP(A451,'Parameters Summary'!$B$2:$AB$826,10,FALSE)</f>
        <v>PHYSPROP</v>
      </c>
      <c r="I451" s="93">
        <f>VLOOKUP(A451,'Parameters Summary'!$B$2:$AB$826,24,FALSE)</f>
        <v>57</v>
      </c>
      <c r="J451" s="97" t="str">
        <f>VLOOKUP(A451,'Parameters Summary'!$B$2:$AB$826,25,FALSE)</f>
        <v>PHYSPROP</v>
      </c>
      <c r="K451" s="97" t="str">
        <f>VLOOKUP(A451,'Tox Summary'!$O$3:$S$827,2,FALSE)</f>
        <v/>
      </c>
      <c r="L451" s="93">
        <f>VLOOKUP(A451,'Parameters Summary'!$B$2:$AB$826,7,FALSE)</f>
        <v>1.19E-10</v>
      </c>
      <c r="M451" s="93" t="str">
        <f>VLOOKUP(A451,'Parameters Summary'!$B$2:$AB$826,8,FALSE)</f>
        <v>PHYSPROP</v>
      </c>
      <c r="N451" s="91">
        <f>VLOOKUP(A451,'Parameters Summary'!$B$2:$AB$826,6,FALSE)</f>
        <v>4.8650999999999997E-9</v>
      </c>
      <c r="O451" s="91" t="str">
        <f t="shared" si="40"/>
        <v/>
      </c>
      <c r="P451" s="91">
        <f t="shared" si="43"/>
        <v>4.8650999999999997E-9</v>
      </c>
      <c r="Q451" s="91" t="str">
        <f t="shared" si="41"/>
        <v/>
      </c>
      <c r="R451" s="91">
        <f t="shared" si="44"/>
        <v>4.8650999999999997E-9</v>
      </c>
      <c r="S451" s="91" t="str">
        <f t="shared" si="45"/>
        <v/>
      </c>
      <c r="T451" s="93">
        <f>VLOOKUP(A451,'Parameters Summary'!$B$2:$AB$826,15,FALSE)</f>
        <v>4.5559000000000002E-2</v>
      </c>
      <c r="U451" s="93" t="str">
        <f>VLOOKUP(A451,'Parameters Summary'!$B$2:$AB$826,17,FALSE)</f>
        <v>WATER9 (U.S. EPA, 2001)</v>
      </c>
      <c r="V451" s="93">
        <f>VLOOKUP(A451,'Parameters Summary'!$B$2:$AB$826,16,FALSE)</f>
        <v>5.3232000000000001E-6</v>
      </c>
      <c r="W451" s="379" t="str">
        <f>VLOOKUP(A451,'Parameters Summary'!$B$2:$AB$826,17,FALSE)</f>
        <v>WATER9 (U.S. EPA, 2001)</v>
      </c>
      <c r="X451" s="290">
        <v>393.15</v>
      </c>
      <c r="Y451" s="96" t="s">
        <v>553</v>
      </c>
      <c r="Z451" s="96" t="s">
        <v>1653</v>
      </c>
      <c r="AA451" s="96"/>
      <c r="AB451" s="96" t="s">
        <v>1651</v>
      </c>
      <c r="AC451" s="96"/>
      <c r="AD451" s="93">
        <f>VLOOKUP(A451,'Parameters Summary'!$B$2:$AB$826,20,FALSE)</f>
        <v>636.29999999999995</v>
      </c>
      <c r="AE451" s="97" t="str">
        <f>VLOOKUP(A451,'Parameters Summary'!$B$2:$AB$826,21,FALSE)</f>
        <v>EPI</v>
      </c>
      <c r="AF451" s="97"/>
      <c r="AG451" s="94"/>
      <c r="AH451" s="92"/>
      <c r="AI451" s="96"/>
      <c r="AJ451" s="330"/>
      <c r="AL451" s="81"/>
    </row>
    <row r="452" spans="1:38" ht="12.75" customHeight="1">
      <c r="A452" s="96" t="s">
        <v>57</v>
      </c>
      <c r="B452" s="96" t="s">
        <v>1214</v>
      </c>
      <c r="C452" s="96" t="str">
        <f t="shared" si="42"/>
        <v>No</v>
      </c>
      <c r="D452" s="96" t="str">
        <f>VLOOKUP(A452,'Tox Summary'!$O$3:$R$824,3,FALSE)</f>
        <v>No</v>
      </c>
      <c r="E452" s="97">
        <f>VLOOKUP(A452,'Parameters Summary'!$B$2:$AB$826,4,FALSE)</f>
        <v>149.66999999999999</v>
      </c>
      <c r="F452" s="97" t="str">
        <f>VLOOKUP(A452,'Parameters Summary'!$B$2:$AB$826,5,FALSE)</f>
        <v>PHYSPROP</v>
      </c>
      <c r="G452" s="93">
        <f>VLOOKUP(A452,'Parameters Summary'!$B$2:$AB$826,9,FALSE)</f>
        <v>3.7099999999999997E-7</v>
      </c>
      <c r="H452" s="93" t="str">
        <f>VLOOKUP(A452,'Parameters Summary'!$B$2:$AB$826,10,FALSE)</f>
        <v>PHYSPROP</v>
      </c>
      <c r="I452" s="93">
        <f>VLOOKUP(A452,'Parameters Summary'!$B$2:$AB$826,24,FALSE)</f>
        <v>500000</v>
      </c>
      <c r="J452" s="97" t="str">
        <f>VLOOKUP(A452,'Parameters Summary'!$B$2:$AB$826,25,FALSE)</f>
        <v>PHYSPROP</v>
      </c>
      <c r="K452" s="97" t="str">
        <f>VLOOKUP(A452,'Tox Summary'!$O$3:$S$827,2,FALSE)</f>
        <v/>
      </c>
      <c r="L452" s="93">
        <f>VLOOKUP(A452,'Parameters Summary'!$B$2:$AB$826,7,FALSE)</f>
        <v>4.31E-12</v>
      </c>
      <c r="M452" s="93" t="str">
        <f>VLOOKUP(A452,'Parameters Summary'!$B$2:$AB$826,8,FALSE)</f>
        <v>PHYSPROP</v>
      </c>
      <c r="N452" s="91">
        <f>VLOOKUP(A452,'Parameters Summary'!$B$2:$AB$826,6,FALSE)</f>
        <v>1.762E-10</v>
      </c>
      <c r="O452" s="91" t="str">
        <f t="shared" si="40"/>
        <v/>
      </c>
      <c r="P452" s="91">
        <f t="shared" si="43"/>
        <v>1.762E-10</v>
      </c>
      <c r="Q452" s="91" t="str">
        <f t="shared" si="41"/>
        <v/>
      </c>
      <c r="R452" s="91">
        <f t="shared" si="44"/>
        <v>1.762E-10</v>
      </c>
      <c r="S452" s="91" t="str">
        <f t="shared" si="45"/>
        <v/>
      </c>
      <c r="T452" s="93">
        <f>VLOOKUP(A452,'Parameters Summary'!$B$2:$AB$826,15,FALSE)</f>
        <v>6.7400600000000005E-2</v>
      </c>
      <c r="U452" s="93" t="str">
        <f>VLOOKUP(A452,'Parameters Summary'!$B$2:$AB$826,17,FALSE)</f>
        <v>WATER9 (U.S. EPA, 2001)</v>
      </c>
      <c r="V452" s="93">
        <f>VLOOKUP(A452,'Parameters Summary'!$B$2:$AB$826,16,FALSE)</f>
        <v>7.8752000000000004E-6</v>
      </c>
      <c r="W452" s="379" t="str">
        <f>VLOOKUP(A452,'Parameters Summary'!$B$2:$AB$826,17,FALSE)</f>
        <v>WATER9 (U.S. EPA, 2001)</v>
      </c>
      <c r="X452" s="347"/>
      <c r="Y452" s="96"/>
      <c r="Z452" s="96" t="s">
        <v>1653</v>
      </c>
      <c r="AA452" s="96"/>
      <c r="AB452" s="96" t="s">
        <v>1651</v>
      </c>
      <c r="AC452" s="96"/>
      <c r="AD452" s="93">
        <f>VLOOKUP(A452,'Parameters Summary'!$B$2:$AB$826,20,FALSE)</f>
        <v>66.16</v>
      </c>
      <c r="AE452" s="97" t="str">
        <f>VLOOKUP(A452,'Parameters Summary'!$B$2:$AB$826,21,FALSE)</f>
        <v>EPI</v>
      </c>
      <c r="AF452" s="97"/>
      <c r="AG452" s="94"/>
      <c r="AH452" s="92"/>
      <c r="AI452" s="96"/>
      <c r="AJ452" s="330"/>
      <c r="AL452" s="81"/>
    </row>
    <row r="453" spans="1:38" ht="12.75" customHeight="1">
      <c r="A453" s="96" t="s">
        <v>58</v>
      </c>
      <c r="B453" s="96" t="s">
        <v>2359</v>
      </c>
      <c r="C453" s="96" t="str">
        <f t="shared" si="42"/>
        <v>No</v>
      </c>
      <c r="D453" s="96" t="str">
        <f>VLOOKUP(A453,'Tox Summary'!$O$3:$R$824,3,FALSE)</f>
        <v>No</v>
      </c>
      <c r="E453" s="97">
        <f>VLOOKUP(A453,'Parameters Summary'!$B$2:$AB$826,4,FALSE)</f>
        <v>271.5</v>
      </c>
      <c r="F453" s="97" t="str">
        <f>VLOOKUP(A453,'Parameters Summary'!$B$2:$AB$826,5,FALSE)</f>
        <v>PHYSPROP</v>
      </c>
      <c r="G453" s="93" t="s">
        <v>2439</v>
      </c>
      <c r="H453" s="93" t="str">
        <f>VLOOKUP(A453,'Parameters Summary'!$B$2:$AB$826,10,FALSE)</f>
        <v/>
      </c>
      <c r="I453" s="93">
        <f>VLOOKUP(A453,'Parameters Summary'!$B$2:$AB$826,24,FALSE)</f>
        <v>69000</v>
      </c>
      <c r="J453" s="97" t="str">
        <f>VLOOKUP(A453,'Parameters Summary'!$B$2:$AB$826,25,FALSE)</f>
        <v>PHYSPROP</v>
      </c>
      <c r="K453" s="97">
        <f>VLOOKUP(A453,'Tox Summary'!$O$3:$S$827,2,FALSE)</f>
        <v>2</v>
      </c>
      <c r="L453" s="93" t="s">
        <v>2298</v>
      </c>
      <c r="M453" s="93" t="str">
        <f>VLOOKUP(A453,'Parameters Summary'!$B$2:$AB$826,8,FALSE)</f>
        <v/>
      </c>
      <c r="N453" s="91" t="str">
        <f>VLOOKUP(A453,'Parameters Summary'!$B$2:$AB$826,6,FALSE)</f>
        <v xml:space="preserve"> </v>
      </c>
      <c r="O453" s="91"/>
      <c r="P453" s="91"/>
      <c r="Q453" s="91"/>
      <c r="R453" s="91"/>
      <c r="S453" s="91"/>
      <c r="T453" s="93" t="str">
        <f>VLOOKUP(A453,'Parameters Summary'!$B$2:$AB$826,15,FALSE)</f>
        <v xml:space="preserve"> </v>
      </c>
      <c r="U453" s="93" t="str">
        <f>VLOOKUP(A453,'Parameters Summary'!$B$2:$AB$826,17,FALSE)</f>
        <v/>
      </c>
      <c r="V453" s="93" t="str">
        <f>VLOOKUP(A453,'Parameters Summary'!$B$2:$AB$826,16,FALSE)</f>
        <v xml:space="preserve"> </v>
      </c>
      <c r="W453" s="379" t="str">
        <f>VLOOKUP(A453,'Parameters Summary'!$B$2:$AB$826,17,FALSE)</f>
        <v/>
      </c>
      <c r="X453" s="347">
        <v>577.15</v>
      </c>
      <c r="Y453" s="96" t="s">
        <v>2214</v>
      </c>
      <c r="Z453" s="96">
        <f>1.5*X453</f>
        <v>865.72499999999991</v>
      </c>
      <c r="AA453" s="96" t="s">
        <v>2220</v>
      </c>
      <c r="AB453" s="96">
        <v>14077.437900000001</v>
      </c>
      <c r="AC453" s="96" t="s">
        <v>2214</v>
      </c>
      <c r="AD453" s="93" t="str">
        <f>VLOOKUP(A453,'Parameters Summary'!$B$2:$AB$826,20,FALSE)</f>
        <v xml:space="preserve"> </v>
      </c>
      <c r="AE453" s="97" t="str">
        <f>VLOOKUP(A453,'Parameters Summary'!$B$2:$AB$826,21,FALSE)</f>
        <v/>
      </c>
      <c r="AF453" s="97"/>
      <c r="AG453" s="94"/>
      <c r="AH453" s="92"/>
      <c r="AI453" s="96"/>
      <c r="AJ453" s="330"/>
      <c r="AL453" s="81"/>
    </row>
    <row r="454" spans="1:38" ht="12.75" customHeight="1">
      <c r="A454" s="95" t="s">
        <v>59</v>
      </c>
      <c r="B454" s="96" t="s">
        <v>2243</v>
      </c>
      <c r="C454" s="96" t="str">
        <f t="shared" si="42"/>
        <v>Yes</v>
      </c>
      <c r="D454" s="96" t="str">
        <f>VLOOKUP(A454,'Tox Summary'!$O$3:$R$824,3,FALSE)</f>
        <v>Yes</v>
      </c>
      <c r="E454" s="97">
        <f>VLOOKUP(A454,'Parameters Summary'!$B$2:$AB$826,4,FALSE)</f>
        <v>200.59</v>
      </c>
      <c r="F454" s="97" t="str">
        <f>VLOOKUP(A454,'Parameters Summary'!$B$2:$AB$826,5,FALSE)</f>
        <v>PHYSPROP</v>
      </c>
      <c r="G454" s="93">
        <f>VLOOKUP(A454,'Parameters Summary'!$B$2:$AB$826,9,FALSE)</f>
        <v>1.9580000000000001E-3</v>
      </c>
      <c r="H454" s="93" t="str">
        <f>VLOOKUP(A454,'Parameters Summary'!$B$2:$AB$826,10,FALSE)</f>
        <v>PHYSPROP</v>
      </c>
      <c r="I454" s="93">
        <f>VLOOKUP(A454,'Parameters Summary'!$B$2:$AB$826,24,FALSE)</f>
        <v>0.06</v>
      </c>
      <c r="J454" s="97" t="str">
        <f>VLOOKUP(A454,'Parameters Summary'!$B$2:$AB$826,25,FALSE)</f>
        <v>PHYSPROP</v>
      </c>
      <c r="K454" s="97">
        <f>VLOOKUP(A454,'Tox Summary'!$O$3:$S$827,2,FALSE)</f>
        <v>2</v>
      </c>
      <c r="L454" s="93">
        <f>VLOOKUP(A454,'Parameters Summary'!$B$2:$AB$826,7,FALSE)</f>
        <v>8.6219999999999995E-3</v>
      </c>
      <c r="M454" s="93" t="str">
        <f>VLOOKUP(A454,'Parameters Summary'!$B$2:$AB$826,8,FALSE)</f>
        <v>PHYSPROP VP/S</v>
      </c>
      <c r="N454" s="91">
        <f>VLOOKUP(A454,'Parameters Summary'!$B$2:$AB$826,6,FALSE)</f>
        <v>0.35199999999999998</v>
      </c>
      <c r="O454" s="91">
        <f t="shared" si="40"/>
        <v>0.35199999999999998</v>
      </c>
      <c r="P454" s="91">
        <f t="shared" si="43"/>
        <v>0.35199999999999998</v>
      </c>
      <c r="Q454" s="91">
        <f t="shared" si="41"/>
        <v>0.35199999999999998</v>
      </c>
      <c r="R454" s="91">
        <f t="shared" si="44"/>
        <v>0.35199999999999998</v>
      </c>
      <c r="S454" s="91">
        <f t="shared" si="45"/>
        <v>21133.681444028214</v>
      </c>
      <c r="T454" s="93">
        <f>VLOOKUP(A454,'Parameters Summary'!$B$2:$AB$826,15,FALSE)</f>
        <v>3.0700000000000002E-2</v>
      </c>
      <c r="U454" s="93" t="str">
        <f>VLOOKUP(A454,'Parameters Summary'!$B$2:$AB$826,17,FALSE)</f>
        <v>WATER9 (U.S. EPA, 2001)</v>
      </c>
      <c r="V454" s="93">
        <f>VLOOKUP(A454,'Parameters Summary'!$B$2:$AB$826,16,FALSE)</f>
        <v>6.2999999999999998E-6</v>
      </c>
      <c r="W454" s="379" t="str">
        <f>VLOOKUP(A454,'Parameters Summary'!$B$2:$AB$826,17,FALSE)</f>
        <v>WATER9 (U.S. EPA, 2001)</v>
      </c>
      <c r="X454" s="290">
        <v>356.6</v>
      </c>
      <c r="Y454" s="96" t="s">
        <v>2212</v>
      </c>
      <c r="Z454" s="96">
        <v>1750</v>
      </c>
      <c r="AA454" s="96" t="s">
        <v>2227</v>
      </c>
      <c r="AB454" s="96">
        <v>14127</v>
      </c>
      <c r="AC454" s="96" t="s">
        <v>2227</v>
      </c>
      <c r="AD454" s="93" t="str">
        <f>VLOOKUP(A454,'Parameters Summary'!$B$2:$AB$826,20,FALSE)</f>
        <v xml:space="preserve"> </v>
      </c>
      <c r="AE454" s="97" t="str">
        <f>VLOOKUP(A454,'Parameters Summary'!$B$2:$AB$826,21,FALSE)</f>
        <v/>
      </c>
      <c r="AF454" s="380"/>
      <c r="AG454" s="97"/>
      <c r="AH454" s="92"/>
      <c r="AI454" s="96"/>
      <c r="AJ454" s="330"/>
      <c r="AL454" s="81"/>
    </row>
    <row r="455" spans="1:38" ht="12.75" customHeight="1">
      <c r="A455" s="96" t="s">
        <v>62</v>
      </c>
      <c r="B455" s="96" t="s">
        <v>1216</v>
      </c>
      <c r="C455" s="96" t="str">
        <f t="shared" si="42"/>
        <v>Yes</v>
      </c>
      <c r="D455" s="96" t="str">
        <f>VLOOKUP(A455,'Tox Summary'!$O$3:$R$824,3,FALSE)</f>
        <v>Yes</v>
      </c>
      <c r="E455" s="97">
        <f>VLOOKUP(A455,'Parameters Summary'!$B$2:$AB$826,4,FALSE)</f>
        <v>298.51</v>
      </c>
      <c r="F455" s="97" t="str">
        <f>VLOOKUP(A455,'Parameters Summary'!$B$2:$AB$826,5,FALSE)</f>
        <v>PHYSPROP</v>
      </c>
      <c r="G455" s="93">
        <f>VLOOKUP(A455,'Parameters Summary'!$B$2:$AB$826,9,FALSE)</f>
        <v>2.0000000000000002E-5</v>
      </c>
      <c r="H455" s="93" t="str">
        <f>VLOOKUP(A455,'Parameters Summary'!$B$2:$AB$826,10,FALSE)</f>
        <v>PHYSPROP</v>
      </c>
      <c r="I455" s="93">
        <f>VLOOKUP(A455,'Parameters Summary'!$B$2:$AB$826,24,FALSE)</f>
        <v>3.5000000000000001E-3</v>
      </c>
      <c r="J455" s="97" t="str">
        <f>VLOOKUP(A455,'Parameters Summary'!$B$2:$AB$826,25,FALSE)</f>
        <v>PHYSPROP</v>
      </c>
      <c r="K455" s="97" t="str">
        <f>VLOOKUP(A455,'Tox Summary'!$O$3:$S$827,2,FALSE)</f>
        <v/>
      </c>
      <c r="L455" s="93">
        <f>VLOOKUP(A455,'Parameters Summary'!$B$2:$AB$826,7,FALSE)</f>
        <v>2.27E-5</v>
      </c>
      <c r="M455" s="93" t="str">
        <f>VLOOKUP(A455,'Parameters Summary'!$B$2:$AB$826,8,FALSE)</f>
        <v>PHYSPROP</v>
      </c>
      <c r="N455" s="91">
        <f>VLOOKUP(A455,'Parameters Summary'!$B$2:$AB$826,6,FALSE)</f>
        <v>9.2800000000000001E-4</v>
      </c>
      <c r="O455" s="91" t="str">
        <f t="shared" si="40"/>
        <v/>
      </c>
      <c r="P455" s="91">
        <f t="shared" si="43"/>
        <v>9.2800000000000001E-4</v>
      </c>
      <c r="Q455" s="91" t="str">
        <f t="shared" si="41"/>
        <v/>
      </c>
      <c r="R455" s="91">
        <f t="shared" si="44"/>
        <v>9.2800000000000001E-4</v>
      </c>
      <c r="S455" s="91" t="str">
        <f t="shared" si="45"/>
        <v/>
      </c>
      <c r="T455" s="93">
        <f>VLOOKUP(A455,'Parameters Summary'!$B$2:$AB$826,15,FALSE)</f>
        <v>2.0400000000000001E-2</v>
      </c>
      <c r="U455" s="93" t="str">
        <f>VLOOKUP(A455,'Parameters Summary'!$B$2:$AB$826,17,FALSE)</f>
        <v>WATER9 (U.S. EPA, 2001)</v>
      </c>
      <c r="V455" s="93">
        <f>VLOOKUP(A455,'Parameters Summary'!$B$2:$AB$826,16,FALSE)</f>
        <v>5.0286999999999998E-6</v>
      </c>
      <c r="W455" s="379" t="str">
        <f>VLOOKUP(A455,'Parameters Summary'!$B$2:$AB$826,17,FALSE)</f>
        <v>WATER9 (U.S. EPA, 2001)</v>
      </c>
      <c r="X455" s="290">
        <f>273.15+151</f>
        <v>424.15</v>
      </c>
      <c r="Y455" s="96" t="s">
        <v>553</v>
      </c>
      <c r="Z455" s="96" t="s">
        <v>1653</v>
      </c>
      <c r="AA455" s="96"/>
      <c r="AB455" s="96" t="s">
        <v>1651</v>
      </c>
      <c r="AC455" s="96"/>
      <c r="AD455" s="93">
        <f>VLOOKUP(A455,'Parameters Summary'!$B$2:$AB$826,20,FALSE)</f>
        <v>48970</v>
      </c>
      <c r="AE455" s="97" t="str">
        <f>VLOOKUP(A455,'Parameters Summary'!$B$2:$AB$826,21,FALSE)</f>
        <v>EPI</v>
      </c>
      <c r="AF455" s="97"/>
      <c r="AG455" s="94"/>
      <c r="AH455" s="92"/>
      <c r="AI455" s="96"/>
      <c r="AJ455" s="330"/>
      <c r="AL455" s="81"/>
    </row>
    <row r="456" spans="1:38" ht="12.75" customHeight="1">
      <c r="A456" s="96" t="s">
        <v>63</v>
      </c>
      <c r="B456" s="96" t="s">
        <v>1217</v>
      </c>
      <c r="C456" s="96" t="str">
        <f t="shared" si="42"/>
        <v>No</v>
      </c>
      <c r="D456" s="96" t="str">
        <f>VLOOKUP(A456,'Tox Summary'!$O$3:$R$824,3,FALSE)</f>
        <v>No</v>
      </c>
      <c r="E456" s="97">
        <f>VLOOKUP(A456,'Parameters Summary'!$B$2:$AB$826,4,FALSE)</f>
        <v>314.51</v>
      </c>
      <c r="F456" s="97" t="str">
        <f>VLOOKUP(A456,'Parameters Summary'!$B$2:$AB$826,5,FALSE)</f>
        <v>PHYSPROP</v>
      </c>
      <c r="G456" s="93">
        <f>VLOOKUP(A456,'Parameters Summary'!$B$2:$AB$826,9,FALSE)</f>
        <v>5.3000000000000001E-6</v>
      </c>
      <c r="H456" s="93" t="str">
        <f>VLOOKUP(A456,'Parameters Summary'!$B$2:$AB$826,10,FALSE)</f>
        <v>PHYSPROP</v>
      </c>
      <c r="I456" s="93">
        <f>VLOOKUP(A456,'Parameters Summary'!$B$2:$AB$826,24,FALSE)</f>
        <v>2.2999999999999998</v>
      </c>
      <c r="J456" s="97" t="str">
        <f>VLOOKUP(A456,'Parameters Summary'!$B$2:$AB$826,25,FALSE)</f>
        <v>PHYSPROP</v>
      </c>
      <c r="K456" s="97" t="str">
        <f>VLOOKUP(A456,'Tox Summary'!$O$3:$S$827,2,FALSE)</f>
        <v/>
      </c>
      <c r="L456" s="93">
        <f>VLOOKUP(A456,'Parameters Summary'!$B$2:$AB$826,7,FALSE)</f>
        <v>2.9400000000000001E-7</v>
      </c>
      <c r="M456" s="93" t="str">
        <f>VLOOKUP(A456,'Parameters Summary'!$B$2:$AB$826,8,FALSE)</f>
        <v>PHYSPROP</v>
      </c>
      <c r="N456" s="91">
        <f>VLOOKUP(A456,'Parameters Summary'!$B$2:$AB$826,6,FALSE)</f>
        <v>1.2E-5</v>
      </c>
      <c r="O456" s="91" t="str">
        <f t="shared" si="40"/>
        <v/>
      </c>
      <c r="P456" s="91">
        <f t="shared" si="43"/>
        <v>1.2E-5</v>
      </c>
      <c r="Q456" s="91" t="str">
        <f t="shared" si="41"/>
        <v/>
      </c>
      <c r="R456" s="91">
        <f t="shared" si="44"/>
        <v>1.2E-5</v>
      </c>
      <c r="S456" s="91" t="str">
        <f t="shared" si="45"/>
        <v/>
      </c>
      <c r="T456" s="93">
        <f>VLOOKUP(A456,'Parameters Summary'!$B$2:$AB$826,15,FALSE)</f>
        <v>2.0189700000000001E-2</v>
      </c>
      <c r="U456" s="93" t="str">
        <f>VLOOKUP(A456,'Parameters Summary'!$B$2:$AB$826,17,FALSE)</f>
        <v>WATER9 (U.S. EPA, 2001)</v>
      </c>
      <c r="V456" s="93">
        <f>VLOOKUP(A456,'Parameters Summary'!$B$2:$AB$826,16,FALSE)</f>
        <v>4.9788999999999999E-6</v>
      </c>
      <c r="W456" s="379" t="str">
        <f>VLOOKUP(A456,'Parameters Summary'!$B$2:$AB$826,17,FALSE)</f>
        <v>WATER9 (U.S. EPA, 2001)</v>
      </c>
      <c r="X456" s="290">
        <v>483.15</v>
      </c>
      <c r="Y456" s="96" t="s">
        <v>553</v>
      </c>
      <c r="Z456" s="96" t="s">
        <v>1653</v>
      </c>
      <c r="AA456" s="96"/>
      <c r="AB456" s="96" t="s">
        <v>1651</v>
      </c>
      <c r="AC456" s="96"/>
      <c r="AD456" s="93">
        <f>VLOOKUP(A456,'Parameters Summary'!$B$2:$AB$826,20,FALSE)</f>
        <v>2350</v>
      </c>
      <c r="AE456" s="97" t="str">
        <f>VLOOKUP(A456,'Parameters Summary'!$B$2:$AB$826,21,FALSE)</f>
        <v>EPI</v>
      </c>
      <c r="AF456" s="97"/>
      <c r="AG456" s="94"/>
      <c r="AH456" s="92"/>
      <c r="AI456" s="96"/>
      <c r="AJ456" s="330"/>
      <c r="AL456" s="81"/>
    </row>
    <row r="457" spans="1:38" ht="12.75" customHeight="1">
      <c r="A457" s="96" t="s">
        <v>64</v>
      </c>
      <c r="B457" s="96" t="s">
        <v>1218</v>
      </c>
      <c r="C457" s="96" t="str">
        <f t="shared" si="42"/>
        <v>No</v>
      </c>
      <c r="D457" s="96" t="str">
        <f>VLOOKUP(A457,'Tox Summary'!$O$3:$R$824,3,FALSE)</f>
        <v>Yes</v>
      </c>
      <c r="E457" s="97">
        <f>VLOOKUP(A457,'Parameters Summary'!$B$2:$AB$826,4,FALSE)</f>
        <v>279.33999999999997</v>
      </c>
      <c r="F457" s="97" t="str">
        <f>VLOOKUP(A457,'Parameters Summary'!$B$2:$AB$826,5,FALSE)</f>
        <v>PHYSPROP</v>
      </c>
      <c r="G457" s="93">
        <f>VLOOKUP(A457,'Parameters Summary'!$B$2:$AB$826,9,FALSE)</f>
        <v>5.6200000000000004E-6</v>
      </c>
      <c r="H457" s="93" t="str">
        <f>VLOOKUP(A457,'Parameters Summary'!$B$2:$AB$826,10,FALSE)</f>
        <v>PHYSPROP</v>
      </c>
      <c r="I457" s="93">
        <f>VLOOKUP(A457,'Parameters Summary'!$B$2:$AB$826,24,FALSE)</f>
        <v>8400</v>
      </c>
      <c r="J457" s="97" t="str">
        <f>VLOOKUP(A457,'Parameters Summary'!$B$2:$AB$826,25,FALSE)</f>
        <v>PHYSPROP</v>
      </c>
      <c r="K457" s="97" t="str">
        <f>VLOOKUP(A457,'Tox Summary'!$O$3:$S$827,2,FALSE)</f>
        <v/>
      </c>
      <c r="L457" s="93">
        <f>VLOOKUP(A457,'Parameters Summary'!$B$2:$AB$826,7,FALSE)</f>
        <v>2.9499999999999999E-9</v>
      </c>
      <c r="M457" s="93" t="str">
        <f>VLOOKUP(A457,'Parameters Summary'!$B$2:$AB$826,8,FALSE)</f>
        <v>EPI</v>
      </c>
      <c r="N457" s="91">
        <f>VLOOKUP(A457,'Parameters Summary'!$B$2:$AB$826,6,FALSE)</f>
        <v>1.2060999999999999E-7</v>
      </c>
      <c r="O457" s="91" t="str">
        <f t="shared" si="40"/>
        <v/>
      </c>
      <c r="P457" s="91">
        <f t="shared" si="43"/>
        <v>1.2060999999999999E-7</v>
      </c>
      <c r="Q457" s="91" t="str">
        <f t="shared" si="41"/>
        <v/>
      </c>
      <c r="R457" s="91">
        <f t="shared" si="44"/>
        <v>1.2060999999999999E-7</v>
      </c>
      <c r="S457" s="91" t="str">
        <f t="shared" si="45"/>
        <v/>
      </c>
      <c r="T457" s="93">
        <f>VLOOKUP(A457,'Parameters Summary'!$B$2:$AB$826,15,FALSE)</f>
        <v>4.44629E-2</v>
      </c>
      <c r="U457" s="93" t="str">
        <f>VLOOKUP(A457,'Parameters Summary'!$B$2:$AB$826,17,FALSE)</f>
        <v>WATER9 (U.S. EPA, 2001)</v>
      </c>
      <c r="V457" s="93">
        <f>VLOOKUP(A457,'Parameters Summary'!$B$2:$AB$826,16,FALSE)</f>
        <v>5.1950999999999996E-6</v>
      </c>
      <c r="W457" s="379" t="str">
        <f>VLOOKUP(A457,'Parameters Summary'!$B$2:$AB$826,17,FALSE)</f>
        <v>WATER9 (U.S. EPA, 2001)</v>
      </c>
      <c r="X457" s="290">
        <f>273.15+295.9</f>
        <v>569.04999999999995</v>
      </c>
      <c r="Y457" s="96" t="s">
        <v>553</v>
      </c>
      <c r="Z457" s="96" t="s">
        <v>1653</v>
      </c>
      <c r="AA457" s="96"/>
      <c r="AB457" s="96" t="s">
        <v>1651</v>
      </c>
      <c r="AC457" s="96"/>
      <c r="AD457" s="93">
        <f>VLOOKUP(A457,'Parameters Summary'!$B$2:$AB$826,20,FALSE)</f>
        <v>38.57</v>
      </c>
      <c r="AE457" s="97" t="str">
        <f>VLOOKUP(A457,'Parameters Summary'!$B$2:$AB$826,21,FALSE)</f>
        <v>EPI</v>
      </c>
      <c r="AF457" s="97"/>
      <c r="AG457" s="94"/>
      <c r="AH457" s="92"/>
      <c r="AI457" s="96"/>
      <c r="AJ457" s="330"/>
      <c r="AL457" s="81"/>
    </row>
    <row r="458" spans="1:38" ht="12.75" customHeight="1">
      <c r="A458" s="95" t="s">
        <v>65</v>
      </c>
      <c r="B458" s="96" t="s">
        <v>1441</v>
      </c>
      <c r="C458" s="96" t="str">
        <f t="shared" si="42"/>
        <v>Yes</v>
      </c>
      <c r="D458" s="96" t="str">
        <f>VLOOKUP(A458,'Tox Summary'!$O$3:$R$824,3,FALSE)</f>
        <v>Yes</v>
      </c>
      <c r="E458" s="97">
        <f>VLOOKUP(A458,'Parameters Summary'!$B$2:$AB$826,4,FALSE)</f>
        <v>67.090999999999994</v>
      </c>
      <c r="F458" s="97" t="str">
        <f>VLOOKUP(A458,'Parameters Summary'!$B$2:$AB$826,5,FALSE)</f>
        <v>PHYSPROP</v>
      </c>
      <c r="G458" s="93">
        <f>VLOOKUP(A458,'Parameters Summary'!$B$2:$AB$826,9,FALSE)</f>
        <v>71.2</v>
      </c>
      <c r="H458" s="93" t="str">
        <f>VLOOKUP(A458,'Parameters Summary'!$B$2:$AB$826,10,FALSE)</f>
        <v>PHYSPROP</v>
      </c>
      <c r="I458" s="93">
        <f>VLOOKUP(A458,'Parameters Summary'!$B$2:$AB$826,24,FALSE)</f>
        <v>25400</v>
      </c>
      <c r="J458" s="97" t="str">
        <f>VLOOKUP(A458,'Parameters Summary'!$B$2:$AB$826,25,FALSE)</f>
        <v>PHYSPROP</v>
      </c>
      <c r="K458" s="97" t="str">
        <f>VLOOKUP(A458,'Tox Summary'!$O$3:$S$827,2,FALSE)</f>
        <v/>
      </c>
      <c r="L458" s="93">
        <f>VLOOKUP(A458,'Parameters Summary'!$B$2:$AB$826,7,FALSE)</f>
        <v>2.4699999999999999E-4</v>
      </c>
      <c r="M458" s="93" t="str">
        <f>VLOOKUP(A458,'Parameters Summary'!$B$2:$AB$826,8,FALSE)</f>
        <v>EPI</v>
      </c>
      <c r="N458" s="91">
        <f>VLOOKUP(A458,'Parameters Summary'!$B$2:$AB$826,6,FALSE)</f>
        <v>1.00981E-2</v>
      </c>
      <c r="O458" s="91">
        <f t="shared" si="40"/>
        <v>1.00981E-2</v>
      </c>
      <c r="P458" s="91">
        <f t="shared" si="43"/>
        <v>1.00981E-2</v>
      </c>
      <c r="Q458" s="91">
        <f t="shared" si="41"/>
        <v>1.00981E-2</v>
      </c>
      <c r="R458" s="91">
        <f t="shared" si="44"/>
        <v>1.00981E-2</v>
      </c>
      <c r="S458" s="91">
        <f t="shared" si="45"/>
        <v>257038068.92599493</v>
      </c>
      <c r="T458" s="93">
        <f>VLOOKUP(A458,'Parameters Summary'!$B$2:$AB$826,15,FALSE)</f>
        <v>9.6429899999999999E-2</v>
      </c>
      <c r="U458" s="93" t="str">
        <f>VLOOKUP(A458,'Parameters Summary'!$B$2:$AB$826,17,FALSE)</f>
        <v>WATER9 (U.S. EPA, 2001)</v>
      </c>
      <c r="V458" s="93">
        <f>VLOOKUP(A458,'Parameters Summary'!$B$2:$AB$826,16,FALSE)</f>
        <v>1.06E-5</v>
      </c>
      <c r="W458" s="379" t="str">
        <f>VLOOKUP(A458,'Parameters Summary'!$B$2:$AB$826,17,FALSE)</f>
        <v>WATER9 (U.S. EPA, 2001)</v>
      </c>
      <c r="X458" s="290">
        <v>363.3</v>
      </c>
      <c r="Y458" s="96" t="s">
        <v>553</v>
      </c>
      <c r="Z458" s="96">
        <v>554</v>
      </c>
      <c r="AA458" s="96" t="s">
        <v>2225</v>
      </c>
      <c r="AB458" s="96">
        <v>7600.2</v>
      </c>
      <c r="AC458" s="96" t="s">
        <v>2215</v>
      </c>
      <c r="AD458" s="93">
        <f>VLOOKUP(A458,'Parameters Summary'!$B$2:$AB$826,20,FALSE)</f>
        <v>13.05</v>
      </c>
      <c r="AE458" s="97" t="str">
        <f>VLOOKUP(A458,'Parameters Summary'!$B$2:$AB$826,21,FALSE)</f>
        <v>EPI</v>
      </c>
      <c r="AF458" s="380">
        <v>2</v>
      </c>
      <c r="AG458" s="97" t="s">
        <v>302</v>
      </c>
      <c r="AH458" s="92"/>
      <c r="AI458" s="96"/>
      <c r="AJ458" s="330"/>
      <c r="AL458" s="81"/>
    </row>
    <row r="459" spans="1:38" ht="12.75" customHeight="1">
      <c r="A459" s="96" t="s">
        <v>66</v>
      </c>
      <c r="B459" s="96" t="s">
        <v>1219</v>
      </c>
      <c r="C459" s="96" t="str">
        <f t="shared" si="42"/>
        <v>No</v>
      </c>
      <c r="D459" s="96" t="str">
        <f>VLOOKUP(A459,'Tox Summary'!$O$3:$R$824,3,FALSE)</f>
        <v>No</v>
      </c>
      <c r="E459" s="97">
        <f>VLOOKUP(A459,'Parameters Summary'!$B$2:$AB$826,4,FALSE)</f>
        <v>141.13</v>
      </c>
      <c r="F459" s="97" t="str">
        <f>VLOOKUP(A459,'Parameters Summary'!$B$2:$AB$826,5,FALSE)</f>
        <v>PHYSPROP</v>
      </c>
      <c r="G459" s="93">
        <f>VLOOKUP(A459,'Parameters Summary'!$B$2:$AB$826,9,FALSE)</f>
        <v>3.5299999999999997E-5</v>
      </c>
      <c r="H459" s="93" t="str">
        <f>VLOOKUP(A459,'Parameters Summary'!$B$2:$AB$826,10,FALSE)</f>
        <v>PHYSPROP</v>
      </c>
      <c r="I459" s="93">
        <f>VLOOKUP(A459,'Parameters Summary'!$B$2:$AB$826,24,FALSE)</f>
        <v>1000000</v>
      </c>
      <c r="J459" s="97" t="str">
        <f>VLOOKUP(A459,'Parameters Summary'!$B$2:$AB$826,25,FALSE)</f>
        <v>PHYSPROP</v>
      </c>
      <c r="K459" s="97" t="str">
        <f>VLOOKUP(A459,'Tox Summary'!$O$3:$S$827,2,FALSE)</f>
        <v/>
      </c>
      <c r="L459" s="93">
        <f>VLOOKUP(A459,'Parameters Summary'!$B$2:$AB$826,7,FALSE)</f>
        <v>8.6819999999999996E-10</v>
      </c>
      <c r="M459" s="93" t="str">
        <f>VLOOKUP(A459,'Parameters Summary'!$B$2:$AB$826,8,FALSE)</f>
        <v>PHYSPROP</v>
      </c>
      <c r="N459" s="91">
        <f>VLOOKUP(A459,'Parameters Summary'!$B$2:$AB$826,6,FALSE)</f>
        <v>3.5495000000000001E-8</v>
      </c>
      <c r="O459" s="91" t="str">
        <f t="shared" si="40"/>
        <v/>
      </c>
      <c r="P459" s="91">
        <f t="shared" si="43"/>
        <v>3.5495000000000001E-8</v>
      </c>
      <c r="Q459" s="91" t="str">
        <f t="shared" si="41"/>
        <v/>
      </c>
      <c r="R459" s="91">
        <f t="shared" si="44"/>
        <v>3.5495000000000001E-8</v>
      </c>
      <c r="S459" s="91" t="str">
        <f t="shared" si="45"/>
        <v/>
      </c>
      <c r="T459" s="93">
        <f>VLOOKUP(A459,'Parameters Summary'!$B$2:$AB$826,15,FALSE)</f>
        <v>5.9623299999999997E-2</v>
      </c>
      <c r="U459" s="93" t="str">
        <f>VLOOKUP(A459,'Parameters Summary'!$B$2:$AB$826,17,FALSE)</f>
        <v>WATER9 (U.S. EPA, 2001)</v>
      </c>
      <c r="V459" s="93">
        <f>VLOOKUP(A459,'Parameters Summary'!$B$2:$AB$826,16,FALSE)</f>
        <v>9.1593000000000005E-6</v>
      </c>
      <c r="W459" s="379" t="str">
        <f>VLOOKUP(A459,'Parameters Summary'!$B$2:$AB$826,17,FALSE)</f>
        <v>WATER9 (U.S. EPA, 2001)</v>
      </c>
      <c r="X459" s="347"/>
      <c r="Y459" s="96"/>
      <c r="Z459" s="96" t="s">
        <v>1653</v>
      </c>
      <c r="AA459" s="96"/>
      <c r="AB459" s="96" t="s">
        <v>1651</v>
      </c>
      <c r="AC459" s="96"/>
      <c r="AD459" s="93">
        <f>VLOOKUP(A459,'Parameters Summary'!$B$2:$AB$826,20,FALSE)</f>
        <v>5.407</v>
      </c>
      <c r="AE459" s="97" t="str">
        <f>VLOOKUP(A459,'Parameters Summary'!$B$2:$AB$826,21,FALSE)</f>
        <v>EPI</v>
      </c>
      <c r="AF459" s="97"/>
      <c r="AG459" s="94"/>
      <c r="AH459" s="92"/>
      <c r="AI459" s="96"/>
      <c r="AJ459" s="330"/>
      <c r="AL459" s="81"/>
    </row>
    <row r="460" spans="1:38" ht="12.75" customHeight="1">
      <c r="A460" s="95" t="s">
        <v>67</v>
      </c>
      <c r="B460" s="96" t="s">
        <v>1220</v>
      </c>
      <c r="C460" s="96" t="str">
        <f t="shared" si="42"/>
        <v>Yes</v>
      </c>
      <c r="D460" s="96" t="str">
        <f>VLOOKUP(A460,'Tox Summary'!$O$3:$R$824,3,FALSE)</f>
        <v>Yes</v>
      </c>
      <c r="E460" s="97">
        <f>VLOOKUP(A460,'Parameters Summary'!$B$2:$AB$826,4,FALSE)</f>
        <v>32.042000000000002</v>
      </c>
      <c r="F460" s="97" t="str">
        <f>VLOOKUP(A460,'Parameters Summary'!$B$2:$AB$826,5,FALSE)</f>
        <v>PHYSPROP</v>
      </c>
      <c r="G460" s="93">
        <f>VLOOKUP(A460,'Parameters Summary'!$B$2:$AB$826,9,FALSE)</f>
        <v>127</v>
      </c>
      <c r="H460" s="93" t="str">
        <f>VLOOKUP(A460,'Parameters Summary'!$B$2:$AB$826,10,FALSE)</f>
        <v>PHYSPROP</v>
      </c>
      <c r="I460" s="93">
        <f>VLOOKUP(A460,'Parameters Summary'!$B$2:$AB$826,24,FALSE)</f>
        <v>1000000</v>
      </c>
      <c r="J460" s="97" t="str">
        <f>VLOOKUP(A460,'Parameters Summary'!$B$2:$AB$826,25,FALSE)</f>
        <v>PHYSPROP</v>
      </c>
      <c r="K460" s="97" t="str">
        <f>VLOOKUP(A460,'Tox Summary'!$O$3:$S$827,2,FALSE)</f>
        <v/>
      </c>
      <c r="L460" s="93">
        <f>VLOOKUP(A460,'Parameters Summary'!$B$2:$AB$826,7,FALSE)</f>
        <v>4.5499999999999996E-6</v>
      </c>
      <c r="M460" s="93" t="str">
        <f>VLOOKUP(A460,'Parameters Summary'!$B$2:$AB$826,8,FALSE)</f>
        <v>PHYSPROP</v>
      </c>
      <c r="N460" s="91">
        <f>VLOOKUP(A460,'Parameters Summary'!$B$2:$AB$826,6,FALSE)</f>
        <v>1.8599999999999999E-4</v>
      </c>
      <c r="O460" s="91">
        <f t="shared" ref="O460:O523" si="46">IF(OR(L460="No Hc25",Z460="No Tcrit",AB460="No DHv,b"),"",N460*EXP((-(AB460*((1-(Tgw+273)/Z460)/(1-X460/Z460))^(IF(X460/Z460&lt;0.57,0.3,IF(X460/Z460&gt;0.71,0.41,0.74*(X460/Z460)-0.116))))/1.9872)*(1/(Tgw+273)-1/298)))</f>
        <v>1.8599999999999999E-4</v>
      </c>
      <c r="P460" s="91">
        <f t="shared" si="43"/>
        <v>1.8599999999999999E-4</v>
      </c>
      <c r="Q460" s="91">
        <f t="shared" ref="Q460:Q523" si="47">IF(OR(L460="No Hc25",Z460="No Tcrit",AB460="No DHv,b"),"",N460*EXP((-(AB460*((1-(Tgw_GW+273)/Z460)/(1-X460/Z460))^(IF(X460/Z460&lt;0.57,0.3,IF(X460/Z460&gt;0.71,0.41,0.74*(X460/Z460)-0.116))))/1.9872)*(1/(Tgw_GW+273)-1/298)))</f>
        <v>1.8599999999999999E-4</v>
      </c>
      <c r="R460" s="91">
        <f t="shared" si="44"/>
        <v>1.8599999999999999E-4</v>
      </c>
      <c r="S460" s="91">
        <f t="shared" si="45"/>
        <v>218965920.92487815</v>
      </c>
      <c r="T460" s="93">
        <f>VLOOKUP(A460,'Parameters Summary'!$B$2:$AB$826,15,FALSE)</f>
        <v>0.1582741</v>
      </c>
      <c r="U460" s="93" t="str">
        <f>VLOOKUP(A460,'Parameters Summary'!$B$2:$AB$826,17,FALSE)</f>
        <v>WATER9 (U.S. EPA, 2001)</v>
      </c>
      <c r="V460" s="93">
        <f>VLOOKUP(A460,'Parameters Summary'!$B$2:$AB$826,16,FALSE)</f>
        <v>1.6500000000000001E-5</v>
      </c>
      <c r="W460" s="379" t="str">
        <f>VLOOKUP(A460,'Parameters Summary'!$B$2:$AB$826,17,FALSE)</f>
        <v>WATER9 (U.S. EPA, 2001)</v>
      </c>
      <c r="X460" s="290">
        <f>64.7+273.15</f>
        <v>337.84999999999997</v>
      </c>
      <c r="Y460" s="96" t="s">
        <v>553</v>
      </c>
      <c r="Z460" s="96">
        <f>240+273.15</f>
        <v>513.15</v>
      </c>
      <c r="AA460" s="96" t="s">
        <v>2218</v>
      </c>
      <c r="AB460" s="96">
        <f>37.34*238.846</f>
        <v>8918.5096400000002</v>
      </c>
      <c r="AC460" s="96" t="s">
        <v>2218</v>
      </c>
      <c r="AD460" s="93">
        <f>VLOOKUP(A460,'Parameters Summary'!$B$2:$AB$826,20,FALSE)</f>
        <v>1</v>
      </c>
      <c r="AE460" s="97" t="str">
        <f>VLOOKUP(A460,'Parameters Summary'!$B$2:$AB$826,21,FALSE)</f>
        <v>EPI</v>
      </c>
      <c r="AF460" s="380">
        <v>6</v>
      </c>
      <c r="AG460" s="97" t="s">
        <v>302</v>
      </c>
      <c r="AH460" s="92"/>
      <c r="AI460" s="96"/>
      <c r="AJ460" s="330"/>
      <c r="AL460" s="81"/>
    </row>
    <row r="461" spans="1:38" ht="12.75" customHeight="1">
      <c r="A461" s="96" t="s">
        <v>68</v>
      </c>
      <c r="B461" s="96" t="s">
        <v>1221</v>
      </c>
      <c r="C461" s="96" t="str">
        <f t="shared" ref="C461:C524" si="48">IF((COUNTIF(G461,"&gt;1")+COUNTIF(L461,"&gt;1E-5"))&gt;0,"Yes","No")</f>
        <v>No</v>
      </c>
      <c r="D461" s="96" t="str">
        <f>VLOOKUP(A461,'Tox Summary'!$O$3:$R$824,3,FALSE)</f>
        <v>Yes</v>
      </c>
      <c r="E461" s="97">
        <f>VLOOKUP(A461,'Parameters Summary'!$B$2:$AB$826,4,FALSE)</f>
        <v>302.33</v>
      </c>
      <c r="F461" s="97" t="str">
        <f>VLOOKUP(A461,'Parameters Summary'!$B$2:$AB$826,5,FALSE)</f>
        <v>PHYSPROP</v>
      </c>
      <c r="G461" s="93">
        <f>VLOOKUP(A461,'Parameters Summary'!$B$2:$AB$826,9,FALSE)</f>
        <v>3.3699999999999999E-6</v>
      </c>
      <c r="H461" s="93" t="str">
        <f>VLOOKUP(A461,'Parameters Summary'!$B$2:$AB$826,10,FALSE)</f>
        <v>PHYSPROP</v>
      </c>
      <c r="I461" s="93">
        <f>VLOOKUP(A461,'Parameters Summary'!$B$2:$AB$826,24,FALSE)</f>
        <v>187</v>
      </c>
      <c r="J461" s="97" t="str">
        <f>VLOOKUP(A461,'Parameters Summary'!$B$2:$AB$826,25,FALSE)</f>
        <v>PHYSPROP</v>
      </c>
      <c r="K461" s="97" t="str">
        <f>VLOOKUP(A461,'Tox Summary'!$O$3:$S$827,2,FALSE)</f>
        <v/>
      </c>
      <c r="L461" s="93">
        <f>VLOOKUP(A461,'Parameters Summary'!$B$2:$AB$826,7,FALSE)</f>
        <v>7.1699999999999998E-9</v>
      </c>
      <c r="M461" s="93" t="str">
        <f>VLOOKUP(A461,'Parameters Summary'!$B$2:$AB$826,8,FALSE)</f>
        <v>EPI</v>
      </c>
      <c r="N461" s="91">
        <f>VLOOKUP(A461,'Parameters Summary'!$B$2:$AB$826,6,FALSE)</f>
        <v>2.9312999999999998E-7</v>
      </c>
      <c r="O461" s="91" t="str">
        <f t="shared" si="46"/>
        <v/>
      </c>
      <c r="P461" s="91">
        <f t="shared" ref="P461:P524" si="49">IF(O461="",N461,O461)</f>
        <v>2.9312999999999998E-7</v>
      </c>
      <c r="Q461" s="91" t="str">
        <f t="shared" si="47"/>
        <v/>
      </c>
      <c r="R461" s="91">
        <f t="shared" ref="R461:R524" si="50">IF(Q461="",P461,Q461)</f>
        <v>2.9312999999999998E-7</v>
      </c>
      <c r="S461" s="91" t="str">
        <f t="shared" si="45"/>
        <v/>
      </c>
      <c r="T461" s="93">
        <f>VLOOKUP(A461,'Parameters Summary'!$B$2:$AB$826,15,FALSE)</f>
        <v>4.2179300000000003E-2</v>
      </c>
      <c r="U461" s="93" t="str">
        <f>VLOOKUP(A461,'Parameters Summary'!$B$2:$AB$826,17,FALSE)</f>
        <v>WATER9 (U.S. EPA, 2001)</v>
      </c>
      <c r="V461" s="93">
        <f>VLOOKUP(A461,'Parameters Summary'!$B$2:$AB$826,16,FALSE)</f>
        <v>4.9282999999999999E-6</v>
      </c>
      <c r="W461" s="379" t="str">
        <f>VLOOKUP(A461,'Parameters Summary'!$B$2:$AB$826,17,FALSE)</f>
        <v>WATER9 (U.S. EPA, 2001)</v>
      </c>
      <c r="X461" s="347"/>
      <c r="Y461" s="96"/>
      <c r="Z461" s="96" t="s">
        <v>1653</v>
      </c>
      <c r="AA461" s="96"/>
      <c r="AB461" s="96" t="s">
        <v>1651</v>
      </c>
      <c r="AC461" s="96"/>
      <c r="AD461" s="93">
        <f>VLOOKUP(A461,'Parameters Summary'!$B$2:$AB$826,20,FALSE)</f>
        <v>21.24</v>
      </c>
      <c r="AE461" s="97" t="str">
        <f>VLOOKUP(A461,'Parameters Summary'!$B$2:$AB$826,21,FALSE)</f>
        <v>EPI</v>
      </c>
      <c r="AF461" s="97"/>
      <c r="AG461" s="94"/>
      <c r="AH461" s="92"/>
      <c r="AI461" s="96"/>
      <c r="AJ461" s="330"/>
      <c r="AL461" s="81"/>
    </row>
    <row r="462" spans="1:38" ht="12.75" customHeight="1">
      <c r="A462" s="96" t="s">
        <v>69</v>
      </c>
      <c r="B462" s="96" t="s">
        <v>1222</v>
      </c>
      <c r="C462" s="96" t="str">
        <f t="shared" si="48"/>
        <v>No</v>
      </c>
      <c r="D462" s="96" t="str">
        <f>VLOOKUP(A462,'Tox Summary'!$O$3:$R$824,3,FALSE)</f>
        <v>Yes</v>
      </c>
      <c r="E462" s="97">
        <f>VLOOKUP(A462,'Parameters Summary'!$B$2:$AB$826,4,FALSE)</f>
        <v>162.21</v>
      </c>
      <c r="F462" s="97" t="str">
        <f>VLOOKUP(A462,'Parameters Summary'!$B$2:$AB$826,5,FALSE)</f>
        <v>PHYSPROP</v>
      </c>
      <c r="G462" s="93">
        <f>VLOOKUP(A462,'Parameters Summary'!$B$2:$AB$826,9,FALSE)</f>
        <v>5.4E-6</v>
      </c>
      <c r="H462" s="93" t="str">
        <f>VLOOKUP(A462,'Parameters Summary'!$B$2:$AB$826,10,FALSE)</f>
        <v>PHYSPROP</v>
      </c>
      <c r="I462" s="93">
        <f>VLOOKUP(A462,'Parameters Summary'!$B$2:$AB$826,24,FALSE)</f>
        <v>58000</v>
      </c>
      <c r="J462" s="97" t="str">
        <f>VLOOKUP(A462,'Parameters Summary'!$B$2:$AB$826,25,FALSE)</f>
        <v>PHYSPROP</v>
      </c>
      <c r="K462" s="97" t="str">
        <f>VLOOKUP(A462,'Tox Summary'!$O$3:$S$827,2,FALSE)</f>
        <v/>
      </c>
      <c r="L462" s="93">
        <f>VLOOKUP(A462,'Parameters Summary'!$B$2:$AB$826,7,FALSE)</f>
        <v>1.97E-11</v>
      </c>
      <c r="M462" s="93" t="str">
        <f>VLOOKUP(A462,'Parameters Summary'!$B$2:$AB$826,8,FALSE)</f>
        <v>EPI</v>
      </c>
      <c r="N462" s="91">
        <f>VLOOKUP(A462,'Parameters Summary'!$B$2:$AB$826,6,FALSE)</f>
        <v>8.0540000000000003E-10</v>
      </c>
      <c r="O462" s="91" t="str">
        <f t="shared" si="46"/>
        <v/>
      </c>
      <c r="P462" s="91">
        <f t="shared" si="49"/>
        <v>8.0540000000000003E-10</v>
      </c>
      <c r="Q462" s="91" t="str">
        <f t="shared" si="47"/>
        <v/>
      </c>
      <c r="R462" s="91">
        <f t="shared" si="50"/>
        <v>8.0540000000000003E-10</v>
      </c>
      <c r="S462" s="91" t="str">
        <f t="shared" si="45"/>
        <v/>
      </c>
      <c r="T462" s="93">
        <f>VLOOKUP(A462,'Parameters Summary'!$B$2:$AB$826,15,FALSE)</f>
        <v>4.759E-2</v>
      </c>
      <c r="U462" s="93" t="str">
        <f>VLOOKUP(A462,'Parameters Summary'!$B$2:$AB$826,17,FALSE)</f>
        <v>WATER9 (U.S. EPA, 2001)</v>
      </c>
      <c r="V462" s="93">
        <f>VLOOKUP(A462,'Parameters Summary'!$B$2:$AB$826,16,FALSE)</f>
        <v>8.3658000000000004E-6</v>
      </c>
      <c r="W462" s="379" t="str">
        <f>VLOOKUP(A462,'Parameters Summary'!$B$2:$AB$826,17,FALSE)</f>
        <v>WATER9 (U.S. EPA, 2001)</v>
      </c>
      <c r="X462" s="347"/>
      <c r="Y462" s="96"/>
      <c r="Z462" s="96" t="s">
        <v>1653</v>
      </c>
      <c r="AA462" s="96"/>
      <c r="AB462" s="96" t="s">
        <v>1651</v>
      </c>
      <c r="AC462" s="96"/>
      <c r="AD462" s="93">
        <f>VLOOKUP(A462,'Parameters Summary'!$B$2:$AB$826,20,FALSE)</f>
        <v>10</v>
      </c>
      <c r="AE462" s="97" t="str">
        <f>VLOOKUP(A462,'Parameters Summary'!$B$2:$AB$826,21,FALSE)</f>
        <v>EPI</v>
      </c>
      <c r="AF462" s="97"/>
      <c r="AG462" s="94"/>
      <c r="AH462" s="92"/>
      <c r="AI462" s="96"/>
      <c r="AJ462" s="330"/>
      <c r="AL462" s="81"/>
    </row>
    <row r="463" spans="1:38" ht="12.75" customHeight="1">
      <c r="A463" s="96" t="s">
        <v>70</v>
      </c>
      <c r="B463" s="96" t="s">
        <v>1223</v>
      </c>
      <c r="C463" s="96" t="str">
        <f t="shared" si="48"/>
        <v>No</v>
      </c>
      <c r="D463" s="96" t="str">
        <f>VLOOKUP(A463,'Tox Summary'!$O$3:$R$824,3,FALSE)</f>
        <v>Yes</v>
      </c>
      <c r="E463" s="97">
        <f>VLOOKUP(A463,'Parameters Summary'!$B$2:$AB$826,4,FALSE)</f>
        <v>168.15</v>
      </c>
      <c r="F463" s="97" t="str">
        <f>VLOOKUP(A463,'Parameters Summary'!$B$2:$AB$826,5,FALSE)</f>
        <v>PHYSPROP</v>
      </c>
      <c r="G463" s="93">
        <f>VLOOKUP(A463,'Parameters Summary'!$B$2:$AB$826,9,FALSE)</f>
        <v>3.19E-4</v>
      </c>
      <c r="H463" s="93" t="str">
        <f>VLOOKUP(A463,'Parameters Summary'!$B$2:$AB$826,10,FALSE)</f>
        <v>PHYSPROP</v>
      </c>
      <c r="I463" s="93">
        <f>VLOOKUP(A463,'Parameters Summary'!$B$2:$AB$826,24,FALSE)</f>
        <v>115</v>
      </c>
      <c r="J463" s="97" t="str">
        <f>VLOOKUP(A463,'Parameters Summary'!$B$2:$AB$826,25,FALSE)</f>
        <v>PHYSPROP</v>
      </c>
      <c r="K463" s="97" t="str">
        <f>VLOOKUP(A463,'Tox Summary'!$O$3:$S$827,2,FALSE)</f>
        <v/>
      </c>
      <c r="L463" s="93">
        <f>VLOOKUP(A463,'Parameters Summary'!$B$2:$AB$826,7,FALSE)</f>
        <v>1.2499999999999999E-8</v>
      </c>
      <c r="M463" s="93" t="str">
        <f>VLOOKUP(A463,'Parameters Summary'!$B$2:$AB$826,8,FALSE)</f>
        <v>PHYSPROP</v>
      </c>
      <c r="N463" s="91">
        <f>VLOOKUP(A463,'Parameters Summary'!$B$2:$AB$826,6,FALSE)</f>
        <v>5.1104E-7</v>
      </c>
      <c r="O463" s="91" t="str">
        <f t="shared" si="46"/>
        <v/>
      </c>
      <c r="P463" s="91">
        <f t="shared" si="49"/>
        <v>5.1104E-7</v>
      </c>
      <c r="Q463" s="91" t="str">
        <f t="shared" si="47"/>
        <v/>
      </c>
      <c r="R463" s="91">
        <f t="shared" si="50"/>
        <v>5.1104E-7</v>
      </c>
      <c r="S463" s="91" t="str">
        <f t="shared" ref="S463:S526" si="51">IF(OR(G463="No VP",Z463="No Tcrit",AB463="No DHv,b",L463="No Hc25"),"",G463*E463*53808.7856452378*O463/N463)</f>
        <v/>
      </c>
      <c r="T463" s="93">
        <f>VLOOKUP(A463,'Parameters Summary'!$B$2:$AB$826,15,FALSE)</f>
        <v>4.3046300000000003E-2</v>
      </c>
      <c r="U463" s="93" t="str">
        <f>VLOOKUP(A463,'Parameters Summary'!$B$2:$AB$826,17,FALSE)</f>
        <v>WATER9 (U.S. EPA, 2001)</v>
      </c>
      <c r="V463" s="93">
        <f>VLOOKUP(A463,'Parameters Summary'!$B$2:$AB$826,16,FALSE)</f>
        <v>7.8493999999999998E-6</v>
      </c>
      <c r="W463" s="379" t="str">
        <f>VLOOKUP(A463,'Parameters Summary'!$B$2:$AB$826,17,FALSE)</f>
        <v>WATER9 (U.S. EPA, 2001)</v>
      </c>
      <c r="X463" s="347"/>
      <c r="Y463" s="96"/>
      <c r="Z463" s="96" t="s">
        <v>1653</v>
      </c>
      <c r="AA463" s="96"/>
      <c r="AB463" s="96" t="s">
        <v>1651</v>
      </c>
      <c r="AC463" s="96"/>
      <c r="AD463" s="93">
        <f>VLOOKUP(A463,'Parameters Summary'!$B$2:$AB$826,20,FALSE)</f>
        <v>71.31</v>
      </c>
      <c r="AE463" s="97" t="str">
        <f>VLOOKUP(A463,'Parameters Summary'!$B$2:$AB$826,21,FALSE)</f>
        <v>EPI</v>
      </c>
      <c r="AF463" s="97"/>
      <c r="AG463" s="94"/>
      <c r="AH463" s="92"/>
      <c r="AI463" s="96"/>
      <c r="AJ463" s="330"/>
      <c r="AL463" s="81"/>
    </row>
    <row r="464" spans="1:38" ht="12.75" customHeight="1">
      <c r="A464" s="96" t="s">
        <v>71</v>
      </c>
      <c r="B464" s="96" t="s">
        <v>387</v>
      </c>
      <c r="C464" s="96" t="str">
        <f t="shared" si="48"/>
        <v>No</v>
      </c>
      <c r="D464" s="96" t="str">
        <f>VLOOKUP(A464,'Tox Summary'!$O$3:$R$824,3,FALSE)</f>
        <v>Yes</v>
      </c>
      <c r="E464" s="97">
        <f>VLOOKUP(A464,'Parameters Summary'!$B$2:$AB$826,4,FALSE)</f>
        <v>345.66</v>
      </c>
      <c r="F464" s="97" t="str">
        <f>VLOOKUP(A464,'Parameters Summary'!$B$2:$AB$826,5,FALSE)</f>
        <v>PHYSPROP</v>
      </c>
      <c r="G464" s="93">
        <f>VLOOKUP(A464,'Parameters Summary'!$B$2:$AB$826,9,FALSE)</f>
        <v>2.5799999999999999E-6</v>
      </c>
      <c r="H464" s="93" t="str">
        <f>VLOOKUP(A464,'Parameters Summary'!$B$2:$AB$826,10,FALSE)</f>
        <v>PHYSPROP</v>
      </c>
      <c r="I464" s="93">
        <f>VLOOKUP(A464,'Parameters Summary'!$B$2:$AB$826,24,FALSE)</f>
        <v>0.1</v>
      </c>
      <c r="J464" s="97" t="str">
        <f>VLOOKUP(A464,'Parameters Summary'!$B$2:$AB$826,25,FALSE)</f>
        <v>PHYSPROP</v>
      </c>
      <c r="K464" s="97">
        <f>VLOOKUP(A464,'Tox Summary'!$O$3:$S$827,2,FALSE)</f>
        <v>40</v>
      </c>
      <c r="L464" s="93">
        <f>VLOOKUP(A464,'Parameters Summary'!$B$2:$AB$826,7,FALSE)</f>
        <v>2.03E-7</v>
      </c>
      <c r="M464" s="93" t="str">
        <f>VLOOKUP(A464,'Parameters Summary'!$B$2:$AB$826,8,FALSE)</f>
        <v>PHYSPROP</v>
      </c>
      <c r="N464" s="91">
        <f>VLOOKUP(A464,'Parameters Summary'!$B$2:$AB$826,6,FALSE)</f>
        <v>8.2993000000000003E-6</v>
      </c>
      <c r="O464" s="91" t="str">
        <f t="shared" si="46"/>
        <v/>
      </c>
      <c r="P464" s="91">
        <f t="shared" si="49"/>
        <v>8.2993000000000003E-6</v>
      </c>
      <c r="Q464" s="91" t="str">
        <f t="shared" si="47"/>
        <v/>
      </c>
      <c r="R464" s="91">
        <f t="shared" si="50"/>
        <v>8.2993000000000003E-6</v>
      </c>
      <c r="S464" s="91" t="str">
        <f t="shared" si="51"/>
        <v/>
      </c>
      <c r="T464" s="93">
        <f>VLOOKUP(A464,'Parameters Summary'!$B$2:$AB$826,15,FALSE)</f>
        <v>2.2084900000000001E-2</v>
      </c>
      <c r="U464" s="93" t="str">
        <f>VLOOKUP(A464,'Parameters Summary'!$B$2:$AB$826,17,FALSE)</f>
        <v>WATER9 (U.S. EPA, 2001)</v>
      </c>
      <c r="V464" s="93">
        <f>VLOOKUP(A464,'Parameters Summary'!$B$2:$AB$826,16,FALSE)</f>
        <v>5.5925999999999996E-6</v>
      </c>
      <c r="W464" s="379" t="str">
        <f>VLOOKUP(A464,'Parameters Summary'!$B$2:$AB$826,17,FALSE)</f>
        <v>WATER9 (U.S. EPA, 2001)</v>
      </c>
      <c r="X464" s="290">
        <v>619.15</v>
      </c>
      <c r="Y464" s="96" t="s">
        <v>553</v>
      </c>
      <c r="Z464" s="96" t="s">
        <v>1653</v>
      </c>
      <c r="AA464" s="96"/>
      <c r="AB464" s="96" t="s">
        <v>1651</v>
      </c>
      <c r="AC464" s="96"/>
      <c r="AD464" s="93">
        <f>VLOOKUP(A464,'Parameters Summary'!$B$2:$AB$826,20,FALSE)</f>
        <v>26890</v>
      </c>
      <c r="AE464" s="97" t="str">
        <f>VLOOKUP(A464,'Parameters Summary'!$B$2:$AB$826,21,FALSE)</f>
        <v>EPI</v>
      </c>
      <c r="AF464" s="97"/>
      <c r="AG464" s="94"/>
      <c r="AH464" s="92"/>
      <c r="AI464" s="96"/>
      <c r="AJ464" s="330"/>
      <c r="AL464" s="81"/>
    </row>
    <row r="465" spans="1:38" ht="12.75" customHeight="1">
      <c r="A465" s="95" t="s">
        <v>72</v>
      </c>
      <c r="B465" s="96" t="s">
        <v>1224</v>
      </c>
      <c r="C465" s="96" t="str">
        <f t="shared" si="48"/>
        <v>Yes</v>
      </c>
      <c r="D465" s="96" t="str">
        <f>VLOOKUP(A465,'Tox Summary'!$O$3:$R$824,3,FALSE)</f>
        <v>Yes</v>
      </c>
      <c r="E465" s="97">
        <f>VLOOKUP(A465,'Parameters Summary'!$B$2:$AB$826,4,FALSE)</f>
        <v>118.13</v>
      </c>
      <c r="F465" s="97" t="str">
        <f>VLOOKUP(A465,'Parameters Summary'!$B$2:$AB$826,5,FALSE)</f>
        <v>PHYSPROP</v>
      </c>
      <c r="G465" s="93">
        <f>VLOOKUP(A465,'Parameters Summary'!$B$2:$AB$826,9,FALSE)</f>
        <v>7</v>
      </c>
      <c r="H465" s="93" t="str">
        <f>VLOOKUP(A465,'Parameters Summary'!$B$2:$AB$826,10,FALSE)</f>
        <v>PHYSPROP</v>
      </c>
      <c r="I465" s="93">
        <f>VLOOKUP(A465,'Parameters Summary'!$B$2:$AB$826,24,FALSE)</f>
        <v>1000000</v>
      </c>
      <c r="J465" s="97" t="str">
        <f>VLOOKUP(A465,'Parameters Summary'!$B$2:$AB$826,25,FALSE)</f>
        <v>PHYSPROP</v>
      </c>
      <c r="K465" s="97" t="str">
        <f>VLOOKUP(A465,'Tox Summary'!$O$3:$S$827,2,FALSE)</f>
        <v/>
      </c>
      <c r="L465" s="93">
        <f>VLOOKUP(A465,'Parameters Summary'!$B$2:$AB$826,7,FALSE)</f>
        <v>3.1100000000000002E-7</v>
      </c>
      <c r="M465" s="93" t="str">
        <f>VLOOKUP(A465,'Parameters Summary'!$B$2:$AB$826,8,FALSE)</f>
        <v>EPI</v>
      </c>
      <c r="N465" s="91">
        <f>VLOOKUP(A465,'Parameters Summary'!$B$2:$AB$826,6,FALSE)</f>
        <v>1.27E-5</v>
      </c>
      <c r="O465" s="91">
        <f t="shared" si="46"/>
        <v>1.27E-5</v>
      </c>
      <c r="P465" s="91">
        <f t="shared" si="49"/>
        <v>1.27E-5</v>
      </c>
      <c r="Q465" s="91">
        <f t="shared" si="47"/>
        <v>1.27E-5</v>
      </c>
      <c r="R465" s="91">
        <f t="shared" si="50"/>
        <v>1.27E-5</v>
      </c>
      <c r="S465" s="91">
        <f t="shared" si="51"/>
        <v>44495022.937903591</v>
      </c>
      <c r="T465" s="93">
        <f>VLOOKUP(A465,'Parameters Summary'!$B$2:$AB$826,15,FALSE)</f>
        <v>6.5834699999999996E-2</v>
      </c>
      <c r="U465" s="93" t="str">
        <f>VLOOKUP(A465,'Parameters Summary'!$B$2:$AB$826,17,FALSE)</f>
        <v>WATER9 (U.S. EPA, 2001)</v>
      </c>
      <c r="V465" s="93">
        <f>VLOOKUP(A465,'Parameters Summary'!$B$2:$AB$826,16,FALSE)</f>
        <v>8.7051999999999993E-6</v>
      </c>
      <c r="W465" s="379" t="str">
        <f>VLOOKUP(A465,'Parameters Summary'!$B$2:$AB$826,17,FALSE)</f>
        <v>WATER9 (U.S. EPA, 2001)</v>
      </c>
      <c r="X465" s="290">
        <f>143+273.15</f>
        <v>416.15</v>
      </c>
      <c r="Y465" s="96" t="s">
        <v>553</v>
      </c>
      <c r="Z465" s="96">
        <f>1.5*X465</f>
        <v>624.22499999999991</v>
      </c>
      <c r="AA465" s="96" t="s">
        <v>2220</v>
      </c>
      <c r="AB465" s="96">
        <f>43.9*238.846</f>
        <v>10485.339399999999</v>
      </c>
      <c r="AC465" s="96" t="s">
        <v>2218</v>
      </c>
      <c r="AD465" s="93">
        <f>VLOOKUP(A465,'Parameters Summary'!$B$2:$AB$826,20,FALSE)</f>
        <v>2.492</v>
      </c>
      <c r="AE465" s="97" t="str">
        <f>VLOOKUP(A465,'Parameters Summary'!$B$2:$AB$826,21,FALSE)</f>
        <v>EPI</v>
      </c>
      <c r="AF465" s="380">
        <v>1.7</v>
      </c>
      <c r="AG465" s="97" t="s">
        <v>302</v>
      </c>
      <c r="AH465" s="92"/>
      <c r="AI465" s="96"/>
      <c r="AJ465" s="330"/>
      <c r="AL465" s="81"/>
    </row>
    <row r="466" spans="1:38" ht="12.75" customHeight="1">
      <c r="A466" s="95" t="s">
        <v>73</v>
      </c>
      <c r="B466" s="96" t="s">
        <v>1225</v>
      </c>
      <c r="C466" s="96" t="str">
        <f t="shared" si="48"/>
        <v>Yes</v>
      </c>
      <c r="D466" s="96" t="str">
        <f>VLOOKUP(A466,'Tox Summary'!$O$3:$R$824,3,FALSE)</f>
        <v>No</v>
      </c>
      <c r="E466" s="97">
        <f>VLOOKUP(A466,'Parameters Summary'!$B$2:$AB$826,4,FALSE)</f>
        <v>76.096000000000004</v>
      </c>
      <c r="F466" s="97" t="str">
        <f>VLOOKUP(A466,'Parameters Summary'!$B$2:$AB$826,5,FALSE)</f>
        <v>PHYSPROP</v>
      </c>
      <c r="G466" s="93">
        <f>VLOOKUP(A466,'Parameters Summary'!$B$2:$AB$826,9,FALSE)</f>
        <v>9.5</v>
      </c>
      <c r="H466" s="93" t="str">
        <f>VLOOKUP(A466,'Parameters Summary'!$B$2:$AB$826,10,FALSE)</f>
        <v>PHYSPROP</v>
      </c>
      <c r="I466" s="93">
        <f>VLOOKUP(A466,'Parameters Summary'!$B$2:$AB$826,24,FALSE)</f>
        <v>1000000</v>
      </c>
      <c r="J466" s="97" t="str">
        <f>VLOOKUP(A466,'Parameters Summary'!$B$2:$AB$826,25,FALSE)</f>
        <v>PHYSPROP</v>
      </c>
      <c r="K466" s="97" t="str">
        <f>VLOOKUP(A466,'Tox Summary'!$O$3:$S$827,2,FALSE)</f>
        <v/>
      </c>
      <c r="L466" s="93">
        <f>VLOOKUP(A466,'Parameters Summary'!$B$2:$AB$826,7,FALSE)</f>
        <v>3.3000000000000002E-7</v>
      </c>
      <c r="M466" s="93" t="str">
        <f>VLOOKUP(A466,'Parameters Summary'!$B$2:$AB$826,8,FALSE)</f>
        <v>PHYSPROP</v>
      </c>
      <c r="N466" s="91">
        <f>VLOOKUP(A466,'Parameters Summary'!$B$2:$AB$826,6,FALSE)</f>
        <v>1.3499999999999999E-5</v>
      </c>
      <c r="O466" s="91">
        <f t="shared" si="46"/>
        <v>1.3499999999999999E-5</v>
      </c>
      <c r="P466" s="91">
        <f t="shared" si="49"/>
        <v>1.3499999999999999E-5</v>
      </c>
      <c r="Q466" s="91">
        <f t="shared" si="47"/>
        <v>1.3499999999999999E-5</v>
      </c>
      <c r="R466" s="91">
        <f t="shared" si="50"/>
        <v>1.3499999999999999E-5</v>
      </c>
      <c r="S466" s="91">
        <f t="shared" si="51"/>
        <v>38899016.84837015</v>
      </c>
      <c r="T466" s="93">
        <f>VLOOKUP(A466,'Parameters Summary'!$B$2:$AB$826,15,FALSE)</f>
        <v>9.5155699999999996E-2</v>
      </c>
      <c r="U466" s="93" t="str">
        <f>VLOOKUP(A466,'Parameters Summary'!$B$2:$AB$826,17,FALSE)</f>
        <v>WATER9 (U.S. EPA, 2001)</v>
      </c>
      <c r="V466" s="93">
        <f>VLOOKUP(A466,'Parameters Summary'!$B$2:$AB$826,16,FALSE)</f>
        <v>1.1E-5</v>
      </c>
      <c r="W466" s="379" t="str">
        <f>VLOOKUP(A466,'Parameters Summary'!$B$2:$AB$826,17,FALSE)</f>
        <v>WATER9 (U.S. EPA, 2001)</v>
      </c>
      <c r="X466" s="290">
        <f>124.1+273.15</f>
        <v>397.25</v>
      </c>
      <c r="Y466" s="96" t="s">
        <v>553</v>
      </c>
      <c r="Z466" s="96">
        <v>597.6</v>
      </c>
      <c r="AA466" s="96" t="s">
        <v>2215</v>
      </c>
      <c r="AB466" s="96">
        <f>37.54*238.846</f>
        <v>8966.278839999999</v>
      </c>
      <c r="AC466" s="96" t="s">
        <v>2218</v>
      </c>
      <c r="AD466" s="93">
        <f>VLOOKUP(A466,'Parameters Summary'!$B$2:$AB$826,20,FALSE)</f>
        <v>1</v>
      </c>
      <c r="AE466" s="97" t="str">
        <f>VLOOKUP(A466,'Parameters Summary'!$B$2:$AB$826,21,FALSE)</f>
        <v>EPI</v>
      </c>
      <c r="AF466" s="380">
        <v>1.8</v>
      </c>
      <c r="AG466" s="97" t="s">
        <v>302</v>
      </c>
      <c r="AH466" s="92"/>
      <c r="AI466" s="96"/>
      <c r="AJ466" s="330"/>
      <c r="AL466" s="81"/>
    </row>
    <row r="467" spans="1:38" ht="12.75" customHeight="1">
      <c r="A467" s="95" t="s">
        <v>74</v>
      </c>
      <c r="B467" s="96" t="s">
        <v>1226</v>
      </c>
      <c r="C467" s="96" t="str">
        <f t="shared" si="48"/>
        <v>Yes</v>
      </c>
      <c r="D467" s="96" t="str">
        <f>VLOOKUP(A467,'Tox Summary'!$O$3:$R$824,3,FALSE)</f>
        <v>No</v>
      </c>
      <c r="E467" s="97">
        <f>VLOOKUP(A467,'Parameters Summary'!$B$2:$AB$826,4,FALSE)</f>
        <v>74.08</v>
      </c>
      <c r="F467" s="97" t="str">
        <f>VLOOKUP(A467,'Parameters Summary'!$B$2:$AB$826,5,FALSE)</f>
        <v>PHYSPROP</v>
      </c>
      <c r="G467" s="93">
        <f>VLOOKUP(A467,'Parameters Summary'!$B$2:$AB$826,9,FALSE)</f>
        <v>216.2</v>
      </c>
      <c r="H467" s="93" t="str">
        <f>VLOOKUP(A467,'Parameters Summary'!$B$2:$AB$826,10,FALSE)</f>
        <v>PHYSPROP</v>
      </c>
      <c r="I467" s="93">
        <f>VLOOKUP(A467,'Parameters Summary'!$B$2:$AB$826,24,FALSE)</f>
        <v>243000</v>
      </c>
      <c r="J467" s="97" t="str">
        <f>VLOOKUP(A467,'Parameters Summary'!$B$2:$AB$826,25,FALSE)</f>
        <v>PHYSPROP</v>
      </c>
      <c r="K467" s="97" t="str">
        <f>VLOOKUP(A467,'Tox Summary'!$O$3:$S$827,2,FALSE)</f>
        <v/>
      </c>
      <c r="L467" s="93">
        <f>VLOOKUP(A467,'Parameters Summary'!$B$2:$AB$826,7,FALSE)</f>
        <v>1.15E-4</v>
      </c>
      <c r="M467" s="93" t="str">
        <f>VLOOKUP(A467,'Parameters Summary'!$B$2:$AB$826,8,FALSE)</f>
        <v>PHYSPROP</v>
      </c>
      <c r="N467" s="91">
        <f>VLOOKUP(A467,'Parameters Summary'!$B$2:$AB$826,6,FALSE)</f>
        <v>4.7016000000000002E-3</v>
      </c>
      <c r="O467" s="91">
        <f t="shared" si="46"/>
        <v>4.7016000000000002E-3</v>
      </c>
      <c r="P467" s="91">
        <f t="shared" si="49"/>
        <v>4.7016000000000002E-3</v>
      </c>
      <c r="Q467" s="91">
        <f t="shared" si="47"/>
        <v>4.7016000000000002E-3</v>
      </c>
      <c r="R467" s="91">
        <f t="shared" si="50"/>
        <v>4.7016000000000002E-3</v>
      </c>
      <c r="S467" s="91">
        <f t="shared" si="51"/>
        <v>861806676.53755045</v>
      </c>
      <c r="T467" s="93">
        <f>VLOOKUP(A467,'Parameters Summary'!$B$2:$AB$826,15,FALSE)</f>
        <v>9.5776299999999995E-2</v>
      </c>
      <c r="U467" s="93" t="str">
        <f>VLOOKUP(A467,'Parameters Summary'!$B$2:$AB$826,17,FALSE)</f>
        <v>WATER9 (U.S. EPA, 2001)</v>
      </c>
      <c r="V467" s="93">
        <f>VLOOKUP(A467,'Parameters Summary'!$B$2:$AB$826,16,FALSE)</f>
        <v>1.1E-5</v>
      </c>
      <c r="W467" s="379" t="str">
        <f>VLOOKUP(A467,'Parameters Summary'!$B$2:$AB$826,17,FALSE)</f>
        <v>WATER9 (U.S. EPA, 2001)</v>
      </c>
      <c r="X467" s="290">
        <v>365</v>
      </c>
      <c r="Y467" s="96" t="s">
        <v>553</v>
      </c>
      <c r="Z467" s="96">
        <v>506.7</v>
      </c>
      <c r="AA467" s="96" t="s">
        <v>2215</v>
      </c>
      <c r="AB467" s="96">
        <v>7260.0790999999999</v>
      </c>
      <c r="AC467" s="96" t="s">
        <v>2215</v>
      </c>
      <c r="AD467" s="93">
        <f>VLOOKUP(A467,'Parameters Summary'!$B$2:$AB$826,20,FALSE)</f>
        <v>3.0640000000000001</v>
      </c>
      <c r="AE467" s="97" t="str">
        <f>VLOOKUP(A467,'Parameters Summary'!$B$2:$AB$826,21,FALSE)</f>
        <v>EPI</v>
      </c>
      <c r="AF467" s="380">
        <v>3.1</v>
      </c>
      <c r="AG467" s="97" t="s">
        <v>302</v>
      </c>
      <c r="AH467" s="92"/>
      <c r="AI467" s="96"/>
      <c r="AJ467" s="330"/>
      <c r="AL467" s="81"/>
    </row>
    <row r="468" spans="1:38" ht="12.75" customHeight="1">
      <c r="A468" s="95" t="s">
        <v>75</v>
      </c>
      <c r="B468" s="96" t="s">
        <v>1227</v>
      </c>
      <c r="C468" s="96" t="str">
        <f t="shared" si="48"/>
        <v>Yes</v>
      </c>
      <c r="D468" s="96" t="str">
        <f>VLOOKUP(A468,'Tox Summary'!$O$3:$R$824,3,FALSE)</f>
        <v>Yes</v>
      </c>
      <c r="E468" s="97">
        <f>VLOOKUP(A468,'Parameters Summary'!$B$2:$AB$826,4,FALSE)</f>
        <v>86.090999999999994</v>
      </c>
      <c r="F468" s="97" t="str">
        <f>VLOOKUP(A468,'Parameters Summary'!$B$2:$AB$826,5,FALSE)</f>
        <v>PHYSPROP</v>
      </c>
      <c r="G468" s="93">
        <f>VLOOKUP(A468,'Parameters Summary'!$B$2:$AB$826,9,FALSE)</f>
        <v>86.56</v>
      </c>
      <c r="H468" s="93" t="str">
        <f>VLOOKUP(A468,'Parameters Summary'!$B$2:$AB$826,10,FALSE)</f>
        <v>PHYSPROP</v>
      </c>
      <c r="I468" s="93">
        <f>VLOOKUP(A468,'Parameters Summary'!$B$2:$AB$826,24,FALSE)</f>
        <v>49400</v>
      </c>
      <c r="J468" s="97" t="str">
        <f>VLOOKUP(A468,'Parameters Summary'!$B$2:$AB$826,25,FALSE)</f>
        <v>PHYSPROP</v>
      </c>
      <c r="K468" s="97" t="str">
        <f>VLOOKUP(A468,'Tox Summary'!$O$3:$S$827,2,FALSE)</f>
        <v/>
      </c>
      <c r="L468" s="93">
        <f>VLOOKUP(A468,'Parameters Summary'!$B$2:$AB$826,7,FALSE)</f>
        <v>1.9900000000000001E-4</v>
      </c>
      <c r="M468" s="93" t="str">
        <f>VLOOKUP(A468,'Parameters Summary'!$B$2:$AB$826,8,FALSE)</f>
        <v>EPI</v>
      </c>
      <c r="N468" s="91">
        <f>VLOOKUP(A468,'Parameters Summary'!$B$2:$AB$826,6,FALSE)</f>
        <v>8.1356999999999992E-3</v>
      </c>
      <c r="O468" s="91">
        <f t="shared" si="46"/>
        <v>8.1356999999999992E-3</v>
      </c>
      <c r="P468" s="91">
        <f t="shared" si="49"/>
        <v>8.1356999999999992E-3</v>
      </c>
      <c r="Q468" s="91">
        <f t="shared" si="47"/>
        <v>8.1356999999999992E-3</v>
      </c>
      <c r="R468" s="91">
        <f t="shared" si="50"/>
        <v>8.1356999999999992E-3</v>
      </c>
      <c r="S468" s="91">
        <f t="shared" si="51"/>
        <v>400985059.40102947</v>
      </c>
      <c r="T468" s="93">
        <f>VLOOKUP(A468,'Parameters Summary'!$B$2:$AB$826,15,FALSE)</f>
        <v>8.5997199999999996E-2</v>
      </c>
      <c r="U468" s="93" t="str">
        <f>VLOOKUP(A468,'Parameters Summary'!$B$2:$AB$826,17,FALSE)</f>
        <v>WATER9 (U.S. EPA, 2001)</v>
      </c>
      <c r="V468" s="93">
        <f>VLOOKUP(A468,'Parameters Summary'!$B$2:$AB$826,16,FALSE)</f>
        <v>1.0200000000000001E-5</v>
      </c>
      <c r="W468" s="379" t="str">
        <f>VLOOKUP(A468,'Parameters Summary'!$B$2:$AB$826,17,FALSE)</f>
        <v>WATER9 (U.S. EPA, 2001)</v>
      </c>
      <c r="X468" s="290">
        <v>353.2</v>
      </c>
      <c r="Y468" s="96" t="s">
        <v>553</v>
      </c>
      <c r="Z468" s="96">
        <v>536</v>
      </c>
      <c r="AA468" s="96" t="s">
        <v>2224</v>
      </c>
      <c r="AB468" s="96">
        <v>7749</v>
      </c>
      <c r="AC468" s="96" t="s">
        <v>2224</v>
      </c>
      <c r="AD468" s="93">
        <f>VLOOKUP(A468,'Parameters Summary'!$B$2:$AB$826,20,FALSE)</f>
        <v>5.8440000000000003</v>
      </c>
      <c r="AE468" s="97" t="str">
        <f>VLOOKUP(A468,'Parameters Summary'!$B$2:$AB$826,21,FALSE)</f>
        <v>EPI</v>
      </c>
      <c r="AF468" s="380">
        <v>2.8</v>
      </c>
      <c r="AG468" s="97" t="s">
        <v>302</v>
      </c>
      <c r="AH468" s="92"/>
      <c r="AI468" s="96"/>
      <c r="AJ468" s="330"/>
      <c r="AL468" s="81"/>
    </row>
    <row r="469" spans="1:38" ht="12.75" customHeight="1">
      <c r="A469" s="95" t="s">
        <v>76</v>
      </c>
      <c r="B469" s="96" t="s">
        <v>1228</v>
      </c>
      <c r="C469" s="96" t="str">
        <f t="shared" si="48"/>
        <v>Yes</v>
      </c>
      <c r="D469" s="96" t="str">
        <f>VLOOKUP(A469,'Tox Summary'!$O$3:$R$824,3,FALSE)</f>
        <v>Yes</v>
      </c>
      <c r="E469" s="97">
        <f>VLOOKUP(A469,'Parameters Summary'!$B$2:$AB$826,4,FALSE)</f>
        <v>72.108000000000004</v>
      </c>
      <c r="F469" s="97" t="str">
        <f>VLOOKUP(A469,'Parameters Summary'!$B$2:$AB$826,5,FALSE)</f>
        <v>PHYSPROP</v>
      </c>
      <c r="G469" s="93">
        <f>VLOOKUP(A469,'Parameters Summary'!$B$2:$AB$826,9,FALSE)</f>
        <v>90.6</v>
      </c>
      <c r="H469" s="93" t="str">
        <f>VLOOKUP(A469,'Parameters Summary'!$B$2:$AB$826,10,FALSE)</f>
        <v>PHYSPROP</v>
      </c>
      <c r="I469" s="93">
        <f>VLOOKUP(A469,'Parameters Summary'!$B$2:$AB$826,24,FALSE)</f>
        <v>223000</v>
      </c>
      <c r="J469" s="97" t="str">
        <f>VLOOKUP(A469,'Parameters Summary'!$B$2:$AB$826,25,FALSE)</f>
        <v>PHYSPROP</v>
      </c>
      <c r="K469" s="97" t="str">
        <f>VLOOKUP(A469,'Tox Summary'!$O$3:$S$827,2,FALSE)</f>
        <v/>
      </c>
      <c r="L469" s="93">
        <f>VLOOKUP(A469,'Parameters Summary'!$B$2:$AB$826,7,FALSE)</f>
        <v>5.6900000000000001E-5</v>
      </c>
      <c r="M469" s="93" t="str">
        <f>VLOOKUP(A469,'Parameters Summary'!$B$2:$AB$826,8,FALSE)</f>
        <v>PHYSPROP</v>
      </c>
      <c r="N469" s="91">
        <f>VLOOKUP(A469,'Parameters Summary'!$B$2:$AB$826,6,FALSE)</f>
        <v>2.3262000000000001E-3</v>
      </c>
      <c r="O469" s="91">
        <f t="shared" si="46"/>
        <v>2.3262000000000001E-3</v>
      </c>
      <c r="P469" s="91">
        <f t="shared" si="49"/>
        <v>2.3262000000000001E-3</v>
      </c>
      <c r="Q469" s="91">
        <f t="shared" si="47"/>
        <v>2.3262000000000001E-3</v>
      </c>
      <c r="R469" s="91">
        <f t="shared" si="50"/>
        <v>2.3262000000000001E-3</v>
      </c>
      <c r="S469" s="91">
        <f t="shared" si="51"/>
        <v>351531978.72679675</v>
      </c>
      <c r="T469" s="93">
        <f>VLOOKUP(A469,'Parameters Summary'!$B$2:$AB$826,15,FALSE)</f>
        <v>9.1446200000000005E-2</v>
      </c>
      <c r="U469" s="93" t="str">
        <f>VLOOKUP(A469,'Parameters Summary'!$B$2:$AB$826,17,FALSE)</f>
        <v>WATER9 (U.S. EPA, 2001)</v>
      </c>
      <c r="V469" s="93">
        <f>VLOOKUP(A469,'Parameters Summary'!$B$2:$AB$826,16,FALSE)</f>
        <v>1.0200000000000001E-5</v>
      </c>
      <c r="W469" s="379" t="str">
        <f>VLOOKUP(A469,'Parameters Summary'!$B$2:$AB$826,17,FALSE)</f>
        <v>WATER9 (U.S. EPA, 2001)</v>
      </c>
      <c r="X469" s="290">
        <v>352.5</v>
      </c>
      <c r="Y469" s="96" t="s">
        <v>553</v>
      </c>
      <c r="Z469" s="96">
        <v>536.78</v>
      </c>
      <c r="AA469" s="96" t="s">
        <v>2221</v>
      </c>
      <c r="AB469" s="96">
        <v>7480.7</v>
      </c>
      <c r="AC469" s="96" t="s">
        <v>2221</v>
      </c>
      <c r="AD469" s="93">
        <f>VLOOKUP(A469,'Parameters Summary'!$B$2:$AB$826,20,FALSE)</f>
        <v>4.51</v>
      </c>
      <c r="AE469" s="97" t="str">
        <f>VLOOKUP(A469,'Parameters Summary'!$B$2:$AB$826,21,FALSE)</f>
        <v>EPI</v>
      </c>
      <c r="AF469" s="380">
        <v>1.4</v>
      </c>
      <c r="AG469" s="97" t="s">
        <v>302</v>
      </c>
      <c r="AH469" s="92"/>
      <c r="AI469" s="96"/>
      <c r="AJ469" s="330"/>
      <c r="AL469" s="81"/>
    </row>
    <row r="470" spans="1:38" ht="12.75" customHeight="1">
      <c r="A470" s="95" t="s">
        <v>1568</v>
      </c>
      <c r="B470" s="96" t="s">
        <v>1567</v>
      </c>
      <c r="C470" s="96" t="str">
        <f t="shared" si="48"/>
        <v>Yes</v>
      </c>
      <c r="D470" s="96" t="str">
        <f>VLOOKUP(A470,'Tox Summary'!$O$3:$R$824,3,FALSE)</f>
        <v>Yes</v>
      </c>
      <c r="E470" s="97">
        <f>VLOOKUP(A470,'Parameters Summary'!$B$2:$AB$826,4,FALSE)</f>
        <v>46.072000000000003</v>
      </c>
      <c r="F470" s="97" t="str">
        <f>VLOOKUP(A470,'Parameters Summary'!$B$2:$AB$826,5,FALSE)</f>
        <v>PHYSPROP</v>
      </c>
      <c r="G470" s="93">
        <f>VLOOKUP(A470,'Parameters Summary'!$B$2:$AB$826,9,FALSE)</f>
        <v>50</v>
      </c>
      <c r="H470" s="93" t="str">
        <f>VLOOKUP(A470,'Parameters Summary'!$B$2:$AB$826,10,FALSE)</f>
        <v>PHYSPROP</v>
      </c>
      <c r="I470" s="93">
        <f>VLOOKUP(A470,'Parameters Summary'!$B$2:$AB$826,24,FALSE)</f>
        <v>1000000</v>
      </c>
      <c r="J470" s="97" t="str">
        <f>VLOOKUP(A470,'Parameters Summary'!$B$2:$AB$826,25,FALSE)</f>
        <v>PHYSPROP</v>
      </c>
      <c r="K470" s="97" t="str">
        <f>VLOOKUP(A470,'Tox Summary'!$O$3:$S$827,2,FALSE)</f>
        <v/>
      </c>
      <c r="L470" s="93">
        <f>VLOOKUP(A470,'Parameters Summary'!$B$2:$AB$826,7,FALSE)</f>
        <v>3.0309999999999999E-6</v>
      </c>
      <c r="M470" s="93" t="str">
        <f>VLOOKUP(A470,'Parameters Summary'!$B$2:$AB$826,8,FALSE)</f>
        <v>PHYSPROP</v>
      </c>
      <c r="N470" s="91">
        <f>VLOOKUP(A470,'Parameters Summary'!$B$2:$AB$826,6,FALSE)</f>
        <v>1.239E-4</v>
      </c>
      <c r="O470" s="91">
        <f t="shared" si="46"/>
        <v>1.239E-4</v>
      </c>
      <c r="P470" s="91">
        <f t="shared" si="49"/>
        <v>1.239E-4</v>
      </c>
      <c r="Q470" s="91">
        <f t="shared" si="47"/>
        <v>1.239E-4</v>
      </c>
      <c r="R470" s="91">
        <f t="shared" si="50"/>
        <v>1.239E-4</v>
      </c>
      <c r="S470" s="91">
        <f t="shared" si="51"/>
        <v>123953918.61236981</v>
      </c>
      <c r="T470" s="93">
        <f>VLOOKUP(A470,'Parameters Summary'!$B$2:$AB$826,15,FALSE)</f>
        <v>0.12908939999999999</v>
      </c>
      <c r="U470" s="93" t="str">
        <f>VLOOKUP(A470,'Parameters Summary'!$B$2:$AB$826,17,FALSE)</f>
        <v>WATER9 (U.S. EPA, 2001)</v>
      </c>
      <c r="V470" s="93">
        <f>VLOOKUP(A470,'Parameters Summary'!$B$2:$AB$826,16,FALSE)</f>
        <v>1.4E-5</v>
      </c>
      <c r="W470" s="379" t="str">
        <f>VLOOKUP(A470,'Parameters Summary'!$B$2:$AB$826,17,FALSE)</f>
        <v>WATER9 (U.S. EPA, 2001)</v>
      </c>
      <c r="X470" s="290">
        <f>87.5+273.15</f>
        <v>360.65</v>
      </c>
      <c r="Y470" s="96" t="s">
        <v>553</v>
      </c>
      <c r="Z470" s="96">
        <f>312+273.15</f>
        <v>585.15</v>
      </c>
      <c r="AA470" s="96" t="s">
        <v>2218</v>
      </c>
      <c r="AB470" s="96">
        <f>37.212*238.846</f>
        <v>8887.9373520000008</v>
      </c>
      <c r="AC470" s="96" t="s">
        <v>2218</v>
      </c>
      <c r="AD470" s="93">
        <f>VLOOKUP(A470,'Parameters Summary'!$B$2:$AB$826,20,FALSE)</f>
        <v>13.31</v>
      </c>
      <c r="AE470" s="97" t="str">
        <f>VLOOKUP(A470,'Parameters Summary'!$B$2:$AB$826,21,FALSE)</f>
        <v>EPI</v>
      </c>
      <c r="AF470" s="380">
        <v>2.5</v>
      </c>
      <c r="AG470" s="97" t="s">
        <v>302</v>
      </c>
      <c r="AH470" s="92"/>
      <c r="AI470" s="96"/>
      <c r="AJ470" s="330"/>
      <c r="AL470" s="81"/>
    </row>
    <row r="471" spans="1:38" ht="12.75" customHeight="1">
      <c r="A471" s="95" t="s">
        <v>77</v>
      </c>
      <c r="B471" s="96" t="s">
        <v>1229</v>
      </c>
      <c r="C471" s="96" t="str">
        <f t="shared" si="48"/>
        <v>Yes</v>
      </c>
      <c r="D471" s="96" t="str">
        <f>VLOOKUP(A471,'Tox Summary'!$O$3:$R$824,3,FALSE)</f>
        <v>No</v>
      </c>
      <c r="E471" s="97">
        <f>VLOOKUP(A471,'Parameters Summary'!$B$2:$AB$826,4,FALSE)</f>
        <v>100.16</v>
      </c>
      <c r="F471" s="97" t="str">
        <f>VLOOKUP(A471,'Parameters Summary'!$B$2:$AB$826,5,FALSE)</f>
        <v>PHYSPROP</v>
      </c>
      <c r="G471" s="93">
        <f>VLOOKUP(A471,'Parameters Summary'!$B$2:$AB$826,9,FALSE)</f>
        <v>19.86</v>
      </c>
      <c r="H471" s="93" t="str">
        <f>VLOOKUP(A471,'Parameters Summary'!$B$2:$AB$826,10,FALSE)</f>
        <v>PHYSPROP</v>
      </c>
      <c r="I471" s="93">
        <f>VLOOKUP(A471,'Parameters Summary'!$B$2:$AB$826,24,FALSE)</f>
        <v>19000</v>
      </c>
      <c r="J471" s="97" t="str">
        <f>VLOOKUP(A471,'Parameters Summary'!$B$2:$AB$826,25,FALSE)</f>
        <v>PHYSPROP</v>
      </c>
      <c r="K471" s="97" t="str">
        <f>VLOOKUP(A471,'Tox Summary'!$O$3:$S$827,2,FALSE)</f>
        <v/>
      </c>
      <c r="L471" s="93">
        <f>VLOOKUP(A471,'Parameters Summary'!$B$2:$AB$826,7,FALSE)</f>
        <v>1.3799999999999999E-4</v>
      </c>
      <c r="M471" s="93" t="str">
        <f>VLOOKUP(A471,'Parameters Summary'!$B$2:$AB$826,8,FALSE)</f>
        <v>EPI</v>
      </c>
      <c r="N471" s="91">
        <f>VLOOKUP(A471,'Parameters Summary'!$B$2:$AB$826,6,FALSE)</f>
        <v>5.6419E-3</v>
      </c>
      <c r="O471" s="91">
        <f t="shared" si="46"/>
        <v>5.6419E-3</v>
      </c>
      <c r="P471" s="91">
        <f t="shared" si="49"/>
        <v>5.6419E-3</v>
      </c>
      <c r="Q471" s="91">
        <f t="shared" si="47"/>
        <v>5.6419E-3</v>
      </c>
      <c r="R471" s="91">
        <f t="shared" si="50"/>
        <v>5.6419E-3</v>
      </c>
      <c r="S471" s="91">
        <f t="shared" si="51"/>
        <v>107035231.08870856</v>
      </c>
      <c r="T471" s="93">
        <f>VLOOKUP(A471,'Parameters Summary'!$B$2:$AB$826,15,FALSE)</f>
        <v>6.97797E-2</v>
      </c>
      <c r="U471" s="93" t="str">
        <f>VLOOKUP(A471,'Parameters Summary'!$B$2:$AB$826,17,FALSE)</f>
        <v>WATER9 (U.S. EPA, 2001)</v>
      </c>
      <c r="V471" s="93">
        <f>VLOOKUP(A471,'Parameters Summary'!$B$2:$AB$826,16,FALSE)</f>
        <v>8.3476999999999997E-6</v>
      </c>
      <c r="W471" s="379" t="str">
        <f>VLOOKUP(A471,'Parameters Summary'!$B$2:$AB$826,17,FALSE)</f>
        <v>WATER9 (U.S. EPA, 2001)</v>
      </c>
      <c r="X471" s="290">
        <v>389.5</v>
      </c>
      <c r="Y471" s="96" t="s">
        <v>553</v>
      </c>
      <c r="Z471" s="96">
        <v>571</v>
      </c>
      <c r="AA471" s="96" t="s">
        <v>2221</v>
      </c>
      <c r="AB471" s="96">
        <v>8243.11</v>
      </c>
      <c r="AC471" s="96" t="s">
        <v>2221</v>
      </c>
      <c r="AD471" s="93">
        <f>VLOOKUP(A471,'Parameters Summary'!$B$2:$AB$826,20,FALSE)</f>
        <v>12.6</v>
      </c>
      <c r="AE471" s="97" t="str">
        <f>VLOOKUP(A471,'Parameters Summary'!$B$2:$AB$826,21,FALSE)</f>
        <v>EPI</v>
      </c>
      <c r="AF471" s="380">
        <v>1.2</v>
      </c>
      <c r="AG471" s="97" t="s">
        <v>302</v>
      </c>
      <c r="AH471" s="92"/>
      <c r="AI471" s="96"/>
      <c r="AJ471" s="330"/>
      <c r="AL471" s="81"/>
    </row>
    <row r="472" spans="1:38" ht="12.75" customHeight="1">
      <c r="A472" s="95" t="s">
        <v>78</v>
      </c>
      <c r="B472" s="96" t="s">
        <v>593</v>
      </c>
      <c r="C472" s="96" t="str">
        <f t="shared" si="48"/>
        <v>Yes</v>
      </c>
      <c r="D472" s="96" t="str">
        <f>VLOOKUP(A472,'Tox Summary'!$O$3:$R$824,3,FALSE)</f>
        <v>No</v>
      </c>
      <c r="E472" s="97">
        <f>VLOOKUP(A472,'Parameters Summary'!$B$2:$AB$826,4,FALSE)</f>
        <v>57.052</v>
      </c>
      <c r="F472" s="97" t="str">
        <f>VLOOKUP(A472,'Parameters Summary'!$B$2:$AB$826,5,FALSE)</f>
        <v>PHYSPROP</v>
      </c>
      <c r="G472" s="93">
        <f>VLOOKUP(A472,'Parameters Summary'!$B$2:$AB$826,9,FALSE)</f>
        <v>348</v>
      </c>
      <c r="H472" s="93" t="str">
        <f>VLOOKUP(A472,'Parameters Summary'!$B$2:$AB$826,10,FALSE)</f>
        <v>PHYSPROP</v>
      </c>
      <c r="I472" s="93">
        <f>VLOOKUP(A472,'Parameters Summary'!$B$2:$AB$826,24,FALSE)</f>
        <v>29200</v>
      </c>
      <c r="J472" s="97" t="str">
        <f>VLOOKUP(A472,'Parameters Summary'!$B$2:$AB$826,25,FALSE)</f>
        <v>PHYSPROP</v>
      </c>
      <c r="K472" s="97" t="str">
        <f>VLOOKUP(A472,'Tox Summary'!$O$3:$S$827,2,FALSE)</f>
        <v/>
      </c>
      <c r="L472" s="93">
        <f>VLOOKUP(A472,'Parameters Summary'!$B$2:$AB$826,7,FALSE)</f>
        <v>9.2599999999999996E-4</v>
      </c>
      <c r="M472" s="93" t="str">
        <f>VLOOKUP(A472,'Parameters Summary'!$B$2:$AB$826,8,FALSE)</f>
        <v>PHYSPROP</v>
      </c>
      <c r="N472" s="91">
        <f>VLOOKUP(A472,'Parameters Summary'!$B$2:$AB$826,6,FALSE)</f>
        <v>3.7857700000000001E-2</v>
      </c>
      <c r="O472" s="91" t="str">
        <f t="shared" si="46"/>
        <v/>
      </c>
      <c r="P472" s="91">
        <f t="shared" si="49"/>
        <v>3.7857700000000001E-2</v>
      </c>
      <c r="Q472" s="91" t="str">
        <f t="shared" si="47"/>
        <v/>
      </c>
      <c r="R472" s="91">
        <f t="shared" si="50"/>
        <v>3.7857700000000001E-2</v>
      </c>
      <c r="S472" s="91" t="str">
        <f t="shared" si="51"/>
        <v/>
      </c>
      <c r="T472" s="93">
        <f>VLOOKUP(A472,'Parameters Summary'!$B$2:$AB$826,15,FALSE)</f>
        <v>0.1165494</v>
      </c>
      <c r="U472" s="93" t="str">
        <f>VLOOKUP(A472,'Parameters Summary'!$B$2:$AB$826,17,FALSE)</f>
        <v>WATER9 (U.S. EPA, 2001)</v>
      </c>
      <c r="V472" s="93">
        <f>VLOOKUP(A472,'Parameters Summary'!$B$2:$AB$826,16,FALSE)</f>
        <v>1.31E-5</v>
      </c>
      <c r="W472" s="379" t="str">
        <f>VLOOKUP(A472,'Parameters Summary'!$B$2:$AB$826,17,FALSE)</f>
        <v>WATER9 (U.S. EPA, 2001)</v>
      </c>
      <c r="X472" s="290">
        <v>312.25</v>
      </c>
      <c r="Y472" s="96" t="s">
        <v>2213</v>
      </c>
      <c r="Z472" s="96">
        <v>491</v>
      </c>
      <c r="AA472" s="96" t="s">
        <v>2202</v>
      </c>
      <c r="AB472" s="96" t="s">
        <v>1651</v>
      </c>
      <c r="AC472" s="96"/>
      <c r="AD472" s="93">
        <f>VLOOKUP(A472,'Parameters Summary'!$B$2:$AB$826,20,FALSE)</f>
        <v>39.6</v>
      </c>
      <c r="AE472" s="97" t="str">
        <f>VLOOKUP(A472,'Parameters Summary'!$B$2:$AB$826,21,FALSE)</f>
        <v>EPI</v>
      </c>
      <c r="AF472" s="380">
        <v>5.3</v>
      </c>
      <c r="AG472" s="97" t="s">
        <v>302</v>
      </c>
      <c r="AH472" s="92"/>
      <c r="AI472" s="96"/>
      <c r="AJ472" s="330"/>
      <c r="AL472" s="81"/>
    </row>
    <row r="473" spans="1:38" ht="12.75" customHeight="1">
      <c r="A473" s="96" t="s">
        <v>60</v>
      </c>
      <c r="B473" s="96" t="s">
        <v>2375</v>
      </c>
      <c r="C473" s="96" t="str">
        <f t="shared" si="48"/>
        <v>No</v>
      </c>
      <c r="D473" s="96" t="str">
        <f>VLOOKUP(A473,'Tox Summary'!$O$3:$R$824,3,FALSE)</f>
        <v>No</v>
      </c>
      <c r="E473" s="97">
        <f>VLOOKUP(A473,'Parameters Summary'!$B$2:$AB$826,4,FALSE)</f>
        <v>216.6326</v>
      </c>
      <c r="F473" s="97" t="str">
        <f>VLOOKUP(A473,'Parameters Summary'!$B$2:$AB$826,5,FALSE)</f>
        <v>ChemID</v>
      </c>
      <c r="G473" s="93" t="s">
        <v>2439</v>
      </c>
      <c r="H473" s="93" t="str">
        <f>VLOOKUP(A473,'Parameters Summary'!$B$2:$AB$826,10,FALSE)</f>
        <v/>
      </c>
      <c r="I473" s="93" t="s">
        <v>2440</v>
      </c>
      <c r="J473" s="97" t="str">
        <f>VLOOKUP(A473,'Parameters Summary'!$B$2:$AB$826,25,FALSE)</f>
        <v/>
      </c>
      <c r="K473" s="97" t="str">
        <f>VLOOKUP(A473,'Tox Summary'!$O$3:$S$827,2,FALSE)</f>
        <v/>
      </c>
      <c r="L473" s="93" t="s">
        <v>2298</v>
      </c>
      <c r="M473" s="93" t="str">
        <f>VLOOKUP(A473,'Parameters Summary'!$B$2:$AB$826,8,FALSE)</f>
        <v/>
      </c>
      <c r="N473" s="91" t="str">
        <f>VLOOKUP(A473,'Parameters Summary'!$B$2:$AB$826,6,FALSE)</f>
        <v xml:space="preserve"> </v>
      </c>
      <c r="O473" s="91" t="str">
        <f t="shared" si="46"/>
        <v/>
      </c>
      <c r="P473" s="91" t="str">
        <f t="shared" si="49"/>
        <v xml:space="preserve"> </v>
      </c>
      <c r="Q473" s="91" t="str">
        <f t="shared" si="47"/>
        <v/>
      </c>
      <c r="R473" s="91" t="str">
        <f t="shared" si="50"/>
        <v xml:space="preserve"> </v>
      </c>
      <c r="S473" s="91" t="str">
        <f t="shared" si="51"/>
        <v/>
      </c>
      <c r="T473" s="93" t="str">
        <f>VLOOKUP(A473,'Parameters Summary'!$B$2:$AB$826,15,FALSE)</f>
        <v xml:space="preserve"> </v>
      </c>
      <c r="U473" s="93" t="str">
        <f>VLOOKUP(A473,'Parameters Summary'!$B$2:$AB$826,17,FALSE)</f>
        <v/>
      </c>
      <c r="V473" s="93" t="str">
        <f>VLOOKUP(A473,'Parameters Summary'!$B$2:$AB$826,16,FALSE)</f>
        <v xml:space="preserve"> </v>
      </c>
      <c r="W473" s="379" t="str">
        <f>VLOOKUP(A473,'Parameters Summary'!$B$2:$AB$826,17,FALSE)</f>
        <v/>
      </c>
      <c r="X473" s="347"/>
      <c r="Y473" s="96"/>
      <c r="Z473" s="96" t="s">
        <v>1653</v>
      </c>
      <c r="AA473" s="96"/>
      <c r="AB473" s="96" t="s">
        <v>1651</v>
      </c>
      <c r="AC473" s="96"/>
      <c r="AD473" s="93" t="str">
        <f>VLOOKUP(A473,'Parameters Summary'!$B$2:$AB$826,20,FALSE)</f>
        <v xml:space="preserve"> </v>
      </c>
      <c r="AE473" s="97" t="str">
        <f>VLOOKUP(A473,'Parameters Summary'!$B$2:$AB$826,21,FALSE)</f>
        <v/>
      </c>
      <c r="AF473" s="97"/>
      <c r="AG473" s="94"/>
      <c r="AH473" s="92"/>
      <c r="AI473" s="96"/>
      <c r="AJ473" s="330"/>
      <c r="AL473" s="81"/>
    </row>
    <row r="474" spans="1:38" ht="12.75" customHeight="1">
      <c r="A474" s="95" t="s">
        <v>79</v>
      </c>
      <c r="B474" s="96" t="s">
        <v>1230</v>
      </c>
      <c r="C474" s="96" t="str">
        <f t="shared" si="48"/>
        <v>Yes</v>
      </c>
      <c r="D474" s="96" t="str">
        <f>VLOOKUP(A474,'Tox Summary'!$O$3:$R$824,3,FALSE)</f>
        <v>Yes</v>
      </c>
      <c r="E474" s="97">
        <f>VLOOKUP(A474,'Parameters Summary'!$B$2:$AB$826,4,FALSE)</f>
        <v>100.12</v>
      </c>
      <c r="F474" s="97" t="str">
        <f>VLOOKUP(A474,'Parameters Summary'!$B$2:$AB$826,5,FALSE)</f>
        <v>PHYSPROP</v>
      </c>
      <c r="G474" s="93">
        <f>VLOOKUP(A474,'Parameters Summary'!$B$2:$AB$826,9,FALSE)</f>
        <v>38.5</v>
      </c>
      <c r="H474" s="93" t="str">
        <f>VLOOKUP(A474,'Parameters Summary'!$B$2:$AB$826,10,FALSE)</f>
        <v>PHYSPROP</v>
      </c>
      <c r="I474" s="93">
        <f>VLOOKUP(A474,'Parameters Summary'!$B$2:$AB$826,24,FALSE)</f>
        <v>15000</v>
      </c>
      <c r="J474" s="97" t="str">
        <f>VLOOKUP(A474,'Parameters Summary'!$B$2:$AB$826,25,FALSE)</f>
        <v>PHYSPROP</v>
      </c>
      <c r="K474" s="97" t="str">
        <f>VLOOKUP(A474,'Tox Summary'!$O$3:$S$827,2,FALSE)</f>
        <v/>
      </c>
      <c r="L474" s="93">
        <f>VLOOKUP(A474,'Parameters Summary'!$B$2:$AB$826,7,FALSE)</f>
        <v>3.19E-4</v>
      </c>
      <c r="M474" s="93" t="str">
        <f>VLOOKUP(A474,'Parameters Summary'!$B$2:$AB$826,8,FALSE)</f>
        <v>EPI</v>
      </c>
      <c r="N474" s="91">
        <f>VLOOKUP(A474,'Parameters Summary'!$B$2:$AB$826,6,FALSE)</f>
        <v>1.30417E-2</v>
      </c>
      <c r="O474" s="91">
        <f t="shared" si="46"/>
        <v>1.30417E-2</v>
      </c>
      <c r="P474" s="91">
        <f t="shared" si="49"/>
        <v>1.30417E-2</v>
      </c>
      <c r="Q474" s="91">
        <f t="shared" si="47"/>
        <v>1.30417E-2</v>
      </c>
      <c r="R474" s="91">
        <f t="shared" si="50"/>
        <v>1.30417E-2</v>
      </c>
      <c r="S474" s="91">
        <f t="shared" si="51"/>
        <v>207412421.32384652</v>
      </c>
      <c r="T474" s="93">
        <f>VLOOKUP(A474,'Parameters Summary'!$B$2:$AB$826,15,FALSE)</f>
        <v>7.5044700000000006E-2</v>
      </c>
      <c r="U474" s="93" t="str">
        <f>VLOOKUP(A474,'Parameters Summary'!$B$2:$AB$826,17,FALSE)</f>
        <v>WATER9 (U.S. EPA, 2001)</v>
      </c>
      <c r="V474" s="93">
        <f>VLOOKUP(A474,'Parameters Summary'!$B$2:$AB$826,16,FALSE)</f>
        <v>9.2087000000000004E-6</v>
      </c>
      <c r="W474" s="379" t="str">
        <f>VLOOKUP(A474,'Parameters Summary'!$B$2:$AB$826,17,FALSE)</f>
        <v>WATER9 (U.S. EPA, 2001)</v>
      </c>
      <c r="X474" s="290">
        <v>373.5</v>
      </c>
      <c r="Y474" s="96" t="s">
        <v>553</v>
      </c>
      <c r="Z474" s="96">
        <v>567</v>
      </c>
      <c r="AA474" s="96" t="s">
        <v>2215</v>
      </c>
      <c r="AB474" s="96">
        <v>8974.9</v>
      </c>
      <c r="AC474" s="96" t="s">
        <v>2215</v>
      </c>
      <c r="AD474" s="93">
        <f>VLOOKUP(A474,'Parameters Summary'!$B$2:$AB$826,20,FALSE)</f>
        <v>9.14</v>
      </c>
      <c r="AE474" s="97" t="str">
        <f>VLOOKUP(A474,'Parameters Summary'!$B$2:$AB$826,21,FALSE)</f>
        <v>EPI</v>
      </c>
      <c r="AF474" s="380">
        <v>1.7</v>
      </c>
      <c r="AG474" s="97" t="s">
        <v>302</v>
      </c>
      <c r="AH474" s="92"/>
      <c r="AI474" s="96"/>
      <c r="AJ474" s="330"/>
      <c r="AL474" s="81"/>
    </row>
    <row r="475" spans="1:38" ht="12.75" customHeight="1">
      <c r="A475" s="96" t="s">
        <v>83</v>
      </c>
      <c r="B475" s="96" t="s">
        <v>595</v>
      </c>
      <c r="C475" s="96" t="str">
        <f t="shared" si="48"/>
        <v>No</v>
      </c>
      <c r="D475" s="96" t="str">
        <f>VLOOKUP(A475,'Tox Summary'!$O$3:$R$824,3,FALSE)</f>
        <v>No</v>
      </c>
      <c r="E475" s="97">
        <f>VLOOKUP(A475,'Parameters Summary'!$B$2:$AB$826,4,FALSE)</f>
        <v>110.13</v>
      </c>
      <c r="F475" s="97" t="str">
        <f>VLOOKUP(A475,'Parameters Summary'!$B$2:$AB$826,5,FALSE)</f>
        <v>PHYSPROP</v>
      </c>
      <c r="G475" s="93">
        <f>VLOOKUP(A475,'Parameters Summary'!$B$2:$AB$826,9,FALSE)</f>
        <v>0.31</v>
      </c>
      <c r="H475" s="93" t="str">
        <f>VLOOKUP(A475,'Parameters Summary'!$B$2:$AB$826,10,FALSE)</f>
        <v>PHYSPROP</v>
      </c>
      <c r="I475" s="93">
        <f>VLOOKUP(A475,'Parameters Summary'!$B$2:$AB$826,24,FALSE)</f>
        <v>200000</v>
      </c>
      <c r="J475" s="97" t="str">
        <f>VLOOKUP(A475,'Parameters Summary'!$B$2:$AB$826,25,FALSE)</f>
        <v>LANGE</v>
      </c>
      <c r="K475" s="97" t="str">
        <f>VLOOKUP(A475,'Tox Summary'!$O$3:$S$827,2,FALSE)</f>
        <v/>
      </c>
      <c r="L475" s="93">
        <f>VLOOKUP(A475,'Parameters Summary'!$B$2:$AB$826,7,FALSE)</f>
        <v>4.0300000000000004E-6</v>
      </c>
      <c r="M475" s="93" t="str">
        <f>VLOOKUP(A475,'Parameters Summary'!$B$2:$AB$826,8,FALSE)</f>
        <v>PHYSPROP</v>
      </c>
      <c r="N475" s="91">
        <f>VLOOKUP(A475,'Parameters Summary'!$B$2:$AB$826,6,FALSE)</f>
        <v>1.6479999999999999E-4</v>
      </c>
      <c r="O475" s="91" t="str">
        <f t="shared" si="46"/>
        <v/>
      </c>
      <c r="P475" s="91">
        <f t="shared" si="49"/>
        <v>1.6479999999999999E-4</v>
      </c>
      <c r="Q475" s="91" t="str">
        <f t="shared" si="47"/>
        <v/>
      </c>
      <c r="R475" s="91">
        <f t="shared" si="50"/>
        <v>1.6479999999999999E-4</v>
      </c>
      <c r="S475" s="91" t="str">
        <f t="shared" si="51"/>
        <v/>
      </c>
      <c r="T475" s="93">
        <f>VLOOKUP(A475,'Parameters Summary'!$B$2:$AB$826,15,FALSE)</f>
        <v>7.8905600000000006E-2</v>
      </c>
      <c r="U475" s="93" t="str">
        <f>VLOOKUP(A475,'Parameters Summary'!$B$2:$AB$826,17,FALSE)</f>
        <v>WATER9 (U.S. EPA, 2001)</v>
      </c>
      <c r="V475" s="93">
        <f>VLOOKUP(A475,'Parameters Summary'!$B$2:$AB$826,16,FALSE)</f>
        <v>1.06E-5</v>
      </c>
      <c r="W475" s="379" t="str">
        <f>VLOOKUP(A475,'Parameters Summary'!$B$2:$AB$826,17,FALSE)</f>
        <v>WATER9 (U.S. EPA, 2001)</v>
      </c>
      <c r="X475" s="290">
        <v>476.15</v>
      </c>
      <c r="Y475" s="96" t="s">
        <v>553</v>
      </c>
      <c r="Z475" s="96" t="s">
        <v>1653</v>
      </c>
      <c r="AA475" s="96"/>
      <c r="AB475" s="96" t="s">
        <v>1651</v>
      </c>
      <c r="AC475" s="96"/>
      <c r="AD475" s="93">
        <f>VLOOKUP(A475,'Parameters Summary'!$B$2:$AB$826,20,FALSE)</f>
        <v>4.3319999999999999</v>
      </c>
      <c r="AE475" s="97" t="str">
        <f>VLOOKUP(A475,'Parameters Summary'!$B$2:$AB$826,21,FALSE)</f>
        <v>EPI</v>
      </c>
      <c r="AF475" s="97"/>
      <c r="AG475" s="94"/>
      <c r="AH475" s="92"/>
      <c r="AI475" s="96"/>
      <c r="AJ475" s="330"/>
      <c r="AL475" s="81"/>
    </row>
    <row r="476" spans="1:38" ht="12.75" customHeight="1">
      <c r="A476" s="96" t="s">
        <v>80</v>
      </c>
      <c r="B476" s="96" t="s">
        <v>1231</v>
      </c>
      <c r="C476" s="96" t="str">
        <f t="shared" si="48"/>
        <v>No</v>
      </c>
      <c r="D476" s="96" t="str">
        <f>VLOOKUP(A476,'Tox Summary'!$O$3:$R$824,3,FALSE)</f>
        <v>Yes</v>
      </c>
      <c r="E476" s="97">
        <f>VLOOKUP(A476,'Parameters Summary'!$B$2:$AB$826,4,FALSE)</f>
        <v>263.20999999999998</v>
      </c>
      <c r="F476" s="97" t="str">
        <f>VLOOKUP(A476,'Parameters Summary'!$B$2:$AB$826,5,FALSE)</f>
        <v>PHYSPROP</v>
      </c>
      <c r="G476" s="93">
        <f>VLOOKUP(A476,'Parameters Summary'!$B$2:$AB$826,9,FALSE)</f>
        <v>3.4999999999999999E-6</v>
      </c>
      <c r="H476" s="93" t="str">
        <f>VLOOKUP(A476,'Parameters Summary'!$B$2:$AB$826,10,FALSE)</f>
        <v>PHYSPROP</v>
      </c>
      <c r="I476" s="93">
        <f>VLOOKUP(A476,'Parameters Summary'!$B$2:$AB$826,24,FALSE)</f>
        <v>37.700000000000003</v>
      </c>
      <c r="J476" s="97" t="str">
        <f>VLOOKUP(A476,'Parameters Summary'!$B$2:$AB$826,25,FALSE)</f>
        <v>PHYSPROP</v>
      </c>
      <c r="K476" s="97" t="str">
        <f>VLOOKUP(A476,'Tox Summary'!$O$3:$S$827,2,FALSE)</f>
        <v/>
      </c>
      <c r="L476" s="93">
        <f>VLOOKUP(A476,'Parameters Summary'!$B$2:$AB$826,7,FALSE)</f>
        <v>9.9999999999999995E-8</v>
      </c>
      <c r="M476" s="93" t="str">
        <f>VLOOKUP(A476,'Parameters Summary'!$B$2:$AB$826,8,FALSE)</f>
        <v>PHYSPROP</v>
      </c>
      <c r="N476" s="91">
        <f>VLOOKUP(A476,'Parameters Summary'!$B$2:$AB$826,6,FALSE)</f>
        <v>4.0883000000000003E-6</v>
      </c>
      <c r="O476" s="91" t="str">
        <f t="shared" si="46"/>
        <v/>
      </c>
      <c r="P476" s="91">
        <f t="shared" si="49"/>
        <v>4.0883000000000003E-6</v>
      </c>
      <c r="Q476" s="91" t="str">
        <f t="shared" si="47"/>
        <v/>
      </c>
      <c r="R476" s="91">
        <f t="shared" si="50"/>
        <v>4.0883000000000003E-6</v>
      </c>
      <c r="S476" s="91" t="str">
        <f t="shared" si="51"/>
        <v/>
      </c>
      <c r="T476" s="93">
        <f>VLOOKUP(A476,'Parameters Summary'!$B$2:$AB$826,15,FALSE)</f>
        <v>2.4984599999999999E-2</v>
      </c>
      <c r="U476" s="93" t="str">
        <f>VLOOKUP(A476,'Parameters Summary'!$B$2:$AB$826,17,FALSE)</f>
        <v>WATER9 (U.S. EPA, 2001)</v>
      </c>
      <c r="V476" s="93">
        <f>VLOOKUP(A476,'Parameters Summary'!$B$2:$AB$826,16,FALSE)</f>
        <v>6.4392000000000001E-6</v>
      </c>
      <c r="W476" s="379" t="str">
        <f>VLOOKUP(A476,'Parameters Summary'!$B$2:$AB$826,17,FALSE)</f>
        <v>WATER9 (U.S. EPA, 2001)</v>
      </c>
      <c r="X476" s="290">
        <v>427.15</v>
      </c>
      <c r="Y476" s="96" t="s">
        <v>553</v>
      </c>
      <c r="Z476" s="96" t="s">
        <v>1653</v>
      </c>
      <c r="AA476" s="96"/>
      <c r="AB476" s="96" t="s">
        <v>1651</v>
      </c>
      <c r="AC476" s="96"/>
      <c r="AD476" s="93">
        <f>VLOOKUP(A476,'Parameters Summary'!$B$2:$AB$826,20,FALSE)</f>
        <v>729.3</v>
      </c>
      <c r="AE476" s="97" t="str">
        <f>VLOOKUP(A476,'Parameters Summary'!$B$2:$AB$826,21,FALSE)</f>
        <v>EPI</v>
      </c>
      <c r="AF476" s="97"/>
      <c r="AG476" s="94"/>
      <c r="AH476" s="92"/>
      <c r="AI476" s="96"/>
      <c r="AJ476" s="330"/>
      <c r="AL476" s="81"/>
    </row>
    <row r="477" spans="1:38" ht="12.75" customHeight="1">
      <c r="A477" s="96" t="s">
        <v>81</v>
      </c>
      <c r="B477" s="96" t="s">
        <v>594</v>
      </c>
      <c r="C477" s="96" t="str">
        <f t="shared" si="48"/>
        <v>No</v>
      </c>
      <c r="D477" s="96" t="str">
        <f>VLOOKUP(A477,'Tox Summary'!$O$3:$R$824,3,FALSE)</f>
        <v>No</v>
      </c>
      <c r="E477" s="97">
        <f>VLOOKUP(A477,'Parameters Summary'!$B$2:$AB$826,4,FALSE)</f>
        <v>96.022999999999996</v>
      </c>
      <c r="F477" s="97" t="str">
        <f>VLOOKUP(A477,'Parameters Summary'!$B$2:$AB$826,5,FALSE)</f>
        <v>PHYSPROP</v>
      </c>
      <c r="G477" s="93">
        <f>VLOOKUP(A477,'Parameters Summary'!$B$2:$AB$826,9,FALSE)</f>
        <v>3.2699999999999998E-4</v>
      </c>
      <c r="H477" s="93" t="str">
        <f>VLOOKUP(A477,'Parameters Summary'!$B$2:$AB$826,10,FALSE)</f>
        <v>EPI</v>
      </c>
      <c r="I477" s="93">
        <f>VLOOKUP(A477,'Parameters Summary'!$B$2:$AB$826,24,FALSE)</f>
        <v>20000</v>
      </c>
      <c r="J477" s="97" t="str">
        <f>VLOOKUP(A477,'Parameters Summary'!$B$2:$AB$826,25,FALSE)</f>
        <v>PHYSPROP</v>
      </c>
      <c r="K477" s="97" t="str">
        <f>VLOOKUP(A477,'Tox Summary'!$O$3:$S$827,2,FALSE)</f>
        <v/>
      </c>
      <c r="L477" s="93">
        <f>VLOOKUP(A477,'Parameters Summary'!$B$2:$AB$826,7,FALSE)</f>
        <v>1.2200000000000001E-11</v>
      </c>
      <c r="M477" s="93" t="str">
        <f>VLOOKUP(A477,'Parameters Summary'!$B$2:$AB$826,8,FALSE)</f>
        <v>PHYSPROP</v>
      </c>
      <c r="N477" s="91">
        <f>VLOOKUP(A477,'Parameters Summary'!$B$2:$AB$826,6,FALSE)</f>
        <v>4.9879999999999997E-10</v>
      </c>
      <c r="O477" s="91" t="str">
        <f t="shared" si="46"/>
        <v/>
      </c>
      <c r="P477" s="91">
        <f t="shared" si="49"/>
        <v>4.9879999999999997E-10</v>
      </c>
      <c r="Q477" s="91" t="str">
        <f t="shared" si="47"/>
        <v/>
      </c>
      <c r="R477" s="91">
        <f t="shared" si="50"/>
        <v>4.9879999999999997E-10</v>
      </c>
      <c r="S477" s="91" t="str">
        <f t="shared" si="51"/>
        <v/>
      </c>
      <c r="T477" s="93">
        <f>VLOOKUP(A477,'Parameters Summary'!$B$2:$AB$826,15,FALSE)</f>
        <v>9.06087E-2</v>
      </c>
      <c r="U477" s="93" t="str">
        <f>VLOOKUP(A477,'Parameters Summary'!$B$2:$AB$826,17,FALSE)</f>
        <v>WATER9 (U.S. EPA, 2001)</v>
      </c>
      <c r="V477" s="93">
        <f>VLOOKUP(A477,'Parameters Summary'!$B$2:$AB$826,16,FALSE)</f>
        <v>1.06E-5</v>
      </c>
      <c r="W477" s="379" t="str">
        <f>VLOOKUP(A477,'Parameters Summary'!$B$2:$AB$826,17,FALSE)</f>
        <v>WATER9 (U.S. EPA, 2001)</v>
      </c>
      <c r="X477" s="347"/>
      <c r="Y477" s="96"/>
      <c r="Z477" s="96" t="s">
        <v>1653</v>
      </c>
      <c r="AA477" s="96"/>
      <c r="AB477" s="96" t="s">
        <v>1651</v>
      </c>
      <c r="AC477" s="96"/>
      <c r="AD477" s="93">
        <f>VLOOKUP(A477,'Parameters Summary'!$B$2:$AB$826,20,FALSE)</f>
        <v>1.407</v>
      </c>
      <c r="AE477" s="97" t="str">
        <f>VLOOKUP(A477,'Parameters Summary'!$B$2:$AB$826,21,FALSE)</f>
        <v>EPI</v>
      </c>
      <c r="AF477" s="97"/>
      <c r="AG477" s="94"/>
      <c r="AH477" s="92"/>
      <c r="AI477" s="96"/>
      <c r="AJ477" s="330"/>
      <c r="AL477" s="81"/>
    </row>
    <row r="478" spans="1:38" ht="12.75" customHeight="1">
      <c r="A478" s="95" t="s">
        <v>82</v>
      </c>
      <c r="B478" s="96" t="s">
        <v>1232</v>
      </c>
      <c r="C478" s="96" t="str">
        <f t="shared" si="48"/>
        <v>Yes</v>
      </c>
      <c r="D478" s="96" t="str">
        <f>VLOOKUP(A478,'Tox Summary'!$O$3:$R$824,3,FALSE)</f>
        <v>No</v>
      </c>
      <c r="E478" s="97">
        <f>VLOOKUP(A478,'Parameters Summary'!$B$2:$AB$826,4,FALSE)</f>
        <v>354.54</v>
      </c>
      <c r="F478" s="97" t="str">
        <f>VLOOKUP(A478,'Parameters Summary'!$B$2:$AB$826,5,FALSE)</f>
        <v>PHYSPROP</v>
      </c>
      <c r="G478" s="93">
        <f>VLOOKUP(A478,'Parameters Summary'!$B$2:$AB$826,9,FALSE)</f>
        <v>1.5</v>
      </c>
      <c r="H478" s="93" t="str">
        <f>VLOOKUP(A478,'Parameters Summary'!$B$2:$AB$826,10,FALSE)</f>
        <v>PHYSPROP</v>
      </c>
      <c r="I478" s="93">
        <f>VLOOKUP(A478,'Parameters Summary'!$B$2:$AB$826,24,FALSE)</f>
        <v>89</v>
      </c>
      <c r="J478" s="97" t="str">
        <f>VLOOKUP(A478,'Parameters Summary'!$B$2:$AB$826,25,FALSE)</f>
        <v>PHYSPROP</v>
      </c>
      <c r="K478" s="97" t="str">
        <f>VLOOKUP(A478,'Tox Summary'!$O$3:$S$827,2,FALSE)</f>
        <v/>
      </c>
      <c r="L478" s="93">
        <f>VLOOKUP(A478,'Parameters Summary'!$B$2:$AB$826,7,FALSE)</f>
        <v>2.6199999999999999E-3</v>
      </c>
      <c r="M478" s="93" t="str">
        <f>VLOOKUP(A478,'Parameters Summary'!$B$2:$AB$826,8,FALSE)</f>
        <v>PHYSPROP</v>
      </c>
      <c r="N478" s="91">
        <f>VLOOKUP(A478,'Parameters Summary'!$B$2:$AB$826,6,FALSE)</f>
        <v>0.10711370000000001</v>
      </c>
      <c r="O478" s="91">
        <f t="shared" si="46"/>
        <v>0.10711370000000001</v>
      </c>
      <c r="P478" s="91">
        <f t="shared" si="49"/>
        <v>0.10711370000000001</v>
      </c>
      <c r="Q478" s="91">
        <f t="shared" si="47"/>
        <v>0.10711370000000001</v>
      </c>
      <c r="R478" s="91">
        <f t="shared" si="50"/>
        <v>0.10711370000000001</v>
      </c>
      <c r="S478" s="91">
        <f t="shared" si="51"/>
        <v>28616050.293993916</v>
      </c>
      <c r="T478" s="93">
        <f>VLOOKUP(A478,'Parameters Summary'!$B$2:$AB$826,15,FALSE)</f>
        <v>1.7396999999999999E-2</v>
      </c>
      <c r="U478" s="93" t="str">
        <f>VLOOKUP(A478,'Parameters Summary'!$B$2:$AB$826,17,FALSE)</f>
        <v>WATER9 (U.S. EPA, 2001)</v>
      </c>
      <c r="V478" s="93">
        <f>VLOOKUP(A478,'Parameters Summary'!$B$2:$AB$826,16,FALSE)</f>
        <v>4.1792999999999999E-6</v>
      </c>
      <c r="W478" s="379" t="str">
        <f>VLOOKUP(A478,'Parameters Summary'!$B$2:$AB$826,17,FALSE)</f>
        <v>WATER9 (U.S. EPA, 2001)</v>
      </c>
      <c r="X478" s="290">
        <f>164.5+273.15</f>
        <v>437.65</v>
      </c>
      <c r="Y478" s="96" t="s">
        <v>2215</v>
      </c>
      <c r="Z478" s="96">
        <v>655</v>
      </c>
      <c r="AA478" s="96" t="s">
        <v>2218</v>
      </c>
      <c r="AB478" s="96">
        <v>12027.44</v>
      </c>
      <c r="AC478" s="96" t="s">
        <v>2218</v>
      </c>
      <c r="AD478" s="93">
        <f>VLOOKUP(A478,'Parameters Summary'!$B$2:$AB$826,20,FALSE)</f>
        <v>715.8</v>
      </c>
      <c r="AE478" s="97" t="str">
        <f>VLOOKUP(A478,'Parameters Summary'!$B$2:$AB$826,21,FALSE)</f>
        <v>EPI</v>
      </c>
      <c r="AF478" s="380"/>
      <c r="AG478" s="97"/>
      <c r="AH478" s="92"/>
      <c r="AI478" s="96"/>
      <c r="AJ478" s="330"/>
      <c r="AL478" s="81"/>
    </row>
    <row r="479" spans="1:38" ht="12.75" customHeight="1">
      <c r="A479" s="95" t="s">
        <v>84</v>
      </c>
      <c r="B479" s="96" t="s">
        <v>1233</v>
      </c>
      <c r="C479" s="96" t="str">
        <f t="shared" si="48"/>
        <v>Yes</v>
      </c>
      <c r="D479" s="96" t="str">
        <f>VLOOKUP(A479,'Tox Summary'!$O$3:$R$824,3,FALSE)</f>
        <v>Yes</v>
      </c>
      <c r="E479" s="97">
        <f>VLOOKUP(A479,'Parameters Summary'!$B$2:$AB$826,4,FALSE)</f>
        <v>88.150999999999996</v>
      </c>
      <c r="F479" s="97" t="str">
        <f>VLOOKUP(A479,'Parameters Summary'!$B$2:$AB$826,5,FALSE)</f>
        <v>PHYSPROP</v>
      </c>
      <c r="G479" s="93">
        <f>VLOOKUP(A479,'Parameters Summary'!$B$2:$AB$826,9,FALSE)</f>
        <v>250</v>
      </c>
      <c r="H479" s="93" t="str">
        <f>VLOOKUP(A479,'Parameters Summary'!$B$2:$AB$826,10,FALSE)</f>
        <v>PHYSPROP</v>
      </c>
      <c r="I479" s="93">
        <f>VLOOKUP(A479,'Parameters Summary'!$B$2:$AB$826,24,FALSE)</f>
        <v>51000</v>
      </c>
      <c r="J479" s="97" t="str">
        <f>VLOOKUP(A479,'Parameters Summary'!$B$2:$AB$826,25,FALSE)</f>
        <v>PHYSPROP</v>
      </c>
      <c r="K479" s="97" t="str">
        <f>VLOOKUP(A479,'Tox Summary'!$O$3:$S$827,2,FALSE)</f>
        <v/>
      </c>
      <c r="L479" s="93">
        <f>VLOOKUP(A479,'Parameters Summary'!$B$2:$AB$826,7,FALSE)</f>
        <v>5.8699999999999996E-4</v>
      </c>
      <c r="M479" s="93" t="str">
        <f>VLOOKUP(A479,'Parameters Summary'!$B$2:$AB$826,8,FALSE)</f>
        <v>PHYSPROP</v>
      </c>
      <c r="N479" s="91">
        <f>VLOOKUP(A479,'Parameters Summary'!$B$2:$AB$826,6,FALSE)</f>
        <v>2.39984E-2</v>
      </c>
      <c r="O479" s="91">
        <f t="shared" si="46"/>
        <v>2.39984E-2</v>
      </c>
      <c r="P479" s="91">
        <f t="shared" si="49"/>
        <v>2.39984E-2</v>
      </c>
      <c r="Q479" s="91">
        <f t="shared" si="47"/>
        <v>2.39984E-2</v>
      </c>
      <c r="R479" s="91">
        <f t="shared" si="50"/>
        <v>2.39984E-2</v>
      </c>
      <c r="S479" s="91">
        <f t="shared" si="51"/>
        <v>1185824565.8533392</v>
      </c>
      <c r="T479" s="93">
        <f>VLOOKUP(A479,'Parameters Summary'!$B$2:$AB$826,15,FALSE)</f>
        <v>7.5267200000000006E-2</v>
      </c>
      <c r="U479" s="93" t="str">
        <f>VLOOKUP(A479,'Parameters Summary'!$B$2:$AB$826,17,FALSE)</f>
        <v>WATER9 (U.S. EPA, 2001)</v>
      </c>
      <c r="V479" s="93">
        <f>VLOOKUP(A479,'Parameters Summary'!$B$2:$AB$826,16,FALSE)</f>
        <v>8.5903999999999999E-6</v>
      </c>
      <c r="W479" s="379" t="str">
        <f>VLOOKUP(A479,'Parameters Summary'!$B$2:$AB$826,17,FALSE)</f>
        <v>WATER9 (U.S. EPA, 2001)</v>
      </c>
      <c r="X479" s="290">
        <v>328.2</v>
      </c>
      <c r="Y479" s="96" t="s">
        <v>553</v>
      </c>
      <c r="Z479" s="96">
        <v>497.1</v>
      </c>
      <c r="AA479" s="96" t="s">
        <v>2221</v>
      </c>
      <c r="AB479" s="96">
        <v>6677.66</v>
      </c>
      <c r="AC479" s="96" t="s">
        <v>2221</v>
      </c>
      <c r="AD479" s="93">
        <f>VLOOKUP(A479,'Parameters Summary'!$B$2:$AB$826,20,FALSE)</f>
        <v>11.56</v>
      </c>
      <c r="AE479" s="97" t="str">
        <f>VLOOKUP(A479,'Parameters Summary'!$B$2:$AB$826,21,FALSE)</f>
        <v>EPI</v>
      </c>
      <c r="AF479" s="380">
        <v>1.6</v>
      </c>
      <c r="AG479" s="97" t="s">
        <v>522</v>
      </c>
      <c r="AH479" s="92"/>
      <c r="AI479" s="96"/>
      <c r="AJ479" s="330"/>
      <c r="AL479" s="81"/>
    </row>
    <row r="480" spans="1:38" ht="12.75" customHeight="1">
      <c r="A480" s="96" t="s">
        <v>1570</v>
      </c>
      <c r="B480" s="96" t="s">
        <v>1569</v>
      </c>
      <c r="C480" s="96" t="str">
        <f t="shared" si="48"/>
        <v>No</v>
      </c>
      <c r="D480" s="96" t="str">
        <f>VLOOKUP(A480,'Tox Summary'!$O$3:$R$824,3,FALSE)</f>
        <v>Yes</v>
      </c>
      <c r="E480" s="97">
        <f>VLOOKUP(A480,'Parameters Summary'!$B$2:$AB$826,4,FALSE)</f>
        <v>195.09</v>
      </c>
      <c r="F480" s="97" t="str">
        <f>VLOOKUP(A480,'Parameters Summary'!$B$2:$AB$826,5,FALSE)</f>
        <v>PHYSPROP</v>
      </c>
      <c r="G480" s="93">
        <f>VLOOKUP(A480,'Parameters Summary'!$B$2:$AB$826,9,FALSE)</f>
        <v>4.1200000000000002E-12</v>
      </c>
      <c r="H480" s="93" t="str">
        <f>VLOOKUP(A480,'Parameters Summary'!$B$2:$AB$826,10,FALSE)</f>
        <v>PHYSPROP</v>
      </c>
      <c r="I480" s="93">
        <f>VLOOKUP(A480,'Parameters Summary'!$B$2:$AB$826,24,FALSE)</f>
        <v>1000000</v>
      </c>
      <c r="J480" s="97" t="str">
        <f>VLOOKUP(A480,'Parameters Summary'!$B$2:$AB$826,25,FALSE)</f>
        <v>PHYSPROP</v>
      </c>
      <c r="K480" s="97" t="str">
        <f>VLOOKUP(A480,'Tox Summary'!$O$3:$S$827,2,FALSE)</f>
        <v/>
      </c>
      <c r="L480" s="93">
        <f>VLOOKUP(A480,'Parameters Summary'!$B$2:$AB$826,7,FALSE)</f>
        <v>6.3799999999999999E-18</v>
      </c>
      <c r="M480" s="93" t="str">
        <f>VLOOKUP(A480,'Parameters Summary'!$B$2:$AB$826,8,FALSE)</f>
        <v>PHYSPROP</v>
      </c>
      <c r="N480" s="91">
        <f>VLOOKUP(A480,'Parameters Summary'!$B$2:$AB$826,6,FALSE)</f>
        <v>2.6080000000000002E-16</v>
      </c>
      <c r="O480" s="91" t="str">
        <f t="shared" si="46"/>
        <v/>
      </c>
      <c r="P480" s="91">
        <f t="shared" si="49"/>
        <v>2.6080000000000002E-16</v>
      </c>
      <c r="Q480" s="91" t="str">
        <f t="shared" si="47"/>
        <v/>
      </c>
      <c r="R480" s="91">
        <f t="shared" si="50"/>
        <v>2.6080000000000002E-16</v>
      </c>
      <c r="S480" s="91" t="str">
        <f t="shared" si="51"/>
        <v/>
      </c>
      <c r="T480" s="93">
        <f>VLOOKUP(A480,'Parameters Summary'!$B$2:$AB$826,15,FALSE)</f>
        <v>5.6484600000000003E-2</v>
      </c>
      <c r="U480" s="93" t="str">
        <f>VLOOKUP(A480,'Parameters Summary'!$B$2:$AB$826,17,FALSE)</f>
        <v>WATER9 (U.S. EPA, 2001)</v>
      </c>
      <c r="V480" s="93">
        <f>VLOOKUP(A480,'Parameters Summary'!$B$2:$AB$826,16,FALSE)</f>
        <v>6.5997999999999999E-6</v>
      </c>
      <c r="W480" s="379" t="str">
        <f>VLOOKUP(A480,'Parameters Summary'!$B$2:$AB$826,17,FALSE)</f>
        <v>WATER9 (U.S. EPA, 2001)</v>
      </c>
      <c r="X480" s="347"/>
      <c r="Y480" s="96"/>
      <c r="Z480" s="96" t="s">
        <v>1653</v>
      </c>
      <c r="AA480" s="96"/>
      <c r="AB480" s="96" t="s">
        <v>1651</v>
      </c>
      <c r="AC480" s="96"/>
      <c r="AD480" s="93">
        <f>VLOOKUP(A480,'Parameters Summary'!$B$2:$AB$826,20,FALSE)</f>
        <v>201.5</v>
      </c>
      <c r="AE480" s="97" t="str">
        <f>VLOOKUP(A480,'Parameters Summary'!$B$2:$AB$826,21,FALSE)</f>
        <v>EPI</v>
      </c>
      <c r="AF480" s="97"/>
      <c r="AG480" s="94"/>
      <c r="AH480" s="92"/>
      <c r="AI480" s="96"/>
      <c r="AJ480" s="330"/>
      <c r="AL480" s="81"/>
    </row>
    <row r="481" spans="1:38" ht="12.75" customHeight="1">
      <c r="A481" s="96" t="s">
        <v>85</v>
      </c>
      <c r="B481" s="96" t="s">
        <v>1234</v>
      </c>
      <c r="C481" s="96" t="str">
        <f t="shared" si="48"/>
        <v>No</v>
      </c>
      <c r="D481" s="96" t="str">
        <f>VLOOKUP(A481,'Tox Summary'!$O$3:$R$824,3,FALSE)</f>
        <v>Yes</v>
      </c>
      <c r="E481" s="97">
        <f>VLOOKUP(A481,'Parameters Summary'!$B$2:$AB$826,4,FALSE)</f>
        <v>152.15</v>
      </c>
      <c r="F481" s="97" t="str">
        <f>VLOOKUP(A481,'Parameters Summary'!$B$2:$AB$826,5,FALSE)</f>
        <v>PHYSPROP</v>
      </c>
      <c r="G481" s="93">
        <f>VLOOKUP(A481,'Parameters Summary'!$B$2:$AB$826,9,FALSE)</f>
        <v>9.7499999999999996E-4</v>
      </c>
      <c r="H481" s="93" t="str">
        <f>VLOOKUP(A481,'Parameters Summary'!$B$2:$AB$826,10,FALSE)</f>
        <v>PHYSPROP</v>
      </c>
      <c r="I481" s="93">
        <f>VLOOKUP(A481,'Parameters Summary'!$B$2:$AB$826,24,FALSE)</f>
        <v>10000</v>
      </c>
      <c r="J481" s="97" t="str">
        <f>VLOOKUP(A481,'Parameters Summary'!$B$2:$AB$826,25,FALSE)</f>
        <v>PHYSPROP</v>
      </c>
      <c r="K481" s="97" t="str">
        <f>VLOOKUP(A481,'Tox Summary'!$O$3:$S$827,2,FALSE)</f>
        <v/>
      </c>
      <c r="L481" s="93">
        <f>VLOOKUP(A481,'Parameters Summary'!$B$2:$AB$826,7,FALSE)</f>
        <v>8.2900000000000001E-9</v>
      </c>
      <c r="M481" s="93" t="str">
        <f>VLOOKUP(A481,'Parameters Summary'!$B$2:$AB$826,8,FALSE)</f>
        <v>PHYSPROP</v>
      </c>
      <c r="N481" s="91">
        <f>VLOOKUP(A481,'Parameters Summary'!$B$2:$AB$826,6,FALSE)</f>
        <v>3.3892000000000002E-7</v>
      </c>
      <c r="O481" s="91" t="str">
        <f t="shared" si="46"/>
        <v/>
      </c>
      <c r="P481" s="91">
        <f t="shared" si="49"/>
        <v>3.3892000000000002E-7</v>
      </c>
      <c r="Q481" s="91" t="str">
        <f t="shared" si="47"/>
        <v/>
      </c>
      <c r="R481" s="91">
        <f t="shared" si="50"/>
        <v>3.3892000000000002E-7</v>
      </c>
      <c r="S481" s="91" t="str">
        <f t="shared" si="51"/>
        <v/>
      </c>
      <c r="T481" s="93">
        <f>VLOOKUP(A481,'Parameters Summary'!$B$2:$AB$826,15,FALSE)</f>
        <v>6.6666199999999995E-2</v>
      </c>
      <c r="U481" s="93" t="str">
        <f>VLOOKUP(A481,'Parameters Summary'!$B$2:$AB$826,17,FALSE)</f>
        <v>WATER9 (U.S. EPA, 2001)</v>
      </c>
      <c r="V481" s="93">
        <f>VLOOKUP(A481,'Parameters Summary'!$B$2:$AB$826,16,FALSE)</f>
        <v>7.7894000000000003E-6</v>
      </c>
      <c r="W481" s="379" t="str">
        <f>VLOOKUP(A481,'Parameters Summary'!$B$2:$AB$826,17,FALSE)</f>
        <v>WATER9 (U.S. EPA, 2001)</v>
      </c>
      <c r="X481" s="347"/>
      <c r="Y481" s="96"/>
      <c r="Z481" s="96" t="s">
        <v>1653</v>
      </c>
      <c r="AA481" s="96"/>
      <c r="AB481" s="96" t="s">
        <v>1651</v>
      </c>
      <c r="AC481" s="96"/>
      <c r="AD481" s="93">
        <f>VLOOKUP(A481,'Parameters Summary'!$B$2:$AB$826,20,FALSE)</f>
        <v>178.6</v>
      </c>
      <c r="AE481" s="97" t="str">
        <f>VLOOKUP(A481,'Parameters Summary'!$B$2:$AB$826,21,FALSE)</f>
        <v>EPI</v>
      </c>
      <c r="AF481" s="97"/>
      <c r="AG481" s="94"/>
      <c r="AH481" s="92"/>
      <c r="AI481" s="96"/>
      <c r="AJ481" s="330"/>
      <c r="AL481" s="81"/>
    </row>
    <row r="482" spans="1:38" ht="12.75" customHeight="1">
      <c r="A482" s="96" t="s">
        <v>87</v>
      </c>
      <c r="B482" s="96" t="s">
        <v>1235</v>
      </c>
      <c r="C482" s="96" t="str">
        <f t="shared" si="48"/>
        <v>No</v>
      </c>
      <c r="D482" s="96" t="str">
        <f>VLOOKUP(A482,'Tox Summary'!$O$3:$R$824,3,FALSE)</f>
        <v>Yes</v>
      </c>
      <c r="E482" s="97">
        <f>VLOOKUP(A482,'Parameters Summary'!$B$2:$AB$826,4,FALSE)</f>
        <v>143.62</v>
      </c>
      <c r="F482" s="97" t="str">
        <f>VLOOKUP(A482,'Parameters Summary'!$B$2:$AB$826,5,FALSE)</f>
        <v>PHYSPROP</v>
      </c>
      <c r="G482" s="93">
        <f>VLOOKUP(A482,'Parameters Summary'!$B$2:$AB$826,9,FALSE)</f>
        <v>0.29299999999999998</v>
      </c>
      <c r="H482" s="93" t="str">
        <f>VLOOKUP(A482,'Parameters Summary'!$B$2:$AB$826,10,FALSE)</f>
        <v>PHYSPROP</v>
      </c>
      <c r="I482" s="93">
        <f>VLOOKUP(A482,'Parameters Summary'!$B$2:$AB$826,24,FALSE)</f>
        <v>8292</v>
      </c>
      <c r="J482" s="97" t="str">
        <f>VLOOKUP(A482,'Parameters Summary'!$B$2:$AB$826,25,FALSE)</f>
        <v>PHYSPROP</v>
      </c>
      <c r="K482" s="97" t="str">
        <f>VLOOKUP(A482,'Tox Summary'!$O$3:$S$827,2,FALSE)</f>
        <v/>
      </c>
      <c r="L482" s="93">
        <f>VLOOKUP(A482,'Parameters Summary'!$B$2:$AB$826,7,FALSE)</f>
        <v>2.0999999999999998E-6</v>
      </c>
      <c r="M482" s="93" t="str">
        <f>VLOOKUP(A482,'Parameters Summary'!$B$2:$AB$826,8,FALSE)</f>
        <v>PHYSPROP</v>
      </c>
      <c r="N482" s="91">
        <f>VLOOKUP(A482,'Parameters Summary'!$B$2:$AB$826,6,FALSE)</f>
        <v>8.5900000000000001E-5</v>
      </c>
      <c r="O482" s="91" t="str">
        <f t="shared" si="46"/>
        <v/>
      </c>
      <c r="P482" s="91">
        <f t="shared" si="49"/>
        <v>8.5900000000000001E-5</v>
      </c>
      <c r="Q482" s="91" t="str">
        <f t="shared" si="47"/>
        <v/>
      </c>
      <c r="R482" s="91">
        <f t="shared" si="50"/>
        <v>8.5900000000000001E-5</v>
      </c>
      <c r="S482" s="91" t="str">
        <f t="shared" si="51"/>
        <v/>
      </c>
      <c r="T482" s="93">
        <f>VLOOKUP(A482,'Parameters Summary'!$B$2:$AB$826,15,FALSE)</f>
        <v>6.9280400000000006E-2</v>
      </c>
      <c r="U482" s="93" t="str">
        <f>VLOOKUP(A482,'Parameters Summary'!$B$2:$AB$826,17,FALSE)</f>
        <v>WATER9 (U.S. EPA, 2001)</v>
      </c>
      <c r="V482" s="93">
        <f>VLOOKUP(A482,'Parameters Summary'!$B$2:$AB$826,16,FALSE)</f>
        <v>8.0948999999999994E-6</v>
      </c>
      <c r="W482" s="379" t="str">
        <f>VLOOKUP(A482,'Parameters Summary'!$B$2:$AB$826,17,FALSE)</f>
        <v>WATER9 (U.S. EPA, 2001)</v>
      </c>
      <c r="X482" s="290">
        <v>515.34999999999991</v>
      </c>
      <c r="Y482" s="96" t="s">
        <v>553</v>
      </c>
      <c r="Z482" s="96" t="s">
        <v>1653</v>
      </c>
      <c r="AA482" s="96"/>
      <c r="AB482" s="96" t="s">
        <v>1651</v>
      </c>
      <c r="AC482" s="96"/>
      <c r="AD482" s="93">
        <f>VLOOKUP(A482,'Parameters Summary'!$B$2:$AB$826,20,FALSE)</f>
        <v>115</v>
      </c>
      <c r="AE482" s="97" t="str">
        <f>VLOOKUP(A482,'Parameters Summary'!$B$2:$AB$826,21,FALSE)</f>
        <v>EPI</v>
      </c>
      <c r="AF482" s="97"/>
      <c r="AG482" s="94"/>
      <c r="AH482" s="92"/>
      <c r="AI482" s="96"/>
      <c r="AJ482" s="330"/>
      <c r="AL482" s="81"/>
    </row>
    <row r="483" spans="1:38" ht="12.75" customHeight="1">
      <c r="A483" s="96" t="s">
        <v>88</v>
      </c>
      <c r="B483" s="96" t="s">
        <v>1236</v>
      </c>
      <c r="C483" s="96" t="str">
        <f t="shared" si="48"/>
        <v>No</v>
      </c>
      <c r="D483" s="96" t="str">
        <f>VLOOKUP(A483,'Tox Summary'!$O$3:$R$824,3,FALSE)</f>
        <v>No</v>
      </c>
      <c r="E483" s="97">
        <f>VLOOKUP(A483,'Parameters Summary'!$B$2:$AB$826,4,FALSE)</f>
        <v>139.97</v>
      </c>
      <c r="F483" s="97" t="str">
        <f>VLOOKUP(A483,'Parameters Summary'!$B$2:$AB$826,5,FALSE)</f>
        <v>PHYSPROP</v>
      </c>
      <c r="G483" s="93">
        <f>VLOOKUP(A483,'Parameters Summary'!$B$2:$AB$826,9,FALSE)</f>
        <v>1.6199999999999999E-3</v>
      </c>
      <c r="H483" s="93" t="str">
        <f>VLOOKUP(A483,'Parameters Summary'!$B$2:$AB$826,10,FALSE)</f>
        <v>PHYSPROP</v>
      </c>
      <c r="I483" s="93">
        <f>VLOOKUP(A483,'Parameters Summary'!$B$2:$AB$826,24,FALSE)</f>
        <v>256000</v>
      </c>
      <c r="J483" s="97" t="str">
        <f>VLOOKUP(A483,'Parameters Summary'!$B$2:$AB$826,25,FALSE)</f>
        <v>PHYSPROP</v>
      </c>
      <c r="K483" s="97" t="str">
        <f>VLOOKUP(A483,'Tox Summary'!$O$3:$S$827,2,FALSE)</f>
        <v/>
      </c>
      <c r="L483" s="93" t="str">
        <f>VLOOKUP(A483,'Parameters Summary'!$B$2:$AB$826,7,FALSE)</f>
        <v xml:space="preserve"> </v>
      </c>
      <c r="M483" s="93" t="str">
        <f>VLOOKUP(A483,'Parameters Summary'!$B$2:$AB$826,8,FALSE)</f>
        <v/>
      </c>
      <c r="N483" s="91" t="str">
        <f>VLOOKUP(A483,'Parameters Summary'!$B$2:$AB$826,6,FALSE)</f>
        <v xml:space="preserve"> </v>
      </c>
      <c r="O483" s="91" t="str">
        <f t="shared" si="46"/>
        <v/>
      </c>
      <c r="P483" s="91" t="str">
        <f t="shared" si="49"/>
        <v xml:space="preserve"> </v>
      </c>
      <c r="Q483" s="91" t="str">
        <f t="shared" si="47"/>
        <v/>
      </c>
      <c r="R483" s="91" t="str">
        <f t="shared" si="50"/>
        <v xml:space="preserve"> </v>
      </c>
      <c r="S483" s="91" t="str">
        <f t="shared" si="51"/>
        <v/>
      </c>
      <c r="T483" s="93">
        <f>VLOOKUP(A483,'Parameters Summary'!$B$2:$AB$826,15,FALSE)</f>
        <v>7.0479600000000003E-2</v>
      </c>
      <c r="U483" s="93" t="str">
        <f>VLOOKUP(A483,'Parameters Summary'!$B$2:$AB$826,17,FALSE)</f>
        <v>WATER9 (U.S. EPA, 2001)</v>
      </c>
      <c r="V483" s="93">
        <f>VLOOKUP(A483,'Parameters Summary'!$B$2:$AB$826,16,FALSE)</f>
        <v>8.2349999999999999E-6</v>
      </c>
      <c r="W483" s="379" t="str">
        <f>VLOOKUP(A483,'Parameters Summary'!$B$2:$AB$826,17,FALSE)</f>
        <v>WATER9 (U.S. EPA, 2001)</v>
      </c>
      <c r="X483" s="347"/>
      <c r="Y483" s="96"/>
      <c r="Z483" s="96" t="s">
        <v>1653</v>
      </c>
      <c r="AA483" s="96"/>
      <c r="AB483" s="96" t="s">
        <v>1651</v>
      </c>
      <c r="AC483" s="96"/>
      <c r="AD483" s="93">
        <f>VLOOKUP(A483,'Parameters Summary'!$B$2:$AB$826,20,FALSE)</f>
        <v>43.89</v>
      </c>
      <c r="AE483" s="97" t="str">
        <f>VLOOKUP(A483,'Parameters Summary'!$B$2:$AB$826,21,FALSE)</f>
        <v>EPI</v>
      </c>
      <c r="AF483" s="97"/>
      <c r="AG483" s="94"/>
      <c r="AH483" s="92"/>
      <c r="AI483" s="96"/>
      <c r="AJ483" s="330"/>
      <c r="AL483" s="81"/>
    </row>
    <row r="484" spans="1:38" ht="12.75" customHeight="1">
      <c r="A484" s="96" t="s">
        <v>1572</v>
      </c>
      <c r="B484" s="96" t="s">
        <v>1571</v>
      </c>
      <c r="C484" s="96" t="str">
        <f t="shared" si="48"/>
        <v>No</v>
      </c>
      <c r="D484" s="96" t="str">
        <f>VLOOKUP(A484,'Tox Summary'!$O$3:$R$824,3,FALSE)</f>
        <v>No</v>
      </c>
      <c r="E484" s="97">
        <f>VLOOKUP(A484,'Parameters Summary'!$B$2:$AB$826,4,FALSE)</f>
        <v>158.62863999999999</v>
      </c>
      <c r="F484" s="97" t="str">
        <f>VLOOKUP(A484,'Parameters Summary'!$B$2:$AB$826,5,FALSE)</f>
        <v>PubChem</v>
      </c>
      <c r="G484" s="93" t="s">
        <v>2439</v>
      </c>
      <c r="H484" s="93" t="str">
        <f>VLOOKUP(A484,'Parameters Summary'!$B$2:$AB$826,10,FALSE)</f>
        <v/>
      </c>
      <c r="I484" s="93" t="s">
        <v>2440</v>
      </c>
      <c r="J484" s="97" t="str">
        <f>VLOOKUP(A484,'Parameters Summary'!$B$2:$AB$826,25,FALSE)</f>
        <v/>
      </c>
      <c r="K484" s="97" t="str">
        <f>VLOOKUP(A484,'Tox Summary'!$O$3:$S$827,2,FALSE)</f>
        <v/>
      </c>
      <c r="L484" s="93" t="s">
        <v>2298</v>
      </c>
      <c r="M484" s="93" t="str">
        <f>VLOOKUP(A484,'Parameters Summary'!$B$2:$AB$826,8,FALSE)</f>
        <v/>
      </c>
      <c r="N484" s="91" t="str">
        <f>VLOOKUP(A484,'Parameters Summary'!$B$2:$AB$826,6,FALSE)</f>
        <v xml:space="preserve"> </v>
      </c>
      <c r="O484" s="91" t="str">
        <f t="shared" si="46"/>
        <v/>
      </c>
      <c r="P484" s="91" t="str">
        <f t="shared" si="49"/>
        <v xml:space="preserve"> </v>
      </c>
      <c r="Q484" s="91" t="str">
        <f t="shared" si="47"/>
        <v/>
      </c>
      <c r="R484" s="91" t="str">
        <f t="shared" si="50"/>
        <v xml:space="preserve"> </v>
      </c>
      <c r="S484" s="91" t="str">
        <f t="shared" si="51"/>
        <v/>
      </c>
      <c r="T484" s="93">
        <f>VLOOKUP(A484,'Parameters Summary'!$B$2:$AB$826,15,FALSE)</f>
        <v>6.4838400000000004E-2</v>
      </c>
      <c r="U484" s="93" t="str">
        <f>VLOOKUP(A484,'Parameters Summary'!$B$2:$AB$826,17,FALSE)</f>
        <v>WATER9 (U.S. EPA, 2001)</v>
      </c>
      <c r="V484" s="93">
        <f>VLOOKUP(A484,'Parameters Summary'!$B$2:$AB$826,16,FALSE)</f>
        <v>7.5758999999999998E-6</v>
      </c>
      <c r="W484" s="379" t="str">
        <f>VLOOKUP(A484,'Parameters Summary'!$B$2:$AB$826,17,FALSE)</f>
        <v>WATER9 (U.S. EPA, 2001)</v>
      </c>
      <c r="X484" s="347"/>
      <c r="Y484" s="96"/>
      <c r="Z484" s="96" t="s">
        <v>1653</v>
      </c>
      <c r="AA484" s="96"/>
      <c r="AB484" s="96" t="s">
        <v>1651</v>
      </c>
      <c r="AC484" s="96"/>
      <c r="AD484" s="93" t="str">
        <f>VLOOKUP(A484,'Parameters Summary'!$B$2:$AB$826,20,FALSE)</f>
        <v xml:space="preserve"> </v>
      </c>
      <c r="AE484" s="97" t="str">
        <f>VLOOKUP(A484,'Parameters Summary'!$B$2:$AB$826,21,FALSE)</f>
        <v/>
      </c>
      <c r="AF484" s="97"/>
      <c r="AG484" s="94"/>
      <c r="AH484" s="92"/>
      <c r="AI484" s="96"/>
      <c r="AJ484" s="330"/>
      <c r="AL484" s="81"/>
    </row>
    <row r="485" spans="1:38" ht="12.75" customHeight="1">
      <c r="A485" s="96" t="s">
        <v>1574</v>
      </c>
      <c r="B485" s="96" t="s">
        <v>1573</v>
      </c>
      <c r="C485" s="96" t="str">
        <f t="shared" si="48"/>
        <v>No</v>
      </c>
      <c r="D485" s="96" t="str">
        <f>VLOOKUP(A485,'Tox Summary'!$O$3:$R$824,3,FALSE)</f>
        <v>No</v>
      </c>
      <c r="E485" s="97">
        <f>VLOOKUP(A485,'Parameters Summary'!$B$2:$AB$826,4,FALSE)</f>
        <v>220.25</v>
      </c>
      <c r="F485" s="97" t="str">
        <f>VLOOKUP(A485,'Parameters Summary'!$B$2:$AB$826,5,FALSE)</f>
        <v>ChemicalBook</v>
      </c>
      <c r="G485" s="93" t="s">
        <v>2439</v>
      </c>
      <c r="H485" s="93" t="str">
        <f>VLOOKUP(A485,'Parameters Summary'!$B$2:$AB$826,10,FALSE)</f>
        <v/>
      </c>
      <c r="I485" s="93" t="s">
        <v>2440</v>
      </c>
      <c r="J485" s="97" t="str">
        <f>VLOOKUP(A485,'Parameters Summary'!$B$2:$AB$826,25,FALSE)</f>
        <v/>
      </c>
      <c r="K485" s="97" t="str">
        <f>VLOOKUP(A485,'Tox Summary'!$O$3:$S$827,2,FALSE)</f>
        <v/>
      </c>
      <c r="L485" s="93" t="s">
        <v>2298</v>
      </c>
      <c r="M485" s="93" t="str">
        <f>VLOOKUP(A485,'Parameters Summary'!$B$2:$AB$826,8,FALSE)</f>
        <v/>
      </c>
      <c r="N485" s="91" t="str">
        <f>VLOOKUP(A485,'Parameters Summary'!$B$2:$AB$826,6,FALSE)</f>
        <v xml:space="preserve"> </v>
      </c>
      <c r="O485" s="91" t="str">
        <f t="shared" si="46"/>
        <v/>
      </c>
      <c r="P485" s="91" t="str">
        <f t="shared" si="49"/>
        <v xml:space="preserve"> </v>
      </c>
      <c r="Q485" s="91" t="str">
        <f t="shared" si="47"/>
        <v/>
      </c>
      <c r="R485" s="91" t="str">
        <f t="shared" si="50"/>
        <v xml:space="preserve"> </v>
      </c>
      <c r="S485" s="91" t="str">
        <f t="shared" si="51"/>
        <v/>
      </c>
      <c r="T485" s="93">
        <f>VLOOKUP(A485,'Parameters Summary'!$B$2:$AB$826,15,FALSE)</f>
        <v>5.20966E-2</v>
      </c>
      <c r="U485" s="93" t="str">
        <f>VLOOKUP(A485,'Parameters Summary'!$B$2:$AB$826,17,FALSE)</f>
        <v>WATER9 (U.S. EPA, 2001)</v>
      </c>
      <c r="V485" s="93">
        <f>VLOOKUP(A485,'Parameters Summary'!$B$2:$AB$826,16,FALSE)</f>
        <v>6.0870999999999997E-6</v>
      </c>
      <c r="W485" s="379" t="str">
        <f>VLOOKUP(A485,'Parameters Summary'!$B$2:$AB$826,17,FALSE)</f>
        <v>WATER9 (U.S. EPA, 2001)</v>
      </c>
      <c r="X485" s="347"/>
      <c r="Y485" s="96"/>
      <c r="Z485" s="96" t="s">
        <v>1653</v>
      </c>
      <c r="AA485" s="96"/>
      <c r="AB485" s="96" t="s">
        <v>1651</v>
      </c>
      <c r="AC485" s="96"/>
      <c r="AD485" s="93" t="str">
        <f>VLOOKUP(A485,'Parameters Summary'!$B$2:$AB$826,20,FALSE)</f>
        <v xml:space="preserve"> </v>
      </c>
      <c r="AE485" s="97" t="str">
        <f>VLOOKUP(A485,'Parameters Summary'!$B$2:$AB$826,21,FALSE)</f>
        <v/>
      </c>
      <c r="AF485" s="97"/>
      <c r="AG485" s="94"/>
      <c r="AH485" s="92"/>
      <c r="AI485" s="96"/>
      <c r="AJ485" s="330"/>
      <c r="AL485" s="81"/>
    </row>
    <row r="486" spans="1:38" ht="12.75" customHeight="1">
      <c r="A486" s="96" t="s">
        <v>89</v>
      </c>
      <c r="B486" s="96" t="s">
        <v>597</v>
      </c>
      <c r="C486" s="96" t="str">
        <f t="shared" si="48"/>
        <v>No</v>
      </c>
      <c r="D486" s="96" t="str">
        <f>VLOOKUP(A486,'Tox Summary'!$O$3:$R$824,3,FALSE)</f>
        <v>No</v>
      </c>
      <c r="E486" s="97">
        <f>VLOOKUP(A486,'Parameters Summary'!$B$2:$AB$826,4,FALSE)</f>
        <v>268.36</v>
      </c>
      <c r="F486" s="97" t="str">
        <f>VLOOKUP(A486,'Parameters Summary'!$B$2:$AB$826,5,FALSE)</f>
        <v>PHYSPROP</v>
      </c>
      <c r="G486" s="93">
        <f>VLOOKUP(A486,'Parameters Summary'!$B$2:$AB$826,9,FALSE)</f>
        <v>4.3000000000000001E-8</v>
      </c>
      <c r="H486" s="93" t="str">
        <f>VLOOKUP(A486,'Parameters Summary'!$B$2:$AB$826,10,FALSE)</f>
        <v>EPI</v>
      </c>
      <c r="I486" s="93">
        <f>VLOOKUP(A486,'Parameters Summary'!$B$2:$AB$826,24,FALSE)</f>
        <v>2.8999999999999998E-3</v>
      </c>
      <c r="J486" s="97" t="str">
        <f>VLOOKUP(A486,'Parameters Summary'!$B$2:$AB$826,25,FALSE)</f>
        <v>PHYSPROP</v>
      </c>
      <c r="K486" s="97" t="str">
        <f>VLOOKUP(A486,'Tox Summary'!$O$3:$S$827,2,FALSE)</f>
        <v/>
      </c>
      <c r="L486" s="93">
        <f>VLOOKUP(A486,'Parameters Summary'!$B$2:$AB$826,7,FALSE)</f>
        <v>5.2399999999999998E-6</v>
      </c>
      <c r="M486" s="93" t="str">
        <f>VLOOKUP(A486,'Parameters Summary'!$B$2:$AB$826,8,FALSE)</f>
        <v>EPI</v>
      </c>
      <c r="N486" s="91">
        <f>VLOOKUP(A486,'Parameters Summary'!$B$2:$AB$826,6,FALSE)</f>
        <v>2.142E-4</v>
      </c>
      <c r="O486" s="91" t="str">
        <f t="shared" si="46"/>
        <v/>
      </c>
      <c r="P486" s="91">
        <f t="shared" si="49"/>
        <v>2.142E-4</v>
      </c>
      <c r="Q486" s="91" t="str">
        <f t="shared" si="47"/>
        <v/>
      </c>
      <c r="R486" s="91">
        <f t="shared" si="50"/>
        <v>2.142E-4</v>
      </c>
      <c r="S486" s="91" t="str">
        <f t="shared" si="51"/>
        <v/>
      </c>
      <c r="T486" s="93">
        <f>VLOOKUP(A486,'Parameters Summary'!$B$2:$AB$826,15,FALSE)</f>
        <v>2.40562E-2</v>
      </c>
      <c r="U486" s="93" t="str">
        <f>VLOOKUP(A486,'Parameters Summary'!$B$2:$AB$826,17,FALSE)</f>
        <v>WATER9 (U.S. EPA, 2001)</v>
      </c>
      <c r="V486" s="93">
        <f>VLOOKUP(A486,'Parameters Summary'!$B$2:$AB$826,16,FALSE)</f>
        <v>6.1427999999999999E-6</v>
      </c>
      <c r="W486" s="379" t="str">
        <f>VLOOKUP(A486,'Parameters Summary'!$B$2:$AB$826,17,FALSE)</f>
        <v>WATER9 (U.S. EPA, 2001)</v>
      </c>
      <c r="X486" s="290">
        <v>553.15</v>
      </c>
      <c r="Y486" s="96" t="s">
        <v>553</v>
      </c>
      <c r="Z486" s="96" t="s">
        <v>1653</v>
      </c>
      <c r="AA486" s="96"/>
      <c r="AB486" s="96" t="s">
        <v>1651</v>
      </c>
      <c r="AC486" s="96"/>
      <c r="AD486" s="93">
        <f>VLOOKUP(A486,'Parameters Summary'!$B$2:$AB$826,20,FALSE)</f>
        <v>961600</v>
      </c>
      <c r="AE486" s="97" t="str">
        <f>VLOOKUP(A486,'Parameters Summary'!$B$2:$AB$826,21,FALSE)</f>
        <v>EPI</v>
      </c>
      <c r="AF486" s="97"/>
      <c r="AG486" s="94"/>
      <c r="AH486" s="92"/>
      <c r="AI486" s="96"/>
      <c r="AJ486" s="330"/>
      <c r="AL486" s="81"/>
    </row>
    <row r="487" spans="1:38" ht="12.75" customHeight="1">
      <c r="A487" s="95" t="s">
        <v>90</v>
      </c>
      <c r="B487" s="96" t="s">
        <v>1237</v>
      </c>
      <c r="C487" s="96" t="str">
        <f t="shared" si="48"/>
        <v>Yes</v>
      </c>
      <c r="D487" s="96" t="str">
        <f>VLOOKUP(A487,'Tox Summary'!$O$3:$R$824,3,FALSE)</f>
        <v>No</v>
      </c>
      <c r="E487" s="97">
        <f>VLOOKUP(A487,'Parameters Summary'!$B$2:$AB$826,4,FALSE)</f>
        <v>84.933000000000007</v>
      </c>
      <c r="F487" s="97" t="str">
        <f>VLOOKUP(A487,'Parameters Summary'!$B$2:$AB$826,5,FALSE)</f>
        <v>PHYSPROP</v>
      </c>
      <c r="G487" s="93">
        <f>VLOOKUP(A487,'Parameters Summary'!$B$2:$AB$826,9,FALSE)</f>
        <v>435</v>
      </c>
      <c r="H487" s="93" t="str">
        <f>VLOOKUP(A487,'Parameters Summary'!$B$2:$AB$826,10,FALSE)</f>
        <v>PHYSPROP</v>
      </c>
      <c r="I487" s="93">
        <f>VLOOKUP(A487,'Parameters Summary'!$B$2:$AB$826,24,FALSE)</f>
        <v>13000</v>
      </c>
      <c r="J487" s="97" t="str">
        <f>VLOOKUP(A487,'Parameters Summary'!$B$2:$AB$826,25,FALSE)</f>
        <v>PHYSPROP</v>
      </c>
      <c r="K487" s="97">
        <f>VLOOKUP(A487,'Tox Summary'!$O$3:$S$827,2,FALSE)</f>
        <v>5</v>
      </c>
      <c r="L487" s="93">
        <f>VLOOKUP(A487,'Parameters Summary'!$B$2:$AB$826,7,FALSE)</f>
        <v>3.2499999999999999E-3</v>
      </c>
      <c r="M487" s="93" t="str">
        <f>VLOOKUP(A487,'Parameters Summary'!$B$2:$AB$826,8,FALSE)</f>
        <v>PHYSPROP</v>
      </c>
      <c r="N487" s="91">
        <f>VLOOKUP(A487,'Parameters Summary'!$B$2:$AB$826,6,FALSE)</f>
        <v>0.13286999999999999</v>
      </c>
      <c r="O487" s="91">
        <f t="shared" si="46"/>
        <v>0.13286999999999999</v>
      </c>
      <c r="P487" s="91">
        <f t="shared" si="49"/>
        <v>0.13286999999999999</v>
      </c>
      <c r="Q487" s="91">
        <f t="shared" si="47"/>
        <v>0.13286999999999999</v>
      </c>
      <c r="R487" s="91">
        <f t="shared" si="50"/>
        <v>0.13286999999999999</v>
      </c>
      <c r="S487" s="91">
        <f t="shared" si="51"/>
        <v>1988011592.1750371</v>
      </c>
      <c r="T487" s="93">
        <f>VLOOKUP(A487,'Parameters Summary'!$B$2:$AB$826,15,FALSE)</f>
        <v>9.9936200000000003E-2</v>
      </c>
      <c r="U487" s="93" t="str">
        <f>VLOOKUP(A487,'Parameters Summary'!$B$2:$AB$826,17,FALSE)</f>
        <v>WATER9 (U.S. EPA, 2001)</v>
      </c>
      <c r="V487" s="93">
        <f>VLOOKUP(A487,'Parameters Summary'!$B$2:$AB$826,16,FALSE)</f>
        <v>1.2500000000000001E-5</v>
      </c>
      <c r="W487" s="379" t="str">
        <f>VLOOKUP(A487,'Parameters Summary'!$B$2:$AB$826,17,FALSE)</f>
        <v>WATER9 (U.S. EPA, 2001)</v>
      </c>
      <c r="X487" s="290">
        <v>313</v>
      </c>
      <c r="Y487" s="96" t="s">
        <v>553</v>
      </c>
      <c r="Z487" s="96">
        <v>510</v>
      </c>
      <c r="AA487" s="96" t="s">
        <v>2227</v>
      </c>
      <c r="AB487" s="96">
        <v>6706</v>
      </c>
      <c r="AC487" s="96" t="s">
        <v>2227</v>
      </c>
      <c r="AD487" s="93">
        <f>VLOOKUP(A487,'Parameters Summary'!$B$2:$AB$826,20,FALSE)</f>
        <v>21.73</v>
      </c>
      <c r="AE487" s="97" t="str">
        <f>VLOOKUP(A487,'Parameters Summary'!$B$2:$AB$826,21,FALSE)</f>
        <v>EPI</v>
      </c>
      <c r="AF487" s="380">
        <v>13</v>
      </c>
      <c r="AG487" s="97" t="s">
        <v>302</v>
      </c>
      <c r="AH487" s="92"/>
      <c r="AI487" s="96"/>
      <c r="AJ487" s="330"/>
      <c r="AL487" s="81"/>
    </row>
    <row r="488" spans="1:38" ht="12.75" customHeight="1">
      <c r="A488" s="96" t="s">
        <v>91</v>
      </c>
      <c r="B488" s="96" t="s">
        <v>1238</v>
      </c>
      <c r="C488" s="96" t="str">
        <f t="shared" si="48"/>
        <v>No</v>
      </c>
      <c r="D488" s="96" t="str">
        <f>VLOOKUP(A488,'Tox Summary'!$O$3:$R$824,3,FALSE)</f>
        <v>Yes</v>
      </c>
      <c r="E488" s="97">
        <f>VLOOKUP(A488,'Parameters Summary'!$B$2:$AB$826,4,FALSE)</f>
        <v>267.16000000000003</v>
      </c>
      <c r="F488" s="97" t="str">
        <f>VLOOKUP(A488,'Parameters Summary'!$B$2:$AB$826,5,FALSE)</f>
        <v>PHYSPROP</v>
      </c>
      <c r="G488" s="93">
        <f>VLOOKUP(A488,'Parameters Summary'!$B$2:$AB$826,9,FALSE)</f>
        <v>2.8599999999999999E-7</v>
      </c>
      <c r="H488" s="93" t="str">
        <f>VLOOKUP(A488,'Parameters Summary'!$B$2:$AB$826,10,FALSE)</f>
        <v>PHYSPROP</v>
      </c>
      <c r="I488" s="93">
        <f>VLOOKUP(A488,'Parameters Summary'!$B$2:$AB$826,24,FALSE)</f>
        <v>13.9</v>
      </c>
      <c r="J488" s="97" t="str">
        <f>VLOOKUP(A488,'Parameters Summary'!$B$2:$AB$826,25,FALSE)</f>
        <v>PHYSPROP</v>
      </c>
      <c r="K488" s="97" t="str">
        <f>VLOOKUP(A488,'Tox Summary'!$O$3:$S$827,2,FALSE)</f>
        <v/>
      </c>
      <c r="L488" s="93">
        <f>VLOOKUP(A488,'Parameters Summary'!$B$2:$AB$826,7,FALSE)</f>
        <v>4.0600000000000001E-11</v>
      </c>
      <c r="M488" s="93" t="str">
        <f>VLOOKUP(A488,'Parameters Summary'!$B$2:$AB$826,8,FALSE)</f>
        <v>PHYSPROP</v>
      </c>
      <c r="N488" s="91">
        <f>VLOOKUP(A488,'Parameters Summary'!$B$2:$AB$826,6,FALSE)</f>
        <v>1.6599E-9</v>
      </c>
      <c r="O488" s="91" t="str">
        <f t="shared" si="46"/>
        <v/>
      </c>
      <c r="P488" s="91">
        <f t="shared" si="49"/>
        <v>1.6599E-9</v>
      </c>
      <c r="Q488" s="91" t="str">
        <f t="shared" si="47"/>
        <v/>
      </c>
      <c r="R488" s="91">
        <f t="shared" si="50"/>
        <v>1.6599E-9</v>
      </c>
      <c r="S488" s="91" t="str">
        <f t="shared" si="51"/>
        <v/>
      </c>
      <c r="T488" s="93">
        <f>VLOOKUP(A488,'Parameters Summary'!$B$2:$AB$826,15,FALSE)</f>
        <v>4.5804299999999999E-2</v>
      </c>
      <c r="U488" s="93" t="str">
        <f>VLOOKUP(A488,'Parameters Summary'!$B$2:$AB$826,17,FALSE)</f>
        <v>WATER9 (U.S. EPA, 2001)</v>
      </c>
      <c r="V488" s="93">
        <f>VLOOKUP(A488,'Parameters Summary'!$B$2:$AB$826,16,FALSE)</f>
        <v>5.3519000000000004E-6</v>
      </c>
      <c r="W488" s="379" t="str">
        <f>VLOOKUP(A488,'Parameters Summary'!$B$2:$AB$826,17,FALSE)</f>
        <v>WATER9 (U.S. EPA, 2001)</v>
      </c>
      <c r="X488" s="290">
        <v>652.04999999999995</v>
      </c>
      <c r="Y488" s="96" t="s">
        <v>553</v>
      </c>
      <c r="Z488" s="96" t="s">
        <v>1653</v>
      </c>
      <c r="AA488" s="96"/>
      <c r="AB488" s="96" t="s">
        <v>1651</v>
      </c>
      <c r="AC488" s="96"/>
      <c r="AD488" s="93">
        <f>VLOOKUP(A488,'Parameters Summary'!$B$2:$AB$826,20,FALSE)</f>
        <v>5698</v>
      </c>
      <c r="AE488" s="97" t="str">
        <f>VLOOKUP(A488,'Parameters Summary'!$B$2:$AB$826,21,FALSE)</f>
        <v>EPI</v>
      </c>
      <c r="AF488" s="97"/>
      <c r="AG488" s="94"/>
      <c r="AH488" s="92"/>
      <c r="AI488" s="96"/>
      <c r="AJ488" s="330"/>
      <c r="AL488" s="81"/>
    </row>
    <row r="489" spans="1:38" ht="12.75" customHeight="1">
      <c r="A489" s="96" t="s">
        <v>92</v>
      </c>
      <c r="B489" s="96" t="s">
        <v>1239</v>
      </c>
      <c r="C489" s="96" t="str">
        <f t="shared" si="48"/>
        <v>No</v>
      </c>
      <c r="D489" s="96" t="str">
        <f>VLOOKUP(A489,'Tox Summary'!$O$3:$R$824,3,FALSE)</f>
        <v>No</v>
      </c>
      <c r="E489" s="97">
        <f>VLOOKUP(A489,'Parameters Summary'!$B$2:$AB$826,4,FALSE)</f>
        <v>254.38</v>
      </c>
      <c r="F489" s="97" t="str">
        <f>VLOOKUP(A489,'Parameters Summary'!$B$2:$AB$826,5,FALSE)</f>
        <v>PHYSPROP</v>
      </c>
      <c r="G489" s="93">
        <f>VLOOKUP(A489,'Parameters Summary'!$B$2:$AB$826,9,FALSE)</f>
        <v>1.7499999999999998E-5</v>
      </c>
      <c r="H489" s="93" t="str">
        <f>VLOOKUP(A489,'Parameters Summary'!$B$2:$AB$826,10,FALSE)</f>
        <v>PHYSPROP</v>
      </c>
      <c r="I489" s="93">
        <f>VLOOKUP(A489,'Parameters Summary'!$B$2:$AB$826,24,FALSE)</f>
        <v>4.1399999999999997</v>
      </c>
      <c r="J489" s="97" t="str">
        <f>VLOOKUP(A489,'Parameters Summary'!$B$2:$AB$826,25,FALSE)</f>
        <v>PHYSPROP</v>
      </c>
      <c r="K489" s="97" t="str">
        <f>VLOOKUP(A489,'Tox Summary'!$O$3:$S$827,2,FALSE)</f>
        <v/>
      </c>
      <c r="L489" s="93">
        <f>VLOOKUP(A489,'Parameters Summary'!$B$2:$AB$826,7,FALSE)</f>
        <v>1.07E-9</v>
      </c>
      <c r="M489" s="93" t="str">
        <f>VLOOKUP(A489,'Parameters Summary'!$B$2:$AB$826,8,FALSE)</f>
        <v>PHYSPROP</v>
      </c>
      <c r="N489" s="91">
        <f>VLOOKUP(A489,'Parameters Summary'!$B$2:$AB$826,6,FALSE)</f>
        <v>4.3744999999999999E-8</v>
      </c>
      <c r="O489" s="91" t="str">
        <f t="shared" si="46"/>
        <v/>
      </c>
      <c r="P489" s="91">
        <f t="shared" si="49"/>
        <v>4.3744999999999999E-8</v>
      </c>
      <c r="Q489" s="91" t="str">
        <f t="shared" si="47"/>
        <v/>
      </c>
      <c r="R489" s="91">
        <f t="shared" si="50"/>
        <v>4.3744999999999999E-8</v>
      </c>
      <c r="S489" s="91" t="str">
        <f t="shared" si="51"/>
        <v/>
      </c>
      <c r="T489" s="93">
        <f>VLOOKUP(A489,'Parameters Summary'!$B$2:$AB$826,15,FALSE)</f>
        <v>4.7325800000000001E-2</v>
      </c>
      <c r="U489" s="93" t="str">
        <f>VLOOKUP(A489,'Parameters Summary'!$B$2:$AB$826,17,FALSE)</f>
        <v>WATER9 (U.S. EPA, 2001)</v>
      </c>
      <c r="V489" s="93">
        <f>VLOOKUP(A489,'Parameters Summary'!$B$2:$AB$826,16,FALSE)</f>
        <v>5.5296999999999998E-6</v>
      </c>
      <c r="W489" s="379" t="str">
        <f>VLOOKUP(A489,'Parameters Summary'!$B$2:$AB$826,17,FALSE)</f>
        <v>WATER9 (U.S. EPA, 2001)</v>
      </c>
      <c r="X489" s="290">
        <v>663.15</v>
      </c>
      <c r="Y489" s="96" t="s">
        <v>553</v>
      </c>
      <c r="Z489" s="96" t="s">
        <v>1653</v>
      </c>
      <c r="AA489" s="96"/>
      <c r="AB489" s="96" t="s">
        <v>1651</v>
      </c>
      <c r="AC489" s="96"/>
      <c r="AD489" s="93">
        <f>VLOOKUP(A489,'Parameters Summary'!$B$2:$AB$826,20,FALSE)</f>
        <v>2667</v>
      </c>
      <c r="AE489" s="97" t="str">
        <f>VLOOKUP(A489,'Parameters Summary'!$B$2:$AB$826,21,FALSE)</f>
        <v>EPI</v>
      </c>
      <c r="AF489" s="97"/>
      <c r="AG489" s="94"/>
      <c r="AH489" s="92"/>
      <c r="AI489" s="96"/>
      <c r="AJ489" s="330"/>
      <c r="AL489" s="81"/>
    </row>
    <row r="490" spans="1:38" ht="12.75" customHeight="1">
      <c r="A490" s="96" t="s">
        <v>93</v>
      </c>
      <c r="B490" s="96" t="s">
        <v>1240</v>
      </c>
      <c r="C490" s="96" t="str">
        <f t="shared" si="48"/>
        <v>No</v>
      </c>
      <c r="D490" s="96" t="str">
        <f>VLOOKUP(A490,'Tox Summary'!$O$3:$R$824,3,FALSE)</f>
        <v>No</v>
      </c>
      <c r="E490" s="97">
        <f>VLOOKUP(A490,'Parameters Summary'!$B$2:$AB$826,4,FALSE)</f>
        <v>198.27</v>
      </c>
      <c r="F490" s="97" t="str">
        <f>VLOOKUP(A490,'Parameters Summary'!$B$2:$AB$826,5,FALSE)</f>
        <v>PHYSPROP</v>
      </c>
      <c r="G490" s="93">
        <f>VLOOKUP(A490,'Parameters Summary'!$B$2:$AB$826,9,FALSE)</f>
        <v>2.03E-7</v>
      </c>
      <c r="H490" s="93" t="str">
        <f>VLOOKUP(A490,'Parameters Summary'!$B$2:$AB$826,10,FALSE)</f>
        <v>PHYSPROP</v>
      </c>
      <c r="I490" s="93">
        <f>VLOOKUP(A490,'Parameters Summary'!$B$2:$AB$826,24,FALSE)</f>
        <v>1000</v>
      </c>
      <c r="J490" s="97" t="str">
        <f>VLOOKUP(A490,'Parameters Summary'!$B$2:$AB$826,25,FALSE)</f>
        <v>PHYSPROP</v>
      </c>
      <c r="K490" s="97" t="str">
        <f>VLOOKUP(A490,'Tox Summary'!$O$3:$S$827,2,FALSE)</f>
        <v/>
      </c>
      <c r="L490" s="93">
        <f>VLOOKUP(A490,'Parameters Summary'!$B$2:$AB$826,7,FALSE)</f>
        <v>5.2999999999999998E-11</v>
      </c>
      <c r="M490" s="93" t="str">
        <f>VLOOKUP(A490,'Parameters Summary'!$B$2:$AB$826,8,FALSE)</f>
        <v>PHYSPROP</v>
      </c>
      <c r="N490" s="91">
        <f>VLOOKUP(A490,'Parameters Summary'!$B$2:$AB$826,6,FALSE)</f>
        <v>2.1668E-9</v>
      </c>
      <c r="O490" s="91" t="str">
        <f t="shared" si="46"/>
        <v/>
      </c>
      <c r="P490" s="91">
        <f t="shared" si="49"/>
        <v>2.1668E-9</v>
      </c>
      <c r="Q490" s="91" t="str">
        <f t="shared" si="47"/>
        <v/>
      </c>
      <c r="R490" s="91">
        <f t="shared" si="50"/>
        <v>2.1668E-9</v>
      </c>
      <c r="S490" s="91" t="str">
        <f t="shared" si="51"/>
        <v/>
      </c>
      <c r="T490" s="93">
        <f>VLOOKUP(A490,'Parameters Summary'!$B$2:$AB$826,15,FALSE)</f>
        <v>5.5878999999999998E-2</v>
      </c>
      <c r="U490" s="93" t="str">
        <f>VLOOKUP(A490,'Parameters Summary'!$B$2:$AB$826,17,FALSE)</f>
        <v>WATER9 (U.S. EPA, 2001)</v>
      </c>
      <c r="V490" s="93">
        <f>VLOOKUP(A490,'Parameters Summary'!$B$2:$AB$826,16,FALSE)</f>
        <v>6.5289999999999997E-6</v>
      </c>
      <c r="W490" s="379" t="str">
        <f>VLOOKUP(A490,'Parameters Summary'!$B$2:$AB$826,17,FALSE)</f>
        <v>WATER9 (U.S. EPA, 2001)</v>
      </c>
      <c r="X490" s="290">
        <v>671.15</v>
      </c>
      <c r="Y490" s="96" t="s">
        <v>553</v>
      </c>
      <c r="Z490" s="96" t="s">
        <v>1653</v>
      </c>
      <c r="AA490" s="96"/>
      <c r="AB490" s="96" t="s">
        <v>1651</v>
      </c>
      <c r="AC490" s="96"/>
      <c r="AD490" s="93">
        <f>VLOOKUP(A490,'Parameters Summary'!$B$2:$AB$826,20,FALSE)</f>
        <v>2126</v>
      </c>
      <c r="AE490" s="97" t="str">
        <f>VLOOKUP(A490,'Parameters Summary'!$B$2:$AB$826,21,FALSE)</f>
        <v>EPI</v>
      </c>
      <c r="AF490" s="97"/>
      <c r="AG490" s="94"/>
      <c r="AH490" s="92"/>
      <c r="AI490" s="96"/>
      <c r="AJ490" s="330"/>
      <c r="AL490" s="81"/>
    </row>
    <row r="491" spans="1:38" ht="12.75" customHeight="1">
      <c r="A491" s="96" t="s">
        <v>94</v>
      </c>
      <c r="B491" s="96" t="s">
        <v>1241</v>
      </c>
      <c r="C491" s="96" t="str">
        <f t="shared" si="48"/>
        <v>No</v>
      </c>
      <c r="D491" s="96" t="str">
        <f>VLOOKUP(A491,'Tox Summary'!$O$3:$R$824,3,FALSE)</f>
        <v>No</v>
      </c>
      <c r="E491" s="97">
        <f>VLOOKUP(A491,'Parameters Summary'!$B$2:$AB$826,4,FALSE)</f>
        <v>250.26</v>
      </c>
      <c r="F491" s="97" t="str">
        <f>VLOOKUP(A491,'Parameters Summary'!$B$2:$AB$826,5,FALSE)</f>
        <v>PHYSPROP</v>
      </c>
      <c r="G491" s="93">
        <f>VLOOKUP(A491,'Parameters Summary'!$B$2:$AB$826,9,FALSE)</f>
        <v>5.0000000000000004E-6</v>
      </c>
      <c r="H491" s="93" t="str">
        <f>VLOOKUP(A491,'Parameters Summary'!$B$2:$AB$826,10,FALSE)</f>
        <v>PHYSPROP</v>
      </c>
      <c r="I491" s="93">
        <f>VLOOKUP(A491,'Parameters Summary'!$B$2:$AB$826,24,FALSE)</f>
        <v>0.82879999999999998</v>
      </c>
      <c r="J491" s="97" t="str">
        <f>VLOOKUP(A491,'Parameters Summary'!$B$2:$AB$826,25,FALSE)</f>
        <v>PHYSPROP</v>
      </c>
      <c r="K491" s="97" t="str">
        <f>VLOOKUP(A491,'Tox Summary'!$O$3:$S$827,2,FALSE)</f>
        <v/>
      </c>
      <c r="L491" s="93">
        <f>VLOOKUP(A491,'Parameters Summary'!$B$2:$AB$826,7,FALSE)</f>
        <v>8.9500000000000001E-7</v>
      </c>
      <c r="M491" s="93" t="str">
        <f>VLOOKUP(A491,'Parameters Summary'!$B$2:$AB$826,8,FALSE)</f>
        <v>PHYSPROP</v>
      </c>
      <c r="N491" s="91">
        <f>VLOOKUP(A491,'Parameters Summary'!$B$2:$AB$826,6,FALSE)</f>
        <v>3.6600000000000002E-5</v>
      </c>
      <c r="O491" s="91" t="str">
        <f t="shared" si="46"/>
        <v/>
      </c>
      <c r="P491" s="91">
        <f t="shared" si="49"/>
        <v>3.6600000000000002E-5</v>
      </c>
      <c r="Q491" s="91" t="str">
        <f t="shared" si="47"/>
        <v/>
      </c>
      <c r="R491" s="91">
        <f t="shared" si="50"/>
        <v>3.6600000000000002E-5</v>
      </c>
      <c r="S491" s="91" t="str">
        <f t="shared" si="51"/>
        <v/>
      </c>
      <c r="T491" s="93">
        <f>VLOOKUP(A491,'Parameters Summary'!$B$2:$AB$826,15,FALSE)</f>
        <v>2.4173699999999999E-2</v>
      </c>
      <c r="U491" s="93" t="str">
        <f>VLOOKUP(A491,'Parameters Summary'!$B$2:$AB$826,17,FALSE)</f>
        <v>WATER9 (U.S. EPA, 2001)</v>
      </c>
      <c r="V491" s="93">
        <f>VLOOKUP(A491,'Parameters Summary'!$B$2:$AB$826,16,FALSE)</f>
        <v>6.1530999999999996E-6</v>
      </c>
      <c r="W491" s="379" t="str">
        <f>VLOOKUP(A491,'Parameters Summary'!$B$2:$AB$826,17,FALSE)</f>
        <v>WATER9 (U.S. EPA, 2001)</v>
      </c>
      <c r="X491" s="290">
        <v>469.15</v>
      </c>
      <c r="Y491" s="96" t="s">
        <v>553</v>
      </c>
      <c r="Z491" s="96" t="s">
        <v>1653</v>
      </c>
      <c r="AA491" s="96"/>
      <c r="AB491" s="96" t="s">
        <v>1651</v>
      </c>
      <c r="AC491" s="96"/>
      <c r="AD491" s="93">
        <f>VLOOKUP(A491,'Parameters Summary'!$B$2:$AB$826,20,FALSE)</f>
        <v>284900</v>
      </c>
      <c r="AE491" s="97" t="str">
        <f>VLOOKUP(A491,'Parameters Summary'!$B$2:$AB$826,21,FALSE)</f>
        <v>EPI</v>
      </c>
      <c r="AF491" s="97"/>
      <c r="AG491" s="94"/>
      <c r="AH491" s="92"/>
      <c r="AI491" s="96"/>
      <c r="AJ491" s="330"/>
      <c r="AL491" s="81"/>
    </row>
    <row r="492" spans="1:38" ht="12.75" customHeight="1">
      <c r="A492" s="95" t="s">
        <v>215</v>
      </c>
      <c r="B492" s="96" t="s">
        <v>2334</v>
      </c>
      <c r="C492" s="96" t="str">
        <f t="shared" si="48"/>
        <v>Yes</v>
      </c>
      <c r="D492" s="96" t="str">
        <f>VLOOKUP(A492,'Tox Summary'!$O$3:$R$824,3,FALSE)</f>
        <v>No</v>
      </c>
      <c r="E492" s="97">
        <f>VLOOKUP(A492,'Parameters Summary'!$B$2:$AB$826,4,FALSE)</f>
        <v>142.19999999999999</v>
      </c>
      <c r="F492" s="97" t="str">
        <f>VLOOKUP(A492,'Parameters Summary'!$B$2:$AB$826,5,FALSE)</f>
        <v>PHYSPROP</v>
      </c>
      <c r="G492" s="93">
        <f>VLOOKUP(A492,'Parameters Summary'!$B$2:$AB$826,9,FALSE)</f>
        <v>6.7000000000000004E-2</v>
      </c>
      <c r="H492" s="93" t="str">
        <f>VLOOKUP(A492,'Parameters Summary'!$B$2:$AB$826,10,FALSE)</f>
        <v>PHYSPROP</v>
      </c>
      <c r="I492" s="93">
        <f>VLOOKUP(A492,'Parameters Summary'!$B$2:$AB$826,24,FALSE)</f>
        <v>25.8</v>
      </c>
      <c r="J492" s="97" t="str">
        <f>VLOOKUP(A492,'Parameters Summary'!$B$2:$AB$826,25,FALSE)</f>
        <v>PHYSPROP</v>
      </c>
      <c r="K492" s="97" t="str">
        <f>VLOOKUP(A492,'Tox Summary'!$O$3:$S$827,2,FALSE)</f>
        <v/>
      </c>
      <c r="L492" s="93">
        <f>VLOOKUP(A492,'Parameters Summary'!$B$2:$AB$826,7,FALSE)</f>
        <v>5.1400000000000003E-4</v>
      </c>
      <c r="M492" s="93" t="str">
        <f>VLOOKUP(A492,'Parameters Summary'!$B$2:$AB$826,8,FALSE)</f>
        <v>PHYSPROP</v>
      </c>
      <c r="N492" s="91">
        <f>VLOOKUP(A492,'Parameters Summary'!$B$2:$AB$826,6,FALSE)</f>
        <v>2.1013899999999999E-2</v>
      </c>
      <c r="O492" s="91">
        <f t="shared" si="46"/>
        <v>2.1013899999999999E-2</v>
      </c>
      <c r="P492" s="91">
        <f t="shared" si="49"/>
        <v>2.1013899999999999E-2</v>
      </c>
      <c r="Q492" s="91">
        <f t="shared" si="47"/>
        <v>2.1013899999999999E-2</v>
      </c>
      <c r="R492" s="91">
        <f t="shared" si="50"/>
        <v>2.1013899999999999E-2</v>
      </c>
      <c r="S492" s="91">
        <f t="shared" si="51"/>
        <v>512657.82435643859</v>
      </c>
      <c r="T492" s="93">
        <f>VLOOKUP(A492,'Parameters Summary'!$B$2:$AB$826,15,FALSE)</f>
        <v>5.2770499999999998E-2</v>
      </c>
      <c r="U492" s="93" t="str">
        <f>VLOOKUP(A492,'Parameters Summary'!$B$2:$AB$826,17,FALSE)</f>
        <v>WATER9 (U.S. EPA, 2001)</v>
      </c>
      <c r="V492" s="93">
        <f>VLOOKUP(A492,'Parameters Summary'!$B$2:$AB$826,16,FALSE)</f>
        <v>7.8476999999999994E-6</v>
      </c>
      <c r="W492" s="379" t="str">
        <f>VLOOKUP(A492,'Parameters Summary'!$B$2:$AB$826,17,FALSE)</f>
        <v>WATER9 (U.S. EPA, 2001)</v>
      </c>
      <c r="X492" s="290">
        <v>517.70000000000005</v>
      </c>
      <c r="Y492" s="96" t="s">
        <v>2217</v>
      </c>
      <c r="Z492" s="96">
        <v>771.8</v>
      </c>
      <c r="AA492" s="96" t="s">
        <v>1648</v>
      </c>
      <c r="AB492" s="96">
        <v>13690.65</v>
      </c>
      <c r="AC492" s="96" t="s">
        <v>1649</v>
      </c>
      <c r="AD492" s="93">
        <f>VLOOKUP(A492,'Parameters Summary'!$B$2:$AB$826,20,FALSE)</f>
        <v>2528</v>
      </c>
      <c r="AE492" s="97" t="str">
        <f>VLOOKUP(A492,'Parameters Summary'!$B$2:$AB$826,21,FALSE)</f>
        <v>EPI</v>
      </c>
      <c r="AF492" s="380"/>
      <c r="AG492" s="97"/>
      <c r="AH492" s="92"/>
      <c r="AI492" s="96"/>
      <c r="AJ492" s="330"/>
      <c r="AL492" s="81"/>
    </row>
    <row r="493" spans="1:38" ht="12.75" customHeight="1">
      <c r="A493" s="95" t="s">
        <v>216</v>
      </c>
      <c r="B493" s="96" t="s">
        <v>2335</v>
      </c>
      <c r="C493" s="96" t="str">
        <f t="shared" si="48"/>
        <v>Yes</v>
      </c>
      <c r="D493" s="96" t="str">
        <f>VLOOKUP(A493,'Tox Summary'!$O$3:$R$824,3,FALSE)</f>
        <v>No</v>
      </c>
      <c r="E493" s="97">
        <f>VLOOKUP(A493,'Parameters Summary'!$B$2:$AB$826,4,FALSE)</f>
        <v>142.19999999999999</v>
      </c>
      <c r="F493" s="97" t="str">
        <f>VLOOKUP(A493,'Parameters Summary'!$B$2:$AB$826,5,FALSE)</f>
        <v>PHYSPROP</v>
      </c>
      <c r="G493" s="93">
        <f>VLOOKUP(A493,'Parameters Summary'!$B$2:$AB$826,9,FALSE)</f>
        <v>5.5E-2</v>
      </c>
      <c r="H493" s="93" t="str">
        <f>VLOOKUP(A493,'Parameters Summary'!$B$2:$AB$826,10,FALSE)</f>
        <v>PHYSPROP</v>
      </c>
      <c r="I493" s="93">
        <f>VLOOKUP(A493,'Parameters Summary'!$B$2:$AB$826,24,FALSE)</f>
        <v>24.6</v>
      </c>
      <c r="J493" s="97" t="str">
        <f>VLOOKUP(A493,'Parameters Summary'!$B$2:$AB$826,25,FALSE)</f>
        <v>PHYSPROP</v>
      </c>
      <c r="K493" s="97" t="str">
        <f>VLOOKUP(A493,'Tox Summary'!$O$3:$S$827,2,FALSE)</f>
        <v/>
      </c>
      <c r="L493" s="93">
        <f>VLOOKUP(A493,'Parameters Summary'!$B$2:$AB$826,7,FALSE)</f>
        <v>5.1800000000000001E-4</v>
      </c>
      <c r="M493" s="93" t="str">
        <f>VLOOKUP(A493,'Parameters Summary'!$B$2:$AB$826,8,FALSE)</f>
        <v>PHYSPROP</v>
      </c>
      <c r="N493" s="91">
        <f>VLOOKUP(A493,'Parameters Summary'!$B$2:$AB$826,6,FALSE)</f>
        <v>2.1177399999999999E-2</v>
      </c>
      <c r="O493" s="91">
        <f t="shared" si="46"/>
        <v>2.1177399999999999E-2</v>
      </c>
      <c r="P493" s="91">
        <f t="shared" si="49"/>
        <v>2.1177399999999999E-2</v>
      </c>
      <c r="Q493" s="91">
        <f t="shared" si="47"/>
        <v>2.1177399999999999E-2</v>
      </c>
      <c r="R493" s="91">
        <f t="shared" si="50"/>
        <v>2.1177399999999999E-2</v>
      </c>
      <c r="S493" s="91">
        <f t="shared" si="51"/>
        <v>420838.51253140479</v>
      </c>
      <c r="T493" s="93">
        <f>VLOOKUP(A493,'Parameters Summary'!$B$2:$AB$826,15,FALSE)</f>
        <v>5.2431899999999997E-2</v>
      </c>
      <c r="U493" s="93" t="str">
        <f>VLOOKUP(A493,'Parameters Summary'!$B$2:$AB$826,17,FALSE)</f>
        <v>WATER9 (U.S. EPA, 2001)</v>
      </c>
      <c r="V493" s="93">
        <f>VLOOKUP(A493,'Parameters Summary'!$B$2:$AB$826,16,FALSE)</f>
        <v>7.7811000000000008E-6</v>
      </c>
      <c r="W493" s="379" t="str">
        <f>VLOOKUP(A493,'Parameters Summary'!$B$2:$AB$826,17,FALSE)</f>
        <v>WATER9 (U.S. EPA, 2001)</v>
      </c>
      <c r="X493" s="290">
        <v>514.1</v>
      </c>
      <c r="Y493" s="96" t="s">
        <v>553</v>
      </c>
      <c r="Z493" s="96">
        <v>761</v>
      </c>
      <c r="AA493" s="96" t="s">
        <v>2221</v>
      </c>
      <c r="AB493" s="96">
        <v>12600</v>
      </c>
      <c r="AC493" s="96" t="s">
        <v>2225</v>
      </c>
      <c r="AD493" s="93">
        <f>VLOOKUP(A493,'Parameters Summary'!$B$2:$AB$826,20,FALSE)</f>
        <v>2478</v>
      </c>
      <c r="AE493" s="97" t="str">
        <f>VLOOKUP(A493,'Parameters Summary'!$B$2:$AB$826,21,FALSE)</f>
        <v>EPI</v>
      </c>
      <c r="AF493" s="380"/>
      <c r="AG493" s="97"/>
      <c r="AH493" s="92"/>
      <c r="AI493" s="96"/>
      <c r="AJ493" s="330"/>
      <c r="AL493" s="81"/>
    </row>
    <row r="494" spans="1:38" ht="12.75" customHeight="1">
      <c r="A494" s="96" t="s">
        <v>86</v>
      </c>
      <c r="B494" s="96" t="s">
        <v>596</v>
      </c>
      <c r="C494" s="96" t="str">
        <f t="shared" si="48"/>
        <v>No</v>
      </c>
      <c r="D494" s="96" t="str">
        <f>VLOOKUP(A494,'Tox Summary'!$O$3:$R$824,3,FALSE)</f>
        <v>Yes</v>
      </c>
      <c r="E494" s="97">
        <f>VLOOKUP(A494,'Parameters Summary'!$B$2:$AB$826,4,FALSE)</f>
        <v>147.09</v>
      </c>
      <c r="F494" s="97" t="str">
        <f>VLOOKUP(A494,'Parameters Summary'!$B$2:$AB$826,5,FALSE)</f>
        <v>PHYSPROP</v>
      </c>
      <c r="G494" s="93">
        <f>VLOOKUP(A494,'Parameters Summary'!$B$2:$AB$826,9,FALSE)</f>
        <v>1.2E-4</v>
      </c>
      <c r="H494" s="93" t="str">
        <f>VLOOKUP(A494,'Parameters Summary'!$B$2:$AB$826,10,FALSE)</f>
        <v>PHYSPROP</v>
      </c>
      <c r="I494" s="93">
        <f>VLOOKUP(A494,'Parameters Summary'!$B$2:$AB$826,24,FALSE)</f>
        <v>267000</v>
      </c>
      <c r="J494" s="97" t="str">
        <f>VLOOKUP(A494,'Parameters Summary'!$B$2:$AB$826,25,FALSE)</f>
        <v>PHYSPROP</v>
      </c>
      <c r="K494" s="97" t="str">
        <f>VLOOKUP(A494,'Tox Summary'!$O$3:$S$827,2,FALSE)</f>
        <v/>
      </c>
      <c r="L494" s="93">
        <f>VLOOKUP(A494,'Parameters Summary'!$B$2:$AB$826,7,FALSE)</f>
        <v>1.2200000000000001E-12</v>
      </c>
      <c r="M494" s="93" t="str">
        <f>VLOOKUP(A494,'Parameters Summary'!$B$2:$AB$826,8,FALSE)</f>
        <v>PHYSPROP</v>
      </c>
      <c r="N494" s="91">
        <f>VLOOKUP(A494,'Parameters Summary'!$B$2:$AB$826,6,FALSE)</f>
        <v>4.988E-11</v>
      </c>
      <c r="O494" s="91" t="str">
        <f t="shared" si="46"/>
        <v/>
      </c>
      <c r="P494" s="91">
        <f t="shared" si="49"/>
        <v>4.988E-11</v>
      </c>
      <c r="Q494" s="91" t="str">
        <f t="shared" si="47"/>
        <v/>
      </c>
      <c r="R494" s="91">
        <f t="shared" si="50"/>
        <v>4.988E-11</v>
      </c>
      <c r="S494" s="91" t="str">
        <f t="shared" si="51"/>
        <v/>
      </c>
      <c r="T494" s="93">
        <f>VLOOKUP(A494,'Parameters Summary'!$B$2:$AB$826,15,FALSE)</f>
        <v>6.8186499999999997E-2</v>
      </c>
      <c r="U494" s="93" t="str">
        <f>VLOOKUP(A494,'Parameters Summary'!$B$2:$AB$826,17,FALSE)</f>
        <v>WATER9 (U.S. EPA, 2001)</v>
      </c>
      <c r="V494" s="93">
        <f>VLOOKUP(A494,'Parameters Summary'!$B$2:$AB$826,16,FALSE)</f>
        <v>7.9670000000000001E-6</v>
      </c>
      <c r="W494" s="379" t="str">
        <f>VLOOKUP(A494,'Parameters Summary'!$B$2:$AB$826,17,FALSE)</f>
        <v>WATER9 (U.S. EPA, 2001)</v>
      </c>
      <c r="X494" s="347"/>
      <c r="Y494" s="96"/>
      <c r="Z494" s="96" t="s">
        <v>1653</v>
      </c>
      <c r="AA494" s="96"/>
      <c r="AB494" s="96" t="s">
        <v>1651</v>
      </c>
      <c r="AC494" s="96"/>
      <c r="AD494" s="93">
        <f>VLOOKUP(A494,'Parameters Summary'!$B$2:$AB$826,20,FALSE)</f>
        <v>72.02</v>
      </c>
      <c r="AE494" s="97" t="str">
        <f>VLOOKUP(A494,'Parameters Summary'!$B$2:$AB$826,21,FALSE)</f>
        <v>EPI</v>
      </c>
      <c r="AF494" s="97"/>
      <c r="AG494" s="94"/>
      <c r="AH494" s="92"/>
      <c r="AI494" s="96"/>
      <c r="AJ494" s="330"/>
      <c r="AL494" s="81"/>
    </row>
    <row r="495" spans="1:38" ht="12.75" customHeight="1">
      <c r="A495" s="95" t="s">
        <v>95</v>
      </c>
      <c r="B495" s="96" t="s">
        <v>1242</v>
      </c>
      <c r="C495" s="96" t="str">
        <f t="shared" si="48"/>
        <v>Yes</v>
      </c>
      <c r="D495" s="96" t="str">
        <f>VLOOKUP(A495,'Tox Summary'!$O$3:$R$824,3,FALSE)</f>
        <v>No</v>
      </c>
      <c r="E495" s="97">
        <f>VLOOKUP(A495,'Parameters Summary'!$B$2:$AB$826,4,FALSE)</f>
        <v>118.18</v>
      </c>
      <c r="F495" s="97" t="str">
        <f>VLOOKUP(A495,'Parameters Summary'!$B$2:$AB$826,5,FALSE)</f>
        <v>PHYSPROP</v>
      </c>
      <c r="G495" s="93">
        <f>VLOOKUP(A495,'Parameters Summary'!$B$2:$AB$826,9,FALSE)</f>
        <v>1.9</v>
      </c>
      <c r="H495" s="93" t="str">
        <f>VLOOKUP(A495,'Parameters Summary'!$B$2:$AB$826,10,FALSE)</f>
        <v>EPI</v>
      </c>
      <c r="I495" s="93">
        <f>VLOOKUP(A495,'Parameters Summary'!$B$2:$AB$826,24,FALSE)</f>
        <v>116</v>
      </c>
      <c r="J495" s="97" t="str">
        <f>VLOOKUP(A495,'Parameters Summary'!$B$2:$AB$826,25,FALSE)</f>
        <v>PHYSPROP</v>
      </c>
      <c r="K495" s="97" t="str">
        <f>VLOOKUP(A495,'Tox Summary'!$O$3:$S$827,2,FALSE)</f>
        <v/>
      </c>
      <c r="L495" s="93">
        <f>VLOOKUP(A495,'Parameters Summary'!$B$2:$AB$826,7,FALSE)</f>
        <v>2.5500000000000002E-3</v>
      </c>
      <c r="M495" s="93" t="str">
        <f>VLOOKUP(A495,'Parameters Summary'!$B$2:$AB$826,8,FALSE)</f>
        <v>EPI</v>
      </c>
      <c r="N495" s="91">
        <f>VLOOKUP(A495,'Parameters Summary'!$B$2:$AB$826,6,FALSE)</f>
        <v>0.10425180000000001</v>
      </c>
      <c r="O495" s="91">
        <f t="shared" si="46"/>
        <v>0.10425180000000001</v>
      </c>
      <c r="P495" s="91">
        <f t="shared" si="49"/>
        <v>0.10425180000000001</v>
      </c>
      <c r="Q495" s="91">
        <f t="shared" si="47"/>
        <v>0.10425180000000001</v>
      </c>
      <c r="R495" s="91">
        <f t="shared" si="50"/>
        <v>0.10425180000000001</v>
      </c>
      <c r="S495" s="91">
        <f t="shared" si="51"/>
        <v>12082332.346352985</v>
      </c>
      <c r="T495" s="93">
        <f>VLOOKUP(A495,'Parameters Summary'!$B$2:$AB$826,15,FALSE)</f>
        <v>6.2902E-2</v>
      </c>
      <c r="U495" s="93" t="str">
        <f>VLOOKUP(A495,'Parameters Summary'!$B$2:$AB$826,17,FALSE)</f>
        <v>WATER9 (U.S. EPA, 2001)</v>
      </c>
      <c r="V495" s="93">
        <f>VLOOKUP(A495,'Parameters Summary'!$B$2:$AB$826,16,FALSE)</f>
        <v>8.1911000000000002E-6</v>
      </c>
      <c r="W495" s="379" t="str">
        <f>VLOOKUP(A495,'Parameters Summary'!$B$2:$AB$826,17,FALSE)</f>
        <v>WATER9 (U.S. EPA, 2001)</v>
      </c>
      <c r="X495" s="290">
        <v>438.4</v>
      </c>
      <c r="Y495" s="96" t="s">
        <v>2217</v>
      </c>
      <c r="Z495" s="96">
        <v>657</v>
      </c>
      <c r="AA495" s="96" t="s">
        <v>2218</v>
      </c>
      <c r="AB495" s="96">
        <v>11419.16</v>
      </c>
      <c r="AC495" s="96" t="s">
        <v>2218</v>
      </c>
      <c r="AD495" s="93">
        <f>VLOOKUP(A495,'Parameters Summary'!$B$2:$AB$826,20,FALSE)</f>
        <v>697.8</v>
      </c>
      <c r="AE495" s="97" t="str">
        <f>VLOOKUP(A495,'Parameters Summary'!$B$2:$AB$826,21,FALSE)</f>
        <v>EPI</v>
      </c>
      <c r="AF495" s="380"/>
      <c r="AG495" s="97"/>
      <c r="AH495" s="92"/>
      <c r="AI495" s="96"/>
      <c r="AJ495" s="330"/>
      <c r="AL495" s="81"/>
    </row>
    <row r="496" spans="1:38" ht="12.75" customHeight="1">
      <c r="A496" s="96" t="s">
        <v>96</v>
      </c>
      <c r="B496" s="96" t="s">
        <v>1243</v>
      </c>
      <c r="C496" s="96" t="str">
        <f t="shared" si="48"/>
        <v>No</v>
      </c>
      <c r="D496" s="96" t="str">
        <f>VLOOKUP(A496,'Tox Summary'!$O$3:$R$824,3,FALSE)</f>
        <v>No</v>
      </c>
      <c r="E496" s="97">
        <f>VLOOKUP(A496,'Parameters Summary'!$B$2:$AB$826,4,FALSE)</f>
        <v>283.8</v>
      </c>
      <c r="F496" s="97" t="str">
        <f>VLOOKUP(A496,'Parameters Summary'!$B$2:$AB$826,5,FALSE)</f>
        <v>PHYSPROP</v>
      </c>
      <c r="G496" s="93">
        <f>VLOOKUP(A496,'Parameters Summary'!$B$2:$AB$826,9,FALSE)</f>
        <v>3.1399999999999998E-5</v>
      </c>
      <c r="H496" s="93" t="str">
        <f>VLOOKUP(A496,'Parameters Summary'!$B$2:$AB$826,10,FALSE)</f>
        <v>PHYSPROP</v>
      </c>
      <c r="I496" s="93">
        <f>VLOOKUP(A496,'Parameters Summary'!$B$2:$AB$826,24,FALSE)</f>
        <v>530</v>
      </c>
      <c r="J496" s="97" t="str">
        <f>VLOOKUP(A496,'Parameters Summary'!$B$2:$AB$826,25,FALSE)</f>
        <v>PHYSPROP</v>
      </c>
      <c r="K496" s="97" t="str">
        <f>VLOOKUP(A496,'Tox Summary'!$O$3:$S$827,2,FALSE)</f>
        <v/>
      </c>
      <c r="L496" s="93">
        <f>VLOOKUP(A496,'Parameters Summary'!$B$2:$AB$826,7,FALSE)</f>
        <v>8.9999999999999995E-9</v>
      </c>
      <c r="M496" s="93" t="str">
        <f>VLOOKUP(A496,'Parameters Summary'!$B$2:$AB$826,8,FALSE)</f>
        <v>PHYSPROP</v>
      </c>
      <c r="N496" s="91">
        <f>VLOOKUP(A496,'Parameters Summary'!$B$2:$AB$826,6,FALSE)</f>
        <v>3.6795000000000001E-7</v>
      </c>
      <c r="O496" s="91" t="str">
        <f t="shared" si="46"/>
        <v/>
      </c>
      <c r="P496" s="91">
        <f t="shared" si="49"/>
        <v>3.6795000000000001E-7</v>
      </c>
      <c r="Q496" s="91" t="str">
        <f t="shared" si="47"/>
        <v/>
      </c>
      <c r="R496" s="91">
        <f t="shared" si="50"/>
        <v>3.6795000000000001E-7</v>
      </c>
      <c r="S496" s="91" t="str">
        <f t="shared" si="51"/>
        <v/>
      </c>
      <c r="T496" s="93">
        <f>VLOOKUP(A496,'Parameters Summary'!$B$2:$AB$826,15,FALSE)</f>
        <v>2.1922299999999999E-2</v>
      </c>
      <c r="U496" s="93" t="str">
        <f>VLOOKUP(A496,'Parameters Summary'!$B$2:$AB$826,17,FALSE)</f>
        <v>WATER9 (U.S. EPA, 2001)</v>
      </c>
      <c r="V496" s="93">
        <f>VLOOKUP(A496,'Parameters Summary'!$B$2:$AB$826,16,FALSE)</f>
        <v>5.4827E-6</v>
      </c>
      <c r="W496" s="379" t="str">
        <f>VLOOKUP(A496,'Parameters Summary'!$B$2:$AB$826,17,FALSE)</f>
        <v>WATER9 (U.S. EPA, 2001)</v>
      </c>
      <c r="X496" s="290">
        <v>373.15</v>
      </c>
      <c r="Y496" s="96" t="s">
        <v>553</v>
      </c>
      <c r="Z496" s="96" t="s">
        <v>1653</v>
      </c>
      <c r="AA496" s="96"/>
      <c r="AB496" s="96" t="s">
        <v>1651</v>
      </c>
      <c r="AC496" s="96"/>
      <c r="AD496" s="93">
        <f>VLOOKUP(A496,'Parameters Summary'!$B$2:$AB$826,20,FALSE)</f>
        <v>488.5</v>
      </c>
      <c r="AE496" s="97" t="str">
        <f>VLOOKUP(A496,'Parameters Summary'!$B$2:$AB$826,21,FALSE)</f>
        <v>EPI</v>
      </c>
      <c r="AF496" s="97"/>
      <c r="AG496" s="94"/>
      <c r="AH496" s="92"/>
      <c r="AI496" s="96"/>
      <c r="AJ496" s="330"/>
      <c r="AL496" s="81"/>
    </row>
    <row r="497" spans="1:38" ht="12.75" customHeight="1">
      <c r="A497" s="96" t="s">
        <v>97</v>
      </c>
      <c r="B497" s="96" t="s">
        <v>1244</v>
      </c>
      <c r="C497" s="96" t="str">
        <f t="shared" si="48"/>
        <v>No</v>
      </c>
      <c r="D497" s="96" t="str">
        <f>VLOOKUP(A497,'Tox Summary'!$O$3:$R$824,3,FALSE)</f>
        <v>No</v>
      </c>
      <c r="E497" s="97">
        <f>VLOOKUP(A497,'Parameters Summary'!$B$2:$AB$826,4,FALSE)</f>
        <v>214.29</v>
      </c>
      <c r="F497" s="97" t="str">
        <f>VLOOKUP(A497,'Parameters Summary'!$B$2:$AB$826,5,FALSE)</f>
        <v>PHYSPROP</v>
      </c>
      <c r="G497" s="93">
        <f>VLOOKUP(A497,'Parameters Summary'!$B$2:$AB$826,9,FALSE)</f>
        <v>4.3500000000000002E-7</v>
      </c>
      <c r="H497" s="93" t="str">
        <f>VLOOKUP(A497,'Parameters Summary'!$B$2:$AB$826,10,FALSE)</f>
        <v>PHYSPROP</v>
      </c>
      <c r="I497" s="93">
        <f>VLOOKUP(A497,'Parameters Summary'!$B$2:$AB$826,24,FALSE)</f>
        <v>1050</v>
      </c>
      <c r="J497" s="97" t="str">
        <f>VLOOKUP(A497,'Parameters Summary'!$B$2:$AB$826,25,FALSE)</f>
        <v>PHYSPROP</v>
      </c>
      <c r="K497" s="97" t="str">
        <f>VLOOKUP(A497,'Tox Summary'!$O$3:$S$827,2,FALSE)</f>
        <v/>
      </c>
      <c r="L497" s="93">
        <f>VLOOKUP(A497,'Parameters Summary'!$B$2:$AB$826,7,FALSE)</f>
        <v>1.1700000000000001E-10</v>
      </c>
      <c r="M497" s="93" t="str">
        <f>VLOOKUP(A497,'Parameters Summary'!$B$2:$AB$826,8,FALSE)</f>
        <v>EPI</v>
      </c>
      <c r="N497" s="91">
        <f>VLOOKUP(A497,'Parameters Summary'!$B$2:$AB$826,6,FALSE)</f>
        <v>4.7833000000000002E-9</v>
      </c>
      <c r="O497" s="91" t="str">
        <f t="shared" si="46"/>
        <v/>
      </c>
      <c r="P497" s="91">
        <f t="shared" si="49"/>
        <v>4.7833000000000002E-9</v>
      </c>
      <c r="Q497" s="91" t="str">
        <f t="shared" si="47"/>
        <v/>
      </c>
      <c r="R497" s="91">
        <f t="shared" si="50"/>
        <v>4.7833000000000002E-9</v>
      </c>
      <c r="S497" s="91" t="str">
        <f t="shared" si="51"/>
        <v/>
      </c>
      <c r="T497" s="93">
        <f>VLOOKUP(A497,'Parameters Summary'!$B$2:$AB$826,15,FALSE)</f>
        <v>2.7339700000000002E-2</v>
      </c>
      <c r="U497" s="93" t="str">
        <f>VLOOKUP(A497,'Parameters Summary'!$B$2:$AB$826,17,FALSE)</f>
        <v>WATER9 (U.S. EPA, 2001)</v>
      </c>
      <c r="V497" s="93">
        <f>VLOOKUP(A497,'Parameters Summary'!$B$2:$AB$826,16,FALSE)</f>
        <v>7.1291000000000001E-6</v>
      </c>
      <c r="W497" s="379" t="str">
        <f>VLOOKUP(A497,'Parameters Summary'!$B$2:$AB$826,17,FALSE)</f>
        <v>WATER9 (U.S. EPA, 2001)</v>
      </c>
      <c r="X497" s="290">
        <v>405.15</v>
      </c>
      <c r="Y497" s="96" t="s">
        <v>553</v>
      </c>
      <c r="Z497" s="96" t="s">
        <v>1653</v>
      </c>
      <c r="AA497" s="96"/>
      <c r="AB497" s="96" t="s">
        <v>1651</v>
      </c>
      <c r="AC497" s="96"/>
      <c r="AD497" s="93">
        <f>VLOOKUP(A497,'Parameters Summary'!$B$2:$AB$826,20,FALSE)</f>
        <v>53.13</v>
      </c>
      <c r="AE497" s="97" t="str">
        <f>VLOOKUP(A497,'Parameters Summary'!$B$2:$AB$826,21,FALSE)</f>
        <v>EPI</v>
      </c>
      <c r="AF497" s="97"/>
      <c r="AG497" s="94"/>
      <c r="AH497" s="92"/>
      <c r="AI497" s="96"/>
      <c r="AJ497" s="330"/>
      <c r="AL497" s="81"/>
    </row>
    <row r="498" spans="1:38" ht="12.75" customHeight="1">
      <c r="A498" s="96" t="s">
        <v>649</v>
      </c>
      <c r="B498" s="96" t="s">
        <v>2314</v>
      </c>
      <c r="C498" s="96" t="str">
        <f t="shared" si="48"/>
        <v>No</v>
      </c>
      <c r="D498" s="96" t="str">
        <f>VLOOKUP(A498,'Tox Summary'!$O$3:$R$824,3,FALSE)</f>
        <v>No</v>
      </c>
      <c r="E498" s="97">
        <f>VLOOKUP(A498,'Parameters Summary'!$B$2:$AB$826,4,FALSE)</f>
        <v>381.37</v>
      </c>
      <c r="F498" s="97" t="str">
        <f>VLOOKUP(A498,'Parameters Summary'!$B$2:$AB$826,5,FALSE)</f>
        <v>PHYSPROP</v>
      </c>
      <c r="G498" s="93">
        <f>VLOOKUP(A498,'Parameters Summary'!$B$2:$AB$826,9,FALSE)</f>
        <v>2.4999999999999998E-12</v>
      </c>
      <c r="H498" s="93" t="str">
        <f>VLOOKUP(A498,'Parameters Summary'!$B$2:$AB$826,10,FALSE)</f>
        <v>PHYSPROP</v>
      </c>
      <c r="I498" s="93">
        <f>VLOOKUP(A498,'Parameters Summary'!$B$2:$AB$826,24,FALSE)</f>
        <v>9500</v>
      </c>
      <c r="J498" s="97" t="str">
        <f>VLOOKUP(A498,'Parameters Summary'!$B$2:$AB$826,25,FALSE)</f>
        <v>PHYSPROP</v>
      </c>
      <c r="K498" s="97" t="str">
        <f>VLOOKUP(A498,'Tox Summary'!$O$3:$S$827,2,FALSE)</f>
        <v/>
      </c>
      <c r="L498" s="93">
        <f>VLOOKUP(A498,'Parameters Summary'!$B$2:$AB$826,7,FALSE)</f>
        <v>1.32E-16</v>
      </c>
      <c r="M498" s="93" t="str">
        <f>VLOOKUP(A498,'Parameters Summary'!$B$2:$AB$826,8,FALSE)</f>
        <v>EPI</v>
      </c>
      <c r="N498" s="91">
        <f>VLOOKUP(A498,'Parameters Summary'!$B$2:$AB$826,6,FALSE)</f>
        <v>5.3969999999999999E-15</v>
      </c>
      <c r="O498" s="91" t="str">
        <f t="shared" si="46"/>
        <v/>
      </c>
      <c r="P498" s="91">
        <f t="shared" si="49"/>
        <v>5.3969999999999999E-15</v>
      </c>
      <c r="Q498" s="91" t="str">
        <f t="shared" si="47"/>
        <v/>
      </c>
      <c r="R498" s="91">
        <f t="shared" si="50"/>
        <v>5.3969999999999999E-15</v>
      </c>
      <c r="S498" s="91" t="str">
        <f t="shared" si="51"/>
        <v/>
      </c>
      <c r="T498" s="93">
        <f>VLOOKUP(A498,'Parameters Summary'!$B$2:$AB$826,15,FALSE)</f>
        <v>3.6129000000000001E-2</v>
      </c>
      <c r="U498" s="93" t="str">
        <f>VLOOKUP(A498,'Parameters Summary'!$B$2:$AB$826,17,FALSE)</f>
        <v>WATER9 (U.S. EPA, 2001)</v>
      </c>
      <c r="V498" s="93">
        <f>VLOOKUP(A498,'Parameters Summary'!$B$2:$AB$826,16,FALSE)</f>
        <v>4.2213999999999999E-6</v>
      </c>
      <c r="W498" s="379" t="str">
        <f>VLOOKUP(A498,'Parameters Summary'!$B$2:$AB$826,17,FALSE)</f>
        <v>WATER9 (U.S. EPA, 2001)</v>
      </c>
      <c r="X498" s="347"/>
      <c r="Y498" s="96"/>
      <c r="Z498" s="96" t="s">
        <v>1653</v>
      </c>
      <c r="AA498" s="96"/>
      <c r="AB498" s="96" t="s">
        <v>1651</v>
      </c>
      <c r="AC498" s="96"/>
      <c r="AD498" s="93">
        <f>VLOOKUP(A498,'Parameters Summary'!$B$2:$AB$826,20,FALSE)</f>
        <v>92.5</v>
      </c>
      <c r="AE498" s="97" t="str">
        <f>VLOOKUP(A498,'Parameters Summary'!$B$2:$AB$826,21,FALSE)</f>
        <v>EPI</v>
      </c>
      <c r="AF498" s="97"/>
      <c r="AG498" s="94"/>
      <c r="AH498" s="92"/>
      <c r="AI498" s="96"/>
      <c r="AJ498" s="330"/>
      <c r="AL498" s="81"/>
    </row>
    <row r="499" spans="1:38" ht="12.75" customHeight="1">
      <c r="A499" s="95" t="s">
        <v>98</v>
      </c>
      <c r="B499" s="96" t="s">
        <v>598</v>
      </c>
      <c r="C499" s="96" t="str">
        <f t="shared" si="48"/>
        <v>Yes</v>
      </c>
      <c r="D499" s="96" t="str">
        <f>VLOOKUP(A499,'Tox Summary'!$O$3:$R$824,3,FALSE)</f>
        <v>Yes</v>
      </c>
      <c r="E499" s="97">
        <f>VLOOKUP(A499,'Parameters Summary'!$B$2:$AB$826,4,FALSE)</f>
        <v>170.34</v>
      </c>
      <c r="F499" s="97" t="str">
        <f>VLOOKUP(A499,'Parameters Summary'!$B$2:$AB$826,5,FALSE)</f>
        <v>EPI</v>
      </c>
      <c r="G499" s="93">
        <f>VLOOKUP(A499,'Parameters Summary'!$B$2:$AB$826,9,FALSE)</f>
        <v>0.13500000000000001</v>
      </c>
      <c r="H499" s="93" t="str">
        <f>VLOOKUP(A499,'Parameters Summary'!$B$2:$AB$826,10,FALSE)</f>
        <v>EPI</v>
      </c>
      <c r="I499" s="93">
        <f>VLOOKUP(A499,'Parameters Summary'!$B$2:$AB$826,24,FALSE)</f>
        <v>3.7000000000000002E-3</v>
      </c>
      <c r="J499" s="97" t="str">
        <f>VLOOKUP(A499,'Parameters Summary'!$B$2:$AB$826,25,FALSE)</f>
        <v>EPI</v>
      </c>
      <c r="K499" s="97" t="str">
        <f>VLOOKUP(A499,'Tox Summary'!$O$3:$S$827,2,FALSE)</f>
        <v/>
      </c>
      <c r="L499" s="93">
        <f>VLOOKUP(A499,'Parameters Summary'!$B$2:$AB$826,7,FALSE)</f>
        <v>8.18</v>
      </c>
      <c r="M499" s="93" t="str">
        <f>VLOOKUP(A499,'Parameters Summary'!$B$2:$AB$826,8,FALSE)</f>
        <v>EPI</v>
      </c>
      <c r="N499" s="91">
        <f>VLOOKUP(A499,'Parameters Summary'!$B$2:$AB$826,6,FALSE)</f>
        <v>334.42354999999998</v>
      </c>
      <c r="O499" s="91" t="str">
        <f t="shared" si="46"/>
        <v/>
      </c>
      <c r="P499" s="91">
        <f t="shared" si="49"/>
        <v>334.42354999999998</v>
      </c>
      <c r="Q499" s="91" t="str">
        <f t="shared" si="47"/>
        <v/>
      </c>
      <c r="R499" s="91">
        <f t="shared" si="50"/>
        <v>334.42354999999998</v>
      </c>
      <c r="S499" s="91" t="str">
        <f t="shared" si="51"/>
        <v/>
      </c>
      <c r="T499" s="93">
        <f>VLOOKUP(A499,'Parameters Summary'!$B$2:$AB$826,15,FALSE)</f>
        <v>3.6193999999999997E-2</v>
      </c>
      <c r="U499" s="93" t="str">
        <f>VLOOKUP(A499,'Parameters Summary'!$B$2:$AB$826,17,FALSE)</f>
        <v>WATER9 (U.S. EPA, 2001)</v>
      </c>
      <c r="V499" s="93">
        <f>VLOOKUP(A499,'Parameters Summary'!$B$2:$AB$826,16,FALSE)</f>
        <v>6.4309999999999999E-6</v>
      </c>
      <c r="W499" s="379" t="str">
        <f>VLOOKUP(A499,'Parameters Summary'!$B$2:$AB$826,17,FALSE)</f>
        <v>WATER9 (U.S. EPA, 2001)</v>
      </c>
      <c r="X499" s="290" t="s">
        <v>1652</v>
      </c>
      <c r="Y499" s="96"/>
      <c r="Z499" s="96" t="s">
        <v>1653</v>
      </c>
      <c r="AA499" s="96"/>
      <c r="AB499" s="96" t="s">
        <v>1651</v>
      </c>
      <c r="AC499" s="96"/>
      <c r="AD499" s="93">
        <f>VLOOKUP(A499,'Parameters Summary'!$B$2:$AB$826,20,FALSE)</f>
        <v>4818</v>
      </c>
      <c r="AE499" s="97" t="str">
        <f>VLOOKUP(A499,'Parameters Summary'!$B$2:$AB$826,21,FALSE)</f>
        <v>EPI</v>
      </c>
      <c r="AF499" s="380"/>
      <c r="AG499" s="97"/>
      <c r="AH499" s="92"/>
      <c r="AI499" s="96"/>
      <c r="AJ499" s="330"/>
      <c r="AL499" s="81"/>
    </row>
    <row r="500" spans="1:38" ht="12.75" customHeight="1">
      <c r="A500" s="95" t="s">
        <v>99</v>
      </c>
      <c r="B500" s="96" t="s">
        <v>1408</v>
      </c>
      <c r="C500" s="96" t="str">
        <f t="shared" si="48"/>
        <v>Yes</v>
      </c>
      <c r="D500" s="96" t="str">
        <f>VLOOKUP(A500,'Tox Summary'!$O$3:$R$824,3,FALSE)</f>
        <v>No</v>
      </c>
      <c r="E500" s="97">
        <f>VLOOKUP(A500,'Parameters Summary'!$B$2:$AB$826,4,FALSE)</f>
        <v>545.54999999999995</v>
      </c>
      <c r="F500" s="97" t="str">
        <f>VLOOKUP(A500,'Parameters Summary'!$B$2:$AB$826,5,FALSE)</f>
        <v>PHYSPROP</v>
      </c>
      <c r="G500" s="93">
        <f>VLOOKUP(A500,'Parameters Summary'!$B$2:$AB$826,9,FALSE)</f>
        <v>7.9999999999999996E-7</v>
      </c>
      <c r="H500" s="93" t="str">
        <f>VLOOKUP(A500,'Parameters Summary'!$B$2:$AB$826,10,FALSE)</f>
        <v>PHYSPROP</v>
      </c>
      <c r="I500" s="93">
        <f>VLOOKUP(A500,'Parameters Summary'!$B$2:$AB$826,24,FALSE)</f>
        <v>8.5000000000000006E-2</v>
      </c>
      <c r="J500" s="97" t="str">
        <f>VLOOKUP(A500,'Parameters Summary'!$B$2:$AB$826,25,FALSE)</f>
        <v>PHYSPROP</v>
      </c>
      <c r="K500" s="97" t="str">
        <f>VLOOKUP(A500,'Tox Summary'!$O$3:$S$827,2,FALSE)</f>
        <v/>
      </c>
      <c r="L500" s="93">
        <f>VLOOKUP(A500,'Parameters Summary'!$B$2:$AB$826,7,FALSE)</f>
        <v>8.1099999999999998E-4</v>
      </c>
      <c r="M500" s="93" t="str">
        <f>VLOOKUP(A500,'Parameters Summary'!$B$2:$AB$826,8,FALSE)</f>
        <v>PHYSPROP</v>
      </c>
      <c r="N500" s="91">
        <f>VLOOKUP(A500,'Parameters Summary'!$B$2:$AB$826,6,FALSE)</f>
        <v>3.3156199999999997E-2</v>
      </c>
      <c r="O500" s="91" t="str">
        <f t="shared" si="46"/>
        <v/>
      </c>
      <c r="P500" s="91">
        <f t="shared" si="49"/>
        <v>3.3156199999999997E-2</v>
      </c>
      <c r="Q500" s="91" t="str">
        <f t="shared" si="47"/>
        <v/>
      </c>
      <c r="R500" s="91">
        <f t="shared" si="50"/>
        <v>3.3156199999999997E-2</v>
      </c>
      <c r="S500" s="91" t="str">
        <f t="shared" si="51"/>
        <v/>
      </c>
      <c r="T500" s="93">
        <f>VLOOKUP(A500,'Parameters Summary'!$B$2:$AB$826,15,FALSE)</f>
        <v>2.1880199999999999E-2</v>
      </c>
      <c r="U500" s="93" t="str">
        <f>VLOOKUP(A500,'Parameters Summary'!$B$2:$AB$826,17,FALSE)</f>
        <v>WATER9 (U.S. EPA, 2001)</v>
      </c>
      <c r="V500" s="93">
        <f>VLOOKUP(A500,'Parameters Summary'!$B$2:$AB$826,16,FALSE)</f>
        <v>5.6296000000000003E-6</v>
      </c>
      <c r="W500" s="379" t="str">
        <f>VLOOKUP(A500,'Parameters Summary'!$B$2:$AB$826,17,FALSE)</f>
        <v>WATER9 (U.S. EPA, 2001)</v>
      </c>
      <c r="X500" s="290">
        <f>366.06+273.15</f>
        <v>639.21</v>
      </c>
      <c r="Y500" s="96" t="s">
        <v>553</v>
      </c>
      <c r="Z500" s="96">
        <f>1.5*X500</f>
        <v>958.81500000000005</v>
      </c>
      <c r="AA500" s="96" t="s">
        <v>2220</v>
      </c>
      <c r="AB500" s="96" t="s">
        <v>1651</v>
      </c>
      <c r="AC500" s="96"/>
      <c r="AD500" s="93">
        <f>VLOOKUP(A500,'Parameters Summary'!$B$2:$AB$826,20,FALSE)</f>
        <v>356600</v>
      </c>
      <c r="AE500" s="97" t="str">
        <f>VLOOKUP(A500,'Parameters Summary'!$B$2:$AB$826,21,FALSE)</f>
        <v>EPI</v>
      </c>
      <c r="AF500" s="380"/>
      <c r="AG500" s="97"/>
      <c r="AH500" s="92"/>
      <c r="AI500" s="96"/>
      <c r="AJ500" s="330"/>
      <c r="AL500" s="81"/>
    </row>
    <row r="501" spans="1:38" ht="12.75" customHeight="1">
      <c r="A501" s="96" t="s">
        <v>100</v>
      </c>
      <c r="B501" s="96" t="s">
        <v>1245</v>
      </c>
      <c r="C501" s="96" t="str">
        <f t="shared" si="48"/>
        <v>No</v>
      </c>
      <c r="D501" s="96" t="str">
        <f>VLOOKUP(A501,'Tox Summary'!$O$3:$R$824,3,FALSE)</f>
        <v>No</v>
      </c>
      <c r="E501" s="97">
        <f>VLOOKUP(A501,'Parameters Summary'!$B$2:$AB$826,4,FALSE)</f>
        <v>187.31</v>
      </c>
      <c r="F501" s="97" t="str">
        <f>VLOOKUP(A501,'Parameters Summary'!$B$2:$AB$826,5,FALSE)</f>
        <v>PHYSPROP</v>
      </c>
      <c r="G501" s="93">
        <f>VLOOKUP(A501,'Parameters Summary'!$B$2:$AB$826,9,FALSE)</f>
        <v>5.5999999999999999E-3</v>
      </c>
      <c r="H501" s="93" t="str">
        <f>VLOOKUP(A501,'Parameters Summary'!$B$2:$AB$826,10,FALSE)</f>
        <v>PHYSPROP</v>
      </c>
      <c r="I501" s="93">
        <f>VLOOKUP(A501,'Parameters Summary'!$B$2:$AB$826,24,FALSE)</f>
        <v>970</v>
      </c>
      <c r="J501" s="97" t="str">
        <f>VLOOKUP(A501,'Parameters Summary'!$B$2:$AB$826,25,FALSE)</f>
        <v>PHYSPROP</v>
      </c>
      <c r="K501" s="97" t="str">
        <f>VLOOKUP(A501,'Tox Summary'!$O$3:$S$827,2,FALSE)</f>
        <v/>
      </c>
      <c r="L501" s="93">
        <f>VLOOKUP(A501,'Parameters Summary'!$B$2:$AB$826,7,FALSE)</f>
        <v>4.0999999999999997E-6</v>
      </c>
      <c r="M501" s="93" t="str">
        <f>VLOOKUP(A501,'Parameters Summary'!$B$2:$AB$826,8,FALSE)</f>
        <v>PHYSPROP</v>
      </c>
      <c r="N501" s="91">
        <f>VLOOKUP(A501,'Parameters Summary'!$B$2:$AB$826,6,FALSE)</f>
        <v>1.6760000000000001E-4</v>
      </c>
      <c r="O501" s="91" t="str">
        <f t="shared" si="46"/>
        <v/>
      </c>
      <c r="P501" s="91">
        <f t="shared" si="49"/>
        <v>1.6760000000000001E-4</v>
      </c>
      <c r="Q501" s="91" t="str">
        <f t="shared" si="47"/>
        <v/>
      </c>
      <c r="R501" s="91">
        <f t="shared" si="50"/>
        <v>1.6760000000000001E-4</v>
      </c>
      <c r="S501" s="91" t="str">
        <f t="shared" si="51"/>
        <v/>
      </c>
      <c r="T501" s="93">
        <f>VLOOKUP(A501,'Parameters Summary'!$B$2:$AB$826,15,FALSE)</f>
        <v>3.1556099999999997E-2</v>
      </c>
      <c r="U501" s="93" t="str">
        <f>VLOOKUP(A501,'Parameters Summary'!$B$2:$AB$826,17,FALSE)</f>
        <v>WATER9 (U.S. EPA, 2001)</v>
      </c>
      <c r="V501" s="93">
        <f>VLOOKUP(A501,'Parameters Summary'!$B$2:$AB$826,16,FALSE)</f>
        <v>6.8179999999999998E-6</v>
      </c>
      <c r="W501" s="379" t="str">
        <f>VLOOKUP(A501,'Parameters Summary'!$B$2:$AB$826,17,FALSE)</f>
        <v>WATER9 (U.S. EPA, 2001)</v>
      </c>
      <c r="X501" s="290">
        <v>409.65</v>
      </c>
      <c r="Y501" s="96" t="s">
        <v>553</v>
      </c>
      <c r="Z501" s="96" t="s">
        <v>1653</v>
      </c>
      <c r="AA501" s="96"/>
      <c r="AB501" s="96" t="s">
        <v>1651</v>
      </c>
      <c r="AC501" s="96"/>
      <c r="AD501" s="93">
        <f>VLOOKUP(A501,'Parameters Summary'!$B$2:$AB$826,20,FALSE)</f>
        <v>181.9</v>
      </c>
      <c r="AE501" s="97" t="str">
        <f>VLOOKUP(A501,'Parameters Summary'!$B$2:$AB$826,21,FALSE)</f>
        <v>EPI</v>
      </c>
      <c r="AF501" s="97"/>
      <c r="AG501" s="94"/>
      <c r="AH501" s="92"/>
      <c r="AI501" s="96"/>
      <c r="AJ501" s="330"/>
      <c r="AL501" s="81"/>
    </row>
    <row r="502" spans="1:38" ht="12.75" customHeight="1">
      <c r="A502" s="96" t="s">
        <v>101</v>
      </c>
      <c r="B502" s="96" t="s">
        <v>1246</v>
      </c>
      <c r="C502" s="96" t="str">
        <f t="shared" si="48"/>
        <v>No</v>
      </c>
      <c r="D502" s="96" t="str">
        <f>VLOOKUP(A502,'Tox Summary'!$O$3:$R$824,3,FALSE)</f>
        <v>Yes</v>
      </c>
      <c r="E502" s="97">
        <f>VLOOKUP(A502,'Parameters Summary'!$B$2:$AB$826,4,FALSE)</f>
        <v>95.94</v>
      </c>
      <c r="F502" s="97" t="str">
        <f>VLOOKUP(A502,'Parameters Summary'!$B$2:$AB$826,5,FALSE)</f>
        <v>PHYSPROP</v>
      </c>
      <c r="G502" s="93">
        <f>VLOOKUP(A502,'Parameters Summary'!$B$2:$AB$826,9,FALSE)</f>
        <v>0</v>
      </c>
      <c r="H502" s="93" t="str">
        <f>VLOOKUP(A502,'Parameters Summary'!$B$2:$AB$826,10,FALSE)</f>
        <v>NIOSH</v>
      </c>
      <c r="I502" s="93" t="s">
        <v>2440</v>
      </c>
      <c r="J502" s="97" t="str">
        <f>VLOOKUP(A502,'Parameters Summary'!$B$2:$AB$826,25,FALSE)</f>
        <v/>
      </c>
      <c r="K502" s="97" t="str">
        <f>VLOOKUP(A502,'Tox Summary'!$O$3:$S$827,2,FALSE)</f>
        <v/>
      </c>
      <c r="L502" s="93" t="str">
        <f>VLOOKUP(A502,'Parameters Summary'!$B$2:$AB$826,7,FALSE)</f>
        <v xml:space="preserve"> </v>
      </c>
      <c r="M502" s="93" t="str">
        <f>VLOOKUP(A502,'Parameters Summary'!$B$2:$AB$826,8,FALSE)</f>
        <v/>
      </c>
      <c r="N502" s="91" t="str">
        <f>VLOOKUP(A502,'Parameters Summary'!$B$2:$AB$826,6,FALSE)</f>
        <v xml:space="preserve"> </v>
      </c>
      <c r="O502" s="91"/>
      <c r="P502" s="91"/>
      <c r="Q502" s="91"/>
      <c r="R502" s="91"/>
      <c r="S502" s="91"/>
      <c r="T502" s="93" t="str">
        <f>VLOOKUP(A502,'Parameters Summary'!$B$2:$AB$826,15,FALSE)</f>
        <v xml:space="preserve"> </v>
      </c>
      <c r="U502" s="93" t="str">
        <f>VLOOKUP(A502,'Parameters Summary'!$B$2:$AB$826,17,FALSE)</f>
        <v/>
      </c>
      <c r="V502" s="93" t="str">
        <f>VLOOKUP(A502,'Parameters Summary'!$B$2:$AB$826,16,FALSE)</f>
        <v xml:space="preserve"> </v>
      </c>
      <c r="W502" s="379" t="str">
        <f>VLOOKUP(A502,'Parameters Summary'!$B$2:$AB$826,17,FALSE)</f>
        <v/>
      </c>
      <c r="X502" s="347">
        <f>4639+273.15</f>
        <v>4912.1499999999996</v>
      </c>
      <c r="Y502" s="96"/>
      <c r="Z502" s="96">
        <f>1.5*X502</f>
        <v>7368.2249999999995</v>
      </c>
      <c r="AA502" s="96" t="s">
        <v>2220</v>
      </c>
      <c r="AB502" s="96">
        <v>117351.86</v>
      </c>
      <c r="AC502" s="96" t="s">
        <v>2202</v>
      </c>
      <c r="AD502" s="93" t="str">
        <f>VLOOKUP(A502,'Parameters Summary'!$B$2:$AB$826,20,FALSE)</f>
        <v xml:space="preserve"> </v>
      </c>
      <c r="AE502" s="97" t="str">
        <f>VLOOKUP(A502,'Parameters Summary'!$B$2:$AB$826,21,FALSE)</f>
        <v/>
      </c>
      <c r="AF502" s="97"/>
      <c r="AG502" s="94"/>
      <c r="AH502" s="92"/>
      <c r="AI502" s="96"/>
      <c r="AJ502" s="330"/>
      <c r="AL502" s="81"/>
    </row>
    <row r="503" spans="1:38" ht="12.75" customHeight="1">
      <c r="A503" s="96" t="s">
        <v>1589</v>
      </c>
      <c r="B503" s="96" t="s">
        <v>2389</v>
      </c>
      <c r="C503" s="96" t="str">
        <f t="shared" si="48"/>
        <v>No</v>
      </c>
      <c r="D503" s="96" t="str">
        <f>VLOOKUP(A503,'Tox Summary'!$O$3:$R$824,3,FALSE)</f>
        <v>No</v>
      </c>
      <c r="E503" s="97">
        <f>VLOOKUP(A503,'Parameters Summary'!$B$2:$AB$826,4,FALSE)</f>
        <v>317.94</v>
      </c>
      <c r="F503" s="97" t="str">
        <f>VLOOKUP(A503,'Parameters Summary'!$B$2:$AB$826,5,FALSE)</f>
        <v>CRC89</v>
      </c>
      <c r="G503" s="93" t="s">
        <v>2439</v>
      </c>
      <c r="H503" s="93" t="str">
        <f>VLOOKUP(A503,'Parameters Summary'!$B$2:$AB$826,10,FALSE)</f>
        <v/>
      </c>
      <c r="I503" s="93" t="s">
        <v>2440</v>
      </c>
      <c r="J503" s="97" t="str">
        <f>VLOOKUP(A503,'Parameters Summary'!$B$2:$AB$826,25,FALSE)</f>
        <v/>
      </c>
      <c r="K503" s="97" t="str">
        <f>VLOOKUP(A503,'Tox Summary'!$O$3:$S$827,2,FALSE)</f>
        <v/>
      </c>
      <c r="L503" s="93" t="s">
        <v>2298</v>
      </c>
      <c r="M503" s="93" t="str">
        <f>VLOOKUP(A503,'Parameters Summary'!$B$2:$AB$826,8,FALSE)</f>
        <v/>
      </c>
      <c r="N503" s="91" t="str">
        <f>VLOOKUP(A503,'Parameters Summary'!$B$2:$AB$826,6,FALSE)</f>
        <v xml:space="preserve"> </v>
      </c>
      <c r="O503" s="91" t="str">
        <f t="shared" si="46"/>
        <v/>
      </c>
      <c r="P503" s="91" t="str">
        <f t="shared" si="49"/>
        <v xml:space="preserve"> </v>
      </c>
      <c r="Q503" s="91" t="str">
        <f t="shared" si="47"/>
        <v/>
      </c>
      <c r="R503" s="91" t="str">
        <f t="shared" si="50"/>
        <v xml:space="preserve"> </v>
      </c>
      <c r="S503" s="91" t="str">
        <f t="shared" si="51"/>
        <v/>
      </c>
      <c r="T503" s="93" t="str">
        <f>VLOOKUP(A503,'Parameters Summary'!$B$2:$AB$826,15,FALSE)</f>
        <v xml:space="preserve"> </v>
      </c>
      <c r="U503" s="93" t="str">
        <f>VLOOKUP(A503,'Parameters Summary'!$B$2:$AB$826,17,FALSE)</f>
        <v/>
      </c>
      <c r="V503" s="93" t="str">
        <f>VLOOKUP(A503,'Parameters Summary'!$B$2:$AB$826,16,FALSE)</f>
        <v xml:space="preserve"> </v>
      </c>
      <c r="W503" s="379" t="str">
        <f>VLOOKUP(A503,'Parameters Summary'!$B$2:$AB$826,17,FALSE)</f>
        <v/>
      </c>
      <c r="X503" s="347"/>
      <c r="Y503" s="96"/>
      <c r="Z503" s="96" t="s">
        <v>1653</v>
      </c>
      <c r="AA503" s="96"/>
      <c r="AB503" s="96" t="s">
        <v>1651</v>
      </c>
      <c r="AC503" s="96"/>
      <c r="AD503" s="93" t="str">
        <f>VLOOKUP(A503,'Parameters Summary'!$B$2:$AB$826,20,FALSE)</f>
        <v xml:space="preserve"> </v>
      </c>
      <c r="AE503" s="97" t="str">
        <f>VLOOKUP(A503,'Parameters Summary'!$B$2:$AB$826,21,FALSE)</f>
        <v/>
      </c>
      <c r="AF503" s="97"/>
      <c r="AG503" s="94"/>
      <c r="AH503" s="92"/>
      <c r="AI503" s="96"/>
      <c r="AJ503" s="330"/>
      <c r="AL503" s="81"/>
    </row>
    <row r="504" spans="1:38" ht="12.75" customHeight="1">
      <c r="A504" s="96" t="s">
        <v>1590</v>
      </c>
      <c r="B504" s="96" t="s">
        <v>2390</v>
      </c>
      <c r="C504" s="96" t="str">
        <f t="shared" si="48"/>
        <v>No</v>
      </c>
      <c r="D504" s="96" t="str">
        <f>VLOOKUP(A504,'Tox Summary'!$O$3:$R$824,3,FALSE)</f>
        <v>No</v>
      </c>
      <c r="E504" s="97">
        <f>VLOOKUP(A504,'Parameters Summary'!$B$2:$AB$826,4,FALSE)</f>
        <v>115.03</v>
      </c>
      <c r="F504" s="97" t="str">
        <f>VLOOKUP(A504,'Parameters Summary'!$B$2:$AB$826,5,FALSE)</f>
        <v>EPI</v>
      </c>
      <c r="G504" s="93" t="s">
        <v>2439</v>
      </c>
      <c r="H504" s="93" t="str">
        <f>VLOOKUP(A504,'Parameters Summary'!$B$2:$AB$826,10,FALSE)</f>
        <v/>
      </c>
      <c r="I504" s="93" t="s">
        <v>2440</v>
      </c>
      <c r="J504" s="97" t="str">
        <f>VLOOKUP(A504,'Parameters Summary'!$B$2:$AB$826,25,FALSE)</f>
        <v/>
      </c>
      <c r="K504" s="97" t="str">
        <f>VLOOKUP(A504,'Tox Summary'!$O$3:$S$827,2,FALSE)</f>
        <v/>
      </c>
      <c r="L504" s="93" t="s">
        <v>2298</v>
      </c>
      <c r="M504" s="93" t="str">
        <f>VLOOKUP(A504,'Parameters Summary'!$B$2:$AB$826,8,FALSE)</f>
        <v/>
      </c>
      <c r="N504" s="91" t="str">
        <f>VLOOKUP(A504,'Parameters Summary'!$B$2:$AB$826,6,FALSE)</f>
        <v xml:space="preserve"> </v>
      </c>
      <c r="O504" s="91" t="str">
        <f t="shared" si="46"/>
        <v/>
      </c>
      <c r="P504" s="91" t="str">
        <f t="shared" si="49"/>
        <v xml:space="preserve"> </v>
      </c>
      <c r="Q504" s="91" t="str">
        <f t="shared" si="47"/>
        <v/>
      </c>
      <c r="R504" s="91" t="str">
        <f t="shared" si="50"/>
        <v xml:space="preserve"> </v>
      </c>
      <c r="S504" s="91" t="str">
        <f t="shared" si="51"/>
        <v/>
      </c>
      <c r="T504" s="93" t="str">
        <f>VLOOKUP(A504,'Parameters Summary'!$B$2:$AB$826,15,FALSE)</f>
        <v xml:space="preserve"> </v>
      </c>
      <c r="U504" s="93" t="str">
        <f>VLOOKUP(A504,'Parameters Summary'!$B$2:$AB$826,17,FALSE)</f>
        <v/>
      </c>
      <c r="V504" s="93" t="str">
        <f>VLOOKUP(A504,'Parameters Summary'!$B$2:$AB$826,16,FALSE)</f>
        <v xml:space="preserve"> </v>
      </c>
      <c r="W504" s="379" t="str">
        <f>VLOOKUP(A504,'Parameters Summary'!$B$2:$AB$826,17,FALSE)</f>
        <v/>
      </c>
      <c r="X504" s="347"/>
      <c r="Y504" s="96"/>
      <c r="Z504" s="96" t="s">
        <v>1653</v>
      </c>
      <c r="AA504" s="96"/>
      <c r="AB504" s="96" t="s">
        <v>1651</v>
      </c>
      <c r="AC504" s="96"/>
      <c r="AD504" s="93" t="str">
        <f>VLOOKUP(A504,'Parameters Summary'!$B$2:$AB$826,20,FALSE)</f>
        <v xml:space="preserve"> </v>
      </c>
      <c r="AE504" s="97" t="str">
        <f>VLOOKUP(A504,'Parameters Summary'!$B$2:$AB$826,21,FALSE)</f>
        <v/>
      </c>
      <c r="AF504" s="97"/>
      <c r="AG504" s="94"/>
      <c r="AH504" s="92"/>
      <c r="AI504" s="96"/>
      <c r="AJ504" s="330"/>
      <c r="AL504" s="81"/>
    </row>
    <row r="505" spans="1:38" ht="12.75" customHeight="1">
      <c r="A505" s="96" t="s">
        <v>1591</v>
      </c>
      <c r="B505" s="96" t="s">
        <v>2391</v>
      </c>
      <c r="C505" s="96" t="str">
        <f t="shared" si="48"/>
        <v>No</v>
      </c>
      <c r="D505" s="96" t="str">
        <f>VLOOKUP(A505,'Tox Summary'!$O$3:$R$824,3,FALSE)</f>
        <v>No</v>
      </c>
      <c r="E505" s="97">
        <f>VLOOKUP(A505,'Parameters Summary'!$B$2:$AB$826,4,FALSE)</f>
        <v>234.05</v>
      </c>
      <c r="F505" s="97" t="str">
        <f>VLOOKUP(A505,'Parameters Summary'!$B$2:$AB$826,5,FALSE)</f>
        <v>EPI</v>
      </c>
      <c r="G505" s="93" t="s">
        <v>2439</v>
      </c>
      <c r="H505" s="93" t="str">
        <f>VLOOKUP(A505,'Parameters Summary'!$B$2:$AB$826,10,FALSE)</f>
        <v/>
      </c>
      <c r="I505" s="93" t="s">
        <v>2440</v>
      </c>
      <c r="J505" s="97" t="str">
        <f>VLOOKUP(A505,'Parameters Summary'!$B$2:$AB$826,25,FALSE)</f>
        <v/>
      </c>
      <c r="K505" s="97" t="str">
        <f>VLOOKUP(A505,'Tox Summary'!$O$3:$S$827,2,FALSE)</f>
        <v/>
      </c>
      <c r="L505" s="93" t="s">
        <v>2298</v>
      </c>
      <c r="M505" s="93" t="str">
        <f>VLOOKUP(A505,'Parameters Summary'!$B$2:$AB$826,8,FALSE)</f>
        <v/>
      </c>
      <c r="N505" s="91" t="str">
        <f>VLOOKUP(A505,'Parameters Summary'!$B$2:$AB$826,6,FALSE)</f>
        <v xml:space="preserve"> </v>
      </c>
      <c r="O505" s="91" t="str">
        <f t="shared" si="46"/>
        <v/>
      </c>
      <c r="P505" s="91" t="str">
        <f t="shared" si="49"/>
        <v xml:space="preserve"> </v>
      </c>
      <c r="Q505" s="91" t="str">
        <f t="shared" si="47"/>
        <v/>
      </c>
      <c r="R505" s="91" t="str">
        <f t="shared" si="50"/>
        <v xml:space="preserve"> </v>
      </c>
      <c r="S505" s="91" t="str">
        <f t="shared" si="51"/>
        <v/>
      </c>
      <c r="T505" s="93" t="str">
        <f>VLOOKUP(A505,'Parameters Summary'!$B$2:$AB$826,15,FALSE)</f>
        <v xml:space="preserve"> </v>
      </c>
      <c r="U505" s="93" t="str">
        <f>VLOOKUP(A505,'Parameters Summary'!$B$2:$AB$826,17,FALSE)</f>
        <v/>
      </c>
      <c r="V505" s="93" t="str">
        <f>VLOOKUP(A505,'Parameters Summary'!$B$2:$AB$826,16,FALSE)</f>
        <v xml:space="preserve"> </v>
      </c>
      <c r="W505" s="379" t="str">
        <f>VLOOKUP(A505,'Parameters Summary'!$B$2:$AB$826,17,FALSE)</f>
        <v/>
      </c>
      <c r="X505" s="347"/>
      <c r="Y505" s="96"/>
      <c r="Z505" s="96" t="s">
        <v>1653</v>
      </c>
      <c r="AA505" s="96"/>
      <c r="AB505" s="96" t="s">
        <v>1651</v>
      </c>
      <c r="AC505" s="96"/>
      <c r="AD505" s="93" t="str">
        <f>VLOOKUP(A505,'Parameters Summary'!$B$2:$AB$826,20,FALSE)</f>
        <v xml:space="preserve"> </v>
      </c>
      <c r="AE505" s="97" t="str">
        <f>VLOOKUP(A505,'Parameters Summary'!$B$2:$AB$826,21,FALSE)</f>
        <v/>
      </c>
      <c r="AF505" s="97"/>
      <c r="AG505" s="94"/>
      <c r="AH505" s="92"/>
      <c r="AI505" s="96"/>
      <c r="AJ505" s="330"/>
      <c r="AL505" s="81"/>
    </row>
    <row r="506" spans="1:38" ht="12.75" customHeight="1">
      <c r="A506" s="96" t="s">
        <v>102</v>
      </c>
      <c r="B506" s="96" t="s">
        <v>1247</v>
      </c>
      <c r="C506" s="96" t="str">
        <f t="shared" si="48"/>
        <v>No</v>
      </c>
      <c r="D506" s="96" t="str">
        <f>VLOOKUP(A506,'Tox Summary'!$O$3:$R$824,3,FALSE)</f>
        <v>Yes</v>
      </c>
      <c r="E506" s="97">
        <f>VLOOKUP(A506,'Parameters Summary'!$B$2:$AB$826,4,FALSE)</f>
        <v>51.48</v>
      </c>
      <c r="F506" s="97" t="str">
        <f>VLOOKUP(A506,'Parameters Summary'!$B$2:$AB$826,5,FALSE)</f>
        <v>EPI</v>
      </c>
      <c r="G506" s="93" t="s">
        <v>2439</v>
      </c>
      <c r="H506" s="93" t="str">
        <f>VLOOKUP(A506,'Parameters Summary'!$B$2:$AB$826,10,FALSE)</f>
        <v/>
      </c>
      <c r="I506" s="93" t="s">
        <v>2440</v>
      </c>
      <c r="J506" s="97" t="str">
        <f>VLOOKUP(A506,'Parameters Summary'!$B$2:$AB$826,25,FALSE)</f>
        <v/>
      </c>
      <c r="K506" s="97">
        <f>VLOOKUP(A506,'Tox Summary'!$O$3:$S$827,2,FALSE)</f>
        <v>4000</v>
      </c>
      <c r="L506" s="93" t="s">
        <v>2298</v>
      </c>
      <c r="M506" s="93" t="str">
        <f>VLOOKUP(A506,'Parameters Summary'!$B$2:$AB$826,8,FALSE)</f>
        <v/>
      </c>
      <c r="N506" s="91" t="str">
        <f>VLOOKUP(A506,'Parameters Summary'!$B$2:$AB$826,6,FALSE)</f>
        <v xml:space="preserve"> </v>
      </c>
      <c r="O506" s="91" t="str">
        <f t="shared" si="46"/>
        <v/>
      </c>
      <c r="P506" s="91" t="str">
        <f t="shared" si="49"/>
        <v xml:space="preserve"> </v>
      </c>
      <c r="Q506" s="91" t="str">
        <f t="shared" si="47"/>
        <v/>
      </c>
      <c r="R506" s="91" t="str">
        <f t="shared" si="50"/>
        <v xml:space="preserve"> </v>
      </c>
      <c r="S506" s="91" t="str">
        <f t="shared" si="51"/>
        <v/>
      </c>
      <c r="T506" s="93" t="str">
        <f>VLOOKUP(A506,'Parameters Summary'!$B$2:$AB$826,15,FALSE)</f>
        <v xml:space="preserve"> </v>
      </c>
      <c r="U506" s="93" t="str">
        <f>VLOOKUP(A506,'Parameters Summary'!$B$2:$AB$826,17,FALSE)</f>
        <v/>
      </c>
      <c r="V506" s="93" t="str">
        <f>VLOOKUP(A506,'Parameters Summary'!$B$2:$AB$826,16,FALSE)</f>
        <v xml:space="preserve"> </v>
      </c>
      <c r="W506" s="379" t="str">
        <f>VLOOKUP(A506,'Parameters Summary'!$B$2:$AB$826,17,FALSE)</f>
        <v/>
      </c>
      <c r="X506" s="347"/>
      <c r="Y506" s="96"/>
      <c r="Z506" s="96" t="s">
        <v>1653</v>
      </c>
      <c r="AA506" s="96"/>
      <c r="AB506" s="96" t="s">
        <v>1651</v>
      </c>
      <c r="AC506" s="96"/>
      <c r="AD506" s="93" t="str">
        <f>VLOOKUP(A506,'Parameters Summary'!$B$2:$AB$826,20,FALSE)</f>
        <v xml:space="preserve"> </v>
      </c>
      <c r="AE506" s="97" t="str">
        <f>VLOOKUP(A506,'Parameters Summary'!$B$2:$AB$826,21,FALSE)</f>
        <v/>
      </c>
      <c r="AF506" s="97"/>
      <c r="AG506" s="94"/>
      <c r="AH506" s="92"/>
      <c r="AI506" s="96"/>
      <c r="AJ506" s="330"/>
      <c r="AL506" s="81"/>
    </row>
    <row r="507" spans="1:38" ht="12.75" customHeight="1">
      <c r="A507" s="96" t="s">
        <v>1592</v>
      </c>
      <c r="B507" s="96" t="s">
        <v>2392</v>
      </c>
      <c r="C507" s="96" t="str">
        <f t="shared" si="48"/>
        <v>No</v>
      </c>
      <c r="D507" s="96" t="str">
        <f>VLOOKUP(A507,'Tox Summary'!$O$3:$R$824,3,FALSE)</f>
        <v>No</v>
      </c>
      <c r="E507" s="97">
        <f>VLOOKUP(A507,'Parameters Summary'!$B$2:$AB$826,4,FALSE)</f>
        <v>120.28</v>
      </c>
      <c r="F507" s="97" t="str">
        <f>VLOOKUP(A507,'Parameters Summary'!$B$2:$AB$826,5,FALSE)</f>
        <v>CRC89</v>
      </c>
      <c r="G507" s="93" t="s">
        <v>2439</v>
      </c>
      <c r="H507" s="93" t="str">
        <f>VLOOKUP(A507,'Parameters Summary'!$B$2:$AB$826,10,FALSE)</f>
        <v/>
      </c>
      <c r="I507" s="93" t="s">
        <v>2440</v>
      </c>
      <c r="J507" s="97" t="str">
        <f>VLOOKUP(A507,'Parameters Summary'!$B$2:$AB$826,25,FALSE)</f>
        <v/>
      </c>
      <c r="K507" s="97" t="str">
        <f>VLOOKUP(A507,'Tox Summary'!$O$3:$S$827,2,FALSE)</f>
        <v/>
      </c>
      <c r="L507" s="93" t="s">
        <v>2298</v>
      </c>
      <c r="M507" s="93" t="str">
        <f>VLOOKUP(A507,'Parameters Summary'!$B$2:$AB$826,8,FALSE)</f>
        <v/>
      </c>
      <c r="N507" s="91" t="str">
        <f>VLOOKUP(A507,'Parameters Summary'!$B$2:$AB$826,6,FALSE)</f>
        <v xml:space="preserve"> </v>
      </c>
      <c r="O507" s="91" t="str">
        <f t="shared" si="46"/>
        <v/>
      </c>
      <c r="P507" s="91" t="str">
        <f t="shared" si="49"/>
        <v xml:space="preserve"> </v>
      </c>
      <c r="Q507" s="91" t="str">
        <f t="shared" si="47"/>
        <v/>
      </c>
      <c r="R507" s="91" t="str">
        <f t="shared" si="50"/>
        <v xml:space="preserve"> </v>
      </c>
      <c r="S507" s="91" t="str">
        <f t="shared" si="51"/>
        <v/>
      </c>
      <c r="T507" s="93" t="str">
        <f>VLOOKUP(A507,'Parameters Summary'!$B$2:$AB$826,15,FALSE)</f>
        <v xml:space="preserve"> </v>
      </c>
      <c r="U507" s="93" t="str">
        <f>VLOOKUP(A507,'Parameters Summary'!$B$2:$AB$826,17,FALSE)</f>
        <v/>
      </c>
      <c r="V507" s="93" t="str">
        <f>VLOOKUP(A507,'Parameters Summary'!$B$2:$AB$826,16,FALSE)</f>
        <v xml:space="preserve"> </v>
      </c>
      <c r="W507" s="379" t="str">
        <f>VLOOKUP(A507,'Parameters Summary'!$B$2:$AB$826,17,FALSE)</f>
        <v/>
      </c>
      <c r="X507" s="347"/>
      <c r="Y507" s="96"/>
      <c r="Z507" s="96" t="s">
        <v>1653</v>
      </c>
      <c r="AA507" s="96"/>
      <c r="AB507" s="96" t="s">
        <v>1651</v>
      </c>
      <c r="AC507" s="96"/>
      <c r="AD507" s="93" t="str">
        <f>VLOOKUP(A507,'Parameters Summary'!$B$2:$AB$826,20,FALSE)</f>
        <v xml:space="preserve"> </v>
      </c>
      <c r="AE507" s="97" t="str">
        <f>VLOOKUP(A507,'Parameters Summary'!$B$2:$AB$826,21,FALSE)</f>
        <v/>
      </c>
      <c r="AF507" s="97"/>
      <c r="AG507" s="94"/>
      <c r="AH507" s="92"/>
      <c r="AI507" s="96"/>
      <c r="AJ507" s="330"/>
      <c r="AL507" s="81"/>
    </row>
    <row r="508" spans="1:38" ht="12.75" customHeight="1">
      <c r="A508" s="96" t="s">
        <v>103</v>
      </c>
      <c r="B508" s="96" t="s">
        <v>1248</v>
      </c>
      <c r="C508" s="96" t="str">
        <f t="shared" si="48"/>
        <v>No</v>
      </c>
      <c r="D508" s="96" t="str">
        <f>VLOOKUP(A508,'Tox Summary'!$O$3:$R$824,3,FALSE)</f>
        <v>Yes</v>
      </c>
      <c r="E508" s="97">
        <f>VLOOKUP(A508,'Parameters Summary'!$B$2:$AB$826,4,FALSE)</f>
        <v>107.16</v>
      </c>
      <c r="F508" s="97" t="str">
        <f>VLOOKUP(A508,'Parameters Summary'!$B$2:$AB$826,5,FALSE)</f>
        <v>PHYSPROP</v>
      </c>
      <c r="G508" s="93">
        <f>VLOOKUP(A508,'Parameters Summary'!$B$2:$AB$826,9,FALSE)</f>
        <v>0.45300000000000001</v>
      </c>
      <c r="H508" s="93" t="str">
        <f>VLOOKUP(A508,'Parameters Summary'!$B$2:$AB$826,10,FALSE)</f>
        <v>PHYSPROP</v>
      </c>
      <c r="I508" s="93">
        <f>VLOOKUP(A508,'Parameters Summary'!$B$2:$AB$826,24,FALSE)</f>
        <v>5620</v>
      </c>
      <c r="J508" s="97" t="str">
        <f>VLOOKUP(A508,'Parameters Summary'!$B$2:$AB$826,25,FALSE)</f>
        <v>PHYSPROP</v>
      </c>
      <c r="K508" s="97" t="str">
        <f>VLOOKUP(A508,'Tox Summary'!$O$3:$S$827,2,FALSE)</f>
        <v/>
      </c>
      <c r="L508" s="93">
        <f>VLOOKUP(A508,'Parameters Summary'!$B$2:$AB$826,7,FALSE)</f>
        <v>8.8799999999999997E-6</v>
      </c>
      <c r="M508" s="93" t="str">
        <f>VLOOKUP(A508,'Parameters Summary'!$B$2:$AB$826,8,FALSE)</f>
        <v>PHYSPROP</v>
      </c>
      <c r="N508" s="91">
        <f>VLOOKUP(A508,'Parameters Summary'!$B$2:$AB$826,6,FALSE)</f>
        <v>3.6299999999999999E-4</v>
      </c>
      <c r="O508" s="91" t="str">
        <f t="shared" si="46"/>
        <v/>
      </c>
      <c r="P508" s="91">
        <f t="shared" si="49"/>
        <v>3.6299999999999999E-4</v>
      </c>
      <c r="Q508" s="91" t="str">
        <f t="shared" si="47"/>
        <v/>
      </c>
      <c r="R508" s="91">
        <f t="shared" si="50"/>
        <v>3.6299999999999999E-4</v>
      </c>
      <c r="S508" s="91" t="str">
        <f t="shared" si="51"/>
        <v/>
      </c>
      <c r="T508" s="93">
        <f>VLOOKUP(A508,'Parameters Summary'!$B$2:$AB$826,15,FALSE)</f>
        <v>7.2099899999999995E-2</v>
      </c>
      <c r="U508" s="93" t="str">
        <f>VLOOKUP(A508,'Parameters Summary'!$B$2:$AB$826,17,FALSE)</f>
        <v>WATER9 (U.S. EPA, 2001)</v>
      </c>
      <c r="V508" s="93">
        <f>VLOOKUP(A508,'Parameters Summary'!$B$2:$AB$826,16,FALSE)</f>
        <v>9.1284000000000006E-6</v>
      </c>
      <c r="W508" s="379" t="str">
        <f>VLOOKUP(A508,'Parameters Summary'!$B$2:$AB$826,17,FALSE)</f>
        <v>WATER9 (U.S. EPA, 2001)</v>
      </c>
      <c r="X508" s="290">
        <v>469.34999999999997</v>
      </c>
      <c r="Y508" s="96" t="s">
        <v>553</v>
      </c>
      <c r="Z508" s="96" t="s">
        <v>1653</v>
      </c>
      <c r="AA508" s="96"/>
      <c r="AB508" s="96" t="s">
        <v>1651</v>
      </c>
      <c r="AC508" s="96"/>
      <c r="AD508" s="93">
        <f>VLOOKUP(A508,'Parameters Summary'!$B$2:$AB$826,20,FALSE)</f>
        <v>82.08</v>
      </c>
      <c r="AE508" s="97" t="str">
        <f>VLOOKUP(A508,'Parameters Summary'!$B$2:$AB$826,21,FALSE)</f>
        <v>EPI</v>
      </c>
      <c r="AF508" s="97"/>
      <c r="AG508" s="94"/>
      <c r="AH508" s="92"/>
      <c r="AI508" s="96"/>
      <c r="AJ508" s="330"/>
      <c r="AL508" s="81"/>
    </row>
    <row r="509" spans="1:38" ht="12.75" customHeight="1">
      <c r="A509" s="96" t="s">
        <v>1593</v>
      </c>
      <c r="B509" s="96" t="s">
        <v>2393</v>
      </c>
      <c r="C509" s="96" t="str">
        <f t="shared" si="48"/>
        <v>No</v>
      </c>
      <c r="D509" s="96" t="str">
        <f>VLOOKUP(A509,'Tox Summary'!$O$3:$R$824,3,FALSE)</f>
        <v>No</v>
      </c>
      <c r="E509" s="97">
        <f>VLOOKUP(A509,'Parameters Summary'!$B$2:$AB$826,4,FALSE)</f>
        <v>136.09</v>
      </c>
      <c r="F509" s="97" t="str">
        <f>VLOOKUP(A509,'Parameters Summary'!$B$2:$AB$826,5,FALSE)</f>
        <v>EPI</v>
      </c>
      <c r="G509" s="93" t="s">
        <v>2439</v>
      </c>
      <c r="H509" s="93" t="str">
        <f>VLOOKUP(A509,'Parameters Summary'!$B$2:$AB$826,10,FALSE)</f>
        <v/>
      </c>
      <c r="I509" s="93" t="s">
        <v>2440</v>
      </c>
      <c r="J509" s="97" t="str">
        <f>VLOOKUP(A509,'Parameters Summary'!$B$2:$AB$826,25,FALSE)</f>
        <v/>
      </c>
      <c r="K509" s="97" t="str">
        <f>VLOOKUP(A509,'Tox Summary'!$O$3:$S$827,2,FALSE)</f>
        <v/>
      </c>
      <c r="L509" s="93" t="s">
        <v>2298</v>
      </c>
      <c r="M509" s="93" t="str">
        <f>VLOOKUP(A509,'Parameters Summary'!$B$2:$AB$826,8,FALSE)</f>
        <v/>
      </c>
      <c r="N509" s="91" t="str">
        <f>VLOOKUP(A509,'Parameters Summary'!$B$2:$AB$826,6,FALSE)</f>
        <v xml:space="preserve"> </v>
      </c>
      <c r="O509" s="91" t="str">
        <f t="shared" si="46"/>
        <v/>
      </c>
      <c r="P509" s="91" t="str">
        <f t="shared" si="49"/>
        <v xml:space="preserve"> </v>
      </c>
      <c r="Q509" s="91" t="str">
        <f t="shared" si="47"/>
        <v/>
      </c>
      <c r="R509" s="91" t="str">
        <f t="shared" si="50"/>
        <v xml:space="preserve"> </v>
      </c>
      <c r="S509" s="91" t="str">
        <f t="shared" si="51"/>
        <v/>
      </c>
      <c r="T509" s="93" t="str">
        <f>VLOOKUP(A509,'Parameters Summary'!$B$2:$AB$826,15,FALSE)</f>
        <v xml:space="preserve"> </v>
      </c>
      <c r="U509" s="93" t="str">
        <f>VLOOKUP(A509,'Parameters Summary'!$B$2:$AB$826,17,FALSE)</f>
        <v/>
      </c>
      <c r="V509" s="93" t="str">
        <f>VLOOKUP(A509,'Parameters Summary'!$B$2:$AB$826,16,FALSE)</f>
        <v xml:space="preserve"> </v>
      </c>
      <c r="W509" s="379" t="str">
        <f>VLOOKUP(A509,'Parameters Summary'!$B$2:$AB$826,17,FALSE)</f>
        <v/>
      </c>
      <c r="X509" s="347"/>
      <c r="Y509" s="96"/>
      <c r="Z509" s="96" t="s">
        <v>1653</v>
      </c>
      <c r="AA509" s="96"/>
      <c r="AB509" s="96" t="s">
        <v>1651</v>
      </c>
      <c r="AC509" s="96"/>
      <c r="AD509" s="93" t="str">
        <f>VLOOKUP(A509,'Parameters Summary'!$B$2:$AB$826,20,FALSE)</f>
        <v xml:space="preserve"> </v>
      </c>
      <c r="AE509" s="97" t="str">
        <f>VLOOKUP(A509,'Parameters Summary'!$B$2:$AB$826,21,FALSE)</f>
        <v/>
      </c>
      <c r="AF509" s="97"/>
      <c r="AG509" s="94"/>
      <c r="AH509" s="92"/>
      <c r="AI509" s="96"/>
      <c r="AJ509" s="330"/>
      <c r="AL509" s="81"/>
    </row>
    <row r="510" spans="1:38" ht="12.75" customHeight="1">
      <c r="A510" s="96" t="s">
        <v>1594</v>
      </c>
      <c r="B510" s="96" t="s">
        <v>2360</v>
      </c>
      <c r="C510" s="96" t="str">
        <f t="shared" si="48"/>
        <v>No</v>
      </c>
      <c r="D510" s="96" t="str">
        <f>VLOOKUP(A510,'Tox Summary'!$O$3:$R$824,3,FALSE)</f>
        <v>No</v>
      </c>
      <c r="E510" s="97">
        <f>VLOOKUP(A510,'Parameters Summary'!$B$2:$AB$826,4,FALSE)</f>
        <v>119.98</v>
      </c>
      <c r="F510" s="97" t="str">
        <f>VLOOKUP(A510,'Parameters Summary'!$B$2:$AB$826,5,FALSE)</f>
        <v>PHYSPROP</v>
      </c>
      <c r="G510" s="93" t="s">
        <v>2439</v>
      </c>
      <c r="H510" s="93" t="str">
        <f>VLOOKUP(A510,'Parameters Summary'!$B$2:$AB$826,10,FALSE)</f>
        <v/>
      </c>
      <c r="I510" s="93">
        <f>VLOOKUP(A510,'Parameters Summary'!$B$2:$AB$826,24,FALSE)</f>
        <v>486900</v>
      </c>
      <c r="J510" s="97" t="str">
        <f>VLOOKUP(A510,'Parameters Summary'!$B$2:$AB$826,25,FALSE)</f>
        <v>PHYSPROP</v>
      </c>
      <c r="K510" s="97" t="str">
        <f>VLOOKUP(A510,'Tox Summary'!$O$3:$S$827,2,FALSE)</f>
        <v/>
      </c>
      <c r="L510" s="93" t="s">
        <v>2298</v>
      </c>
      <c r="M510" s="93" t="str">
        <f>VLOOKUP(A510,'Parameters Summary'!$B$2:$AB$826,8,FALSE)</f>
        <v/>
      </c>
      <c r="N510" s="91" t="str">
        <f>VLOOKUP(A510,'Parameters Summary'!$B$2:$AB$826,6,FALSE)</f>
        <v xml:space="preserve"> </v>
      </c>
      <c r="O510" s="91" t="str">
        <f t="shared" si="46"/>
        <v/>
      </c>
      <c r="P510" s="91" t="str">
        <f t="shared" si="49"/>
        <v xml:space="preserve"> </v>
      </c>
      <c r="Q510" s="91" t="str">
        <f t="shared" si="47"/>
        <v/>
      </c>
      <c r="R510" s="91" t="str">
        <f t="shared" si="50"/>
        <v xml:space="preserve"> </v>
      </c>
      <c r="S510" s="91" t="str">
        <f t="shared" si="51"/>
        <v/>
      </c>
      <c r="T510" s="93" t="str">
        <f>VLOOKUP(A510,'Parameters Summary'!$B$2:$AB$826,15,FALSE)</f>
        <v xml:space="preserve"> </v>
      </c>
      <c r="U510" s="93" t="str">
        <f>VLOOKUP(A510,'Parameters Summary'!$B$2:$AB$826,17,FALSE)</f>
        <v/>
      </c>
      <c r="V510" s="93" t="str">
        <f>VLOOKUP(A510,'Parameters Summary'!$B$2:$AB$826,16,FALSE)</f>
        <v xml:space="preserve"> </v>
      </c>
      <c r="W510" s="379" t="str">
        <f>VLOOKUP(A510,'Parameters Summary'!$B$2:$AB$826,17,FALSE)</f>
        <v/>
      </c>
      <c r="X510" s="347"/>
      <c r="Y510" s="96"/>
      <c r="Z510" s="96" t="s">
        <v>1653</v>
      </c>
      <c r="AA510" s="96"/>
      <c r="AB510" s="96" t="s">
        <v>1651</v>
      </c>
      <c r="AC510" s="96"/>
      <c r="AD510" s="93" t="str">
        <f>VLOOKUP(A510,'Parameters Summary'!$B$2:$AB$826,20,FALSE)</f>
        <v xml:space="preserve"> </v>
      </c>
      <c r="AE510" s="97" t="str">
        <f>VLOOKUP(A510,'Parameters Summary'!$B$2:$AB$826,21,FALSE)</f>
        <v/>
      </c>
      <c r="AF510" s="97"/>
      <c r="AG510" s="94"/>
      <c r="AH510" s="92"/>
      <c r="AI510" s="96"/>
      <c r="AJ510" s="330"/>
      <c r="AL510" s="81"/>
    </row>
    <row r="511" spans="1:38" ht="12.75" customHeight="1">
      <c r="A511" s="96" t="s">
        <v>269</v>
      </c>
      <c r="B511" s="96" t="s">
        <v>2315</v>
      </c>
      <c r="C511" s="96" t="str">
        <f t="shared" si="48"/>
        <v>No</v>
      </c>
      <c r="D511" s="96" t="str">
        <f>VLOOKUP(A511,'Tox Summary'!$O$3:$R$824,3,FALSE)</f>
        <v>Yes</v>
      </c>
      <c r="E511" s="97">
        <f>VLOOKUP(A511,'Parameters Summary'!$B$2:$AB$826,4,FALSE)</f>
        <v>274.76</v>
      </c>
      <c r="F511" s="97" t="str">
        <f>VLOOKUP(A511,'Parameters Summary'!$B$2:$AB$826,5,FALSE)</f>
        <v>PHYSPROP</v>
      </c>
      <c r="G511" s="93">
        <f>VLOOKUP(A511,'Parameters Summary'!$B$2:$AB$826,9,FALSE)</f>
        <v>1.5999999999999999E-6</v>
      </c>
      <c r="H511" s="93" t="str">
        <f>VLOOKUP(A511,'Parameters Summary'!$B$2:$AB$826,10,FALSE)</f>
        <v>PHYSPROP</v>
      </c>
      <c r="I511" s="93">
        <f>VLOOKUP(A511,'Parameters Summary'!$B$2:$AB$826,24,FALSE)</f>
        <v>142</v>
      </c>
      <c r="J511" s="97" t="str">
        <f>VLOOKUP(A511,'Parameters Summary'!$B$2:$AB$826,25,FALSE)</f>
        <v>PHYSPROP</v>
      </c>
      <c r="K511" s="97" t="str">
        <f>VLOOKUP(A511,'Tox Summary'!$O$3:$S$827,2,FALSE)</f>
        <v/>
      </c>
      <c r="L511" s="93">
        <f>VLOOKUP(A511,'Parameters Summary'!$B$2:$AB$826,7,FALSE)</f>
        <v>4.2800000000000001E-9</v>
      </c>
      <c r="M511" s="93" t="str">
        <f>VLOOKUP(A511,'Parameters Summary'!$B$2:$AB$826,8,FALSE)</f>
        <v>EPI</v>
      </c>
      <c r="N511" s="91">
        <f>VLOOKUP(A511,'Parameters Summary'!$B$2:$AB$826,6,FALSE)</f>
        <v>1.7498E-7</v>
      </c>
      <c r="O511" s="91" t="str">
        <f t="shared" si="46"/>
        <v/>
      </c>
      <c r="P511" s="91">
        <f t="shared" si="49"/>
        <v>1.7498E-7</v>
      </c>
      <c r="Q511" s="91" t="str">
        <f t="shared" si="47"/>
        <v/>
      </c>
      <c r="R511" s="91">
        <f t="shared" si="50"/>
        <v>1.7498E-7</v>
      </c>
      <c r="S511" s="91" t="str">
        <f t="shared" si="51"/>
        <v/>
      </c>
      <c r="T511" s="93">
        <f>VLOOKUP(A511,'Parameters Summary'!$B$2:$AB$826,15,FALSE)</f>
        <v>4.4955700000000001E-2</v>
      </c>
      <c r="U511" s="93" t="str">
        <f>VLOOKUP(A511,'Parameters Summary'!$B$2:$AB$826,17,FALSE)</f>
        <v>WATER9 (U.S. EPA, 2001)</v>
      </c>
      <c r="V511" s="93">
        <f>VLOOKUP(A511,'Parameters Summary'!$B$2:$AB$826,16,FALSE)</f>
        <v>5.2526999999999997E-6</v>
      </c>
      <c r="W511" s="379" t="str">
        <f>VLOOKUP(A511,'Parameters Summary'!$B$2:$AB$826,17,FALSE)</f>
        <v>WATER9 (U.S. EPA, 2001)</v>
      </c>
      <c r="X511" s="290">
        <v>478.15</v>
      </c>
      <c r="Y511" s="96" t="s">
        <v>553</v>
      </c>
      <c r="Z511" s="96" t="s">
        <v>1653</v>
      </c>
      <c r="AA511" s="96"/>
      <c r="AB511" s="96" t="s">
        <v>1651</v>
      </c>
      <c r="AC511" s="96"/>
      <c r="AD511" s="93">
        <f>VLOOKUP(A511,'Parameters Summary'!$B$2:$AB$826,20,FALSE)</f>
        <v>6075</v>
      </c>
      <c r="AE511" s="97" t="str">
        <f>VLOOKUP(A511,'Parameters Summary'!$B$2:$AB$826,21,FALSE)</f>
        <v>EPI</v>
      </c>
      <c r="AF511" s="97"/>
      <c r="AG511" s="94"/>
      <c r="AH511" s="92"/>
      <c r="AI511" s="96"/>
      <c r="AJ511" s="330"/>
      <c r="AL511" s="81"/>
    </row>
    <row r="512" spans="1:38" ht="12.75" customHeight="1">
      <c r="A512" s="96" t="s">
        <v>104</v>
      </c>
      <c r="B512" s="96" t="s">
        <v>1249</v>
      </c>
      <c r="C512" s="96" t="str">
        <f t="shared" si="48"/>
        <v>No</v>
      </c>
      <c r="D512" s="96" t="str">
        <f>VLOOKUP(A512,'Tox Summary'!$O$3:$R$824,3,FALSE)</f>
        <v>Yes</v>
      </c>
      <c r="E512" s="97">
        <f>VLOOKUP(A512,'Parameters Summary'!$B$2:$AB$826,4,FALSE)</f>
        <v>260.33999999999997</v>
      </c>
      <c r="F512" s="97" t="str">
        <f>VLOOKUP(A512,'Parameters Summary'!$B$2:$AB$826,5,FALSE)</f>
        <v>PHYSPROP</v>
      </c>
      <c r="G512" s="93">
        <f>VLOOKUP(A512,'Parameters Summary'!$B$2:$AB$826,9,FALSE)</f>
        <v>6.3499999999999998E-9</v>
      </c>
      <c r="H512" s="93" t="str">
        <f>VLOOKUP(A512,'Parameters Summary'!$B$2:$AB$826,10,FALSE)</f>
        <v>EPI</v>
      </c>
      <c r="I512" s="93">
        <f>VLOOKUP(A512,'Parameters Summary'!$B$2:$AB$826,24,FALSE)</f>
        <v>7.3529999999999998</v>
      </c>
      <c r="J512" s="97" t="str">
        <f>VLOOKUP(A512,'Parameters Summary'!$B$2:$AB$826,25,FALSE)</f>
        <v>PHYSPROP</v>
      </c>
      <c r="K512" s="97" t="str">
        <f>VLOOKUP(A512,'Tox Summary'!$O$3:$S$827,2,FALSE)</f>
        <v/>
      </c>
      <c r="L512" s="93">
        <f>VLOOKUP(A512,'Parameters Summary'!$B$2:$AB$826,7,FALSE)</f>
        <v>2.0499999999999999E-10</v>
      </c>
      <c r="M512" s="93" t="str">
        <f>VLOOKUP(A512,'Parameters Summary'!$B$2:$AB$826,8,FALSE)</f>
        <v>PHYSPROP</v>
      </c>
      <c r="N512" s="91">
        <f>VLOOKUP(A512,'Parameters Summary'!$B$2:$AB$826,6,FALSE)</f>
        <v>8.3810000000000007E-9</v>
      </c>
      <c r="O512" s="91" t="str">
        <f t="shared" si="46"/>
        <v/>
      </c>
      <c r="P512" s="91">
        <f t="shared" si="49"/>
        <v>8.3810000000000007E-9</v>
      </c>
      <c r="Q512" s="91" t="str">
        <f t="shared" si="47"/>
        <v/>
      </c>
      <c r="R512" s="91">
        <f t="shared" si="50"/>
        <v>8.3810000000000007E-9</v>
      </c>
      <c r="S512" s="91" t="str">
        <f t="shared" si="51"/>
        <v/>
      </c>
      <c r="T512" s="93">
        <f>VLOOKUP(A512,'Parameters Summary'!$B$2:$AB$826,15,FALSE)</f>
        <v>4.6600799999999998E-2</v>
      </c>
      <c r="U512" s="93" t="str">
        <f>VLOOKUP(A512,'Parameters Summary'!$B$2:$AB$826,17,FALSE)</f>
        <v>WATER9 (U.S. EPA, 2001)</v>
      </c>
      <c r="V512" s="93">
        <f>VLOOKUP(A512,'Parameters Summary'!$B$2:$AB$826,16,FALSE)</f>
        <v>5.4449000000000002E-6</v>
      </c>
      <c r="W512" s="379" t="str">
        <f>VLOOKUP(A512,'Parameters Summary'!$B$2:$AB$826,17,FALSE)</f>
        <v>WATER9 (U.S. EPA, 2001)</v>
      </c>
      <c r="X512" s="290">
        <f>273.15+222.5</f>
        <v>495.65</v>
      </c>
      <c r="Y512" s="96" t="s">
        <v>553</v>
      </c>
      <c r="Z512" s="96" t="s">
        <v>1653</v>
      </c>
      <c r="AA512" s="96"/>
      <c r="AB512" s="96" t="s">
        <v>1651</v>
      </c>
      <c r="AC512" s="96"/>
      <c r="AD512" s="93">
        <f>VLOOKUP(A512,'Parameters Summary'!$B$2:$AB$826,20,FALSE)</f>
        <v>51890</v>
      </c>
      <c r="AE512" s="97" t="str">
        <f>VLOOKUP(A512,'Parameters Summary'!$B$2:$AB$826,21,FALSE)</f>
        <v>EPI</v>
      </c>
      <c r="AF512" s="97"/>
      <c r="AG512" s="94"/>
      <c r="AH512" s="92"/>
      <c r="AI512" s="96"/>
      <c r="AJ512" s="330"/>
      <c r="AL512" s="81"/>
    </row>
    <row r="513" spans="1:38" ht="12.75" customHeight="1">
      <c r="A513" s="96" t="s">
        <v>105</v>
      </c>
      <c r="B513" s="96" t="s">
        <v>1250</v>
      </c>
      <c r="C513" s="96" t="str">
        <f t="shared" si="48"/>
        <v>Yes</v>
      </c>
      <c r="D513" s="96" t="str">
        <f>VLOOKUP(A513,'Tox Summary'!$O$3:$R$824,3,FALSE)</f>
        <v>Yes</v>
      </c>
      <c r="E513" s="97">
        <f>VLOOKUP(A513,'Parameters Summary'!$B$2:$AB$826,4,FALSE)</f>
        <v>380.79</v>
      </c>
      <c r="F513" s="97" t="str">
        <f>VLOOKUP(A513,'Parameters Summary'!$B$2:$AB$826,5,FALSE)</f>
        <v>PHYSPROP</v>
      </c>
      <c r="G513" s="93">
        <f>VLOOKUP(A513,'Parameters Summary'!$B$2:$AB$826,9,FALSE)</f>
        <v>2.0000000000000001E-4</v>
      </c>
      <c r="H513" s="93" t="str">
        <f>VLOOKUP(A513,'Parameters Summary'!$B$2:$AB$826,10,FALSE)</f>
        <v>PHYSPROP</v>
      </c>
      <c r="I513" s="93">
        <f>VLOOKUP(A513,'Parameters Summary'!$B$2:$AB$826,24,FALSE)</f>
        <v>1.5</v>
      </c>
      <c r="J513" s="97" t="str">
        <f>VLOOKUP(A513,'Parameters Summary'!$B$2:$AB$826,25,FALSE)</f>
        <v>PHYSPROP</v>
      </c>
      <c r="K513" s="97" t="str">
        <f>VLOOKUP(A513,'Tox Summary'!$O$3:$S$827,2,FALSE)</f>
        <v/>
      </c>
      <c r="L513" s="93">
        <f>VLOOKUP(A513,'Parameters Summary'!$B$2:$AB$826,7,FALSE)</f>
        <v>6.5099999999999997E-5</v>
      </c>
      <c r="M513" s="93" t="str">
        <f>VLOOKUP(A513,'Parameters Summary'!$B$2:$AB$826,8,FALSE)</f>
        <v>EPI</v>
      </c>
      <c r="N513" s="91">
        <f>VLOOKUP(A513,'Parameters Summary'!$B$2:$AB$826,6,FALSE)</f>
        <v>2.6614999999999998E-3</v>
      </c>
      <c r="O513" s="91" t="str">
        <f t="shared" si="46"/>
        <v/>
      </c>
      <c r="P513" s="91">
        <f t="shared" si="49"/>
        <v>2.6614999999999998E-3</v>
      </c>
      <c r="Q513" s="91" t="str">
        <f t="shared" si="47"/>
        <v/>
      </c>
      <c r="R513" s="91">
        <f t="shared" si="50"/>
        <v>2.6614999999999998E-3</v>
      </c>
      <c r="S513" s="91" t="str">
        <f t="shared" si="51"/>
        <v/>
      </c>
      <c r="T513" s="93">
        <f>VLOOKUP(A513,'Parameters Summary'!$B$2:$AB$826,15,FALSE)</f>
        <v>2.45667E-2</v>
      </c>
      <c r="U513" s="93" t="str">
        <f>VLOOKUP(A513,'Parameters Summary'!$B$2:$AB$826,17,FALSE)</f>
        <v>WATER9 (U.S. EPA, 2001)</v>
      </c>
      <c r="V513" s="93">
        <f>VLOOKUP(A513,'Parameters Summary'!$B$2:$AB$826,16,FALSE)</f>
        <v>6.4300000000000003E-6</v>
      </c>
      <c r="W513" s="379" t="str">
        <f>VLOOKUP(A513,'Parameters Summary'!$B$2:$AB$826,17,FALSE)</f>
        <v>WATER9 (U.S. EPA, 2001)</v>
      </c>
      <c r="X513" s="290">
        <v>383.15</v>
      </c>
      <c r="Y513" s="96" t="s">
        <v>553</v>
      </c>
      <c r="Z513" s="96" t="s">
        <v>1653</v>
      </c>
      <c r="AA513" s="96"/>
      <c r="AB513" s="96" t="s">
        <v>1651</v>
      </c>
      <c r="AC513" s="96"/>
      <c r="AD513" s="93">
        <f>VLOOKUP(A513,'Parameters Summary'!$B$2:$AB$826,20,FALSE)</f>
        <v>126.7</v>
      </c>
      <c r="AE513" s="97" t="str">
        <f>VLOOKUP(A513,'Parameters Summary'!$B$2:$AB$826,21,FALSE)</f>
        <v>EPI</v>
      </c>
      <c r="AF513" s="97"/>
      <c r="AG513" s="94"/>
      <c r="AH513" s="92"/>
      <c r="AI513" s="96"/>
      <c r="AJ513" s="330"/>
      <c r="AL513" s="81"/>
    </row>
    <row r="514" spans="1:38" ht="12.75" customHeight="1">
      <c r="A514" s="96" t="s">
        <v>2117</v>
      </c>
      <c r="B514" s="96" t="s">
        <v>599</v>
      </c>
      <c r="C514" s="96" t="str">
        <f t="shared" si="48"/>
        <v>Yes</v>
      </c>
      <c r="D514" s="96" t="str">
        <f>VLOOKUP(A514,'Tox Summary'!$O$3:$R$824,3,FALSE)</f>
        <v>Yes</v>
      </c>
      <c r="E514" s="97" t="s">
        <v>2416</v>
      </c>
      <c r="F514" s="97" t="str">
        <f>VLOOKUP(A514,'Parameters Summary'!$B$2:$AB$826,5,FALSE)</f>
        <v/>
      </c>
      <c r="G514" s="93">
        <f>VLOOKUP(A514,'Parameters Summary'!$B$2:$AB$826,9,FALSE)</f>
        <v>8.5000000000000006E-2</v>
      </c>
      <c r="H514" s="93" t="str">
        <f>VLOOKUP(A514,'Parameters Summary'!$B$2:$AB$826,10,FALSE)</f>
        <v>EPI</v>
      </c>
      <c r="I514" s="93">
        <f>VLOOKUP(A514,'Parameters Summary'!$B$2:$AB$826,24,FALSE)</f>
        <v>31</v>
      </c>
      <c r="J514" s="97" t="str">
        <f>VLOOKUP(A514,'Parameters Summary'!$B$2:$AB$826,25,FALSE)</f>
        <v>EPI</v>
      </c>
      <c r="K514" s="97" t="str">
        <f>VLOOKUP(A514,'Tox Summary'!$O$3:$S$827,2,FALSE)</f>
        <v/>
      </c>
      <c r="L514" s="93">
        <f>VLOOKUP(A514,'Parameters Summary'!$B$2:$AB$826,7,FALSE)</f>
        <v>4.4000000000000002E-4</v>
      </c>
      <c r="M514" s="93" t="str">
        <f>VLOOKUP(A514,'Parameters Summary'!$B$2:$AB$826,8,FALSE)</f>
        <v>EPI</v>
      </c>
      <c r="N514" s="91">
        <f>VLOOKUP(A514,'Parameters Summary'!$B$2:$AB$826,6,FALSE)</f>
        <v>1.79886E-2</v>
      </c>
      <c r="O514" s="91" t="str">
        <f t="shared" si="46"/>
        <v/>
      </c>
      <c r="P514" s="91">
        <f t="shared" si="49"/>
        <v>1.79886E-2</v>
      </c>
      <c r="Q514" s="91" t="str">
        <f t="shared" si="47"/>
        <v/>
      </c>
      <c r="R514" s="91">
        <f t="shared" si="50"/>
        <v>1.79886E-2</v>
      </c>
      <c r="S514" s="91" t="str">
        <f t="shared" si="51"/>
        <v/>
      </c>
      <c r="T514" s="93" t="s">
        <v>2535</v>
      </c>
      <c r="U514" s="93" t="str">
        <f>VLOOKUP(A514,'Parameters Summary'!$B$2:$AB$826,17,FALSE)</f>
        <v/>
      </c>
      <c r="V514" s="93" t="s">
        <v>2536</v>
      </c>
      <c r="W514" s="379" t="str">
        <f>VLOOKUP(A514,'Parameters Summary'!$B$2:$AB$826,17,FALSE)</f>
        <v/>
      </c>
      <c r="X514" s="347" t="s">
        <v>1652</v>
      </c>
      <c r="Y514" s="96"/>
      <c r="Z514" s="96" t="s">
        <v>1653</v>
      </c>
      <c r="AA514" s="96"/>
      <c r="AB514" s="96" t="s">
        <v>1651</v>
      </c>
      <c r="AC514" s="96"/>
      <c r="AD514" s="93" t="str">
        <f>VLOOKUP(A514,'Parameters Summary'!$B$2:$AB$826,20,FALSE)</f>
        <v xml:space="preserve"> </v>
      </c>
      <c r="AE514" s="97" t="str">
        <f>VLOOKUP(A514,'Parameters Summary'!$B$2:$AB$826,21,FALSE)</f>
        <v/>
      </c>
      <c r="AF514" s="97"/>
      <c r="AG514" s="94"/>
      <c r="AH514" s="92"/>
      <c r="AI514" s="96"/>
      <c r="AJ514" s="330"/>
      <c r="AL514" s="81"/>
    </row>
    <row r="515" spans="1:38" ht="12.75" customHeight="1">
      <c r="A515" s="95" t="s">
        <v>217</v>
      </c>
      <c r="B515" s="96" t="s">
        <v>2244</v>
      </c>
      <c r="C515" s="96" t="str">
        <f t="shared" si="48"/>
        <v>Yes</v>
      </c>
      <c r="D515" s="96" t="str">
        <f>VLOOKUP(A515,'Tox Summary'!$O$3:$R$824,3,FALSE)</f>
        <v>No</v>
      </c>
      <c r="E515" s="97">
        <f>VLOOKUP(A515,'Parameters Summary'!$B$2:$AB$826,4,FALSE)</f>
        <v>128.18</v>
      </c>
      <c r="F515" s="97" t="str">
        <f>VLOOKUP(A515,'Parameters Summary'!$B$2:$AB$826,5,FALSE)</f>
        <v>PHYSPROP</v>
      </c>
      <c r="G515" s="93">
        <f>VLOOKUP(A515,'Parameters Summary'!$B$2:$AB$826,9,FALSE)</f>
        <v>8.5000000000000006E-2</v>
      </c>
      <c r="H515" s="93" t="str">
        <f>VLOOKUP(A515,'Parameters Summary'!$B$2:$AB$826,10,FALSE)</f>
        <v>PHYSPROP</v>
      </c>
      <c r="I515" s="93">
        <f>VLOOKUP(A515,'Parameters Summary'!$B$2:$AB$826,24,FALSE)</f>
        <v>31</v>
      </c>
      <c r="J515" s="97" t="str">
        <f>VLOOKUP(A515,'Parameters Summary'!$B$2:$AB$826,25,FALSE)</f>
        <v>PHYSPROP</v>
      </c>
      <c r="K515" s="97" t="str">
        <f>VLOOKUP(A515,'Tox Summary'!$O$3:$S$827,2,FALSE)</f>
        <v/>
      </c>
      <c r="L515" s="93">
        <f>VLOOKUP(A515,'Parameters Summary'!$B$2:$AB$826,7,FALSE)</f>
        <v>4.4000000000000002E-4</v>
      </c>
      <c r="M515" s="93" t="str">
        <f>VLOOKUP(A515,'Parameters Summary'!$B$2:$AB$826,8,FALSE)</f>
        <v>PHYSPROP</v>
      </c>
      <c r="N515" s="91">
        <f>VLOOKUP(A515,'Parameters Summary'!$B$2:$AB$826,6,FALSE)</f>
        <v>1.79886E-2</v>
      </c>
      <c r="O515" s="91">
        <f t="shared" si="46"/>
        <v>1.79886E-2</v>
      </c>
      <c r="P515" s="91">
        <f t="shared" si="49"/>
        <v>1.79886E-2</v>
      </c>
      <c r="Q515" s="91">
        <f t="shared" si="47"/>
        <v>1.79886E-2</v>
      </c>
      <c r="R515" s="91">
        <f t="shared" si="50"/>
        <v>1.79886E-2</v>
      </c>
      <c r="S515" s="91">
        <f t="shared" si="51"/>
        <v>586262.86224055942</v>
      </c>
      <c r="T515" s="93">
        <f>VLOOKUP(A515,'Parameters Summary'!$B$2:$AB$826,15,FALSE)</f>
        <v>6.0499400000000002E-2</v>
      </c>
      <c r="U515" s="93" t="str">
        <f>VLOOKUP(A515,'Parameters Summary'!$B$2:$AB$826,17,FALSE)</f>
        <v>WATER9 (U.S. EPA, 2001)</v>
      </c>
      <c r="V515" s="93">
        <f>VLOOKUP(A515,'Parameters Summary'!$B$2:$AB$826,16,FALSE)</f>
        <v>8.3769999999999996E-6</v>
      </c>
      <c r="W515" s="379" t="str">
        <f>VLOOKUP(A515,'Parameters Summary'!$B$2:$AB$826,17,FALSE)</f>
        <v>WATER9 (U.S. EPA, 2001)</v>
      </c>
      <c r="X515" s="290">
        <v>490.9</v>
      </c>
      <c r="Y515" s="96" t="s">
        <v>553</v>
      </c>
      <c r="Z515" s="96">
        <v>748.4</v>
      </c>
      <c r="AA515" s="96" t="s">
        <v>2227</v>
      </c>
      <c r="AB515" s="96">
        <v>10373</v>
      </c>
      <c r="AC515" s="96" t="s">
        <v>2227</v>
      </c>
      <c r="AD515" s="93">
        <f>VLOOKUP(A515,'Parameters Summary'!$B$2:$AB$826,20,FALSE)</f>
        <v>1544</v>
      </c>
      <c r="AE515" s="97" t="str">
        <f>VLOOKUP(A515,'Parameters Summary'!$B$2:$AB$826,21,FALSE)</f>
        <v>EPI</v>
      </c>
      <c r="AF515" s="380">
        <v>0.9</v>
      </c>
      <c r="AG515" s="97" t="s">
        <v>302</v>
      </c>
      <c r="AH515" s="92"/>
      <c r="AI515" s="96"/>
      <c r="AJ515" s="330"/>
      <c r="AL515" s="81"/>
    </row>
    <row r="516" spans="1:38" ht="12.75" customHeight="1">
      <c r="A516" s="96" t="s">
        <v>106</v>
      </c>
      <c r="B516" s="96" t="s">
        <v>600</v>
      </c>
      <c r="C516" s="96" t="str">
        <f t="shared" si="48"/>
        <v>No</v>
      </c>
      <c r="D516" s="96" t="str">
        <f>VLOOKUP(A516,'Tox Summary'!$O$3:$R$824,3,FALSE)</f>
        <v>Yes</v>
      </c>
      <c r="E516" s="97">
        <f>VLOOKUP(A516,'Parameters Summary'!$B$2:$AB$826,4,FALSE)</f>
        <v>143.19</v>
      </c>
      <c r="F516" s="97" t="str">
        <f>VLOOKUP(A516,'Parameters Summary'!$B$2:$AB$826,5,FALSE)</f>
        <v>PHYSPROP</v>
      </c>
      <c r="G516" s="93">
        <f>VLOOKUP(A516,'Parameters Summary'!$B$2:$AB$826,9,FALSE)</f>
        <v>2.5599999999999999E-4</v>
      </c>
      <c r="H516" s="93" t="str">
        <f>VLOOKUP(A516,'Parameters Summary'!$B$2:$AB$826,10,FALSE)</f>
        <v>PHYSPROP</v>
      </c>
      <c r="I516" s="93">
        <f>VLOOKUP(A516,'Parameters Summary'!$B$2:$AB$826,24,FALSE)</f>
        <v>189</v>
      </c>
      <c r="J516" s="97" t="str">
        <f>VLOOKUP(A516,'Parameters Summary'!$B$2:$AB$826,25,FALSE)</f>
        <v>PHYSPROP</v>
      </c>
      <c r="K516" s="97" t="str">
        <f>VLOOKUP(A516,'Tox Summary'!$O$3:$S$827,2,FALSE)</f>
        <v/>
      </c>
      <c r="L516" s="93">
        <f>VLOOKUP(A516,'Parameters Summary'!$B$2:$AB$826,7,FALSE)</f>
        <v>8.0999999999999997E-8</v>
      </c>
      <c r="M516" s="93" t="str">
        <f>VLOOKUP(A516,'Parameters Summary'!$B$2:$AB$826,8,FALSE)</f>
        <v>PHYSPROP</v>
      </c>
      <c r="N516" s="91">
        <f>VLOOKUP(A516,'Parameters Summary'!$B$2:$AB$826,6,FALSE)</f>
        <v>3.3115E-6</v>
      </c>
      <c r="O516" s="91" t="str">
        <f t="shared" si="46"/>
        <v/>
      </c>
      <c r="P516" s="91">
        <f t="shared" si="49"/>
        <v>3.3115E-6</v>
      </c>
      <c r="Q516" s="91" t="str">
        <f t="shared" si="47"/>
        <v/>
      </c>
      <c r="R516" s="91">
        <f t="shared" si="50"/>
        <v>3.3115E-6</v>
      </c>
      <c r="S516" s="91" t="str">
        <f t="shared" si="51"/>
        <v/>
      </c>
      <c r="T516" s="93">
        <f>VLOOKUP(A516,'Parameters Summary'!$B$2:$AB$826,15,FALSE)</f>
        <v>6.44512E-2</v>
      </c>
      <c r="U516" s="93" t="str">
        <f>VLOOKUP(A516,'Parameters Summary'!$B$2:$AB$826,17,FALSE)</f>
        <v>WATER9 (U.S. EPA, 2001)</v>
      </c>
      <c r="V516" s="93">
        <f>VLOOKUP(A516,'Parameters Summary'!$B$2:$AB$826,16,FALSE)</f>
        <v>1.04E-5</v>
      </c>
      <c r="W516" s="379" t="str">
        <f>VLOOKUP(A516,'Parameters Summary'!$B$2:$AB$826,17,FALSE)</f>
        <v>WATER9 (U.S. EPA, 2001)</v>
      </c>
      <c r="X516" s="290">
        <v>573.15</v>
      </c>
      <c r="Y516" s="96" t="s">
        <v>553</v>
      </c>
      <c r="Z516" s="96" t="s">
        <v>1653</v>
      </c>
      <c r="AA516" s="96"/>
      <c r="AB516" s="96" t="s">
        <v>1651</v>
      </c>
      <c r="AC516" s="96"/>
      <c r="AD516" s="93">
        <f>VLOOKUP(A516,'Parameters Summary'!$B$2:$AB$826,20,FALSE)</f>
        <v>2478</v>
      </c>
      <c r="AE516" s="97" t="str">
        <f>VLOOKUP(A516,'Parameters Summary'!$B$2:$AB$826,21,FALSE)</f>
        <v>EPI</v>
      </c>
      <c r="AF516" s="97"/>
      <c r="AG516" s="94"/>
      <c r="AH516" s="92"/>
      <c r="AI516" s="96"/>
      <c r="AJ516" s="330"/>
      <c r="AL516" s="81"/>
    </row>
    <row r="517" spans="1:38" ht="12.75" customHeight="1">
      <c r="A517" s="96" t="s">
        <v>107</v>
      </c>
      <c r="B517" s="96" t="s">
        <v>1251</v>
      </c>
      <c r="C517" s="96" t="str">
        <f t="shared" si="48"/>
        <v>No</v>
      </c>
      <c r="D517" s="96" t="str">
        <f>VLOOKUP(A517,'Tox Summary'!$O$3:$R$824,3,FALSE)</f>
        <v>Yes</v>
      </c>
      <c r="E517" s="97">
        <f>VLOOKUP(A517,'Parameters Summary'!$B$2:$AB$826,4,FALSE)</f>
        <v>271.36</v>
      </c>
      <c r="F517" s="97" t="str">
        <f>VLOOKUP(A517,'Parameters Summary'!$B$2:$AB$826,5,FALSE)</f>
        <v>PHYSPROP</v>
      </c>
      <c r="G517" s="93">
        <f>VLOOKUP(A517,'Parameters Summary'!$B$2:$AB$826,9,FALSE)</f>
        <v>1.72E-7</v>
      </c>
      <c r="H517" s="93" t="str">
        <f>VLOOKUP(A517,'Parameters Summary'!$B$2:$AB$826,10,FALSE)</f>
        <v>PHYSPROP</v>
      </c>
      <c r="I517" s="93">
        <f>VLOOKUP(A517,'Parameters Summary'!$B$2:$AB$826,24,FALSE)</f>
        <v>73</v>
      </c>
      <c r="J517" s="97" t="str">
        <f>VLOOKUP(A517,'Parameters Summary'!$B$2:$AB$826,25,FALSE)</f>
        <v>PHYSPROP</v>
      </c>
      <c r="K517" s="97" t="str">
        <f>VLOOKUP(A517,'Tox Summary'!$O$3:$S$827,2,FALSE)</f>
        <v/>
      </c>
      <c r="L517" s="93">
        <f>VLOOKUP(A517,'Parameters Summary'!$B$2:$AB$826,7,FALSE)</f>
        <v>8.4099999999999999E-10</v>
      </c>
      <c r="M517" s="93" t="str">
        <f>VLOOKUP(A517,'Parameters Summary'!$B$2:$AB$826,8,FALSE)</f>
        <v>EPI</v>
      </c>
      <c r="N517" s="91">
        <f>VLOOKUP(A517,'Parameters Summary'!$B$2:$AB$826,6,FALSE)</f>
        <v>3.4382999999999998E-8</v>
      </c>
      <c r="O517" s="91" t="str">
        <f t="shared" si="46"/>
        <v/>
      </c>
      <c r="P517" s="91">
        <f t="shared" si="49"/>
        <v>3.4382999999999998E-8</v>
      </c>
      <c r="Q517" s="91" t="str">
        <f t="shared" si="47"/>
        <v/>
      </c>
      <c r="R517" s="91">
        <f t="shared" si="50"/>
        <v>3.4382999999999998E-8</v>
      </c>
      <c r="S517" s="91" t="str">
        <f t="shared" si="51"/>
        <v/>
      </c>
      <c r="T517" s="93">
        <f>VLOOKUP(A517,'Parameters Summary'!$B$2:$AB$826,15,FALSE)</f>
        <v>4.53304E-2</v>
      </c>
      <c r="U517" s="93" t="str">
        <f>VLOOKUP(A517,'Parameters Summary'!$B$2:$AB$826,17,FALSE)</f>
        <v>WATER9 (U.S. EPA, 2001)</v>
      </c>
      <c r="V517" s="93">
        <f>VLOOKUP(A517,'Parameters Summary'!$B$2:$AB$826,16,FALSE)</f>
        <v>5.2965E-6</v>
      </c>
      <c r="W517" s="379" t="str">
        <f>VLOOKUP(A517,'Parameters Summary'!$B$2:$AB$826,17,FALSE)</f>
        <v>WATER9 (U.S. EPA, 2001)</v>
      </c>
      <c r="X517" s="347"/>
      <c r="Y517" s="96"/>
      <c r="Z517" s="96" t="s">
        <v>1653</v>
      </c>
      <c r="AA517" s="96"/>
      <c r="AB517" s="96" t="s">
        <v>1651</v>
      </c>
      <c r="AC517" s="96"/>
      <c r="AD517" s="93">
        <f>VLOOKUP(A517,'Parameters Summary'!$B$2:$AB$826,20,FALSE)</f>
        <v>3218</v>
      </c>
      <c r="AE517" s="97" t="str">
        <f>VLOOKUP(A517,'Parameters Summary'!$B$2:$AB$826,21,FALSE)</f>
        <v>EPI</v>
      </c>
      <c r="AF517" s="97"/>
      <c r="AG517" s="94"/>
      <c r="AH517" s="92"/>
      <c r="AI517" s="96"/>
      <c r="AJ517" s="330"/>
      <c r="AL517" s="81"/>
    </row>
    <row r="518" spans="1:38" ht="12.75" customHeight="1">
      <c r="A518" s="96" t="s">
        <v>2119</v>
      </c>
      <c r="B518" s="96" t="s">
        <v>2118</v>
      </c>
      <c r="C518" s="96" t="str">
        <f t="shared" si="48"/>
        <v>No</v>
      </c>
      <c r="D518" s="96" t="str">
        <f>VLOOKUP(A518,'Tox Summary'!$O$3:$R$824,3,FALSE)</f>
        <v>No</v>
      </c>
      <c r="E518" s="97">
        <f>VLOOKUP(A518,'Parameters Summary'!$B$2:$AB$826,4,FALSE)</f>
        <v>176.8</v>
      </c>
      <c r="F518" s="97" t="str">
        <f>VLOOKUP(A518,'Parameters Summary'!$B$2:$AB$826,5,FALSE)</f>
        <v>PHYSPROP</v>
      </c>
      <c r="G518" s="93">
        <f>VLOOKUP(A518,'Parameters Summary'!$B$2:$AB$826,9,FALSE)</f>
        <v>1.7900000000000001E-5</v>
      </c>
      <c r="H518" s="93" t="str">
        <f>VLOOKUP(A518,'Parameters Summary'!$B$2:$AB$826,10,FALSE)</f>
        <v>PHYSPROP</v>
      </c>
      <c r="I518" s="93">
        <f>VLOOKUP(A518,'Parameters Summary'!$B$2:$AB$826,24,FALSE)</f>
        <v>166000</v>
      </c>
      <c r="J518" s="97" t="str">
        <f>VLOOKUP(A518,'Parameters Summary'!$B$2:$AB$826,25,FALSE)</f>
        <v>PHYSPROP</v>
      </c>
      <c r="K518" s="97" t="str">
        <f>VLOOKUP(A518,'Tox Summary'!$O$3:$S$827,2,FALSE)</f>
        <v/>
      </c>
      <c r="L518" s="93" t="str">
        <f>VLOOKUP(A518,'Parameters Summary'!$B$2:$AB$826,7,FALSE)</f>
        <v xml:space="preserve"> </v>
      </c>
      <c r="M518" s="93" t="str">
        <f>VLOOKUP(A518,'Parameters Summary'!$B$2:$AB$826,8,FALSE)</f>
        <v/>
      </c>
      <c r="N518" s="91" t="str">
        <f>VLOOKUP(A518,'Parameters Summary'!$B$2:$AB$826,6,FALSE)</f>
        <v xml:space="preserve"> </v>
      </c>
      <c r="O518" s="91" t="str">
        <f t="shared" si="46"/>
        <v/>
      </c>
      <c r="P518" s="91" t="str">
        <f t="shared" si="49"/>
        <v xml:space="preserve"> </v>
      </c>
      <c r="Q518" s="91" t="str">
        <f t="shared" si="47"/>
        <v/>
      </c>
      <c r="R518" s="91" t="str">
        <f t="shared" si="50"/>
        <v xml:space="preserve"> </v>
      </c>
      <c r="S518" s="91" t="str">
        <f t="shared" si="51"/>
        <v/>
      </c>
      <c r="T518" s="93">
        <f>VLOOKUP(A518,'Parameters Summary'!$B$2:$AB$826,15,FALSE)</f>
        <v>4.61757E-2</v>
      </c>
      <c r="U518" s="93" t="str">
        <f>VLOOKUP(A518,'Parameters Summary'!$B$2:$AB$826,17,FALSE)</f>
        <v>WATER9 (U.S. EPA, 2001)</v>
      </c>
      <c r="V518" s="93">
        <f>VLOOKUP(A518,'Parameters Summary'!$B$2:$AB$826,16,FALSE)</f>
        <v>9.6750999999999999E-6</v>
      </c>
      <c r="W518" s="379" t="str">
        <f>VLOOKUP(A518,'Parameters Summary'!$B$2:$AB$826,17,FALSE)</f>
        <v>WATER9 (U.S. EPA, 2001)</v>
      </c>
      <c r="X518" s="347"/>
      <c r="Y518" s="96"/>
      <c r="Z518" s="96" t="s">
        <v>1653</v>
      </c>
      <c r="AA518" s="96"/>
      <c r="AB518" s="96" t="s">
        <v>1651</v>
      </c>
      <c r="AC518" s="96"/>
      <c r="AD518" s="93">
        <f>VLOOKUP(A518,'Parameters Summary'!$B$2:$AB$826,20,FALSE)</f>
        <v>1</v>
      </c>
      <c r="AE518" s="97" t="str">
        <f>VLOOKUP(A518,'Parameters Summary'!$B$2:$AB$826,21,FALSE)</f>
        <v>EPI</v>
      </c>
      <c r="AF518" s="97"/>
      <c r="AG518" s="94"/>
      <c r="AH518" s="92"/>
      <c r="AI518" s="96"/>
      <c r="AJ518" s="330"/>
      <c r="AL518" s="81"/>
    </row>
    <row r="519" spans="1:38" ht="12.75" customHeight="1">
      <c r="A519" s="96" t="s">
        <v>2121</v>
      </c>
      <c r="B519" s="96" t="s">
        <v>2120</v>
      </c>
      <c r="C519" s="96" t="str">
        <f t="shared" si="48"/>
        <v>No</v>
      </c>
      <c r="D519" s="96" t="str">
        <f>VLOOKUP(A519,'Tox Summary'!$O$3:$R$824,3,FALSE)</f>
        <v>No</v>
      </c>
      <c r="E519" s="97">
        <f>VLOOKUP(A519,'Parameters Summary'!$B$2:$AB$826,4,FALSE)</f>
        <v>118.72</v>
      </c>
      <c r="F519" s="97" t="str">
        <f>VLOOKUP(A519,'Parameters Summary'!$B$2:$AB$826,5,FALSE)</f>
        <v>PHYSPROP</v>
      </c>
      <c r="G519" s="93">
        <f>VLOOKUP(A519,'Parameters Summary'!$B$2:$AB$826,9,FALSE)</f>
        <v>3.5599999999999998E-6</v>
      </c>
      <c r="H519" s="93" t="str">
        <f>VLOOKUP(A519,'Parameters Summary'!$B$2:$AB$826,10,FALSE)</f>
        <v>PHYSPROP</v>
      </c>
      <c r="I519" s="93">
        <f>VLOOKUP(A519,'Parameters Summary'!$B$2:$AB$826,24,FALSE)</f>
        <v>93</v>
      </c>
      <c r="J519" s="97" t="str">
        <f>VLOOKUP(A519,'Parameters Summary'!$B$2:$AB$826,25,FALSE)</f>
        <v>PERRY</v>
      </c>
      <c r="K519" s="97" t="str">
        <f>VLOOKUP(A519,'Tox Summary'!$O$3:$S$827,2,FALSE)</f>
        <v/>
      </c>
      <c r="L519" s="93" t="str">
        <f>VLOOKUP(A519,'Parameters Summary'!$B$2:$AB$826,7,FALSE)</f>
        <v xml:space="preserve"> </v>
      </c>
      <c r="M519" s="93" t="str">
        <f>VLOOKUP(A519,'Parameters Summary'!$B$2:$AB$826,8,FALSE)</f>
        <v/>
      </c>
      <c r="N519" s="91" t="str">
        <f>VLOOKUP(A519,'Parameters Summary'!$B$2:$AB$826,6,FALSE)</f>
        <v xml:space="preserve"> </v>
      </c>
      <c r="O519" s="91" t="str">
        <f t="shared" si="46"/>
        <v/>
      </c>
      <c r="P519" s="91" t="str">
        <f t="shared" si="49"/>
        <v xml:space="preserve"> </v>
      </c>
      <c r="Q519" s="91" t="str">
        <f t="shared" si="47"/>
        <v/>
      </c>
      <c r="R519" s="91" t="str">
        <f t="shared" si="50"/>
        <v xml:space="preserve"> </v>
      </c>
      <c r="S519" s="91" t="str">
        <f t="shared" si="51"/>
        <v/>
      </c>
      <c r="T519" s="93">
        <f>VLOOKUP(A519,'Parameters Summary'!$B$2:$AB$826,15,FALSE)</f>
        <v>7.8657099999999994E-2</v>
      </c>
      <c r="U519" s="93" t="str">
        <f>VLOOKUP(A519,'Parameters Summary'!$B$2:$AB$826,17,FALSE)</f>
        <v>WATER9 (U.S. EPA, 2001)</v>
      </c>
      <c r="V519" s="93">
        <f>VLOOKUP(A519,'Parameters Summary'!$B$2:$AB$826,16,FALSE)</f>
        <v>9.1904999999999995E-6</v>
      </c>
      <c r="W519" s="379" t="str">
        <f>VLOOKUP(A519,'Parameters Summary'!$B$2:$AB$826,17,FALSE)</f>
        <v>WATER9 (U.S. EPA, 2001)</v>
      </c>
      <c r="X519" s="347"/>
      <c r="Y519" s="96"/>
      <c r="Z519" s="96" t="s">
        <v>1653</v>
      </c>
      <c r="AA519" s="96"/>
      <c r="AB519" s="96" t="s">
        <v>1651</v>
      </c>
      <c r="AC519" s="96"/>
      <c r="AD519" s="93" t="str">
        <f>VLOOKUP(A519,'Parameters Summary'!$B$2:$AB$826,20,FALSE)</f>
        <v xml:space="preserve"> </v>
      </c>
      <c r="AE519" s="97" t="str">
        <f>VLOOKUP(A519,'Parameters Summary'!$B$2:$AB$826,21,FALSE)</f>
        <v/>
      </c>
      <c r="AF519" s="97"/>
      <c r="AG519" s="94"/>
      <c r="AH519" s="92"/>
      <c r="AI519" s="96"/>
      <c r="AJ519" s="330"/>
      <c r="AL519" s="81"/>
    </row>
    <row r="520" spans="1:38" ht="12.75" customHeight="1">
      <c r="A520" s="95" t="s">
        <v>108</v>
      </c>
      <c r="B520" s="96" t="s">
        <v>601</v>
      </c>
      <c r="C520" s="96" t="str">
        <f t="shared" si="48"/>
        <v>Yes</v>
      </c>
      <c r="D520" s="96" t="str">
        <f>VLOOKUP(A520,'Tox Summary'!$O$3:$R$824,3,FALSE)</f>
        <v>No</v>
      </c>
      <c r="E520" s="97">
        <f>VLOOKUP(A520,'Parameters Summary'!$B$2:$AB$826,4,FALSE)</f>
        <v>170.73400000000001</v>
      </c>
      <c r="F520" s="97" t="str">
        <f>VLOOKUP(A520,'Parameters Summary'!$B$2:$AB$826,5,FALSE)</f>
        <v>CRC89</v>
      </c>
      <c r="G520" s="93">
        <f>VLOOKUP(A520,'Parameters Summary'!$B$2:$AB$826,9,FALSE)</f>
        <v>315</v>
      </c>
      <c r="H520" s="93" t="str">
        <f>VLOOKUP(A520,'Parameters Summary'!$B$2:$AB$826,10,FALSE)</f>
        <v>NIOSH</v>
      </c>
      <c r="I520" s="93">
        <f>VLOOKUP(A520,'Parameters Summary'!$B$2:$AB$826,24,FALSE)</f>
        <v>180</v>
      </c>
      <c r="J520" s="97" t="str">
        <f>VLOOKUP(A520,'Parameters Summary'!$B$2:$AB$826,25,FALSE)</f>
        <v>PERRY</v>
      </c>
      <c r="K520" s="97" t="str">
        <f>VLOOKUP(A520,'Tox Summary'!$O$3:$S$827,2,FALSE)</f>
        <v/>
      </c>
      <c r="L520" s="93">
        <f>VLOOKUP(A520,'Parameters Summary'!$B$2:$AB$826,7,FALSE)</f>
        <v>0.5</v>
      </c>
      <c r="M520" s="93" t="str">
        <f>VLOOKUP(A520,'Parameters Summary'!$B$2:$AB$826,8,FALSE)</f>
        <v>MSDS</v>
      </c>
      <c r="N520" s="91">
        <f>VLOOKUP(A520,'Parameters Summary'!$B$2:$AB$826,6,FALSE)</f>
        <v>20.440000000000001</v>
      </c>
      <c r="O520" s="91">
        <f t="shared" si="46"/>
        <v>20.440000000000001</v>
      </c>
      <c r="P520" s="91">
        <f t="shared" si="49"/>
        <v>20.440000000000001</v>
      </c>
      <c r="Q520" s="91">
        <f t="shared" si="47"/>
        <v>20.440000000000001</v>
      </c>
      <c r="R520" s="91">
        <f t="shared" si="50"/>
        <v>20.440000000000001</v>
      </c>
      <c r="S520" s="91">
        <f t="shared" si="51"/>
        <v>2893901600.6315198</v>
      </c>
      <c r="T520" s="93">
        <f>VLOOKUP(A520,'Parameters Summary'!$B$2:$AB$826,15,FALSE)</f>
        <v>4.3301899999999997E-2</v>
      </c>
      <c r="U520" s="93" t="str">
        <f>VLOOKUP(A520,'Parameters Summary'!$B$2:$AB$826,17,FALSE)</f>
        <v>WATER9 (U.S. EPA, 2001)</v>
      </c>
      <c r="V520" s="93">
        <f>VLOOKUP(A520,'Parameters Summary'!$B$2:$AB$826,16,FALSE)</f>
        <v>8.1704000000000006E-6</v>
      </c>
      <c r="W520" s="379" t="str">
        <f>VLOOKUP(A520,'Parameters Summary'!$B$2:$AB$826,17,FALSE)</f>
        <v>WATER9 (U.S. EPA, 2001)</v>
      </c>
      <c r="X520" s="290">
        <f>43+273.15</f>
        <v>316.14999999999998</v>
      </c>
      <c r="Y520" s="96" t="s">
        <v>2218</v>
      </c>
      <c r="Z520" s="96">
        <f>200+273.15</f>
        <v>473.15</v>
      </c>
      <c r="AA520" s="96" t="s">
        <v>2218</v>
      </c>
      <c r="AB520" s="96">
        <f>40*E520</f>
        <v>6829.3600000000006</v>
      </c>
      <c r="AC520" s="96" t="s">
        <v>2218</v>
      </c>
      <c r="AD520" s="93" t="str">
        <f>VLOOKUP(A520,'Parameters Summary'!$B$2:$AB$826,20,FALSE)</f>
        <v xml:space="preserve"> </v>
      </c>
      <c r="AE520" s="97" t="str">
        <f>VLOOKUP(A520,'Parameters Summary'!$B$2:$AB$826,21,FALSE)</f>
        <v/>
      </c>
      <c r="AF520" s="380">
        <v>2</v>
      </c>
      <c r="AG520" s="97" t="s">
        <v>302</v>
      </c>
      <c r="AH520" s="92"/>
      <c r="AI520" s="96"/>
      <c r="AJ520" s="330"/>
      <c r="AL520" s="81"/>
    </row>
    <row r="521" spans="1:38" ht="12.75" customHeight="1">
      <c r="A521" s="96" t="s">
        <v>2123</v>
      </c>
      <c r="B521" s="96" t="s">
        <v>2122</v>
      </c>
      <c r="C521" s="96" t="str">
        <f t="shared" si="48"/>
        <v>No</v>
      </c>
      <c r="D521" s="96" t="str">
        <f>VLOOKUP(A521,'Tox Summary'!$O$3:$R$824,3,FALSE)</f>
        <v>Yes</v>
      </c>
      <c r="E521" s="97">
        <f>VLOOKUP(A521,'Parameters Summary'!$B$2:$AB$826,4,FALSE)</f>
        <v>92.708100000000002</v>
      </c>
      <c r="F521" s="97" t="str">
        <f>VLOOKUP(A521,'Parameters Summary'!$B$2:$AB$826,5,FALSE)</f>
        <v>WebBook</v>
      </c>
      <c r="G521" s="93" t="s">
        <v>2439</v>
      </c>
      <c r="H521" s="93" t="str">
        <f>VLOOKUP(A521,'Parameters Summary'!$B$2:$AB$826,10,FALSE)</f>
        <v/>
      </c>
      <c r="I521" s="93" t="s">
        <v>2440</v>
      </c>
      <c r="J521" s="97" t="str">
        <f>VLOOKUP(A521,'Parameters Summary'!$B$2:$AB$826,25,FALSE)</f>
        <v/>
      </c>
      <c r="K521" s="97" t="str">
        <f>VLOOKUP(A521,'Tox Summary'!$O$3:$S$827,2,FALSE)</f>
        <v/>
      </c>
      <c r="L521" s="93" t="s">
        <v>2298</v>
      </c>
      <c r="M521" s="93" t="str">
        <f>VLOOKUP(A521,'Parameters Summary'!$B$2:$AB$826,8,FALSE)</f>
        <v/>
      </c>
      <c r="N521" s="91" t="str">
        <f>VLOOKUP(A521,'Parameters Summary'!$B$2:$AB$826,6,FALSE)</f>
        <v xml:space="preserve"> </v>
      </c>
      <c r="O521" s="91" t="str">
        <f t="shared" si="46"/>
        <v/>
      </c>
      <c r="P521" s="91" t="str">
        <f t="shared" si="49"/>
        <v xml:space="preserve"> </v>
      </c>
      <c r="Q521" s="91" t="str">
        <f t="shared" si="47"/>
        <v/>
      </c>
      <c r="R521" s="91" t="str">
        <f t="shared" si="50"/>
        <v xml:space="preserve"> </v>
      </c>
      <c r="S521" s="91" t="str">
        <f t="shared" si="51"/>
        <v/>
      </c>
      <c r="T521" s="93" t="str">
        <f>VLOOKUP(A521,'Parameters Summary'!$B$2:$AB$826,15,FALSE)</f>
        <v xml:space="preserve"> </v>
      </c>
      <c r="U521" s="93" t="str">
        <f>VLOOKUP(A521,'Parameters Summary'!$B$2:$AB$826,17,FALSE)</f>
        <v/>
      </c>
      <c r="V521" s="93" t="str">
        <f>VLOOKUP(A521,'Parameters Summary'!$B$2:$AB$826,16,FALSE)</f>
        <v xml:space="preserve"> </v>
      </c>
      <c r="W521" s="379" t="str">
        <f>VLOOKUP(A521,'Parameters Summary'!$B$2:$AB$826,17,FALSE)</f>
        <v/>
      </c>
      <c r="X521" s="347"/>
      <c r="Y521" s="96"/>
      <c r="Z521" s="96" t="s">
        <v>1653</v>
      </c>
      <c r="AA521" s="96"/>
      <c r="AB521" s="96" t="s">
        <v>1651</v>
      </c>
      <c r="AC521" s="96"/>
      <c r="AD521" s="93" t="str">
        <f>VLOOKUP(A521,'Parameters Summary'!$B$2:$AB$826,20,FALSE)</f>
        <v xml:space="preserve"> </v>
      </c>
      <c r="AE521" s="97" t="str">
        <f>VLOOKUP(A521,'Parameters Summary'!$B$2:$AB$826,21,FALSE)</f>
        <v/>
      </c>
      <c r="AF521" s="97"/>
      <c r="AG521" s="94"/>
      <c r="AH521" s="92"/>
      <c r="AI521" s="96"/>
      <c r="AJ521" s="330"/>
      <c r="AL521" s="81"/>
    </row>
    <row r="522" spans="1:38" ht="12.75" customHeight="1">
      <c r="A522" s="96" t="s">
        <v>109</v>
      </c>
      <c r="B522" s="96" t="s">
        <v>602</v>
      </c>
      <c r="C522" s="96" t="str">
        <f t="shared" si="48"/>
        <v>No</v>
      </c>
      <c r="D522" s="96" t="str">
        <f>VLOOKUP(A522,'Tox Summary'!$O$3:$R$824,3,FALSE)</f>
        <v>Yes</v>
      </c>
      <c r="E522" s="97">
        <f>VLOOKUP(A522,'Parameters Summary'!$B$2:$AB$826,4,FALSE)</f>
        <v>74.69</v>
      </c>
      <c r="F522" s="97" t="str">
        <f>VLOOKUP(A522,'Parameters Summary'!$B$2:$AB$826,5,FALSE)</f>
        <v>EPI</v>
      </c>
      <c r="G522" s="93" t="s">
        <v>2439</v>
      </c>
      <c r="H522" s="93" t="str">
        <f>VLOOKUP(A522,'Parameters Summary'!$B$2:$AB$826,10,FALSE)</f>
        <v/>
      </c>
      <c r="I522" s="93" t="s">
        <v>2440</v>
      </c>
      <c r="J522" s="97" t="str">
        <f>VLOOKUP(A522,'Parameters Summary'!$B$2:$AB$826,25,FALSE)</f>
        <v/>
      </c>
      <c r="K522" s="97" t="str">
        <f>VLOOKUP(A522,'Tox Summary'!$O$3:$S$827,2,FALSE)</f>
        <v/>
      </c>
      <c r="L522" s="93" t="s">
        <v>2298</v>
      </c>
      <c r="M522" s="93" t="str">
        <f>VLOOKUP(A522,'Parameters Summary'!$B$2:$AB$826,8,FALSE)</f>
        <v/>
      </c>
      <c r="N522" s="91" t="str">
        <f>VLOOKUP(A522,'Parameters Summary'!$B$2:$AB$826,6,FALSE)</f>
        <v xml:space="preserve"> </v>
      </c>
      <c r="O522" s="91" t="str">
        <f t="shared" si="46"/>
        <v/>
      </c>
      <c r="P522" s="91" t="str">
        <f t="shared" si="49"/>
        <v xml:space="preserve"> </v>
      </c>
      <c r="Q522" s="91" t="str">
        <f t="shared" si="47"/>
        <v/>
      </c>
      <c r="R522" s="91" t="str">
        <f t="shared" si="50"/>
        <v xml:space="preserve"> </v>
      </c>
      <c r="S522" s="91" t="str">
        <f t="shared" si="51"/>
        <v/>
      </c>
      <c r="T522" s="93" t="str">
        <f>VLOOKUP(A522,'Parameters Summary'!$B$2:$AB$826,15,FALSE)</f>
        <v xml:space="preserve"> </v>
      </c>
      <c r="U522" s="93" t="str">
        <f>VLOOKUP(A522,'Parameters Summary'!$B$2:$AB$826,17,FALSE)</f>
        <v/>
      </c>
      <c r="V522" s="93" t="str">
        <f>VLOOKUP(A522,'Parameters Summary'!$B$2:$AB$826,16,FALSE)</f>
        <v xml:space="preserve"> </v>
      </c>
      <c r="W522" s="379" t="str">
        <f>VLOOKUP(A522,'Parameters Summary'!$B$2:$AB$826,17,FALSE)</f>
        <v/>
      </c>
      <c r="X522" s="347"/>
      <c r="Y522" s="96"/>
      <c r="Z522" s="96" t="s">
        <v>1653</v>
      </c>
      <c r="AA522" s="96"/>
      <c r="AB522" s="96" t="s">
        <v>1651</v>
      </c>
      <c r="AC522" s="96"/>
      <c r="AD522" s="93" t="str">
        <f>VLOOKUP(A522,'Parameters Summary'!$B$2:$AB$826,20,FALSE)</f>
        <v xml:space="preserve"> </v>
      </c>
      <c r="AE522" s="97" t="str">
        <f>VLOOKUP(A522,'Parameters Summary'!$B$2:$AB$826,21,FALSE)</f>
        <v/>
      </c>
      <c r="AF522" s="97"/>
      <c r="AG522" s="94"/>
      <c r="AH522" s="92"/>
      <c r="AI522" s="96"/>
      <c r="AJ522" s="330"/>
      <c r="AL522" s="81"/>
    </row>
    <row r="523" spans="1:38" ht="12.75" customHeight="1">
      <c r="A523" s="96" t="s">
        <v>2171</v>
      </c>
      <c r="B523" s="96" t="s">
        <v>1252</v>
      </c>
      <c r="C523" s="96" t="str">
        <f t="shared" si="48"/>
        <v>No</v>
      </c>
      <c r="D523" s="96" t="s">
        <v>2434</v>
      </c>
      <c r="E523" s="97" t="str">
        <f>VLOOKUP(A523,'Parameters Summary'!$B$2:$AB$826,4,FALSE)</f>
        <v xml:space="preserve"> </v>
      </c>
      <c r="F523" s="97" t="str">
        <f>VLOOKUP(A523,'Parameters Summary'!$B$2:$AB$826,5,FALSE)</f>
        <v/>
      </c>
      <c r="G523" s="93" t="s">
        <v>2439</v>
      </c>
      <c r="H523" s="93" t="str">
        <f>VLOOKUP(A523,'Parameters Summary'!$B$2:$AB$826,10,FALSE)</f>
        <v/>
      </c>
      <c r="I523" s="93" t="s">
        <v>2440</v>
      </c>
      <c r="J523" s="97" t="str">
        <f>VLOOKUP(A523,'Parameters Summary'!$B$2:$AB$826,25,FALSE)</f>
        <v/>
      </c>
      <c r="K523" s="97" t="str">
        <f>VLOOKUP(A523,'Tox Summary'!$O$3:$S$827,2,FALSE)</f>
        <v/>
      </c>
      <c r="L523" s="93" t="s">
        <v>2298</v>
      </c>
      <c r="M523" s="93" t="str">
        <f>VLOOKUP(A523,'Parameters Summary'!$B$2:$AB$826,8,FALSE)</f>
        <v/>
      </c>
      <c r="N523" s="91" t="str">
        <f>VLOOKUP(A523,'Parameters Summary'!$B$2:$AB$826,6,FALSE)</f>
        <v xml:space="preserve"> </v>
      </c>
      <c r="O523" s="91" t="str">
        <f t="shared" si="46"/>
        <v/>
      </c>
      <c r="P523" s="91" t="str">
        <f t="shared" si="49"/>
        <v xml:space="preserve"> </v>
      </c>
      <c r="Q523" s="91" t="str">
        <f t="shared" si="47"/>
        <v/>
      </c>
      <c r="R523" s="91" t="str">
        <f t="shared" si="50"/>
        <v xml:space="preserve"> </v>
      </c>
      <c r="S523" s="91" t="str">
        <f t="shared" si="51"/>
        <v/>
      </c>
      <c r="T523" s="93" t="str">
        <f>VLOOKUP(A523,'Parameters Summary'!$B$2:$AB$826,15,FALSE)</f>
        <v xml:space="preserve"> </v>
      </c>
      <c r="U523" s="93" t="str">
        <f>VLOOKUP(A523,'Parameters Summary'!$B$2:$AB$826,17,FALSE)</f>
        <v/>
      </c>
      <c r="V523" s="93" t="str">
        <f>VLOOKUP(A523,'Parameters Summary'!$B$2:$AB$826,16,FALSE)</f>
        <v xml:space="preserve"> </v>
      </c>
      <c r="W523" s="379" t="str">
        <f>VLOOKUP(A523,'Parameters Summary'!$B$2:$AB$826,17,FALSE)</f>
        <v/>
      </c>
      <c r="X523" s="347"/>
      <c r="Y523" s="96"/>
      <c r="Z523" s="96" t="s">
        <v>1653</v>
      </c>
      <c r="AA523" s="96"/>
      <c r="AB523" s="96" t="s">
        <v>1651</v>
      </c>
      <c r="AC523" s="96"/>
      <c r="AD523" s="93" t="str">
        <f>VLOOKUP(A523,'Parameters Summary'!$B$2:$AB$826,20,FALSE)</f>
        <v xml:space="preserve"> </v>
      </c>
      <c r="AE523" s="97" t="str">
        <f>VLOOKUP(A523,'Parameters Summary'!$B$2:$AB$826,21,FALSE)</f>
        <v/>
      </c>
      <c r="AF523" s="97"/>
      <c r="AG523" s="94"/>
      <c r="AH523" s="92"/>
      <c r="AI523" s="96"/>
      <c r="AJ523" s="330"/>
      <c r="AL523" s="81"/>
    </row>
    <row r="524" spans="1:38" ht="12.75" customHeight="1">
      <c r="A524" s="96" t="s">
        <v>110</v>
      </c>
      <c r="B524" s="96" t="s">
        <v>1253</v>
      </c>
      <c r="C524" s="96" t="str">
        <f t="shared" si="48"/>
        <v>No</v>
      </c>
      <c r="D524" s="96" t="str">
        <f>VLOOKUP(A524,'Tox Summary'!$O$3:$R$824,3,FALSE)</f>
        <v>No</v>
      </c>
      <c r="E524" s="97">
        <f>VLOOKUP(A524,'Parameters Summary'!$B$2:$AB$826,4,FALSE)</f>
        <v>58.71</v>
      </c>
      <c r="F524" s="97" t="str">
        <f>VLOOKUP(A524,'Parameters Summary'!$B$2:$AB$826,5,FALSE)</f>
        <v>PHYSPROP</v>
      </c>
      <c r="G524" s="93">
        <f>VLOOKUP(A524,'Parameters Summary'!$B$2:$AB$826,9,FALSE)</f>
        <v>0</v>
      </c>
      <c r="H524" s="93" t="str">
        <f>VLOOKUP(A524,'Parameters Summary'!$B$2:$AB$826,10,FALSE)</f>
        <v>NIOSH</v>
      </c>
      <c r="I524" s="93" t="s">
        <v>2440</v>
      </c>
      <c r="J524" s="97" t="str">
        <f>VLOOKUP(A524,'Parameters Summary'!$B$2:$AB$826,25,FALSE)</f>
        <v/>
      </c>
      <c r="K524" s="97" t="str">
        <f>VLOOKUP(A524,'Tox Summary'!$O$3:$S$827,2,FALSE)</f>
        <v/>
      </c>
      <c r="L524" s="93" t="str">
        <f>VLOOKUP(A524,'Parameters Summary'!$B$2:$AB$826,7,FALSE)</f>
        <v xml:space="preserve"> </v>
      </c>
      <c r="M524" s="93" t="str">
        <f>VLOOKUP(A524,'Parameters Summary'!$B$2:$AB$826,8,FALSE)</f>
        <v/>
      </c>
      <c r="N524" s="91" t="str">
        <f>VLOOKUP(A524,'Parameters Summary'!$B$2:$AB$826,6,FALSE)</f>
        <v xml:space="preserve"> </v>
      </c>
      <c r="O524" s="91" t="str">
        <f t="shared" ref="O524:O587" si="52">IF(OR(L524="No Hc25",Z524="No Tcrit",AB524="No DHv,b"),"",N524*EXP((-(AB524*((1-(Tgw+273)/Z524)/(1-X524/Z524))^(IF(X524/Z524&lt;0.57,0.3,IF(X524/Z524&gt;0.71,0.41,0.74*(X524/Z524)-0.116))))/1.9872)*(1/(Tgw+273)-1/298)))</f>
        <v/>
      </c>
      <c r="P524" s="91" t="str">
        <f t="shared" si="49"/>
        <v xml:space="preserve"> </v>
      </c>
      <c r="Q524" s="91" t="str">
        <f t="shared" ref="Q524:Q587" si="53">IF(OR(L524="No Hc25",Z524="No Tcrit",AB524="No DHv,b"),"",N524*EXP((-(AB524*((1-(Tgw_GW+273)/Z524)/(1-X524/Z524))^(IF(X524/Z524&lt;0.57,0.3,IF(X524/Z524&gt;0.71,0.41,0.74*(X524/Z524)-0.116))))/1.9872)*(1/(Tgw_GW+273)-1/298)))</f>
        <v/>
      </c>
      <c r="R524" s="91" t="str">
        <f t="shared" si="50"/>
        <v xml:space="preserve"> </v>
      </c>
      <c r="S524" s="91" t="str">
        <f t="shared" si="51"/>
        <v/>
      </c>
      <c r="T524" s="93" t="str">
        <f>VLOOKUP(A524,'Parameters Summary'!$B$2:$AB$826,15,FALSE)</f>
        <v xml:space="preserve"> </v>
      </c>
      <c r="U524" s="93" t="str">
        <f>VLOOKUP(A524,'Parameters Summary'!$B$2:$AB$826,17,FALSE)</f>
        <v/>
      </c>
      <c r="V524" s="93" t="str">
        <f>VLOOKUP(A524,'Parameters Summary'!$B$2:$AB$826,16,FALSE)</f>
        <v xml:space="preserve"> </v>
      </c>
      <c r="W524" s="379" t="str">
        <f>VLOOKUP(A524,'Parameters Summary'!$B$2:$AB$826,17,FALSE)</f>
        <v/>
      </c>
      <c r="X524" s="347"/>
      <c r="Y524" s="96"/>
      <c r="Z524" s="96" t="s">
        <v>1653</v>
      </c>
      <c r="AA524" s="96"/>
      <c r="AB524" s="96" t="s">
        <v>1651</v>
      </c>
      <c r="AC524" s="96"/>
      <c r="AD524" s="93" t="str">
        <f>VLOOKUP(A524,'Parameters Summary'!$B$2:$AB$826,20,FALSE)</f>
        <v xml:space="preserve"> </v>
      </c>
      <c r="AE524" s="97" t="str">
        <f>VLOOKUP(A524,'Parameters Summary'!$B$2:$AB$826,21,FALSE)</f>
        <v/>
      </c>
      <c r="AF524" s="97"/>
      <c r="AG524" s="94"/>
      <c r="AH524" s="92"/>
      <c r="AI524" s="96"/>
      <c r="AJ524" s="330"/>
      <c r="AL524" s="81"/>
    </row>
    <row r="525" spans="1:38" ht="12.75" customHeight="1">
      <c r="A525" s="96" t="s">
        <v>111</v>
      </c>
      <c r="B525" s="96" t="s">
        <v>1254</v>
      </c>
      <c r="C525" s="96" t="str">
        <f t="shared" ref="C525:C588" si="54">IF((COUNTIF(G525,"&gt;1")+COUNTIF(L525,"&gt;1E-5"))&gt;0,"Yes","No")</f>
        <v>No</v>
      </c>
      <c r="D525" s="96" t="str">
        <f>VLOOKUP(A525,'Tox Summary'!$O$3:$R$824,3,FALSE)</f>
        <v>No</v>
      </c>
      <c r="E525" s="97">
        <f>VLOOKUP(A525,'Parameters Summary'!$B$2:$AB$826,4,FALSE)</f>
        <v>240.21</v>
      </c>
      <c r="F525" s="97" t="str">
        <f>VLOOKUP(A525,'Parameters Summary'!$B$2:$AB$826,5,FALSE)</f>
        <v>CRC89</v>
      </c>
      <c r="G525" s="93" t="s">
        <v>2439</v>
      </c>
      <c r="H525" s="93" t="str">
        <f>VLOOKUP(A525,'Parameters Summary'!$B$2:$AB$826,10,FALSE)</f>
        <v/>
      </c>
      <c r="I525" s="93" t="s">
        <v>2440</v>
      </c>
      <c r="J525" s="97" t="str">
        <f>VLOOKUP(A525,'Parameters Summary'!$B$2:$AB$826,25,FALSE)</f>
        <v/>
      </c>
      <c r="K525" s="97" t="str">
        <f>VLOOKUP(A525,'Tox Summary'!$O$3:$S$827,2,FALSE)</f>
        <v/>
      </c>
      <c r="L525" s="93" t="s">
        <v>2298</v>
      </c>
      <c r="M525" s="93" t="str">
        <f>VLOOKUP(A525,'Parameters Summary'!$B$2:$AB$826,8,FALSE)</f>
        <v/>
      </c>
      <c r="N525" s="91" t="str">
        <f>VLOOKUP(A525,'Parameters Summary'!$B$2:$AB$826,6,FALSE)</f>
        <v xml:space="preserve"> </v>
      </c>
      <c r="O525" s="91" t="str">
        <f t="shared" si="52"/>
        <v/>
      </c>
      <c r="P525" s="91" t="str">
        <f t="shared" ref="P525:P588" si="55">IF(O525="",N525,O525)</f>
        <v xml:space="preserve"> </v>
      </c>
      <c r="Q525" s="91" t="str">
        <f t="shared" si="53"/>
        <v/>
      </c>
      <c r="R525" s="91" t="str">
        <f t="shared" ref="R525:R588" si="56">IF(Q525="",P525,Q525)</f>
        <v xml:space="preserve"> </v>
      </c>
      <c r="S525" s="91" t="str">
        <f t="shared" si="51"/>
        <v/>
      </c>
      <c r="T525" s="93" t="str">
        <f>VLOOKUP(A525,'Parameters Summary'!$B$2:$AB$826,15,FALSE)</f>
        <v xml:space="preserve"> </v>
      </c>
      <c r="U525" s="93" t="str">
        <f>VLOOKUP(A525,'Parameters Summary'!$B$2:$AB$826,17,FALSE)</f>
        <v/>
      </c>
      <c r="V525" s="93" t="str">
        <f>VLOOKUP(A525,'Parameters Summary'!$B$2:$AB$826,16,FALSE)</f>
        <v xml:space="preserve"> </v>
      </c>
      <c r="W525" s="379" t="str">
        <f>VLOOKUP(A525,'Parameters Summary'!$B$2:$AB$826,17,FALSE)</f>
        <v/>
      </c>
      <c r="X525" s="347"/>
      <c r="Y525" s="96"/>
      <c r="Z525" s="96" t="s">
        <v>1653</v>
      </c>
      <c r="AA525" s="96"/>
      <c r="AB525" s="96" t="s">
        <v>1651</v>
      </c>
      <c r="AC525" s="96"/>
      <c r="AD525" s="93" t="str">
        <f>VLOOKUP(A525,'Parameters Summary'!$B$2:$AB$826,20,FALSE)</f>
        <v xml:space="preserve"> </v>
      </c>
      <c r="AE525" s="97" t="str">
        <f>VLOOKUP(A525,'Parameters Summary'!$B$2:$AB$826,21,FALSE)</f>
        <v/>
      </c>
      <c r="AF525" s="97"/>
      <c r="AG525" s="94"/>
      <c r="AH525" s="92"/>
      <c r="AI525" s="96"/>
      <c r="AJ525" s="330"/>
      <c r="AL525" s="81"/>
    </row>
    <row r="526" spans="1:38" ht="12.75" customHeight="1">
      <c r="A526" s="96" t="s">
        <v>2125</v>
      </c>
      <c r="B526" s="96" t="s">
        <v>2124</v>
      </c>
      <c r="C526" s="96" t="str">
        <f t="shared" si="54"/>
        <v>No</v>
      </c>
      <c r="D526" s="96" t="str">
        <f>VLOOKUP(A526,'Tox Summary'!$O$3:$R$824,3,FALSE)</f>
        <v>Yes</v>
      </c>
      <c r="E526" s="97">
        <f>VLOOKUP(A526,'Parameters Summary'!$B$2:$AB$826,4,FALSE)</f>
        <v>188.87899999999999</v>
      </c>
      <c r="F526" s="97" t="str">
        <f>VLOOKUP(A526,'Parameters Summary'!$B$2:$AB$826,5,FALSE)</f>
        <v>CRC89</v>
      </c>
      <c r="G526" s="93" t="s">
        <v>2439</v>
      </c>
      <c r="H526" s="93" t="str">
        <f>VLOOKUP(A526,'Parameters Summary'!$B$2:$AB$826,10,FALSE)</f>
        <v/>
      </c>
      <c r="I526" s="93" t="s">
        <v>2440</v>
      </c>
      <c r="J526" s="97" t="str">
        <f>VLOOKUP(A526,'Parameters Summary'!$B$2:$AB$826,25,FALSE)</f>
        <v/>
      </c>
      <c r="K526" s="97" t="str">
        <f>VLOOKUP(A526,'Tox Summary'!$O$3:$S$827,2,FALSE)</f>
        <v/>
      </c>
      <c r="L526" s="93" t="s">
        <v>2298</v>
      </c>
      <c r="M526" s="93" t="str">
        <f>VLOOKUP(A526,'Parameters Summary'!$B$2:$AB$826,8,FALSE)</f>
        <v/>
      </c>
      <c r="N526" s="91" t="str">
        <f>VLOOKUP(A526,'Parameters Summary'!$B$2:$AB$826,6,FALSE)</f>
        <v xml:space="preserve"> </v>
      </c>
      <c r="O526" s="91" t="str">
        <f t="shared" si="52"/>
        <v/>
      </c>
      <c r="P526" s="91" t="str">
        <f t="shared" si="55"/>
        <v xml:space="preserve"> </v>
      </c>
      <c r="Q526" s="91" t="str">
        <f t="shared" si="53"/>
        <v/>
      </c>
      <c r="R526" s="91" t="str">
        <f t="shared" si="56"/>
        <v xml:space="preserve"> </v>
      </c>
      <c r="S526" s="91" t="str">
        <f t="shared" si="51"/>
        <v/>
      </c>
      <c r="T526" s="93">
        <f>VLOOKUP(A526,'Parameters Summary'!$B$2:$AB$826,15,FALSE)</f>
        <v>5.7716200000000002E-2</v>
      </c>
      <c r="U526" s="93" t="str">
        <f>VLOOKUP(A526,'Parameters Summary'!$B$2:$AB$826,17,FALSE)</f>
        <v>WATER9 (U.S. EPA, 2001)</v>
      </c>
      <c r="V526" s="93">
        <f>VLOOKUP(A526,'Parameters Summary'!$B$2:$AB$826,16,FALSE)</f>
        <v>6.7437000000000003E-6</v>
      </c>
      <c r="W526" s="379" t="str">
        <f>VLOOKUP(A526,'Parameters Summary'!$B$2:$AB$826,17,FALSE)</f>
        <v>WATER9 (U.S. EPA, 2001)</v>
      </c>
      <c r="X526" s="347"/>
      <c r="Y526" s="96"/>
      <c r="Z526" s="96" t="s">
        <v>1653</v>
      </c>
      <c r="AA526" s="96"/>
      <c r="AB526" s="96" t="s">
        <v>1651</v>
      </c>
      <c r="AC526" s="96"/>
      <c r="AD526" s="93" t="str">
        <f>VLOOKUP(A526,'Parameters Summary'!$B$2:$AB$826,20,FALSE)</f>
        <v xml:space="preserve"> </v>
      </c>
      <c r="AE526" s="97" t="str">
        <f>VLOOKUP(A526,'Parameters Summary'!$B$2:$AB$826,21,FALSE)</f>
        <v/>
      </c>
      <c r="AF526" s="97"/>
      <c r="AG526" s="94"/>
      <c r="AH526" s="92"/>
      <c r="AI526" s="96"/>
      <c r="AJ526" s="330"/>
      <c r="AL526" s="81"/>
    </row>
    <row r="527" spans="1:38" ht="12.75" customHeight="1">
      <c r="A527" s="96" t="s">
        <v>112</v>
      </c>
      <c r="B527" s="96" t="s">
        <v>1255</v>
      </c>
      <c r="C527" s="96" t="str">
        <f t="shared" si="54"/>
        <v>No</v>
      </c>
      <c r="D527" s="96" t="str">
        <f>VLOOKUP(A527,'Tox Summary'!$O$3:$R$824,3,FALSE)</f>
        <v>No</v>
      </c>
      <c r="E527" s="97">
        <f>VLOOKUP(A527,'Parameters Summary'!$B$2:$AB$826,4,FALSE)</f>
        <v>62</v>
      </c>
      <c r="F527" s="97" t="str">
        <f>VLOOKUP(A527,'Parameters Summary'!$B$2:$AB$826,5,FALSE)</f>
        <v>EPI</v>
      </c>
      <c r="G527" s="93" t="s">
        <v>2439</v>
      </c>
      <c r="H527" s="93" t="str">
        <f>VLOOKUP(A527,'Parameters Summary'!$B$2:$AB$826,10,FALSE)</f>
        <v/>
      </c>
      <c r="I527" s="93" t="s">
        <v>2440</v>
      </c>
      <c r="J527" s="97" t="str">
        <f>VLOOKUP(A527,'Parameters Summary'!$B$2:$AB$826,25,FALSE)</f>
        <v/>
      </c>
      <c r="K527" s="97">
        <f>VLOOKUP(A527,'Tox Summary'!$O$3:$S$827,2,FALSE)</f>
        <v>10000</v>
      </c>
      <c r="L527" s="93" t="s">
        <v>2298</v>
      </c>
      <c r="M527" s="93" t="str">
        <f>VLOOKUP(A527,'Parameters Summary'!$B$2:$AB$826,8,FALSE)</f>
        <v/>
      </c>
      <c r="N527" s="91" t="str">
        <f>VLOOKUP(A527,'Parameters Summary'!$B$2:$AB$826,6,FALSE)</f>
        <v xml:space="preserve"> </v>
      </c>
      <c r="O527" s="91" t="str">
        <f t="shared" si="52"/>
        <v/>
      </c>
      <c r="P527" s="91" t="str">
        <f t="shared" si="55"/>
        <v xml:space="preserve"> </v>
      </c>
      <c r="Q527" s="91" t="str">
        <f t="shared" si="53"/>
        <v/>
      </c>
      <c r="R527" s="91" t="str">
        <f t="shared" si="56"/>
        <v xml:space="preserve"> </v>
      </c>
      <c r="S527" s="91" t="str">
        <f t="shared" ref="S527:S590" si="57">IF(OR(G527="No VP",Z527="No Tcrit",AB527="No DHv,b",L527="No Hc25"),"",G527*E527*53808.7856452378*O527/N527)</f>
        <v/>
      </c>
      <c r="T527" s="93" t="str">
        <f>VLOOKUP(A527,'Parameters Summary'!$B$2:$AB$826,15,FALSE)</f>
        <v xml:space="preserve"> </v>
      </c>
      <c r="U527" s="93" t="str">
        <f>VLOOKUP(A527,'Parameters Summary'!$B$2:$AB$826,17,FALSE)</f>
        <v/>
      </c>
      <c r="V527" s="93" t="str">
        <f>VLOOKUP(A527,'Parameters Summary'!$B$2:$AB$826,16,FALSE)</f>
        <v xml:space="preserve"> </v>
      </c>
      <c r="W527" s="379" t="str">
        <f>VLOOKUP(A527,'Parameters Summary'!$B$2:$AB$826,17,FALSE)</f>
        <v/>
      </c>
      <c r="X527" s="347"/>
      <c r="Y527" s="96"/>
      <c r="Z527" s="96" t="s">
        <v>1653</v>
      </c>
      <c r="AA527" s="96"/>
      <c r="AB527" s="96" t="s">
        <v>1651</v>
      </c>
      <c r="AC527" s="96"/>
      <c r="AD527" s="93" t="str">
        <f>VLOOKUP(A527,'Parameters Summary'!$B$2:$AB$826,20,FALSE)</f>
        <v xml:space="preserve"> </v>
      </c>
      <c r="AE527" s="97" t="str">
        <f>VLOOKUP(A527,'Parameters Summary'!$B$2:$AB$826,21,FALSE)</f>
        <v/>
      </c>
      <c r="AF527" s="97"/>
      <c r="AG527" s="94"/>
      <c r="AH527" s="92"/>
      <c r="AI527" s="96"/>
      <c r="AJ527" s="330"/>
      <c r="AL527" s="81"/>
    </row>
    <row r="528" spans="1:38" ht="12.75" customHeight="1">
      <c r="A528" s="96" t="s">
        <v>2172</v>
      </c>
      <c r="B528" s="96" t="s">
        <v>2000</v>
      </c>
      <c r="C528" s="96" t="str">
        <f t="shared" si="54"/>
        <v>No</v>
      </c>
      <c r="D528" s="96" t="str">
        <f>VLOOKUP(A528,'Tox Summary'!$O$3:$R$824,3,FALSE)</f>
        <v>No</v>
      </c>
      <c r="E528" s="97" t="str">
        <f>VLOOKUP(A528,'Parameters Summary'!$B$2:$AB$826,4,FALSE)</f>
        <v xml:space="preserve"> </v>
      </c>
      <c r="F528" s="97" t="str">
        <f>VLOOKUP(A528,'Parameters Summary'!$B$2:$AB$826,5,FALSE)</f>
        <v/>
      </c>
      <c r="G528" s="93" t="s">
        <v>2439</v>
      </c>
      <c r="H528" s="93" t="str">
        <f>VLOOKUP(A528,'Parameters Summary'!$B$2:$AB$826,10,FALSE)</f>
        <v/>
      </c>
      <c r="I528" s="93" t="s">
        <v>2440</v>
      </c>
      <c r="J528" s="97" t="str">
        <f>VLOOKUP(A528,'Parameters Summary'!$B$2:$AB$826,25,FALSE)</f>
        <v/>
      </c>
      <c r="K528" s="97">
        <f>VLOOKUP(A528,'Tox Summary'!$O$3:$S$827,2,FALSE)</f>
        <v>10000</v>
      </c>
      <c r="L528" s="93" t="s">
        <v>2298</v>
      </c>
      <c r="M528" s="93" t="str">
        <f>VLOOKUP(A528,'Parameters Summary'!$B$2:$AB$826,8,FALSE)</f>
        <v/>
      </c>
      <c r="N528" s="91" t="str">
        <f>VLOOKUP(A528,'Parameters Summary'!$B$2:$AB$826,6,FALSE)</f>
        <v xml:space="preserve"> </v>
      </c>
      <c r="O528" s="91" t="str">
        <f t="shared" si="52"/>
        <v/>
      </c>
      <c r="P528" s="91" t="str">
        <f t="shared" si="55"/>
        <v xml:space="preserve"> </v>
      </c>
      <c r="Q528" s="91" t="str">
        <f t="shared" si="53"/>
        <v/>
      </c>
      <c r="R528" s="91" t="str">
        <f t="shared" si="56"/>
        <v xml:space="preserve"> </v>
      </c>
      <c r="S528" s="91" t="str">
        <f t="shared" si="57"/>
        <v/>
      </c>
      <c r="T528" s="93" t="str">
        <f>VLOOKUP(A528,'Parameters Summary'!$B$2:$AB$826,15,FALSE)</f>
        <v xml:space="preserve"> </v>
      </c>
      <c r="U528" s="93" t="str">
        <f>VLOOKUP(A528,'Parameters Summary'!$B$2:$AB$826,17,FALSE)</f>
        <v/>
      </c>
      <c r="V528" s="93" t="str">
        <f>VLOOKUP(A528,'Parameters Summary'!$B$2:$AB$826,16,FALSE)</f>
        <v xml:space="preserve"> </v>
      </c>
      <c r="W528" s="379" t="str">
        <f>VLOOKUP(A528,'Parameters Summary'!$B$2:$AB$826,17,FALSE)</f>
        <v/>
      </c>
      <c r="X528" s="347"/>
      <c r="Y528" s="96"/>
      <c r="Z528" s="96" t="s">
        <v>1653</v>
      </c>
      <c r="AA528" s="96"/>
      <c r="AB528" s="96" t="s">
        <v>1651</v>
      </c>
      <c r="AC528" s="96"/>
      <c r="AD528" s="93" t="str">
        <f>VLOOKUP(A528,'Parameters Summary'!$B$2:$AB$826,20,FALSE)</f>
        <v xml:space="preserve"> </v>
      </c>
      <c r="AE528" s="97" t="str">
        <f>VLOOKUP(A528,'Parameters Summary'!$B$2:$AB$826,21,FALSE)</f>
        <v/>
      </c>
      <c r="AF528" s="97"/>
      <c r="AG528" s="94"/>
      <c r="AH528" s="92"/>
      <c r="AI528" s="96"/>
      <c r="AJ528" s="330"/>
      <c r="AL528" s="81"/>
    </row>
    <row r="529" spans="1:38" ht="12.75" customHeight="1">
      <c r="A529" s="96" t="s">
        <v>113</v>
      </c>
      <c r="B529" s="96" t="s">
        <v>1256</v>
      </c>
      <c r="C529" s="96" t="str">
        <f t="shared" si="54"/>
        <v>No</v>
      </c>
      <c r="D529" s="96" t="str">
        <f>VLOOKUP(A529,'Tox Summary'!$O$3:$R$824,3,FALSE)</f>
        <v>Yes</v>
      </c>
      <c r="E529" s="97">
        <f>VLOOKUP(A529,'Parameters Summary'!$B$2:$AB$826,4,FALSE)</f>
        <v>47.01</v>
      </c>
      <c r="F529" s="97" t="str">
        <f>VLOOKUP(A529,'Parameters Summary'!$B$2:$AB$826,5,FALSE)</f>
        <v>EPI</v>
      </c>
      <c r="G529" s="93" t="s">
        <v>2439</v>
      </c>
      <c r="H529" s="93" t="str">
        <f>VLOOKUP(A529,'Parameters Summary'!$B$2:$AB$826,10,FALSE)</f>
        <v/>
      </c>
      <c r="I529" s="93" t="s">
        <v>2440</v>
      </c>
      <c r="J529" s="97" t="str">
        <f>VLOOKUP(A529,'Parameters Summary'!$B$2:$AB$826,25,FALSE)</f>
        <v/>
      </c>
      <c r="K529" s="97">
        <f>VLOOKUP(A529,'Tox Summary'!$O$3:$S$827,2,FALSE)</f>
        <v>1000</v>
      </c>
      <c r="L529" s="93" t="s">
        <v>2298</v>
      </c>
      <c r="M529" s="93" t="str">
        <f>VLOOKUP(A529,'Parameters Summary'!$B$2:$AB$826,8,FALSE)</f>
        <v/>
      </c>
      <c r="N529" s="91" t="str">
        <f>VLOOKUP(A529,'Parameters Summary'!$B$2:$AB$826,6,FALSE)</f>
        <v xml:space="preserve"> </v>
      </c>
      <c r="O529" s="91" t="str">
        <f t="shared" si="52"/>
        <v/>
      </c>
      <c r="P529" s="91" t="str">
        <f t="shared" si="55"/>
        <v xml:space="preserve"> </v>
      </c>
      <c r="Q529" s="91" t="str">
        <f t="shared" si="53"/>
        <v/>
      </c>
      <c r="R529" s="91" t="str">
        <f t="shared" si="56"/>
        <v xml:space="preserve"> </v>
      </c>
      <c r="S529" s="91" t="str">
        <f t="shared" si="57"/>
        <v/>
      </c>
      <c r="T529" s="93" t="str">
        <f>VLOOKUP(A529,'Parameters Summary'!$B$2:$AB$826,15,FALSE)</f>
        <v xml:space="preserve"> </v>
      </c>
      <c r="U529" s="93" t="str">
        <f>VLOOKUP(A529,'Parameters Summary'!$B$2:$AB$826,17,FALSE)</f>
        <v/>
      </c>
      <c r="V529" s="93" t="str">
        <f>VLOOKUP(A529,'Parameters Summary'!$B$2:$AB$826,16,FALSE)</f>
        <v xml:space="preserve"> </v>
      </c>
      <c r="W529" s="379" t="str">
        <f>VLOOKUP(A529,'Parameters Summary'!$B$2:$AB$826,17,FALSE)</f>
        <v/>
      </c>
      <c r="X529" s="347"/>
      <c r="Y529" s="96"/>
      <c r="Z529" s="96" t="s">
        <v>1653</v>
      </c>
      <c r="AA529" s="96"/>
      <c r="AB529" s="96" t="s">
        <v>1651</v>
      </c>
      <c r="AC529" s="96"/>
      <c r="AD529" s="93" t="str">
        <f>VLOOKUP(A529,'Parameters Summary'!$B$2:$AB$826,20,FALSE)</f>
        <v xml:space="preserve"> </v>
      </c>
      <c r="AE529" s="97" t="str">
        <f>VLOOKUP(A529,'Parameters Summary'!$B$2:$AB$826,21,FALSE)</f>
        <v/>
      </c>
      <c r="AF529" s="97"/>
      <c r="AG529" s="94"/>
      <c r="AH529" s="92"/>
      <c r="AI529" s="96"/>
      <c r="AJ529" s="330"/>
      <c r="AL529" s="81"/>
    </row>
    <row r="530" spans="1:38" ht="12.75" customHeight="1">
      <c r="A530" s="96" t="s">
        <v>114</v>
      </c>
      <c r="B530" s="96" t="s">
        <v>603</v>
      </c>
      <c r="C530" s="96" t="str">
        <f t="shared" si="54"/>
        <v>No</v>
      </c>
      <c r="D530" s="96" t="str">
        <f>VLOOKUP(A530,'Tox Summary'!$O$3:$R$824,3,FALSE)</f>
        <v>Yes</v>
      </c>
      <c r="E530" s="97">
        <f>VLOOKUP(A530,'Parameters Summary'!$B$2:$AB$826,4,FALSE)</f>
        <v>138.13</v>
      </c>
      <c r="F530" s="97" t="str">
        <f>VLOOKUP(A530,'Parameters Summary'!$B$2:$AB$826,5,FALSE)</f>
        <v>PHYSPROP</v>
      </c>
      <c r="G530" s="93">
        <f>VLOOKUP(A530,'Parameters Summary'!$B$2:$AB$826,9,FALSE)</f>
        <v>2.7699999999999999E-3</v>
      </c>
      <c r="H530" s="93" t="str">
        <f>VLOOKUP(A530,'Parameters Summary'!$B$2:$AB$826,10,FALSE)</f>
        <v>PHYSPROP</v>
      </c>
      <c r="I530" s="93">
        <f>VLOOKUP(A530,'Parameters Summary'!$B$2:$AB$826,24,FALSE)</f>
        <v>1470</v>
      </c>
      <c r="J530" s="97" t="str">
        <f>VLOOKUP(A530,'Parameters Summary'!$B$2:$AB$826,25,FALSE)</f>
        <v>PHYSPROP</v>
      </c>
      <c r="K530" s="97" t="str">
        <f>VLOOKUP(A530,'Tox Summary'!$O$3:$S$827,2,FALSE)</f>
        <v/>
      </c>
      <c r="L530" s="93">
        <f>VLOOKUP(A530,'Parameters Summary'!$B$2:$AB$826,7,FALSE)</f>
        <v>5.8999999999999999E-8</v>
      </c>
      <c r="M530" s="93" t="str">
        <f>VLOOKUP(A530,'Parameters Summary'!$B$2:$AB$826,8,FALSE)</f>
        <v>PHYSPROP</v>
      </c>
      <c r="N530" s="91">
        <f>VLOOKUP(A530,'Parameters Summary'!$B$2:$AB$826,6,FALSE)</f>
        <v>2.4121000000000002E-6</v>
      </c>
      <c r="O530" s="91" t="str">
        <f t="shared" si="52"/>
        <v/>
      </c>
      <c r="P530" s="91">
        <f t="shared" si="55"/>
        <v>2.4121000000000002E-6</v>
      </c>
      <c r="Q530" s="91" t="str">
        <f t="shared" si="53"/>
        <v/>
      </c>
      <c r="R530" s="91">
        <f t="shared" si="56"/>
        <v>2.4121000000000002E-6</v>
      </c>
      <c r="S530" s="91" t="str">
        <f t="shared" si="57"/>
        <v/>
      </c>
      <c r="T530" s="93">
        <f>VLOOKUP(A530,'Parameters Summary'!$B$2:$AB$826,15,FALSE)</f>
        <v>5.1919300000000002E-2</v>
      </c>
      <c r="U530" s="93" t="str">
        <f>VLOOKUP(A530,'Parameters Summary'!$B$2:$AB$826,17,FALSE)</f>
        <v>WATER9 (U.S. EPA, 2001)</v>
      </c>
      <c r="V530" s="93">
        <f>VLOOKUP(A530,'Parameters Summary'!$B$2:$AB$826,16,FALSE)</f>
        <v>7.4143999999999997E-6</v>
      </c>
      <c r="W530" s="379" t="str">
        <f>VLOOKUP(A530,'Parameters Summary'!$B$2:$AB$826,17,FALSE)</f>
        <v>WATER9 (U.S. EPA, 2001)</v>
      </c>
      <c r="X530" s="290">
        <v>557.15</v>
      </c>
      <c r="Y530" s="96" t="s">
        <v>553</v>
      </c>
      <c r="Z530" s="96" t="s">
        <v>1653</v>
      </c>
      <c r="AA530" s="96"/>
      <c r="AB530" s="96" t="s">
        <v>1651</v>
      </c>
      <c r="AC530" s="96"/>
      <c r="AD530" s="93">
        <f>VLOOKUP(A530,'Parameters Summary'!$B$2:$AB$826,20,FALSE)</f>
        <v>111.3</v>
      </c>
      <c r="AE530" s="97" t="str">
        <f>VLOOKUP(A530,'Parameters Summary'!$B$2:$AB$826,21,FALSE)</f>
        <v>EPI</v>
      </c>
      <c r="AF530" s="97"/>
      <c r="AG530" s="94"/>
      <c r="AH530" s="92"/>
      <c r="AI530" s="96"/>
      <c r="AJ530" s="330"/>
      <c r="AL530" s="81"/>
    </row>
    <row r="531" spans="1:38" ht="12.75" customHeight="1">
      <c r="A531" s="96" t="s">
        <v>115</v>
      </c>
      <c r="B531" s="96" t="s">
        <v>537</v>
      </c>
      <c r="C531" s="96" t="str">
        <f t="shared" si="54"/>
        <v>No</v>
      </c>
      <c r="D531" s="96" t="str">
        <f>VLOOKUP(A531,'Tox Summary'!$O$3:$R$824,3,FALSE)</f>
        <v>Yes</v>
      </c>
      <c r="E531" s="97">
        <f>VLOOKUP(A531,'Parameters Summary'!$B$2:$AB$826,4,FALSE)</f>
        <v>138.13</v>
      </c>
      <c r="F531" s="97" t="str">
        <f>VLOOKUP(A531,'Parameters Summary'!$B$2:$AB$826,5,FALSE)</f>
        <v>PHYSPROP</v>
      </c>
      <c r="G531" s="93">
        <f>VLOOKUP(A531,'Parameters Summary'!$B$2:$AB$826,9,FALSE)</f>
        <v>3.1999999999999999E-6</v>
      </c>
      <c r="H531" s="93" t="str">
        <f>VLOOKUP(A531,'Parameters Summary'!$B$2:$AB$826,10,FALSE)</f>
        <v>EPI</v>
      </c>
      <c r="I531" s="93">
        <f>VLOOKUP(A531,'Parameters Summary'!$B$2:$AB$826,24,FALSE)</f>
        <v>728</v>
      </c>
      <c r="J531" s="97" t="str">
        <f>VLOOKUP(A531,'Parameters Summary'!$B$2:$AB$826,25,FALSE)</f>
        <v>PHYSPROP</v>
      </c>
      <c r="K531" s="97" t="str">
        <f>VLOOKUP(A531,'Tox Summary'!$O$3:$S$827,2,FALSE)</f>
        <v/>
      </c>
      <c r="L531" s="93">
        <f>VLOOKUP(A531,'Parameters Summary'!$B$2:$AB$826,7,FALSE)</f>
        <v>1.26E-9</v>
      </c>
      <c r="M531" s="93" t="str">
        <f>VLOOKUP(A531,'Parameters Summary'!$B$2:$AB$826,8,FALSE)</f>
        <v>PHYSPROP</v>
      </c>
      <c r="N531" s="91">
        <f>VLOOKUP(A531,'Parameters Summary'!$B$2:$AB$826,6,FALSE)</f>
        <v>5.1512999999999999E-8</v>
      </c>
      <c r="O531" s="91" t="str">
        <f t="shared" si="52"/>
        <v/>
      </c>
      <c r="P531" s="91">
        <f t="shared" si="55"/>
        <v>5.1512999999999999E-8</v>
      </c>
      <c r="Q531" s="91" t="str">
        <f t="shared" si="53"/>
        <v/>
      </c>
      <c r="R531" s="91">
        <f t="shared" si="56"/>
        <v>5.1512999999999999E-8</v>
      </c>
      <c r="S531" s="91" t="str">
        <f t="shared" si="57"/>
        <v/>
      </c>
      <c r="T531" s="93">
        <f>VLOOKUP(A531,'Parameters Summary'!$B$2:$AB$826,15,FALSE)</f>
        <v>6.3660099999999997E-2</v>
      </c>
      <c r="U531" s="93" t="str">
        <f>VLOOKUP(A531,'Parameters Summary'!$B$2:$AB$826,17,FALSE)</f>
        <v>WATER9 (U.S. EPA, 2001)</v>
      </c>
      <c r="V531" s="93">
        <f>VLOOKUP(A531,'Parameters Summary'!$B$2:$AB$826,16,FALSE)</f>
        <v>9.7544999999999995E-6</v>
      </c>
      <c r="W531" s="379" t="str">
        <f>VLOOKUP(A531,'Parameters Summary'!$B$2:$AB$826,17,FALSE)</f>
        <v>WATER9 (U.S. EPA, 2001)</v>
      </c>
      <c r="X531" s="290">
        <v>605.15</v>
      </c>
      <c r="Y531" s="96" t="s">
        <v>553</v>
      </c>
      <c r="Z531" s="96" t="s">
        <v>1653</v>
      </c>
      <c r="AA531" s="96"/>
      <c r="AB531" s="96" t="s">
        <v>1651</v>
      </c>
      <c r="AC531" s="96"/>
      <c r="AD531" s="93">
        <f>VLOOKUP(A531,'Parameters Summary'!$B$2:$AB$826,20,FALSE)</f>
        <v>109.1</v>
      </c>
      <c r="AE531" s="97" t="str">
        <f>VLOOKUP(A531,'Parameters Summary'!$B$2:$AB$826,21,FALSE)</f>
        <v>EPI</v>
      </c>
      <c r="AF531" s="97"/>
      <c r="AG531" s="94"/>
      <c r="AH531" s="92"/>
      <c r="AI531" s="96"/>
      <c r="AJ531" s="330"/>
      <c r="AL531" s="81"/>
    </row>
    <row r="532" spans="1:38" ht="12.75" customHeight="1">
      <c r="A532" s="95" t="s">
        <v>116</v>
      </c>
      <c r="B532" s="96" t="s">
        <v>391</v>
      </c>
      <c r="C532" s="96" t="str">
        <f t="shared" si="54"/>
        <v>Yes</v>
      </c>
      <c r="D532" s="96" t="str">
        <f>VLOOKUP(A532,'Tox Summary'!$O$3:$R$824,3,FALSE)</f>
        <v>Yes</v>
      </c>
      <c r="E532" s="97">
        <f>VLOOKUP(A532,'Parameters Summary'!$B$2:$AB$826,4,FALSE)</f>
        <v>123.11</v>
      </c>
      <c r="F532" s="97" t="str">
        <f>VLOOKUP(A532,'Parameters Summary'!$B$2:$AB$826,5,FALSE)</f>
        <v>PHYSPROP</v>
      </c>
      <c r="G532" s="93">
        <f>VLOOKUP(A532,'Parameters Summary'!$B$2:$AB$826,9,FALSE)</f>
        <v>0.245</v>
      </c>
      <c r="H532" s="93" t="str">
        <f>VLOOKUP(A532,'Parameters Summary'!$B$2:$AB$826,10,FALSE)</f>
        <v>PHYSPROP</v>
      </c>
      <c r="I532" s="93">
        <f>VLOOKUP(A532,'Parameters Summary'!$B$2:$AB$826,24,FALSE)</f>
        <v>2090</v>
      </c>
      <c r="J532" s="97" t="str">
        <f>VLOOKUP(A532,'Parameters Summary'!$B$2:$AB$826,25,FALSE)</f>
        <v>PHYSPROP</v>
      </c>
      <c r="K532" s="97" t="str">
        <f>VLOOKUP(A532,'Tox Summary'!$O$3:$S$827,2,FALSE)</f>
        <v/>
      </c>
      <c r="L532" s="93">
        <f>VLOOKUP(A532,'Parameters Summary'!$B$2:$AB$826,7,FALSE)</f>
        <v>2.4000000000000001E-5</v>
      </c>
      <c r="M532" s="93" t="str">
        <f>VLOOKUP(A532,'Parameters Summary'!$B$2:$AB$826,8,FALSE)</f>
        <v>PHYSPROP</v>
      </c>
      <c r="N532" s="91">
        <f>VLOOKUP(A532,'Parameters Summary'!$B$2:$AB$826,6,FALSE)</f>
        <v>9.812E-4</v>
      </c>
      <c r="O532" s="91">
        <f t="shared" si="52"/>
        <v>9.812E-4</v>
      </c>
      <c r="P532" s="91">
        <f t="shared" si="55"/>
        <v>9.812E-4</v>
      </c>
      <c r="Q532" s="91">
        <f t="shared" si="53"/>
        <v>9.812E-4</v>
      </c>
      <c r="R532" s="91">
        <f t="shared" si="56"/>
        <v>9.812E-4</v>
      </c>
      <c r="S532" s="91">
        <f t="shared" si="57"/>
        <v>1622977.9021923803</v>
      </c>
      <c r="T532" s="93">
        <f>VLOOKUP(A532,'Parameters Summary'!$B$2:$AB$826,15,FALSE)</f>
        <v>6.8054000000000003E-2</v>
      </c>
      <c r="U532" s="93" t="str">
        <f>VLOOKUP(A532,'Parameters Summary'!$B$2:$AB$826,17,FALSE)</f>
        <v>WATER9 (U.S. EPA, 2001)</v>
      </c>
      <c r="V532" s="93">
        <f>VLOOKUP(A532,'Parameters Summary'!$B$2:$AB$826,16,FALSE)</f>
        <v>9.4494999999999999E-6</v>
      </c>
      <c r="W532" s="379" t="str">
        <f>VLOOKUP(A532,'Parameters Summary'!$B$2:$AB$826,17,FALSE)</f>
        <v>WATER9 (U.S. EPA, 2001)</v>
      </c>
      <c r="X532" s="290">
        <v>483.8</v>
      </c>
      <c r="Y532" s="96" t="s">
        <v>553</v>
      </c>
      <c r="Z532" s="96">
        <v>719</v>
      </c>
      <c r="AA532" s="96" t="s">
        <v>2227</v>
      </c>
      <c r="AB532" s="96">
        <v>10566</v>
      </c>
      <c r="AC532" s="96" t="s">
        <v>2227</v>
      </c>
      <c r="AD532" s="93">
        <f>VLOOKUP(A532,'Parameters Summary'!$B$2:$AB$826,20,FALSE)</f>
        <v>226.4</v>
      </c>
      <c r="AE532" s="97" t="str">
        <f>VLOOKUP(A532,'Parameters Summary'!$B$2:$AB$826,21,FALSE)</f>
        <v>EPI</v>
      </c>
      <c r="AF532" s="380">
        <v>1.8</v>
      </c>
      <c r="AG532" s="97" t="s">
        <v>302</v>
      </c>
      <c r="AH532" s="92"/>
      <c r="AI532" s="96"/>
      <c r="AJ532" s="330"/>
      <c r="AL532" s="81"/>
    </row>
    <row r="533" spans="1:38" ht="12.75" customHeight="1">
      <c r="A533" s="96" t="s">
        <v>117</v>
      </c>
      <c r="B533" s="96" t="s">
        <v>604</v>
      </c>
      <c r="C533" s="96" t="str">
        <f t="shared" si="54"/>
        <v>No</v>
      </c>
      <c r="D533" s="96" t="str">
        <f>VLOOKUP(A533,'Tox Summary'!$O$3:$R$824,3,FALSE)</f>
        <v>Yes</v>
      </c>
      <c r="E533" s="97">
        <f>VLOOKUP(A533,'Parameters Summary'!$B$2:$AB$826,4,FALSE)</f>
        <v>387.3</v>
      </c>
      <c r="F533" s="97" t="str">
        <f>VLOOKUP(A533,'Parameters Summary'!$B$2:$AB$826,5,FALSE)</f>
        <v>PHYSPROP</v>
      </c>
      <c r="G533" s="93">
        <f>VLOOKUP(A533,'Parameters Summary'!$B$2:$AB$826,9,FALSE)</f>
        <v>1.41E-17</v>
      </c>
      <c r="H533" s="93" t="str">
        <f>VLOOKUP(A533,'Parameters Summary'!$B$2:$AB$826,10,FALSE)</f>
        <v>PHYSPROP</v>
      </c>
      <c r="I533" s="93">
        <f>VLOOKUP(A533,'Parameters Summary'!$B$2:$AB$826,24,FALSE)</f>
        <v>1000000</v>
      </c>
      <c r="J533" s="97" t="str">
        <f>VLOOKUP(A533,'Parameters Summary'!$B$2:$AB$826,25,FALSE)</f>
        <v>PHYSPROP</v>
      </c>
      <c r="K533" s="97" t="str">
        <f>VLOOKUP(A533,'Tox Summary'!$O$3:$S$827,2,FALSE)</f>
        <v/>
      </c>
      <c r="L533" s="93">
        <f>VLOOKUP(A533,'Parameters Summary'!$B$2:$AB$826,7,FALSE)</f>
        <v>3.2900000000000002E-23</v>
      </c>
      <c r="M533" s="93" t="str">
        <f>VLOOKUP(A533,'Parameters Summary'!$B$2:$AB$826,8,FALSE)</f>
        <v>PHYSPROP</v>
      </c>
      <c r="N533" s="91">
        <f>VLOOKUP(A533,'Parameters Summary'!$B$2:$AB$826,6,FALSE)</f>
        <v>1.3449999999999999E-21</v>
      </c>
      <c r="O533" s="91" t="str">
        <f t="shared" si="52"/>
        <v/>
      </c>
      <c r="P533" s="91">
        <f t="shared" si="55"/>
        <v>1.3449999999999999E-21</v>
      </c>
      <c r="Q533" s="91" t="str">
        <f t="shared" si="53"/>
        <v/>
      </c>
      <c r="R533" s="91">
        <f t="shared" si="56"/>
        <v>1.3449999999999999E-21</v>
      </c>
      <c r="S533" s="91" t="str">
        <f t="shared" si="57"/>
        <v/>
      </c>
      <c r="T533" s="93">
        <f>VLOOKUP(A533,'Parameters Summary'!$B$2:$AB$826,15,FALSE)</f>
        <v>3.5759300000000001E-2</v>
      </c>
      <c r="U533" s="93" t="str">
        <f>VLOOKUP(A533,'Parameters Summary'!$B$2:$AB$826,17,FALSE)</f>
        <v>WATER9 (U.S. EPA, 2001)</v>
      </c>
      <c r="V533" s="93">
        <f>VLOOKUP(A533,'Parameters Summary'!$B$2:$AB$826,16,FALSE)</f>
        <v>4.1782000000000001E-6</v>
      </c>
      <c r="W533" s="379" t="str">
        <f>VLOOKUP(A533,'Parameters Summary'!$B$2:$AB$826,17,FALSE)</f>
        <v>WATER9 (U.S. EPA, 2001)</v>
      </c>
      <c r="X533" s="347"/>
      <c r="Y533" s="96"/>
      <c r="Z533" s="96" t="s">
        <v>1653</v>
      </c>
      <c r="AA533" s="96"/>
      <c r="AB533" s="96" t="s">
        <v>1651</v>
      </c>
      <c r="AC533" s="96"/>
      <c r="AD533" s="93">
        <f>VLOOKUP(A533,'Parameters Summary'!$B$2:$AB$826,20,FALSE)</f>
        <v>10</v>
      </c>
      <c r="AE533" s="97" t="str">
        <f>VLOOKUP(A533,'Parameters Summary'!$B$2:$AB$826,21,FALSE)</f>
        <v>EPI</v>
      </c>
      <c r="AF533" s="97"/>
      <c r="AG533" s="94"/>
      <c r="AH533" s="92"/>
      <c r="AI533" s="96"/>
      <c r="AJ533" s="330"/>
      <c r="AL533" s="81"/>
    </row>
    <row r="534" spans="1:38" ht="12.75" customHeight="1">
      <c r="A534" s="96" t="s">
        <v>118</v>
      </c>
      <c r="B534" s="96" t="s">
        <v>1257</v>
      </c>
      <c r="C534" s="96" t="str">
        <f t="shared" si="54"/>
        <v>No</v>
      </c>
      <c r="D534" s="96" t="str">
        <f>VLOOKUP(A534,'Tox Summary'!$O$3:$R$824,3,FALSE)</f>
        <v>Yes</v>
      </c>
      <c r="E534" s="97">
        <f>VLOOKUP(A534,'Parameters Summary'!$B$2:$AB$826,4,FALSE)</f>
        <v>238.16</v>
      </c>
      <c r="F534" s="97" t="str">
        <f>VLOOKUP(A534,'Parameters Summary'!$B$2:$AB$826,5,FALSE)</f>
        <v>PHYSPROP</v>
      </c>
      <c r="G534" s="93">
        <f>VLOOKUP(A534,'Parameters Summary'!$B$2:$AB$826,9,FALSE)</f>
        <v>2.7800000000000002E-10</v>
      </c>
      <c r="H534" s="93" t="str">
        <f>VLOOKUP(A534,'Parameters Summary'!$B$2:$AB$826,10,FALSE)</f>
        <v>PHYSPROP</v>
      </c>
      <c r="I534" s="93">
        <f>VLOOKUP(A534,'Parameters Summary'!$B$2:$AB$826,24,FALSE)</f>
        <v>79.5</v>
      </c>
      <c r="J534" s="97" t="str">
        <f>VLOOKUP(A534,'Parameters Summary'!$B$2:$AB$826,25,FALSE)</f>
        <v>PHYSPROP</v>
      </c>
      <c r="K534" s="97" t="str">
        <f>VLOOKUP(A534,'Tox Summary'!$O$3:$S$827,2,FALSE)</f>
        <v/>
      </c>
      <c r="L534" s="93">
        <f>VLOOKUP(A534,'Parameters Summary'!$B$2:$AB$826,7,FALSE)</f>
        <v>1.33E-12</v>
      </c>
      <c r="M534" s="93" t="str">
        <f>VLOOKUP(A534,'Parameters Summary'!$B$2:$AB$826,8,FALSE)</f>
        <v>PHYSPROP</v>
      </c>
      <c r="N534" s="91">
        <f>VLOOKUP(A534,'Parameters Summary'!$B$2:$AB$826,6,FALSE)</f>
        <v>5.4370000000000002E-11</v>
      </c>
      <c r="O534" s="91" t="str">
        <f t="shared" si="52"/>
        <v/>
      </c>
      <c r="P534" s="91">
        <f t="shared" si="55"/>
        <v>5.4370000000000002E-11</v>
      </c>
      <c r="Q534" s="91" t="str">
        <f t="shared" si="53"/>
        <v/>
      </c>
      <c r="R534" s="91">
        <f t="shared" si="56"/>
        <v>5.4370000000000002E-11</v>
      </c>
      <c r="S534" s="91" t="str">
        <f t="shared" si="57"/>
        <v/>
      </c>
      <c r="T534" s="93">
        <f>VLOOKUP(A534,'Parameters Summary'!$B$2:$AB$826,15,FALSE)</f>
        <v>4.9450899999999999E-2</v>
      </c>
      <c r="U534" s="93" t="str">
        <f>VLOOKUP(A534,'Parameters Summary'!$B$2:$AB$826,17,FALSE)</f>
        <v>WATER9 (U.S. EPA, 2001)</v>
      </c>
      <c r="V534" s="93">
        <f>VLOOKUP(A534,'Parameters Summary'!$B$2:$AB$826,16,FALSE)</f>
        <v>5.7779000000000002E-6</v>
      </c>
      <c r="W534" s="379" t="str">
        <f>VLOOKUP(A534,'Parameters Summary'!$B$2:$AB$826,17,FALSE)</f>
        <v>WATER9 (U.S. EPA, 2001)</v>
      </c>
      <c r="X534" s="347"/>
      <c r="Y534" s="96"/>
      <c r="Z534" s="96" t="s">
        <v>1653</v>
      </c>
      <c r="AA534" s="96"/>
      <c r="AB534" s="96" t="s">
        <v>1651</v>
      </c>
      <c r="AC534" s="96"/>
      <c r="AD534" s="93">
        <f>VLOOKUP(A534,'Parameters Summary'!$B$2:$AB$826,20,FALSE)</f>
        <v>116.8</v>
      </c>
      <c r="AE534" s="97" t="str">
        <f>VLOOKUP(A534,'Parameters Summary'!$B$2:$AB$826,21,FALSE)</f>
        <v>EPI</v>
      </c>
      <c r="AF534" s="97"/>
      <c r="AG534" s="94"/>
      <c r="AH534" s="92"/>
      <c r="AI534" s="96"/>
      <c r="AJ534" s="330"/>
      <c r="AL534" s="81"/>
    </row>
    <row r="535" spans="1:38" ht="12.75" customHeight="1">
      <c r="A535" s="96" t="s">
        <v>119</v>
      </c>
      <c r="B535" s="96" t="s">
        <v>1409</v>
      </c>
      <c r="C535" s="96" t="str">
        <f t="shared" si="54"/>
        <v>No</v>
      </c>
      <c r="D535" s="96" t="str">
        <f>VLOOKUP(A535,'Tox Summary'!$O$3:$R$824,3,FALSE)</f>
        <v>Yes</v>
      </c>
      <c r="E535" s="97">
        <f>VLOOKUP(A535,'Parameters Summary'!$B$2:$AB$826,4,FALSE)</f>
        <v>198.14</v>
      </c>
      <c r="F535" s="97" t="str">
        <f>VLOOKUP(A535,'Parameters Summary'!$B$2:$AB$826,5,FALSE)</f>
        <v>PHYSPROP</v>
      </c>
      <c r="G535" s="93">
        <f>VLOOKUP(A535,'Parameters Summary'!$B$2:$AB$826,9,FALSE)</f>
        <v>4.3100000000000002E-6</v>
      </c>
      <c r="H535" s="93" t="str">
        <f>VLOOKUP(A535,'Parameters Summary'!$B$2:$AB$826,10,FALSE)</f>
        <v>PHYSPROP</v>
      </c>
      <c r="I535" s="93">
        <f>VLOOKUP(A535,'Parameters Summary'!$B$2:$AB$826,24,FALSE)</f>
        <v>210</v>
      </c>
      <c r="J535" s="97" t="str">
        <f>VLOOKUP(A535,'Parameters Summary'!$B$2:$AB$826,25,FALSE)</f>
        <v>PHYSPROP</v>
      </c>
      <c r="K535" s="97" t="str">
        <f>VLOOKUP(A535,'Tox Summary'!$O$3:$S$827,2,FALSE)</f>
        <v/>
      </c>
      <c r="L535" s="93">
        <f>VLOOKUP(A535,'Parameters Summary'!$B$2:$AB$826,7,FALSE)</f>
        <v>3.0999999999999999E-13</v>
      </c>
      <c r="M535" s="93" t="str">
        <f>VLOOKUP(A535,'Parameters Summary'!$B$2:$AB$826,8,FALSE)</f>
        <v>PHYSPROP</v>
      </c>
      <c r="N535" s="91">
        <f>VLOOKUP(A535,'Parameters Summary'!$B$2:$AB$826,6,FALSE)</f>
        <v>1.267E-11</v>
      </c>
      <c r="O535" s="91" t="str">
        <f t="shared" si="52"/>
        <v/>
      </c>
      <c r="P535" s="91">
        <f t="shared" si="55"/>
        <v>1.267E-11</v>
      </c>
      <c r="Q535" s="91" t="str">
        <f t="shared" si="53"/>
        <v/>
      </c>
      <c r="R535" s="91">
        <f t="shared" si="56"/>
        <v>1.267E-11</v>
      </c>
      <c r="S535" s="91" t="str">
        <f t="shared" si="57"/>
        <v/>
      </c>
      <c r="T535" s="93">
        <f>VLOOKUP(A535,'Parameters Summary'!$B$2:$AB$826,15,FALSE)</f>
        <v>5.5903500000000002E-2</v>
      </c>
      <c r="U535" s="93" t="str">
        <f>VLOOKUP(A535,'Parameters Summary'!$B$2:$AB$826,17,FALSE)</f>
        <v>WATER9 (U.S. EPA, 2001)</v>
      </c>
      <c r="V535" s="93">
        <f>VLOOKUP(A535,'Parameters Summary'!$B$2:$AB$826,16,FALSE)</f>
        <v>6.5319000000000001E-6</v>
      </c>
      <c r="W535" s="379" t="str">
        <f>VLOOKUP(A535,'Parameters Summary'!$B$2:$AB$826,17,FALSE)</f>
        <v>WATER9 (U.S. EPA, 2001)</v>
      </c>
      <c r="X535" s="347"/>
      <c r="Y535" s="96"/>
      <c r="Z535" s="96" t="s">
        <v>1653</v>
      </c>
      <c r="AA535" s="96"/>
      <c r="AB535" s="96" t="s">
        <v>1651</v>
      </c>
      <c r="AC535" s="96"/>
      <c r="AD535" s="93">
        <f>VLOOKUP(A535,'Parameters Summary'!$B$2:$AB$826,20,FALSE)</f>
        <v>349.7</v>
      </c>
      <c r="AE535" s="97" t="str">
        <f>VLOOKUP(A535,'Parameters Summary'!$B$2:$AB$826,21,FALSE)</f>
        <v>EPI</v>
      </c>
      <c r="AF535" s="97"/>
      <c r="AG535" s="94"/>
      <c r="AH535" s="92"/>
      <c r="AI535" s="96"/>
      <c r="AJ535" s="330"/>
      <c r="AL535" s="81"/>
    </row>
    <row r="536" spans="1:38" ht="12.75" customHeight="1">
      <c r="A536" s="96" t="s">
        <v>120</v>
      </c>
      <c r="B536" s="96" t="s">
        <v>1258</v>
      </c>
      <c r="C536" s="96" t="str">
        <f t="shared" si="54"/>
        <v>No</v>
      </c>
      <c r="D536" s="96" t="str">
        <f>VLOOKUP(A536,'Tox Summary'!$O$3:$R$824,3,FALSE)</f>
        <v>Yes</v>
      </c>
      <c r="E536" s="97">
        <f>VLOOKUP(A536,'Parameters Summary'!$B$2:$AB$826,4,FALSE)</f>
        <v>227.09</v>
      </c>
      <c r="F536" s="97" t="str">
        <f>VLOOKUP(A536,'Parameters Summary'!$B$2:$AB$826,5,FALSE)</f>
        <v>PHYSPROP</v>
      </c>
      <c r="G536" s="93">
        <f>VLOOKUP(A536,'Parameters Summary'!$B$2:$AB$826,9,FALSE)</f>
        <v>4.0000000000000002E-4</v>
      </c>
      <c r="H536" s="93" t="str">
        <f>VLOOKUP(A536,'Parameters Summary'!$B$2:$AB$826,10,FALSE)</f>
        <v>EPI</v>
      </c>
      <c r="I536" s="93">
        <f>VLOOKUP(A536,'Parameters Summary'!$B$2:$AB$826,24,FALSE)</f>
        <v>1380</v>
      </c>
      <c r="J536" s="97" t="str">
        <f>VLOOKUP(A536,'Parameters Summary'!$B$2:$AB$826,25,FALSE)</f>
        <v>PHYSPROP</v>
      </c>
      <c r="K536" s="97" t="str">
        <f>VLOOKUP(A536,'Tox Summary'!$O$3:$S$827,2,FALSE)</f>
        <v/>
      </c>
      <c r="L536" s="93">
        <f>VLOOKUP(A536,'Parameters Summary'!$B$2:$AB$826,7,FALSE)</f>
        <v>8.6599999999999995E-8</v>
      </c>
      <c r="M536" s="93" t="str">
        <f>VLOOKUP(A536,'Parameters Summary'!$B$2:$AB$826,8,FALSE)</f>
        <v>EPI</v>
      </c>
      <c r="N536" s="91">
        <f>VLOOKUP(A536,'Parameters Summary'!$B$2:$AB$826,6,FALSE)</f>
        <v>3.5404999999999998E-6</v>
      </c>
      <c r="O536" s="91" t="str">
        <f t="shared" si="52"/>
        <v/>
      </c>
      <c r="P536" s="91">
        <f t="shared" si="55"/>
        <v>3.5404999999999998E-6</v>
      </c>
      <c r="Q536" s="91" t="str">
        <f t="shared" si="53"/>
        <v/>
      </c>
      <c r="R536" s="91">
        <f t="shared" si="56"/>
        <v>3.5404999999999998E-6</v>
      </c>
      <c r="S536" s="91" t="str">
        <f t="shared" si="57"/>
        <v/>
      </c>
      <c r="T536" s="93">
        <f>VLOOKUP(A536,'Parameters Summary'!$B$2:$AB$826,15,FALSE)</f>
        <v>2.9014999999999999E-2</v>
      </c>
      <c r="U536" s="93" t="str">
        <f>VLOOKUP(A536,'Parameters Summary'!$B$2:$AB$826,17,FALSE)</f>
        <v>WATER9 (U.S. EPA, 2001)</v>
      </c>
      <c r="V536" s="93">
        <f>VLOOKUP(A536,'Parameters Summary'!$B$2:$AB$826,16,FALSE)</f>
        <v>7.7427999999999998E-6</v>
      </c>
      <c r="W536" s="379" t="str">
        <f>VLOOKUP(A536,'Parameters Summary'!$B$2:$AB$826,17,FALSE)</f>
        <v>WATER9 (U.S. EPA, 2001)</v>
      </c>
      <c r="X536" s="290">
        <v>523.15</v>
      </c>
      <c r="Y536" s="96" t="s">
        <v>553</v>
      </c>
      <c r="Z536" s="96" t="s">
        <v>1653</v>
      </c>
      <c r="AA536" s="96"/>
      <c r="AB536" s="96" t="s">
        <v>1651</v>
      </c>
      <c r="AC536" s="96"/>
      <c r="AD536" s="93">
        <f>VLOOKUP(A536,'Parameters Summary'!$B$2:$AB$826,20,FALSE)</f>
        <v>115.8</v>
      </c>
      <c r="AE536" s="97" t="str">
        <f>VLOOKUP(A536,'Parameters Summary'!$B$2:$AB$826,21,FALSE)</f>
        <v>EPI</v>
      </c>
      <c r="AF536" s="97"/>
      <c r="AG536" s="94"/>
      <c r="AH536" s="92"/>
      <c r="AI536" s="96"/>
      <c r="AJ536" s="330"/>
      <c r="AL536" s="81"/>
    </row>
    <row r="537" spans="1:38" ht="12.75" customHeight="1">
      <c r="A537" s="96" t="s">
        <v>121</v>
      </c>
      <c r="B537" s="96" t="s">
        <v>1259</v>
      </c>
      <c r="C537" s="96" t="str">
        <f t="shared" si="54"/>
        <v>No</v>
      </c>
      <c r="D537" s="96" t="str">
        <f>VLOOKUP(A537,'Tox Summary'!$O$3:$R$824,3,FALSE)</f>
        <v>Yes</v>
      </c>
      <c r="E537" s="97">
        <f>VLOOKUP(A537,'Parameters Summary'!$B$2:$AB$826,4,FALSE)</f>
        <v>104.07</v>
      </c>
      <c r="F537" s="97" t="str">
        <f>VLOOKUP(A537,'Parameters Summary'!$B$2:$AB$826,5,FALSE)</f>
        <v>PHYSPROP</v>
      </c>
      <c r="G537" s="93">
        <f>VLOOKUP(A537,'Parameters Summary'!$B$2:$AB$826,9,FALSE)</f>
        <v>1.43E-11</v>
      </c>
      <c r="H537" s="93" t="str">
        <f>VLOOKUP(A537,'Parameters Summary'!$B$2:$AB$826,10,FALSE)</f>
        <v>PHYSPROP</v>
      </c>
      <c r="I537" s="93">
        <f>VLOOKUP(A537,'Parameters Summary'!$B$2:$AB$826,24,FALSE)</f>
        <v>4400</v>
      </c>
      <c r="J537" s="97" t="str">
        <f>VLOOKUP(A537,'Parameters Summary'!$B$2:$AB$826,25,FALSE)</f>
        <v>PHYSPROP</v>
      </c>
      <c r="K537" s="97" t="str">
        <f>VLOOKUP(A537,'Tox Summary'!$O$3:$S$827,2,FALSE)</f>
        <v/>
      </c>
      <c r="L537" s="93">
        <f>VLOOKUP(A537,'Parameters Summary'!$B$2:$AB$826,7,FALSE)</f>
        <v>4.4500000000000003E-16</v>
      </c>
      <c r="M537" s="93" t="str">
        <f>VLOOKUP(A537,'Parameters Summary'!$B$2:$AB$826,8,FALSE)</f>
        <v>PHYSPROP</v>
      </c>
      <c r="N537" s="91">
        <f>VLOOKUP(A537,'Parameters Summary'!$B$2:$AB$826,6,FALSE)</f>
        <v>1.8189999999999999E-14</v>
      </c>
      <c r="O537" s="91" t="str">
        <f t="shared" si="52"/>
        <v/>
      </c>
      <c r="P537" s="91">
        <f t="shared" si="55"/>
        <v>1.8189999999999999E-14</v>
      </c>
      <c r="Q537" s="91" t="str">
        <f t="shared" si="53"/>
        <v/>
      </c>
      <c r="R537" s="91">
        <f t="shared" si="56"/>
        <v>1.8189999999999999E-14</v>
      </c>
      <c r="S537" s="91" t="str">
        <f t="shared" si="57"/>
        <v/>
      </c>
      <c r="T537" s="93">
        <f>VLOOKUP(A537,'Parameters Summary'!$B$2:$AB$826,15,FALSE)</f>
        <v>9.9693699999999996E-2</v>
      </c>
      <c r="U537" s="93" t="str">
        <f>VLOOKUP(A537,'Parameters Summary'!$B$2:$AB$826,17,FALSE)</f>
        <v>WATER9 (U.S. EPA, 2001)</v>
      </c>
      <c r="V537" s="93">
        <f>VLOOKUP(A537,'Parameters Summary'!$B$2:$AB$826,16,FALSE)</f>
        <v>1.42E-5</v>
      </c>
      <c r="W537" s="379" t="str">
        <f>VLOOKUP(A537,'Parameters Summary'!$B$2:$AB$826,17,FALSE)</f>
        <v>WATER9 (U.S. EPA, 2001)</v>
      </c>
      <c r="X537" s="347"/>
      <c r="Y537" s="96"/>
      <c r="Z537" s="96" t="s">
        <v>1653</v>
      </c>
      <c r="AA537" s="96"/>
      <c r="AB537" s="96" t="s">
        <v>1651</v>
      </c>
      <c r="AC537" s="96"/>
      <c r="AD537" s="93">
        <f>VLOOKUP(A537,'Parameters Summary'!$B$2:$AB$826,20,FALSE)</f>
        <v>20.65</v>
      </c>
      <c r="AE537" s="97" t="str">
        <f>VLOOKUP(A537,'Parameters Summary'!$B$2:$AB$826,21,FALSE)</f>
        <v>EPI</v>
      </c>
      <c r="AF537" s="97"/>
      <c r="AG537" s="94"/>
      <c r="AH537" s="92"/>
      <c r="AI537" s="96"/>
      <c r="AJ537" s="330"/>
      <c r="AL537" s="81"/>
    </row>
    <row r="538" spans="1:38" ht="12.75" customHeight="1">
      <c r="A538" s="95" t="s">
        <v>122</v>
      </c>
      <c r="B538" s="96" t="s">
        <v>1260</v>
      </c>
      <c r="C538" s="96" t="str">
        <f t="shared" si="54"/>
        <v>Yes</v>
      </c>
      <c r="D538" s="96" t="str">
        <f>VLOOKUP(A538,'Tox Summary'!$O$3:$R$824,3,FALSE)</f>
        <v>Yes</v>
      </c>
      <c r="E538" s="97">
        <f>VLOOKUP(A538,'Parameters Summary'!$B$2:$AB$826,4,FALSE)</f>
        <v>61.040999999999997</v>
      </c>
      <c r="F538" s="97" t="str">
        <f>VLOOKUP(A538,'Parameters Summary'!$B$2:$AB$826,5,FALSE)</f>
        <v>PHYSPROP</v>
      </c>
      <c r="G538" s="93">
        <f>VLOOKUP(A538,'Parameters Summary'!$B$2:$AB$826,9,FALSE)</f>
        <v>35.840000000000003</v>
      </c>
      <c r="H538" s="93" t="str">
        <f>VLOOKUP(A538,'Parameters Summary'!$B$2:$AB$826,10,FALSE)</f>
        <v>PHYSPROP</v>
      </c>
      <c r="I538" s="93">
        <f>VLOOKUP(A538,'Parameters Summary'!$B$2:$AB$826,24,FALSE)</f>
        <v>111000</v>
      </c>
      <c r="J538" s="97" t="str">
        <f>VLOOKUP(A538,'Parameters Summary'!$B$2:$AB$826,25,FALSE)</f>
        <v>PHYSPROP</v>
      </c>
      <c r="K538" s="97" t="str">
        <f>VLOOKUP(A538,'Tox Summary'!$O$3:$S$827,2,FALSE)</f>
        <v/>
      </c>
      <c r="L538" s="93">
        <f>VLOOKUP(A538,'Parameters Summary'!$B$2:$AB$826,7,FALSE)</f>
        <v>2.8600000000000001E-5</v>
      </c>
      <c r="M538" s="93" t="str">
        <f>VLOOKUP(A538,'Parameters Summary'!$B$2:$AB$826,8,FALSE)</f>
        <v>PHYSPROP</v>
      </c>
      <c r="N538" s="91">
        <f>VLOOKUP(A538,'Parameters Summary'!$B$2:$AB$826,6,FALSE)</f>
        <v>1.1693000000000001E-3</v>
      </c>
      <c r="O538" s="91">
        <f t="shared" si="52"/>
        <v>1.1693000000000001E-3</v>
      </c>
      <c r="P538" s="91">
        <f t="shared" si="55"/>
        <v>1.1693000000000001E-3</v>
      </c>
      <c r="Q538" s="91">
        <f t="shared" si="53"/>
        <v>1.1693000000000001E-3</v>
      </c>
      <c r="R538" s="91">
        <f t="shared" si="56"/>
        <v>1.1693000000000001E-3</v>
      </c>
      <c r="S538" s="91">
        <f t="shared" si="57"/>
        <v>117717988.31102321</v>
      </c>
      <c r="T538" s="93">
        <f>VLOOKUP(A538,'Parameters Summary'!$B$2:$AB$826,15,FALSE)</f>
        <v>0.11928370000000001</v>
      </c>
      <c r="U538" s="93" t="str">
        <f>VLOOKUP(A538,'Parameters Summary'!$B$2:$AB$826,17,FALSE)</f>
        <v>WATER9 (U.S. EPA, 2001)</v>
      </c>
      <c r="V538" s="93">
        <f>VLOOKUP(A538,'Parameters Summary'!$B$2:$AB$826,16,FALSE)</f>
        <v>1.3900000000000001E-5</v>
      </c>
      <c r="W538" s="379" t="str">
        <f>VLOOKUP(A538,'Parameters Summary'!$B$2:$AB$826,17,FALSE)</f>
        <v>WATER9 (U.S. EPA, 2001)</v>
      </c>
      <c r="X538" s="290">
        <v>374.1</v>
      </c>
      <c r="Y538" s="96" t="s">
        <v>2217</v>
      </c>
      <c r="Z538" s="96">
        <v>588</v>
      </c>
      <c r="AA538" s="96" t="s">
        <v>2218</v>
      </c>
      <c r="AB538" s="96">
        <v>9140.6299999999992</v>
      </c>
      <c r="AC538" s="96" t="s">
        <v>2218</v>
      </c>
      <c r="AD538" s="93">
        <f>VLOOKUP(A538,'Parameters Summary'!$B$2:$AB$826,20,FALSE)</f>
        <v>10.32</v>
      </c>
      <c r="AE538" s="97" t="str">
        <f>VLOOKUP(A538,'Parameters Summary'!$B$2:$AB$826,21,FALSE)</f>
        <v>EPI</v>
      </c>
      <c r="AF538" s="380"/>
      <c r="AG538" s="97"/>
      <c r="AH538" s="92"/>
      <c r="AI538" s="96"/>
      <c r="AJ538" s="330"/>
      <c r="AL538" s="81"/>
    </row>
    <row r="539" spans="1:38" ht="12.75" customHeight="1">
      <c r="A539" s="95" t="s">
        <v>123</v>
      </c>
      <c r="B539" s="96" t="s">
        <v>1261</v>
      </c>
      <c r="C539" s="96" t="str">
        <f t="shared" si="54"/>
        <v>Yes</v>
      </c>
      <c r="D539" s="96" t="str">
        <f>VLOOKUP(A539,'Tox Summary'!$O$3:$R$824,3,FALSE)</f>
        <v>Yes</v>
      </c>
      <c r="E539" s="97">
        <f>VLOOKUP(A539,'Parameters Summary'!$B$2:$AB$826,4,FALSE)</f>
        <v>89.094999999999999</v>
      </c>
      <c r="F539" s="97" t="str">
        <f>VLOOKUP(A539,'Parameters Summary'!$B$2:$AB$826,5,FALSE)</f>
        <v>PHYSPROP</v>
      </c>
      <c r="G539" s="93">
        <f>VLOOKUP(A539,'Parameters Summary'!$B$2:$AB$826,9,FALSE)</f>
        <v>17.21</v>
      </c>
      <c r="H539" s="93" t="str">
        <f>VLOOKUP(A539,'Parameters Summary'!$B$2:$AB$826,10,FALSE)</f>
        <v>PHYSPROP</v>
      </c>
      <c r="I539" s="93">
        <f>VLOOKUP(A539,'Parameters Summary'!$B$2:$AB$826,24,FALSE)</f>
        <v>17000</v>
      </c>
      <c r="J539" s="97" t="str">
        <f>VLOOKUP(A539,'Parameters Summary'!$B$2:$AB$826,25,FALSE)</f>
        <v>PHYSPROP</v>
      </c>
      <c r="K539" s="97" t="str">
        <f>VLOOKUP(A539,'Tox Summary'!$O$3:$S$827,2,FALSE)</f>
        <v/>
      </c>
      <c r="L539" s="93">
        <f>VLOOKUP(A539,'Parameters Summary'!$B$2:$AB$826,7,FALSE)</f>
        <v>1.1900000000000001E-4</v>
      </c>
      <c r="M539" s="93" t="str">
        <f>VLOOKUP(A539,'Parameters Summary'!$B$2:$AB$826,8,FALSE)</f>
        <v>EPI</v>
      </c>
      <c r="N539" s="91">
        <f>VLOOKUP(A539,'Parameters Summary'!$B$2:$AB$826,6,FALSE)</f>
        <v>4.8650999999999998E-3</v>
      </c>
      <c r="O539" s="91">
        <f t="shared" si="52"/>
        <v>4.8650999999999998E-3</v>
      </c>
      <c r="P539" s="91">
        <f t="shared" si="55"/>
        <v>4.8650999999999998E-3</v>
      </c>
      <c r="Q539" s="91">
        <f t="shared" si="53"/>
        <v>4.8650999999999998E-3</v>
      </c>
      <c r="R539" s="91">
        <f t="shared" si="56"/>
        <v>4.8650999999999998E-3</v>
      </c>
      <c r="S539" s="91">
        <f t="shared" si="57"/>
        <v>82506353.559044957</v>
      </c>
      <c r="T539" s="93">
        <f>VLOOKUP(A539,'Parameters Summary'!$B$2:$AB$826,15,FALSE)</f>
        <v>8.4693400000000002E-2</v>
      </c>
      <c r="U539" s="93" t="str">
        <f>VLOOKUP(A539,'Parameters Summary'!$B$2:$AB$826,17,FALSE)</f>
        <v>WATER9 (U.S. EPA, 2001)</v>
      </c>
      <c r="V539" s="93">
        <f>VLOOKUP(A539,'Parameters Summary'!$B$2:$AB$826,16,FALSE)</f>
        <v>1.0200000000000001E-5</v>
      </c>
      <c r="W539" s="379" t="str">
        <f>VLOOKUP(A539,'Parameters Summary'!$B$2:$AB$826,17,FALSE)</f>
        <v>WATER9 (U.S. EPA, 2001)</v>
      </c>
      <c r="X539" s="290">
        <v>393.2</v>
      </c>
      <c r="Y539" s="96" t="s">
        <v>553</v>
      </c>
      <c r="Z539" s="96">
        <v>594</v>
      </c>
      <c r="AA539" s="96" t="s">
        <v>2225</v>
      </c>
      <c r="AB539" s="96">
        <v>8383</v>
      </c>
      <c r="AC539" s="96" t="s">
        <v>2225</v>
      </c>
      <c r="AD539" s="93">
        <f>VLOOKUP(A539,'Parameters Summary'!$B$2:$AB$826,20,FALSE)</f>
        <v>30.8</v>
      </c>
      <c r="AE539" s="97" t="str">
        <f>VLOOKUP(A539,'Parameters Summary'!$B$2:$AB$826,21,FALSE)</f>
        <v>EPI</v>
      </c>
      <c r="AF539" s="380">
        <v>2.6</v>
      </c>
      <c r="AG539" s="97" t="s">
        <v>302</v>
      </c>
      <c r="AH539" s="92"/>
      <c r="AI539" s="96"/>
      <c r="AJ539" s="330"/>
      <c r="AL539" s="81"/>
    </row>
    <row r="540" spans="1:38" ht="12.75" customHeight="1">
      <c r="A540" s="96" t="s">
        <v>218</v>
      </c>
      <c r="B540" s="96" t="s">
        <v>2358</v>
      </c>
      <c r="C540" s="96" t="str">
        <f t="shared" si="54"/>
        <v>No</v>
      </c>
      <c r="D540" s="96" t="str">
        <f>VLOOKUP(A540,'Tox Summary'!$O$3:$R$824,3,FALSE)</f>
        <v>No</v>
      </c>
      <c r="E540" s="97">
        <f>VLOOKUP(A540,'Parameters Summary'!$B$2:$AB$826,4,FALSE)</f>
        <v>249.27</v>
      </c>
      <c r="F540" s="97" t="str">
        <f>VLOOKUP(A540,'Parameters Summary'!$B$2:$AB$826,5,FALSE)</f>
        <v>PHYSPROP</v>
      </c>
      <c r="G540" s="93">
        <f>VLOOKUP(A540,'Parameters Summary'!$B$2:$AB$826,9,FALSE)</f>
        <v>5.5199999999999998E-8</v>
      </c>
      <c r="H540" s="93" t="str">
        <f>VLOOKUP(A540,'Parameters Summary'!$B$2:$AB$826,10,FALSE)</f>
        <v>PHYSPROP</v>
      </c>
      <c r="I540" s="93">
        <f>VLOOKUP(A540,'Parameters Summary'!$B$2:$AB$826,24,FALSE)</f>
        <v>6.7900000000000002E-2</v>
      </c>
      <c r="J540" s="97" t="str">
        <f>VLOOKUP(A540,'Parameters Summary'!$B$2:$AB$826,25,FALSE)</f>
        <v>PHYSPROP</v>
      </c>
      <c r="K540" s="97" t="str">
        <f>VLOOKUP(A540,'Tox Summary'!$O$3:$S$827,2,FALSE)</f>
        <v/>
      </c>
      <c r="L540" s="93">
        <f>VLOOKUP(A540,'Parameters Summary'!$B$2:$AB$826,7,FALSE)</f>
        <v>2.4500000000000001E-8</v>
      </c>
      <c r="M540" s="93" t="str">
        <f>VLOOKUP(A540,'Parameters Summary'!$B$2:$AB$826,8,FALSE)</f>
        <v>PHYSPROP</v>
      </c>
      <c r="N540" s="91">
        <f>VLOOKUP(A540,'Parameters Summary'!$B$2:$AB$826,6,FALSE)</f>
        <v>1.0016000000000001E-6</v>
      </c>
      <c r="O540" s="91" t="str">
        <f t="shared" si="52"/>
        <v/>
      </c>
      <c r="P540" s="91">
        <f t="shared" si="55"/>
        <v>1.0016000000000001E-6</v>
      </c>
      <c r="Q540" s="91" t="str">
        <f t="shared" si="53"/>
        <v/>
      </c>
      <c r="R540" s="91">
        <f t="shared" si="56"/>
        <v>1.0016000000000001E-6</v>
      </c>
      <c r="S540" s="91" t="str">
        <f t="shared" si="57"/>
        <v/>
      </c>
      <c r="T540" s="93">
        <f>VLOOKUP(A540,'Parameters Summary'!$B$2:$AB$826,15,FALSE)</f>
        <v>4.7970400000000003E-2</v>
      </c>
      <c r="U540" s="93" t="str">
        <f>VLOOKUP(A540,'Parameters Summary'!$B$2:$AB$826,17,FALSE)</f>
        <v>WATER9 (U.S. EPA, 2001)</v>
      </c>
      <c r="V540" s="93">
        <f>VLOOKUP(A540,'Parameters Summary'!$B$2:$AB$826,16,FALSE)</f>
        <v>5.6049999999999997E-6</v>
      </c>
      <c r="W540" s="379" t="str">
        <f>VLOOKUP(A540,'Parameters Summary'!$B$2:$AB$826,17,FALSE)</f>
        <v>WATER9 (U.S. EPA, 2001)</v>
      </c>
      <c r="X540" s="347"/>
      <c r="Y540" s="96"/>
      <c r="Z540" s="96" t="s">
        <v>1653</v>
      </c>
      <c r="AA540" s="96"/>
      <c r="AB540" s="96" t="s">
        <v>1651</v>
      </c>
      <c r="AC540" s="96"/>
      <c r="AD540" s="93">
        <f>VLOOKUP(A540,'Parameters Summary'!$B$2:$AB$826,20,FALSE)</f>
        <v>86110</v>
      </c>
      <c r="AE540" s="97" t="str">
        <f>VLOOKUP(A540,'Parameters Summary'!$B$2:$AB$826,21,FALSE)</f>
        <v>EPI</v>
      </c>
      <c r="AF540" s="97"/>
      <c r="AG540" s="94"/>
      <c r="AH540" s="92"/>
      <c r="AI540" s="96"/>
      <c r="AJ540" s="330"/>
      <c r="AL540" s="81"/>
    </row>
    <row r="541" spans="1:38" ht="12.75" customHeight="1">
      <c r="A541" s="96" t="s">
        <v>128</v>
      </c>
      <c r="B541" s="96" t="s">
        <v>1265</v>
      </c>
      <c r="C541" s="96" t="str">
        <f t="shared" si="54"/>
        <v>No</v>
      </c>
      <c r="D541" s="96" t="str">
        <f>VLOOKUP(A541,'Tox Summary'!$O$3:$R$824,3,FALSE)</f>
        <v>No</v>
      </c>
      <c r="E541" s="97">
        <f>VLOOKUP(A541,'Parameters Summary'!$B$2:$AB$826,4,FALSE)</f>
        <v>134.13999999999999</v>
      </c>
      <c r="F541" s="97" t="str">
        <f>VLOOKUP(A541,'Parameters Summary'!$B$2:$AB$826,5,FALSE)</f>
        <v>PHYSPROP</v>
      </c>
      <c r="G541" s="93">
        <f>VLOOKUP(A541,'Parameters Summary'!$B$2:$AB$826,9,FALSE)</f>
        <v>5.0000000000000001E-4</v>
      </c>
      <c r="H541" s="93" t="str">
        <f>VLOOKUP(A541,'Parameters Summary'!$B$2:$AB$826,10,FALSE)</f>
        <v>PHYSPROP</v>
      </c>
      <c r="I541" s="93">
        <f>VLOOKUP(A541,'Parameters Summary'!$B$2:$AB$826,24,FALSE)</f>
        <v>1000000</v>
      </c>
      <c r="J541" s="97" t="str">
        <f>VLOOKUP(A541,'Parameters Summary'!$B$2:$AB$826,25,FALSE)</f>
        <v>PHYSPROP</v>
      </c>
      <c r="K541" s="97" t="str">
        <f>VLOOKUP(A541,'Tox Summary'!$O$3:$S$827,2,FALSE)</f>
        <v/>
      </c>
      <c r="L541" s="93">
        <f>VLOOKUP(A541,'Parameters Summary'!$B$2:$AB$826,7,FALSE)</f>
        <v>4.8499999999999997E-12</v>
      </c>
      <c r="M541" s="93" t="str">
        <f>VLOOKUP(A541,'Parameters Summary'!$B$2:$AB$826,8,FALSE)</f>
        <v>PHYSPROP</v>
      </c>
      <c r="N541" s="91">
        <f>VLOOKUP(A541,'Parameters Summary'!$B$2:$AB$826,6,FALSE)</f>
        <v>1.983E-10</v>
      </c>
      <c r="O541" s="91" t="str">
        <f t="shared" si="52"/>
        <v/>
      </c>
      <c r="P541" s="91">
        <f t="shared" si="55"/>
        <v>1.983E-10</v>
      </c>
      <c r="Q541" s="91" t="str">
        <f t="shared" si="53"/>
        <v/>
      </c>
      <c r="R541" s="91">
        <f t="shared" si="56"/>
        <v>1.983E-10</v>
      </c>
      <c r="S541" s="91" t="str">
        <f t="shared" si="57"/>
        <v/>
      </c>
      <c r="T541" s="93">
        <f>VLOOKUP(A541,'Parameters Summary'!$B$2:$AB$826,15,FALSE)</f>
        <v>7.2507199999999994E-2</v>
      </c>
      <c r="U541" s="93" t="str">
        <f>VLOOKUP(A541,'Parameters Summary'!$B$2:$AB$826,17,FALSE)</f>
        <v>WATER9 (U.S. EPA, 2001)</v>
      </c>
      <c r="V541" s="93">
        <f>VLOOKUP(A541,'Parameters Summary'!$B$2:$AB$826,16,FALSE)</f>
        <v>8.4718999999999993E-6</v>
      </c>
      <c r="W541" s="379" t="str">
        <f>VLOOKUP(A541,'Parameters Summary'!$B$2:$AB$826,17,FALSE)</f>
        <v>WATER9 (U.S. EPA, 2001)</v>
      </c>
      <c r="X541" s="290">
        <v>398.15</v>
      </c>
      <c r="Y541" s="96" t="s">
        <v>553</v>
      </c>
      <c r="Z541" s="96" t="s">
        <v>1653</v>
      </c>
      <c r="AA541" s="96"/>
      <c r="AB541" s="96" t="s">
        <v>1651</v>
      </c>
      <c r="AC541" s="96"/>
      <c r="AD541" s="93">
        <f>VLOOKUP(A541,'Parameters Summary'!$B$2:$AB$826,20,FALSE)</f>
        <v>1</v>
      </c>
      <c r="AE541" s="97" t="str">
        <f>VLOOKUP(A541,'Parameters Summary'!$B$2:$AB$826,21,FALSE)</f>
        <v>EPI</v>
      </c>
      <c r="AF541" s="97"/>
      <c r="AG541" s="94"/>
      <c r="AH541" s="92"/>
      <c r="AI541" s="96"/>
      <c r="AJ541" s="330"/>
      <c r="AL541" s="81"/>
    </row>
    <row r="542" spans="1:38" ht="12.75" customHeight="1">
      <c r="A542" s="96" t="s">
        <v>129</v>
      </c>
      <c r="B542" s="96" t="s">
        <v>1266</v>
      </c>
      <c r="C542" s="96" t="str">
        <f t="shared" si="54"/>
        <v>No</v>
      </c>
      <c r="D542" s="96" t="str">
        <f>VLOOKUP(A542,'Tox Summary'!$O$3:$R$824,3,FALSE)</f>
        <v>No</v>
      </c>
      <c r="E542" s="97">
        <f>VLOOKUP(A542,'Parameters Summary'!$B$2:$AB$826,4,FALSE)</f>
        <v>102.14</v>
      </c>
      <c r="F542" s="97" t="str">
        <f>VLOOKUP(A542,'Parameters Summary'!$B$2:$AB$826,5,FALSE)</f>
        <v>PHYSPROP</v>
      </c>
      <c r="G542" s="93">
        <f>VLOOKUP(A542,'Parameters Summary'!$B$2:$AB$826,9,FALSE)</f>
        <v>0.86</v>
      </c>
      <c r="H542" s="93" t="str">
        <f>VLOOKUP(A542,'Parameters Summary'!$B$2:$AB$826,10,FALSE)</f>
        <v>PHYSPROP</v>
      </c>
      <c r="I542" s="93">
        <f>VLOOKUP(A542,'Parameters Summary'!$B$2:$AB$826,24,FALSE)</f>
        <v>106000</v>
      </c>
      <c r="J542" s="97" t="str">
        <f>VLOOKUP(A542,'Parameters Summary'!$B$2:$AB$826,25,FALSE)</f>
        <v>PHYSPROP</v>
      </c>
      <c r="K542" s="97" t="str">
        <f>VLOOKUP(A542,'Tox Summary'!$O$3:$S$827,2,FALSE)</f>
        <v/>
      </c>
      <c r="L542" s="93">
        <f>VLOOKUP(A542,'Parameters Summary'!$B$2:$AB$826,7,FALSE)</f>
        <v>3.63E-6</v>
      </c>
      <c r="M542" s="93" t="str">
        <f>VLOOKUP(A542,'Parameters Summary'!$B$2:$AB$826,8,FALSE)</f>
        <v>PHYSPROP</v>
      </c>
      <c r="N542" s="91">
        <f>VLOOKUP(A542,'Parameters Summary'!$B$2:$AB$826,6,FALSE)</f>
        <v>1.484E-4</v>
      </c>
      <c r="O542" s="91" t="str">
        <f t="shared" si="52"/>
        <v/>
      </c>
      <c r="P542" s="91">
        <f t="shared" si="55"/>
        <v>1.484E-4</v>
      </c>
      <c r="Q542" s="91" t="str">
        <f t="shared" si="53"/>
        <v/>
      </c>
      <c r="R542" s="91">
        <f t="shared" si="56"/>
        <v>1.484E-4</v>
      </c>
      <c r="S542" s="91" t="str">
        <f t="shared" si="57"/>
        <v/>
      </c>
      <c r="T542" s="93">
        <f>VLOOKUP(A542,'Parameters Summary'!$B$2:$AB$826,15,FALSE)</f>
        <v>7.3841000000000004E-2</v>
      </c>
      <c r="U542" s="93" t="str">
        <f>VLOOKUP(A542,'Parameters Summary'!$B$2:$AB$826,17,FALSE)</f>
        <v>WATER9 (U.S. EPA, 2001)</v>
      </c>
      <c r="V542" s="93">
        <f>VLOOKUP(A542,'Parameters Summary'!$B$2:$AB$826,16,FALSE)</f>
        <v>9.1252000000000003E-6</v>
      </c>
      <c r="W542" s="379" t="str">
        <f>VLOOKUP(A542,'Parameters Summary'!$B$2:$AB$826,17,FALSE)</f>
        <v>WATER9 (U.S. EPA, 2001)</v>
      </c>
      <c r="X542" s="290">
        <v>450.04999999999995</v>
      </c>
      <c r="Y542" s="96" t="s">
        <v>553</v>
      </c>
      <c r="Z542" s="96" t="s">
        <v>1653</v>
      </c>
      <c r="AA542" s="96"/>
      <c r="AB542" s="96" t="s">
        <v>1651</v>
      </c>
      <c r="AC542" s="96"/>
      <c r="AD542" s="93">
        <f>VLOOKUP(A542,'Parameters Summary'!$B$2:$AB$826,20,FALSE)</f>
        <v>82.92</v>
      </c>
      <c r="AE542" s="97" t="str">
        <f>VLOOKUP(A542,'Parameters Summary'!$B$2:$AB$826,21,FALSE)</f>
        <v>EPI</v>
      </c>
      <c r="AF542" s="97"/>
      <c r="AG542" s="94"/>
      <c r="AH542" s="92"/>
      <c r="AI542" s="96"/>
      <c r="AJ542" s="330"/>
      <c r="AL542" s="81"/>
    </row>
    <row r="543" spans="1:38" ht="12.75" customHeight="1">
      <c r="A543" s="95" t="s">
        <v>130</v>
      </c>
      <c r="B543" s="96" t="s">
        <v>1267</v>
      </c>
      <c r="C543" s="96" t="str">
        <f t="shared" si="54"/>
        <v>Yes</v>
      </c>
      <c r="D543" s="96" t="str">
        <f>VLOOKUP(A543,'Tox Summary'!$O$3:$R$824,3,FALSE)</f>
        <v>Yes</v>
      </c>
      <c r="E543" s="97">
        <f>VLOOKUP(A543,'Parameters Summary'!$B$2:$AB$826,4,FALSE)</f>
        <v>74.082999999999998</v>
      </c>
      <c r="F543" s="97" t="str">
        <f>VLOOKUP(A543,'Parameters Summary'!$B$2:$AB$826,5,FALSE)</f>
        <v>PHYSPROP</v>
      </c>
      <c r="G543" s="93">
        <f>VLOOKUP(A543,'Parameters Summary'!$B$2:$AB$826,9,FALSE)</f>
        <v>2.7</v>
      </c>
      <c r="H543" s="93" t="str">
        <f>VLOOKUP(A543,'Parameters Summary'!$B$2:$AB$826,10,FALSE)</f>
        <v>PHYSPROP</v>
      </c>
      <c r="I543" s="93">
        <f>VLOOKUP(A543,'Parameters Summary'!$B$2:$AB$826,24,FALSE)</f>
        <v>1000000</v>
      </c>
      <c r="J543" s="97" t="str">
        <f>VLOOKUP(A543,'Parameters Summary'!$B$2:$AB$826,25,FALSE)</f>
        <v>PHYSPROP</v>
      </c>
      <c r="K543" s="97" t="str">
        <f>VLOOKUP(A543,'Tox Summary'!$O$3:$S$827,2,FALSE)</f>
        <v/>
      </c>
      <c r="L543" s="93">
        <f>VLOOKUP(A543,'Parameters Summary'!$B$2:$AB$826,7,FALSE)</f>
        <v>1.8199999999999999E-6</v>
      </c>
      <c r="M543" s="93" t="str">
        <f>VLOOKUP(A543,'Parameters Summary'!$B$2:$AB$826,8,FALSE)</f>
        <v>PHYSPROP</v>
      </c>
      <c r="N543" s="91">
        <f>VLOOKUP(A543,'Parameters Summary'!$B$2:$AB$826,6,FALSE)</f>
        <v>7.4400000000000006E-5</v>
      </c>
      <c r="O543" s="91" t="str">
        <f t="shared" si="52"/>
        <v/>
      </c>
      <c r="P543" s="91">
        <f t="shared" si="55"/>
        <v>7.4400000000000006E-5</v>
      </c>
      <c r="Q543" s="91" t="str">
        <f t="shared" si="53"/>
        <v/>
      </c>
      <c r="R543" s="91">
        <f t="shared" si="56"/>
        <v>7.4400000000000006E-5</v>
      </c>
      <c r="S543" s="91" t="str">
        <f t="shared" si="57"/>
        <v/>
      </c>
      <c r="T543" s="93">
        <f>VLOOKUP(A543,'Parameters Summary'!$B$2:$AB$826,15,FALSE)</f>
        <v>9.8767400000000005E-2</v>
      </c>
      <c r="U543" s="93" t="str">
        <f>VLOOKUP(A543,'Parameters Summary'!$B$2:$AB$826,17,FALSE)</f>
        <v>WATER9 (U.S. EPA, 2001)</v>
      </c>
      <c r="V543" s="93">
        <f>VLOOKUP(A543,'Parameters Summary'!$B$2:$AB$826,16,FALSE)</f>
        <v>1.15E-5</v>
      </c>
      <c r="W543" s="379" t="str">
        <f>VLOOKUP(A543,'Parameters Summary'!$B$2:$AB$826,17,FALSE)</f>
        <v>WATER9 (U.S. EPA, 2001)</v>
      </c>
      <c r="X543" s="290">
        <f>154+273.15</f>
        <v>427.15</v>
      </c>
      <c r="Y543" s="96" t="s">
        <v>553</v>
      </c>
      <c r="Z543" s="96">
        <f>1.5*X543</f>
        <v>640.72499999999991</v>
      </c>
      <c r="AA543" s="96" t="s">
        <v>2220</v>
      </c>
      <c r="AB543" s="96" t="s">
        <v>1651</v>
      </c>
      <c r="AC543" s="96"/>
      <c r="AD543" s="93">
        <f>VLOOKUP(A543,'Parameters Summary'!$B$2:$AB$826,20,FALSE)</f>
        <v>22.79</v>
      </c>
      <c r="AE543" s="97" t="str">
        <f>VLOOKUP(A543,'Parameters Summary'!$B$2:$AB$826,21,FALSE)</f>
        <v>EPI</v>
      </c>
      <c r="AF543" s="380"/>
      <c r="AG543" s="97"/>
      <c r="AH543" s="92"/>
      <c r="AI543" s="96"/>
      <c r="AJ543" s="330"/>
      <c r="AL543" s="81"/>
    </row>
    <row r="544" spans="1:38" ht="12.75" customHeight="1">
      <c r="A544" s="95" t="s">
        <v>126</v>
      </c>
      <c r="B544" s="96" t="s">
        <v>1262</v>
      </c>
      <c r="C544" s="96" t="str">
        <f t="shared" si="54"/>
        <v>Yes</v>
      </c>
      <c r="D544" s="96" t="str">
        <f>VLOOKUP(A544,'Tox Summary'!$O$3:$R$824,3,FALSE)</f>
        <v>Yes</v>
      </c>
      <c r="E544" s="97">
        <f>VLOOKUP(A544,'Parameters Summary'!$B$2:$AB$826,4,FALSE)</f>
        <v>158.25</v>
      </c>
      <c r="F544" s="97" t="str">
        <f>VLOOKUP(A544,'Parameters Summary'!$B$2:$AB$826,5,FALSE)</f>
        <v>PHYSPROP</v>
      </c>
      <c r="G544" s="93">
        <f>VLOOKUP(A544,'Parameters Summary'!$B$2:$AB$826,9,FALSE)</f>
        <v>4.6899999999999997E-2</v>
      </c>
      <c r="H544" s="93" t="str">
        <f>VLOOKUP(A544,'Parameters Summary'!$B$2:$AB$826,10,FALSE)</f>
        <v>EPI</v>
      </c>
      <c r="I544" s="93">
        <f>VLOOKUP(A544,'Parameters Summary'!$B$2:$AB$826,24,FALSE)</f>
        <v>1270</v>
      </c>
      <c r="J544" s="97" t="str">
        <f>VLOOKUP(A544,'Parameters Summary'!$B$2:$AB$826,25,FALSE)</f>
        <v>PHYSPROP</v>
      </c>
      <c r="K544" s="97" t="str">
        <f>VLOOKUP(A544,'Tox Summary'!$O$3:$S$827,2,FALSE)</f>
        <v/>
      </c>
      <c r="L544" s="93">
        <f>VLOOKUP(A544,'Parameters Summary'!$B$2:$AB$826,7,FALSE)</f>
        <v>1.3200000000000001E-5</v>
      </c>
      <c r="M544" s="93" t="str">
        <f>VLOOKUP(A544,'Parameters Summary'!$B$2:$AB$826,8,FALSE)</f>
        <v>PHYSPROP</v>
      </c>
      <c r="N544" s="91">
        <f>VLOOKUP(A544,'Parameters Summary'!$B$2:$AB$826,6,FALSE)</f>
        <v>5.3970000000000005E-4</v>
      </c>
      <c r="O544" s="91" t="str">
        <f t="shared" si="52"/>
        <v/>
      </c>
      <c r="P544" s="91">
        <f t="shared" si="55"/>
        <v>5.3970000000000005E-4</v>
      </c>
      <c r="Q544" s="91" t="str">
        <f t="shared" si="53"/>
        <v/>
      </c>
      <c r="R544" s="91">
        <f t="shared" si="56"/>
        <v>5.3970000000000005E-4</v>
      </c>
      <c r="S544" s="91" t="str">
        <f t="shared" si="57"/>
        <v/>
      </c>
      <c r="T544" s="93">
        <f>VLOOKUP(A544,'Parameters Summary'!$B$2:$AB$826,15,FALSE)</f>
        <v>4.2166299999999997E-2</v>
      </c>
      <c r="U544" s="93" t="str">
        <f>VLOOKUP(A544,'Parameters Summary'!$B$2:$AB$826,17,FALSE)</f>
        <v>WATER9 (U.S. EPA, 2001)</v>
      </c>
      <c r="V544" s="93">
        <f>VLOOKUP(A544,'Parameters Summary'!$B$2:$AB$826,16,FALSE)</f>
        <v>6.8307999999999999E-6</v>
      </c>
      <c r="W544" s="379" t="str">
        <f>VLOOKUP(A544,'Parameters Summary'!$B$2:$AB$826,17,FALSE)</f>
        <v>WATER9 (U.S. EPA, 2001)</v>
      </c>
      <c r="X544" s="290">
        <f>116+273</f>
        <v>389</v>
      </c>
      <c r="Y544" s="96" t="s">
        <v>2212</v>
      </c>
      <c r="Z544" s="96">
        <f>3*X544/2</f>
        <v>583.5</v>
      </c>
      <c r="AA544" s="96" t="s">
        <v>2220</v>
      </c>
      <c r="AB544" s="96" t="s">
        <v>1651</v>
      </c>
      <c r="AC544" s="96"/>
      <c r="AD544" s="93">
        <f>VLOOKUP(A544,'Parameters Summary'!$B$2:$AB$826,20,FALSE)</f>
        <v>914.6</v>
      </c>
      <c r="AE544" s="97" t="str">
        <f>VLOOKUP(A544,'Parameters Summary'!$B$2:$AB$826,21,FALSE)</f>
        <v>EPI</v>
      </c>
      <c r="AF544" s="380"/>
      <c r="AG544" s="97"/>
      <c r="AH544" s="92"/>
      <c r="AI544" s="96"/>
      <c r="AJ544" s="330"/>
      <c r="AL544" s="81"/>
    </row>
    <row r="545" spans="1:38" ht="12.75" customHeight="1">
      <c r="A545" s="96" t="s">
        <v>127</v>
      </c>
      <c r="B545" s="96" t="s">
        <v>1263</v>
      </c>
      <c r="C545" s="96" t="str">
        <f t="shared" si="54"/>
        <v>No</v>
      </c>
      <c r="D545" s="96" t="str">
        <f>VLOOKUP(A545,'Tox Summary'!$O$3:$R$824,3,FALSE)</f>
        <v>No</v>
      </c>
      <c r="E545" s="97">
        <f>VLOOKUP(A545,'Parameters Summary'!$B$2:$AB$826,4,FALSE)</f>
        <v>130.19</v>
      </c>
      <c r="F545" s="97" t="str">
        <f>VLOOKUP(A545,'Parameters Summary'!$B$2:$AB$826,5,FALSE)</f>
        <v>PHYSPROP</v>
      </c>
      <c r="G545" s="93">
        <f>VLOOKUP(A545,'Parameters Summary'!$B$2:$AB$826,9,FALSE)</f>
        <v>8.5999999999999993E-2</v>
      </c>
      <c r="H545" s="93" t="str">
        <f>VLOOKUP(A545,'Parameters Summary'!$B$2:$AB$826,10,FALSE)</f>
        <v>PHYSPROP</v>
      </c>
      <c r="I545" s="93">
        <f>VLOOKUP(A545,'Parameters Summary'!$B$2:$AB$826,24,FALSE)</f>
        <v>13000</v>
      </c>
      <c r="J545" s="97" t="str">
        <f>VLOOKUP(A545,'Parameters Summary'!$B$2:$AB$826,25,FALSE)</f>
        <v>PHYSPROP</v>
      </c>
      <c r="K545" s="97" t="str">
        <f>VLOOKUP(A545,'Tox Summary'!$O$3:$S$827,2,FALSE)</f>
        <v/>
      </c>
      <c r="L545" s="93">
        <f>VLOOKUP(A545,'Parameters Summary'!$B$2:$AB$826,7,FALSE)</f>
        <v>5.3800000000000002E-6</v>
      </c>
      <c r="M545" s="93" t="str">
        <f>VLOOKUP(A545,'Parameters Summary'!$B$2:$AB$826,8,FALSE)</f>
        <v>PHYSPROP</v>
      </c>
      <c r="N545" s="91">
        <f>VLOOKUP(A545,'Parameters Summary'!$B$2:$AB$826,6,FALSE)</f>
        <v>2.2000000000000001E-4</v>
      </c>
      <c r="O545" s="91" t="str">
        <f t="shared" si="52"/>
        <v/>
      </c>
      <c r="P545" s="91">
        <f t="shared" si="55"/>
        <v>2.2000000000000001E-4</v>
      </c>
      <c r="Q545" s="91" t="str">
        <f t="shared" si="53"/>
        <v/>
      </c>
      <c r="R545" s="91">
        <f t="shared" si="56"/>
        <v>2.2000000000000001E-4</v>
      </c>
      <c r="S545" s="91" t="str">
        <f t="shared" si="57"/>
        <v/>
      </c>
      <c r="T545" s="93">
        <f>VLOOKUP(A545,'Parameters Summary'!$B$2:$AB$826,15,FALSE)</f>
        <v>5.6439900000000001E-2</v>
      </c>
      <c r="U545" s="93" t="str">
        <f>VLOOKUP(A545,'Parameters Summary'!$B$2:$AB$826,17,FALSE)</f>
        <v>WATER9 (U.S. EPA, 2001)</v>
      </c>
      <c r="V545" s="93">
        <f>VLOOKUP(A545,'Parameters Summary'!$B$2:$AB$826,16,FALSE)</f>
        <v>7.7579999999999992E-6</v>
      </c>
      <c r="W545" s="379" t="str">
        <f>VLOOKUP(A545,'Parameters Summary'!$B$2:$AB$826,17,FALSE)</f>
        <v>WATER9 (U.S. EPA, 2001)</v>
      </c>
      <c r="X545" s="290">
        <v>479.15</v>
      </c>
      <c r="Y545" s="96" t="s">
        <v>553</v>
      </c>
      <c r="Z545" s="96" t="s">
        <v>1653</v>
      </c>
      <c r="AA545" s="96"/>
      <c r="AB545" s="96" t="s">
        <v>1651</v>
      </c>
      <c r="AC545" s="96"/>
      <c r="AD545" s="93">
        <f>VLOOKUP(A545,'Parameters Summary'!$B$2:$AB$826,20,FALSE)</f>
        <v>275.39999999999998</v>
      </c>
      <c r="AE545" s="97" t="str">
        <f>VLOOKUP(A545,'Parameters Summary'!$B$2:$AB$826,21,FALSE)</f>
        <v>EPI</v>
      </c>
      <c r="AF545" s="97"/>
      <c r="AG545" s="94"/>
      <c r="AH545" s="92"/>
      <c r="AI545" s="96"/>
      <c r="AJ545" s="330"/>
      <c r="AL545" s="81"/>
    </row>
    <row r="546" spans="1:38" ht="12.75" customHeight="1">
      <c r="A546" s="96" t="s">
        <v>131</v>
      </c>
      <c r="B546" s="96" t="s">
        <v>1268</v>
      </c>
      <c r="C546" s="96" t="str">
        <f t="shared" si="54"/>
        <v>No</v>
      </c>
      <c r="D546" s="96" t="str">
        <f>VLOOKUP(A546,'Tox Summary'!$O$3:$R$824,3,FALSE)</f>
        <v>No</v>
      </c>
      <c r="E546" s="97">
        <f>VLOOKUP(A546,'Parameters Summary'!$B$2:$AB$826,4,FALSE)</f>
        <v>198.23</v>
      </c>
      <c r="F546" s="97" t="str">
        <f>VLOOKUP(A546,'Parameters Summary'!$B$2:$AB$826,5,FALSE)</f>
        <v>PHYSPROP</v>
      </c>
      <c r="G546" s="93">
        <f>VLOOKUP(A546,'Parameters Summary'!$B$2:$AB$826,9,FALSE)</f>
        <v>0.1</v>
      </c>
      <c r="H546" s="93" t="str">
        <f>VLOOKUP(A546,'Parameters Summary'!$B$2:$AB$826,10,FALSE)</f>
        <v>PHYSPROP</v>
      </c>
      <c r="I546" s="93">
        <f>VLOOKUP(A546,'Parameters Summary'!$B$2:$AB$826,24,FALSE)</f>
        <v>35</v>
      </c>
      <c r="J546" s="97" t="str">
        <f>VLOOKUP(A546,'Parameters Summary'!$B$2:$AB$826,25,FALSE)</f>
        <v>PHYSPROP</v>
      </c>
      <c r="K546" s="97" t="str">
        <f>VLOOKUP(A546,'Tox Summary'!$O$3:$S$827,2,FALSE)</f>
        <v/>
      </c>
      <c r="L546" s="93">
        <f>VLOOKUP(A546,'Parameters Summary'!$B$2:$AB$826,7,FALSE)</f>
        <v>1.2100000000000001E-6</v>
      </c>
      <c r="M546" s="93" t="str">
        <f>VLOOKUP(A546,'Parameters Summary'!$B$2:$AB$826,8,FALSE)</f>
        <v>PHYSPROP</v>
      </c>
      <c r="N546" s="91">
        <f>VLOOKUP(A546,'Parameters Summary'!$B$2:$AB$826,6,FALSE)</f>
        <v>4.9499999999999997E-5</v>
      </c>
      <c r="O546" s="91" t="str">
        <f t="shared" si="52"/>
        <v/>
      </c>
      <c r="P546" s="91">
        <f t="shared" si="55"/>
        <v>4.9499999999999997E-5</v>
      </c>
      <c r="Q546" s="91" t="str">
        <f t="shared" si="53"/>
        <v/>
      </c>
      <c r="R546" s="91">
        <f t="shared" si="56"/>
        <v>4.9499999999999997E-5</v>
      </c>
      <c r="S546" s="91" t="str">
        <f t="shared" si="57"/>
        <v/>
      </c>
      <c r="T546" s="93">
        <f>VLOOKUP(A546,'Parameters Summary'!$B$2:$AB$826,15,FALSE)</f>
        <v>5.5886600000000002E-2</v>
      </c>
      <c r="U546" s="93" t="str">
        <f>VLOOKUP(A546,'Parameters Summary'!$B$2:$AB$826,17,FALSE)</f>
        <v>WATER9 (U.S. EPA, 2001)</v>
      </c>
      <c r="V546" s="93">
        <f>VLOOKUP(A546,'Parameters Summary'!$B$2:$AB$826,16,FALSE)</f>
        <v>6.5298999999999999E-6</v>
      </c>
      <c r="W546" s="379" t="str">
        <f>VLOOKUP(A546,'Parameters Summary'!$B$2:$AB$826,17,FALSE)</f>
        <v>WATER9 (U.S. EPA, 2001)</v>
      </c>
      <c r="X546" s="347"/>
      <c r="Y546" s="96"/>
      <c r="Z546" s="96" t="s">
        <v>1653</v>
      </c>
      <c r="AA546" s="96"/>
      <c r="AB546" s="96" t="s">
        <v>1651</v>
      </c>
      <c r="AC546" s="96"/>
      <c r="AD546" s="93">
        <f>VLOOKUP(A546,'Parameters Summary'!$B$2:$AB$826,20,FALSE)</f>
        <v>2632</v>
      </c>
      <c r="AE546" s="97" t="str">
        <f>VLOOKUP(A546,'Parameters Summary'!$B$2:$AB$826,21,FALSE)</f>
        <v>EPI</v>
      </c>
      <c r="AF546" s="97"/>
      <c r="AG546" s="94"/>
      <c r="AH546" s="92"/>
      <c r="AI546" s="96"/>
      <c r="AJ546" s="330"/>
      <c r="AL546" s="81"/>
    </row>
    <row r="547" spans="1:38" ht="12.75" customHeight="1">
      <c r="A547" s="95" t="s">
        <v>132</v>
      </c>
      <c r="B547" s="96" t="s">
        <v>1269</v>
      </c>
      <c r="C547" s="96" t="str">
        <f t="shared" si="54"/>
        <v>Yes</v>
      </c>
      <c r="D547" s="96" t="str">
        <f>VLOOKUP(A547,'Tox Summary'!$O$3:$R$824,3,FALSE)</f>
        <v>No</v>
      </c>
      <c r="E547" s="97">
        <f>VLOOKUP(A547,'Parameters Summary'!$B$2:$AB$826,4,FALSE)</f>
        <v>88.11</v>
      </c>
      <c r="F547" s="97" t="str">
        <f>VLOOKUP(A547,'Parameters Summary'!$B$2:$AB$826,5,FALSE)</f>
        <v>PHYSPROP</v>
      </c>
      <c r="G547" s="93">
        <f>VLOOKUP(A547,'Parameters Summary'!$B$2:$AB$826,9,FALSE)</f>
        <v>1.1000000000000001</v>
      </c>
      <c r="H547" s="93" t="str">
        <f>VLOOKUP(A547,'Parameters Summary'!$B$2:$AB$826,10,FALSE)</f>
        <v>PHYSPROP</v>
      </c>
      <c r="I547" s="93">
        <f>VLOOKUP(A547,'Parameters Summary'!$B$2:$AB$826,24,FALSE)</f>
        <v>300000</v>
      </c>
      <c r="J547" s="97" t="str">
        <f>VLOOKUP(A547,'Parameters Summary'!$B$2:$AB$826,25,FALSE)</f>
        <v>PHYSPROP</v>
      </c>
      <c r="K547" s="97" t="str">
        <f>VLOOKUP(A547,'Tox Summary'!$O$3:$S$827,2,FALSE)</f>
        <v/>
      </c>
      <c r="L547" s="93">
        <f>VLOOKUP(A547,'Parameters Summary'!$B$2:$AB$826,7,FALSE)</f>
        <v>1.44E-6</v>
      </c>
      <c r="M547" s="93" t="str">
        <f>VLOOKUP(A547,'Parameters Summary'!$B$2:$AB$826,8,FALSE)</f>
        <v>PHYSPROP</v>
      </c>
      <c r="N547" s="91">
        <f>VLOOKUP(A547,'Parameters Summary'!$B$2:$AB$826,6,FALSE)</f>
        <v>5.8900000000000002E-5</v>
      </c>
      <c r="O547" s="91" t="str">
        <f t="shared" si="52"/>
        <v/>
      </c>
      <c r="P547" s="91">
        <f t="shared" si="55"/>
        <v>5.8900000000000002E-5</v>
      </c>
      <c r="Q547" s="91" t="str">
        <f t="shared" si="53"/>
        <v/>
      </c>
      <c r="R547" s="91">
        <f t="shared" si="56"/>
        <v>5.8900000000000002E-5</v>
      </c>
      <c r="S547" s="91" t="str">
        <f t="shared" si="57"/>
        <v/>
      </c>
      <c r="T547" s="93">
        <f>VLOOKUP(A547,'Parameters Summary'!$B$2:$AB$826,15,FALSE)</f>
        <v>8.4054699999999996E-2</v>
      </c>
      <c r="U547" s="93" t="str">
        <f>VLOOKUP(A547,'Parameters Summary'!$B$2:$AB$826,17,FALSE)</f>
        <v>WATER9 (U.S. EPA, 2001)</v>
      </c>
      <c r="V547" s="93">
        <f>VLOOKUP(A547,'Parameters Summary'!$B$2:$AB$826,16,FALSE)</f>
        <v>9.9876000000000007E-6</v>
      </c>
      <c r="W547" s="379" t="str">
        <f>VLOOKUP(A547,'Parameters Summary'!$B$2:$AB$826,17,FALSE)</f>
        <v>WATER9 (U.S. EPA, 2001)</v>
      </c>
      <c r="X547" s="290">
        <f>170+273.15</f>
        <v>443.15</v>
      </c>
      <c r="Y547" s="96" t="s">
        <v>553</v>
      </c>
      <c r="Z547" s="96">
        <f>1.5*X547</f>
        <v>664.72499999999991</v>
      </c>
      <c r="AA547" s="96" t="s">
        <v>2220</v>
      </c>
      <c r="AB547" s="96" t="s">
        <v>1651</v>
      </c>
      <c r="AC547" s="96"/>
      <c r="AD547" s="93">
        <f>VLOOKUP(A547,'Parameters Summary'!$B$2:$AB$826,20,FALSE)</f>
        <v>43.47</v>
      </c>
      <c r="AE547" s="97" t="str">
        <f>VLOOKUP(A547,'Parameters Summary'!$B$2:$AB$826,21,FALSE)</f>
        <v>EPI</v>
      </c>
      <c r="AF547" s="380"/>
      <c r="AG547" s="97"/>
      <c r="AH547" s="92"/>
      <c r="AI547" s="96"/>
      <c r="AJ547" s="330"/>
      <c r="AL547" s="81"/>
    </row>
    <row r="548" spans="1:38" ht="12.75" customHeight="1">
      <c r="A548" s="96" t="s">
        <v>133</v>
      </c>
      <c r="B548" s="96" t="s">
        <v>606</v>
      </c>
      <c r="C548" s="96" t="str">
        <f t="shared" si="54"/>
        <v>No</v>
      </c>
      <c r="D548" s="96" t="str">
        <f>VLOOKUP(A548,'Tox Summary'!$O$3:$R$824,3,FALSE)</f>
        <v>No</v>
      </c>
      <c r="E548" s="97">
        <f>VLOOKUP(A548,'Parameters Summary'!$B$2:$AB$826,4,FALSE)</f>
        <v>116.12</v>
      </c>
      <c r="F548" s="97" t="str">
        <f>VLOOKUP(A548,'Parameters Summary'!$B$2:$AB$826,5,FALSE)</f>
        <v>PHYSPROP</v>
      </c>
      <c r="G548" s="93">
        <f>VLOOKUP(A548,'Parameters Summary'!$B$2:$AB$826,9,FALSE)</f>
        <v>3.5999999999999997E-2</v>
      </c>
      <c r="H548" s="93" t="str">
        <f>VLOOKUP(A548,'Parameters Summary'!$B$2:$AB$826,10,FALSE)</f>
        <v>PHYSPROP</v>
      </c>
      <c r="I548" s="93">
        <f>VLOOKUP(A548,'Parameters Summary'!$B$2:$AB$826,24,FALSE)</f>
        <v>1000000</v>
      </c>
      <c r="J548" s="97" t="str">
        <f>VLOOKUP(A548,'Parameters Summary'!$B$2:$AB$826,25,FALSE)</f>
        <v>PHYSPROP</v>
      </c>
      <c r="K548" s="97" t="str">
        <f>VLOOKUP(A548,'Tox Summary'!$O$3:$S$827,2,FALSE)</f>
        <v/>
      </c>
      <c r="L548" s="93">
        <f>VLOOKUP(A548,'Parameters Summary'!$B$2:$AB$826,7,FALSE)</f>
        <v>2.4500000000000001E-8</v>
      </c>
      <c r="M548" s="93" t="str">
        <f>VLOOKUP(A548,'Parameters Summary'!$B$2:$AB$826,8,FALSE)</f>
        <v>PHYSPROP</v>
      </c>
      <c r="N548" s="91">
        <f>VLOOKUP(A548,'Parameters Summary'!$B$2:$AB$826,6,FALSE)</f>
        <v>1.0016000000000001E-6</v>
      </c>
      <c r="O548" s="91" t="str">
        <f t="shared" si="52"/>
        <v/>
      </c>
      <c r="P548" s="91">
        <f t="shared" si="55"/>
        <v>1.0016000000000001E-6</v>
      </c>
      <c r="Q548" s="91" t="str">
        <f t="shared" si="53"/>
        <v/>
      </c>
      <c r="R548" s="91">
        <f t="shared" si="56"/>
        <v>1.0016000000000001E-6</v>
      </c>
      <c r="S548" s="91" t="str">
        <f t="shared" si="57"/>
        <v/>
      </c>
      <c r="T548" s="93">
        <f>VLOOKUP(A548,'Parameters Summary'!$B$2:$AB$826,15,FALSE)</f>
        <v>7.9826800000000003E-2</v>
      </c>
      <c r="U548" s="93" t="str">
        <f>VLOOKUP(A548,'Parameters Summary'!$B$2:$AB$826,17,FALSE)</f>
        <v>WATER9 (U.S. EPA, 2001)</v>
      </c>
      <c r="V548" s="93">
        <f>VLOOKUP(A548,'Parameters Summary'!$B$2:$AB$826,16,FALSE)</f>
        <v>9.3270999999999992E-6</v>
      </c>
      <c r="W548" s="379" t="str">
        <f>VLOOKUP(A548,'Parameters Summary'!$B$2:$AB$826,17,FALSE)</f>
        <v>WATER9 (U.S. EPA, 2001)</v>
      </c>
      <c r="X548" s="290">
        <v>498.15</v>
      </c>
      <c r="Y548" s="96" t="s">
        <v>553</v>
      </c>
      <c r="Z548" s="96" t="s">
        <v>1653</v>
      </c>
      <c r="AA548" s="96"/>
      <c r="AB548" s="96" t="s">
        <v>1651</v>
      </c>
      <c r="AC548" s="96"/>
      <c r="AD548" s="93">
        <f>VLOOKUP(A548,'Parameters Summary'!$B$2:$AB$826,20,FALSE)</f>
        <v>22.51</v>
      </c>
      <c r="AE548" s="97" t="str">
        <f>VLOOKUP(A548,'Parameters Summary'!$B$2:$AB$826,21,FALSE)</f>
        <v>EPI</v>
      </c>
      <c r="AF548" s="97"/>
      <c r="AG548" s="94"/>
      <c r="AH548" s="92"/>
      <c r="AI548" s="96"/>
      <c r="AJ548" s="330"/>
      <c r="AL548" s="81"/>
    </row>
    <row r="549" spans="1:38" ht="12.75" customHeight="1">
      <c r="A549" s="96" t="s">
        <v>124</v>
      </c>
      <c r="B549" s="96" t="s">
        <v>1264</v>
      </c>
      <c r="C549" s="96" t="str">
        <f t="shared" si="54"/>
        <v>No</v>
      </c>
      <c r="D549" s="96" t="str">
        <f>VLOOKUP(A549,'Tox Summary'!$O$3:$R$824,3,FALSE)</f>
        <v>Yes</v>
      </c>
      <c r="E549" s="97">
        <f>VLOOKUP(A549,'Parameters Summary'!$B$2:$AB$826,4,FALSE)</f>
        <v>117.11</v>
      </c>
      <c r="F549" s="97" t="str">
        <f>VLOOKUP(A549,'Parameters Summary'!$B$2:$AB$826,5,FALSE)</f>
        <v>PHYSPROP</v>
      </c>
      <c r="G549" s="93">
        <f>VLOOKUP(A549,'Parameters Summary'!$B$2:$AB$826,9,FALSE)</f>
        <v>1.83E-2</v>
      </c>
      <c r="H549" s="93" t="str">
        <f>VLOOKUP(A549,'Parameters Summary'!$B$2:$AB$826,10,FALSE)</f>
        <v>PHYSPROP</v>
      </c>
      <c r="I549" s="93">
        <f>VLOOKUP(A549,'Parameters Summary'!$B$2:$AB$826,24,FALSE)</f>
        <v>13000</v>
      </c>
      <c r="J549" s="97" t="str">
        <f>VLOOKUP(A549,'Parameters Summary'!$B$2:$AB$826,25,FALSE)</f>
        <v>PHYSPROP</v>
      </c>
      <c r="K549" s="97" t="str">
        <f>VLOOKUP(A549,'Tox Summary'!$O$3:$S$827,2,FALSE)</f>
        <v/>
      </c>
      <c r="L549" s="93">
        <f>VLOOKUP(A549,'Parameters Summary'!$B$2:$AB$826,7,FALSE)</f>
        <v>1.3200000000000001E-10</v>
      </c>
      <c r="M549" s="93" t="str">
        <f>VLOOKUP(A549,'Parameters Summary'!$B$2:$AB$826,8,FALSE)</f>
        <v>PHYSPROP</v>
      </c>
      <c r="N549" s="91">
        <f>VLOOKUP(A549,'Parameters Summary'!$B$2:$AB$826,6,FALSE)</f>
        <v>5.3966000000000002E-9</v>
      </c>
      <c r="O549" s="91" t="str">
        <f t="shared" si="52"/>
        <v/>
      </c>
      <c r="P549" s="91">
        <f t="shared" si="55"/>
        <v>5.3966000000000002E-9</v>
      </c>
      <c r="Q549" s="91" t="str">
        <f t="shared" si="53"/>
        <v/>
      </c>
      <c r="R549" s="91">
        <f t="shared" si="56"/>
        <v>5.3966000000000002E-9</v>
      </c>
      <c r="S549" s="91" t="str">
        <f t="shared" si="57"/>
        <v/>
      </c>
      <c r="T549" s="93">
        <f>VLOOKUP(A549,'Parameters Summary'!$B$2:$AB$826,15,FALSE)</f>
        <v>7.9376299999999997E-2</v>
      </c>
      <c r="U549" s="93" t="str">
        <f>VLOOKUP(A549,'Parameters Summary'!$B$2:$AB$826,17,FALSE)</f>
        <v>WATER9 (U.S. EPA, 2001)</v>
      </c>
      <c r="V549" s="93">
        <f>VLOOKUP(A549,'Parameters Summary'!$B$2:$AB$826,16,FALSE)</f>
        <v>9.2745000000000007E-6</v>
      </c>
      <c r="W549" s="379" t="str">
        <f>VLOOKUP(A549,'Parameters Summary'!$B$2:$AB$826,17,FALSE)</f>
        <v>WATER9 (U.S. EPA, 2001)</v>
      </c>
      <c r="X549" s="347"/>
      <c r="Y549" s="96"/>
      <c r="Z549" s="96" t="s">
        <v>1653</v>
      </c>
      <c r="AA549" s="96"/>
      <c r="AB549" s="96" t="s">
        <v>1651</v>
      </c>
      <c r="AC549" s="96"/>
      <c r="AD549" s="93">
        <f>VLOOKUP(A549,'Parameters Summary'!$B$2:$AB$826,20,FALSE)</f>
        <v>20.98</v>
      </c>
      <c r="AE549" s="97" t="str">
        <f>VLOOKUP(A549,'Parameters Summary'!$B$2:$AB$826,21,FALSE)</f>
        <v>EPI</v>
      </c>
      <c r="AF549" s="97"/>
      <c r="AG549" s="94"/>
      <c r="AH549" s="92"/>
      <c r="AI549" s="96"/>
      <c r="AJ549" s="330"/>
      <c r="AL549" s="81"/>
    </row>
    <row r="550" spans="1:38" ht="12.75" customHeight="1">
      <c r="A550" s="96" t="s">
        <v>125</v>
      </c>
      <c r="B550" s="96" t="s">
        <v>605</v>
      </c>
      <c r="C550" s="96" t="str">
        <f t="shared" si="54"/>
        <v>No</v>
      </c>
      <c r="D550" s="96" t="str">
        <f>VLOOKUP(A550,'Tox Summary'!$O$3:$R$824,3,FALSE)</f>
        <v>Yes</v>
      </c>
      <c r="E550" s="97">
        <f>VLOOKUP(A550,'Parameters Summary'!$B$2:$AB$826,4,FALSE)</f>
        <v>103.08</v>
      </c>
      <c r="F550" s="97" t="str">
        <f>VLOOKUP(A550,'Parameters Summary'!$B$2:$AB$826,5,FALSE)</f>
        <v>PHYSPROP</v>
      </c>
      <c r="G550" s="93">
        <f>VLOOKUP(A550,'Parameters Summary'!$B$2:$AB$826,9,FALSE)</f>
        <v>2.93E-2</v>
      </c>
      <c r="H550" s="93" t="str">
        <f>VLOOKUP(A550,'Parameters Summary'!$B$2:$AB$826,10,FALSE)</f>
        <v>PHYSPROP</v>
      </c>
      <c r="I550" s="93">
        <f>VLOOKUP(A550,'Parameters Summary'!$B$2:$AB$826,24,FALSE)</f>
        <v>14400</v>
      </c>
      <c r="J550" s="97" t="str">
        <f>VLOOKUP(A550,'Parameters Summary'!$B$2:$AB$826,25,FALSE)</f>
        <v>PHYSPROP</v>
      </c>
      <c r="K550" s="97" t="str">
        <f>VLOOKUP(A550,'Tox Summary'!$O$3:$S$827,2,FALSE)</f>
        <v/>
      </c>
      <c r="L550" s="93">
        <f>VLOOKUP(A550,'Parameters Summary'!$B$2:$AB$826,7,FALSE)</f>
        <v>9.9099999999999999E-11</v>
      </c>
      <c r="M550" s="93" t="str">
        <f>VLOOKUP(A550,'Parameters Summary'!$B$2:$AB$826,8,FALSE)</f>
        <v>PHYSPROP</v>
      </c>
      <c r="N550" s="91">
        <f>VLOOKUP(A550,'Parameters Summary'!$B$2:$AB$826,6,FALSE)</f>
        <v>4.0514999999999999E-9</v>
      </c>
      <c r="O550" s="91" t="str">
        <f t="shared" si="52"/>
        <v/>
      </c>
      <c r="P550" s="91">
        <f t="shared" si="55"/>
        <v>4.0514999999999999E-9</v>
      </c>
      <c r="Q550" s="91" t="str">
        <f t="shared" si="53"/>
        <v/>
      </c>
      <c r="R550" s="91">
        <f t="shared" si="56"/>
        <v>4.0514999999999999E-9</v>
      </c>
      <c r="S550" s="91" t="str">
        <f t="shared" si="57"/>
        <v/>
      </c>
      <c r="T550" s="93">
        <f>VLOOKUP(A550,'Parameters Summary'!$B$2:$AB$826,15,FALSE)</f>
        <v>8.6424600000000004E-2</v>
      </c>
      <c r="U550" s="93" t="str">
        <f>VLOOKUP(A550,'Parameters Summary'!$B$2:$AB$826,17,FALSE)</f>
        <v>WATER9 (U.S. EPA, 2001)</v>
      </c>
      <c r="V550" s="93">
        <f>VLOOKUP(A550,'Parameters Summary'!$B$2:$AB$826,16,FALSE)</f>
        <v>1.01E-5</v>
      </c>
      <c r="W550" s="379" t="str">
        <f>VLOOKUP(A550,'Parameters Summary'!$B$2:$AB$826,17,FALSE)</f>
        <v>WATER9 (U.S. EPA, 2001)</v>
      </c>
      <c r="X550" s="347"/>
      <c r="Y550" s="96"/>
      <c r="Z550" s="96" t="s">
        <v>1653</v>
      </c>
      <c r="AA550" s="96"/>
      <c r="AB550" s="96" t="s">
        <v>1651</v>
      </c>
      <c r="AC550" s="96"/>
      <c r="AD550" s="93">
        <f>VLOOKUP(A550,'Parameters Summary'!$B$2:$AB$826,20,FALSE)</f>
        <v>11</v>
      </c>
      <c r="AE550" s="97" t="str">
        <f>VLOOKUP(A550,'Parameters Summary'!$B$2:$AB$826,21,FALSE)</f>
        <v>EPI</v>
      </c>
      <c r="AF550" s="97"/>
      <c r="AG550" s="94"/>
      <c r="AH550" s="92"/>
      <c r="AI550" s="96"/>
      <c r="AJ550" s="330"/>
      <c r="AL550" s="81"/>
    </row>
    <row r="551" spans="1:38" ht="12.75" customHeight="1">
      <c r="A551" s="96" t="s">
        <v>134</v>
      </c>
      <c r="B551" s="96" t="s">
        <v>607</v>
      </c>
      <c r="C551" s="96" t="str">
        <f t="shared" si="54"/>
        <v>No</v>
      </c>
      <c r="D551" s="96" t="str">
        <f>VLOOKUP(A551,'Tox Summary'!$O$3:$R$824,3,FALSE)</f>
        <v>No</v>
      </c>
      <c r="E551" s="97">
        <f>VLOOKUP(A551,'Parameters Summary'!$B$2:$AB$826,4,FALSE)</f>
        <v>114.15</v>
      </c>
      <c r="F551" s="97" t="str">
        <f>VLOOKUP(A551,'Parameters Summary'!$B$2:$AB$826,5,FALSE)</f>
        <v>PHYSPROP</v>
      </c>
      <c r="G551" s="93">
        <f>VLOOKUP(A551,'Parameters Summary'!$B$2:$AB$826,9,FALSE)</f>
        <v>9.1999999999999998E-2</v>
      </c>
      <c r="H551" s="93" t="str">
        <f>VLOOKUP(A551,'Parameters Summary'!$B$2:$AB$826,10,FALSE)</f>
        <v>PHYSPROP</v>
      </c>
      <c r="I551" s="93">
        <f>VLOOKUP(A551,'Parameters Summary'!$B$2:$AB$826,24,FALSE)</f>
        <v>76500</v>
      </c>
      <c r="J551" s="97" t="str">
        <f>VLOOKUP(A551,'Parameters Summary'!$B$2:$AB$826,25,FALSE)</f>
        <v>PHYSPROP</v>
      </c>
      <c r="K551" s="97" t="str">
        <f>VLOOKUP(A551,'Tox Summary'!$O$3:$S$827,2,FALSE)</f>
        <v/>
      </c>
      <c r="L551" s="93">
        <f>VLOOKUP(A551,'Parameters Summary'!$B$2:$AB$826,7,FALSE)</f>
        <v>8.4399999999999999E-7</v>
      </c>
      <c r="M551" s="93" t="str">
        <f>VLOOKUP(A551,'Parameters Summary'!$B$2:$AB$826,8,FALSE)</f>
        <v>PHYSPROP</v>
      </c>
      <c r="N551" s="91">
        <f>VLOOKUP(A551,'Parameters Summary'!$B$2:$AB$826,6,FALSE)</f>
        <v>3.4499999999999998E-5</v>
      </c>
      <c r="O551" s="91" t="str">
        <f t="shared" si="52"/>
        <v/>
      </c>
      <c r="P551" s="91">
        <f t="shared" si="55"/>
        <v>3.4499999999999998E-5</v>
      </c>
      <c r="Q551" s="91" t="str">
        <f t="shared" si="53"/>
        <v/>
      </c>
      <c r="R551" s="91">
        <f t="shared" si="56"/>
        <v>3.4499999999999998E-5</v>
      </c>
      <c r="S551" s="91" t="str">
        <f t="shared" si="57"/>
        <v/>
      </c>
      <c r="T551" s="93">
        <f>VLOOKUP(A551,'Parameters Summary'!$B$2:$AB$826,15,FALSE)</f>
        <v>6.9889999999999994E-2</v>
      </c>
      <c r="U551" s="93" t="str">
        <f>VLOOKUP(A551,'Parameters Summary'!$B$2:$AB$826,17,FALSE)</f>
        <v>WATER9 (U.S. EPA, 2001)</v>
      </c>
      <c r="V551" s="93">
        <f>VLOOKUP(A551,'Parameters Summary'!$B$2:$AB$826,16,FALSE)</f>
        <v>9.1776E-6</v>
      </c>
      <c r="W551" s="379" t="str">
        <f>VLOOKUP(A551,'Parameters Summary'!$B$2:$AB$826,17,FALSE)</f>
        <v>WATER9 (U.S. EPA, 2001)</v>
      </c>
      <c r="X551" s="290">
        <v>492.15</v>
      </c>
      <c r="Y551" s="96" t="s">
        <v>553</v>
      </c>
      <c r="Z551" s="96" t="s">
        <v>1653</v>
      </c>
      <c r="AA551" s="96"/>
      <c r="AB551" s="96" t="s">
        <v>1651</v>
      </c>
      <c r="AC551" s="96"/>
      <c r="AD551" s="93">
        <f>VLOOKUP(A551,'Parameters Summary'!$B$2:$AB$826,20,FALSE)</f>
        <v>167.5</v>
      </c>
      <c r="AE551" s="97" t="str">
        <f>VLOOKUP(A551,'Parameters Summary'!$B$2:$AB$826,21,FALSE)</f>
        <v>EPI</v>
      </c>
      <c r="AF551" s="97"/>
      <c r="AG551" s="94"/>
      <c r="AH551" s="92"/>
      <c r="AI551" s="96"/>
      <c r="AJ551" s="330"/>
      <c r="AL551" s="81"/>
    </row>
    <row r="552" spans="1:38" ht="12.75" customHeight="1">
      <c r="A552" s="96" t="s">
        <v>135</v>
      </c>
      <c r="B552" s="96" t="s">
        <v>1270</v>
      </c>
      <c r="C552" s="96" t="str">
        <f t="shared" si="54"/>
        <v>No</v>
      </c>
      <c r="D552" s="96" t="str">
        <f>VLOOKUP(A552,'Tox Summary'!$O$3:$R$824,3,FALSE)</f>
        <v>No</v>
      </c>
      <c r="E552" s="97">
        <f>VLOOKUP(A552,'Parameters Summary'!$B$2:$AB$826,4,FALSE)</f>
        <v>100.12</v>
      </c>
      <c r="F552" s="97" t="str">
        <f>VLOOKUP(A552,'Parameters Summary'!$B$2:$AB$826,5,FALSE)</f>
        <v>PHYSPROP</v>
      </c>
      <c r="G552" s="93">
        <f>VLOOKUP(A552,'Parameters Summary'!$B$2:$AB$826,9,FALSE)</f>
        <v>0.06</v>
      </c>
      <c r="H552" s="93" t="str">
        <f>VLOOKUP(A552,'Parameters Summary'!$B$2:$AB$826,10,FALSE)</f>
        <v>PHYSPROP</v>
      </c>
      <c r="I552" s="93">
        <f>VLOOKUP(A552,'Parameters Summary'!$B$2:$AB$826,24,FALSE)</f>
        <v>1000000</v>
      </c>
      <c r="J552" s="97" t="str">
        <f>VLOOKUP(A552,'Parameters Summary'!$B$2:$AB$826,25,FALSE)</f>
        <v>PHYSPROP</v>
      </c>
      <c r="K552" s="97" t="str">
        <f>VLOOKUP(A552,'Tox Summary'!$O$3:$S$827,2,FALSE)</f>
        <v/>
      </c>
      <c r="L552" s="93">
        <f>VLOOKUP(A552,'Parameters Summary'!$B$2:$AB$826,7,FALSE)</f>
        <v>4.8900000000000001E-8</v>
      </c>
      <c r="M552" s="93" t="str">
        <f>VLOOKUP(A552,'Parameters Summary'!$B$2:$AB$826,8,FALSE)</f>
        <v>PHYSPROP</v>
      </c>
      <c r="N552" s="91">
        <f>VLOOKUP(A552,'Parameters Summary'!$B$2:$AB$826,6,FALSE)</f>
        <v>1.9991999999999998E-6</v>
      </c>
      <c r="O552" s="91" t="str">
        <f t="shared" si="52"/>
        <v/>
      </c>
      <c r="P552" s="91">
        <f t="shared" si="55"/>
        <v>1.9991999999999998E-6</v>
      </c>
      <c r="Q552" s="91" t="str">
        <f t="shared" si="53"/>
        <v/>
      </c>
      <c r="R552" s="91">
        <f t="shared" si="56"/>
        <v>1.9991999999999998E-6</v>
      </c>
      <c r="S552" s="91" t="str">
        <f t="shared" si="57"/>
        <v/>
      </c>
      <c r="T552" s="93">
        <f>VLOOKUP(A552,'Parameters Summary'!$B$2:$AB$826,15,FALSE)</f>
        <v>7.9971200000000006E-2</v>
      </c>
      <c r="U552" s="93" t="str">
        <f>VLOOKUP(A552,'Parameters Summary'!$B$2:$AB$826,17,FALSE)</f>
        <v>WATER9 (U.S. EPA, 2001)</v>
      </c>
      <c r="V552" s="93">
        <f>VLOOKUP(A552,'Parameters Summary'!$B$2:$AB$826,16,FALSE)</f>
        <v>1.01E-5</v>
      </c>
      <c r="W552" s="379" t="str">
        <f>VLOOKUP(A552,'Parameters Summary'!$B$2:$AB$826,17,FALSE)</f>
        <v>WATER9 (U.S. EPA, 2001)</v>
      </c>
      <c r="X552" s="290">
        <v>487.15</v>
      </c>
      <c r="Y552" s="96" t="s">
        <v>553</v>
      </c>
      <c r="Z552" s="96" t="s">
        <v>1653</v>
      </c>
      <c r="AA552" s="96"/>
      <c r="AB552" s="96" t="s">
        <v>1651</v>
      </c>
      <c r="AC552" s="96"/>
      <c r="AD552" s="93">
        <f>VLOOKUP(A552,'Parameters Summary'!$B$2:$AB$826,20,FALSE)</f>
        <v>91.91</v>
      </c>
      <c r="AE552" s="97" t="str">
        <f>VLOOKUP(A552,'Parameters Summary'!$B$2:$AB$826,21,FALSE)</f>
        <v>EPI</v>
      </c>
      <c r="AF552" s="97"/>
      <c r="AG552" s="94"/>
      <c r="AH552" s="92"/>
      <c r="AI552" s="96"/>
      <c r="AJ552" s="330"/>
      <c r="AL552" s="81"/>
    </row>
    <row r="553" spans="1:38" ht="12.75" customHeight="1">
      <c r="A553" s="96" t="s">
        <v>136</v>
      </c>
      <c r="B553" s="96" t="s">
        <v>538</v>
      </c>
      <c r="C553" s="96" t="str">
        <f t="shared" si="54"/>
        <v>No</v>
      </c>
      <c r="D553" s="96" t="str">
        <f>VLOOKUP(A553,'Tox Summary'!$O$3:$R$824,3,FALSE)</f>
        <v>No</v>
      </c>
      <c r="E553" s="97">
        <f>VLOOKUP(A553,'Parameters Summary'!$B$2:$AB$826,4,FALSE)</f>
        <v>137.13999999999999</v>
      </c>
      <c r="F553" s="97" t="str">
        <f>VLOOKUP(A553,'Parameters Summary'!$B$2:$AB$826,5,FALSE)</f>
        <v>PHYSPROP</v>
      </c>
      <c r="G553" s="93">
        <f>VLOOKUP(A553,'Parameters Summary'!$B$2:$AB$826,9,FALSE)</f>
        <v>0.20499999999999999</v>
      </c>
      <c r="H553" s="93" t="str">
        <f>VLOOKUP(A553,'Parameters Summary'!$B$2:$AB$826,10,FALSE)</f>
        <v>EPI</v>
      </c>
      <c r="I553" s="93">
        <f>VLOOKUP(A553,'Parameters Summary'!$B$2:$AB$826,24,FALSE)</f>
        <v>500</v>
      </c>
      <c r="J553" s="97" t="str">
        <f>VLOOKUP(A553,'Parameters Summary'!$B$2:$AB$826,25,FALSE)</f>
        <v>PHYSPROP</v>
      </c>
      <c r="K553" s="97" t="str">
        <f>VLOOKUP(A553,'Tox Summary'!$O$3:$S$827,2,FALSE)</f>
        <v/>
      </c>
      <c r="L553" s="93">
        <f>VLOOKUP(A553,'Parameters Summary'!$B$2:$AB$826,7,FALSE)</f>
        <v>9.3000000000000007E-6</v>
      </c>
      <c r="M553" s="93" t="str">
        <f>VLOOKUP(A553,'Parameters Summary'!$B$2:$AB$826,8,FALSE)</f>
        <v>PHYSPROP</v>
      </c>
      <c r="N553" s="91">
        <f>VLOOKUP(A553,'Parameters Summary'!$B$2:$AB$826,6,FALSE)</f>
        <v>3.8020000000000003E-4</v>
      </c>
      <c r="O553" s="91" t="str">
        <f t="shared" si="52"/>
        <v/>
      </c>
      <c r="P553" s="91">
        <f t="shared" si="55"/>
        <v>3.8020000000000003E-4</v>
      </c>
      <c r="Q553" s="91" t="str">
        <f t="shared" si="53"/>
        <v/>
      </c>
      <c r="R553" s="91">
        <f t="shared" si="56"/>
        <v>3.8020000000000003E-4</v>
      </c>
      <c r="S553" s="91" t="str">
        <f t="shared" si="57"/>
        <v/>
      </c>
      <c r="T553" s="93">
        <f>VLOOKUP(A553,'Parameters Summary'!$B$2:$AB$826,15,FALSE)</f>
        <v>5.8686000000000002E-2</v>
      </c>
      <c r="U553" s="93" t="str">
        <f>VLOOKUP(A553,'Parameters Summary'!$B$2:$AB$826,17,FALSE)</f>
        <v>WATER9 (U.S. EPA, 2001)</v>
      </c>
      <c r="V553" s="93">
        <f>VLOOKUP(A553,'Parameters Summary'!$B$2:$AB$826,16,FALSE)</f>
        <v>8.6541000000000007E-6</v>
      </c>
      <c r="W553" s="379" t="str">
        <f>VLOOKUP(A553,'Parameters Summary'!$B$2:$AB$826,17,FALSE)</f>
        <v>WATER9 (U.S. EPA, 2001)</v>
      </c>
      <c r="X553" s="290">
        <v>505.15</v>
      </c>
      <c r="Y553" s="96" t="s">
        <v>553</v>
      </c>
      <c r="Z553" s="96" t="s">
        <v>1653</v>
      </c>
      <c r="AA553" s="96"/>
      <c r="AB553" s="96" t="s">
        <v>1651</v>
      </c>
      <c r="AC553" s="96"/>
      <c r="AD553" s="93">
        <f>VLOOKUP(A553,'Parameters Summary'!$B$2:$AB$826,20,FALSE)</f>
        <v>363.2</v>
      </c>
      <c r="AE553" s="97" t="str">
        <f>VLOOKUP(A553,'Parameters Summary'!$B$2:$AB$826,21,FALSE)</f>
        <v>EPI</v>
      </c>
      <c r="AF553" s="97"/>
      <c r="AG553" s="94"/>
      <c r="AH553" s="92"/>
      <c r="AI553" s="96"/>
      <c r="AJ553" s="330"/>
      <c r="AL553" s="81"/>
    </row>
    <row r="554" spans="1:38" ht="12.75" customHeight="1">
      <c r="A554" s="95" t="s">
        <v>137</v>
      </c>
      <c r="B554" s="96" t="s">
        <v>1271</v>
      </c>
      <c r="C554" s="96" t="str">
        <f t="shared" si="54"/>
        <v>Yes</v>
      </c>
      <c r="D554" s="96" t="str">
        <f>VLOOKUP(A554,'Tox Summary'!$O$3:$R$824,3,FALSE)</f>
        <v>No</v>
      </c>
      <c r="E554" s="97">
        <f>VLOOKUP(A554,'Parameters Summary'!$B$2:$AB$826,4,FALSE)</f>
        <v>137.13999999999999</v>
      </c>
      <c r="F554" s="97" t="str">
        <f>VLOOKUP(A554,'Parameters Summary'!$B$2:$AB$826,5,FALSE)</f>
        <v>PHYSPROP</v>
      </c>
      <c r="G554" s="93">
        <f>VLOOKUP(A554,'Parameters Summary'!$B$2:$AB$826,9,FALSE)</f>
        <v>0.188</v>
      </c>
      <c r="H554" s="93" t="str">
        <f>VLOOKUP(A554,'Parameters Summary'!$B$2:$AB$826,10,FALSE)</f>
        <v>EPI</v>
      </c>
      <c r="I554" s="93">
        <f>VLOOKUP(A554,'Parameters Summary'!$B$2:$AB$826,24,FALSE)</f>
        <v>650</v>
      </c>
      <c r="J554" s="97" t="str">
        <f>VLOOKUP(A554,'Parameters Summary'!$B$2:$AB$826,25,FALSE)</f>
        <v>PHYSPROP</v>
      </c>
      <c r="K554" s="97" t="str">
        <f>VLOOKUP(A554,'Tox Summary'!$O$3:$S$827,2,FALSE)</f>
        <v/>
      </c>
      <c r="L554" s="93">
        <f>VLOOKUP(A554,'Parameters Summary'!$B$2:$AB$826,7,FALSE)</f>
        <v>1.2500000000000001E-5</v>
      </c>
      <c r="M554" s="93" t="str">
        <f>VLOOKUP(A554,'Parameters Summary'!$B$2:$AB$826,8,FALSE)</f>
        <v>PHYSPROP</v>
      </c>
      <c r="N554" s="91">
        <f>VLOOKUP(A554,'Parameters Summary'!$B$2:$AB$826,6,FALSE)</f>
        <v>5.1099999999999995E-4</v>
      </c>
      <c r="O554" s="91">
        <f t="shared" si="52"/>
        <v>5.1099999999999995E-4</v>
      </c>
      <c r="P554" s="91">
        <f t="shared" si="55"/>
        <v>5.1099999999999995E-4</v>
      </c>
      <c r="Q554" s="91">
        <f t="shared" si="53"/>
        <v>5.1099999999999995E-4</v>
      </c>
      <c r="R554" s="91">
        <f t="shared" si="56"/>
        <v>5.1099999999999995E-4</v>
      </c>
      <c r="S554" s="91">
        <f t="shared" si="57"/>
        <v>1387315.3303169273</v>
      </c>
      <c r="T554" s="93">
        <f>VLOOKUP(A554,'Parameters Summary'!$B$2:$AB$826,15,FALSE)</f>
        <v>5.87535E-2</v>
      </c>
      <c r="U554" s="93" t="str">
        <f>VLOOKUP(A554,'Parameters Summary'!$B$2:$AB$826,17,FALSE)</f>
        <v>WATER9 (U.S. EPA, 2001)</v>
      </c>
      <c r="V554" s="93">
        <f>VLOOKUP(A554,'Parameters Summary'!$B$2:$AB$826,16,FALSE)</f>
        <v>8.6674999999999996E-6</v>
      </c>
      <c r="W554" s="379" t="str">
        <f>VLOOKUP(A554,'Parameters Summary'!$B$2:$AB$826,17,FALSE)</f>
        <v>WATER9 (U.S. EPA, 2001)</v>
      </c>
      <c r="X554" s="290">
        <v>495</v>
      </c>
      <c r="Y554" s="96" t="s">
        <v>553</v>
      </c>
      <c r="Z554" s="96">
        <v>720</v>
      </c>
      <c r="AA554" s="96" t="s">
        <v>2225</v>
      </c>
      <c r="AB554" s="96">
        <v>12239.1</v>
      </c>
      <c r="AC554" s="96" t="s">
        <v>2215</v>
      </c>
      <c r="AD554" s="93">
        <f>VLOOKUP(A554,'Parameters Summary'!$B$2:$AB$826,20,FALSE)</f>
        <v>370.6</v>
      </c>
      <c r="AE554" s="97" t="str">
        <f>VLOOKUP(A554,'Parameters Summary'!$B$2:$AB$826,21,FALSE)</f>
        <v>EPI</v>
      </c>
      <c r="AF554" s="380">
        <v>2.2000000000000002</v>
      </c>
      <c r="AG554" s="97" t="s">
        <v>302</v>
      </c>
      <c r="AH554" s="92"/>
      <c r="AI554" s="96"/>
      <c r="AJ554" s="330"/>
      <c r="AL554" s="81"/>
    </row>
    <row r="555" spans="1:38" ht="12.75" customHeight="1">
      <c r="A555" s="96" t="s">
        <v>138</v>
      </c>
      <c r="B555" s="96" t="s">
        <v>1272</v>
      </c>
      <c r="C555" s="96" t="str">
        <f t="shared" si="54"/>
        <v>No</v>
      </c>
      <c r="D555" s="96" t="str">
        <f>VLOOKUP(A555,'Tox Summary'!$O$3:$R$824,3,FALSE)</f>
        <v>No</v>
      </c>
      <c r="E555" s="97">
        <f>VLOOKUP(A555,'Parameters Summary'!$B$2:$AB$826,4,FALSE)</f>
        <v>137.13999999999999</v>
      </c>
      <c r="F555" s="97" t="str">
        <f>VLOOKUP(A555,'Parameters Summary'!$B$2:$AB$826,5,FALSE)</f>
        <v>PHYSPROP</v>
      </c>
      <c r="G555" s="93">
        <f>VLOOKUP(A555,'Parameters Summary'!$B$2:$AB$826,9,FALSE)</f>
        <v>1.5699999999999999E-2</v>
      </c>
      <c r="H555" s="93" t="str">
        <f>VLOOKUP(A555,'Parameters Summary'!$B$2:$AB$826,10,FALSE)</f>
        <v>EPI</v>
      </c>
      <c r="I555" s="93">
        <f>VLOOKUP(A555,'Parameters Summary'!$B$2:$AB$826,24,FALSE)</f>
        <v>442</v>
      </c>
      <c r="J555" s="97" t="str">
        <f>VLOOKUP(A555,'Parameters Summary'!$B$2:$AB$826,25,FALSE)</f>
        <v>PHYSPROP</v>
      </c>
      <c r="K555" s="97" t="str">
        <f>VLOOKUP(A555,'Tox Summary'!$O$3:$S$827,2,FALSE)</f>
        <v/>
      </c>
      <c r="L555" s="93">
        <f>VLOOKUP(A555,'Parameters Summary'!$B$2:$AB$826,7,FALSE)</f>
        <v>5.6300000000000003E-6</v>
      </c>
      <c r="M555" s="93" t="str">
        <f>VLOOKUP(A555,'Parameters Summary'!$B$2:$AB$826,8,FALSE)</f>
        <v>PHYSPROP</v>
      </c>
      <c r="N555" s="91">
        <f>VLOOKUP(A555,'Parameters Summary'!$B$2:$AB$826,6,FALSE)</f>
        <v>2.3020000000000001E-4</v>
      </c>
      <c r="O555" s="91" t="str">
        <f t="shared" si="52"/>
        <v/>
      </c>
      <c r="P555" s="91">
        <f t="shared" si="55"/>
        <v>2.3020000000000001E-4</v>
      </c>
      <c r="Q555" s="91" t="str">
        <f t="shared" si="53"/>
        <v/>
      </c>
      <c r="R555" s="91">
        <f t="shared" si="56"/>
        <v>2.3020000000000001E-4</v>
      </c>
      <c r="S555" s="91" t="str">
        <f t="shared" si="57"/>
        <v/>
      </c>
      <c r="T555" s="93">
        <f>VLOOKUP(A555,'Parameters Summary'!$B$2:$AB$826,15,FALSE)</f>
        <v>5.74432E-2</v>
      </c>
      <c r="U555" s="93" t="str">
        <f>VLOOKUP(A555,'Parameters Summary'!$B$2:$AB$826,17,FALSE)</f>
        <v>WATER9 (U.S. EPA, 2001)</v>
      </c>
      <c r="V555" s="93">
        <f>VLOOKUP(A555,'Parameters Summary'!$B$2:$AB$826,16,FALSE)</f>
        <v>8.4083000000000005E-6</v>
      </c>
      <c r="W555" s="379" t="str">
        <f>VLOOKUP(A555,'Parameters Summary'!$B$2:$AB$826,17,FALSE)</f>
        <v>WATER9 (U.S. EPA, 2001)</v>
      </c>
      <c r="X555" s="290">
        <v>511.45</v>
      </c>
      <c r="Y555" s="96" t="s">
        <v>553</v>
      </c>
      <c r="Z555" s="96" t="s">
        <v>1653</v>
      </c>
      <c r="AA555" s="96"/>
      <c r="AB555" s="96" t="s">
        <v>1651</v>
      </c>
      <c r="AC555" s="96"/>
      <c r="AD555" s="93">
        <f>VLOOKUP(A555,'Parameters Summary'!$B$2:$AB$826,20,FALSE)</f>
        <v>363.2</v>
      </c>
      <c r="AE555" s="97" t="str">
        <f>VLOOKUP(A555,'Parameters Summary'!$B$2:$AB$826,21,FALSE)</f>
        <v>EPI</v>
      </c>
      <c r="AF555" s="97"/>
      <c r="AG555" s="94"/>
      <c r="AH555" s="92"/>
      <c r="AI555" s="96"/>
      <c r="AJ555" s="330"/>
      <c r="AL555" s="81"/>
    </row>
    <row r="556" spans="1:38" ht="12.75" customHeight="1">
      <c r="A556" s="95" t="s">
        <v>139</v>
      </c>
      <c r="B556" s="96" t="s">
        <v>608</v>
      </c>
      <c r="C556" s="96" t="str">
        <f t="shared" si="54"/>
        <v>Yes</v>
      </c>
      <c r="D556" s="96" t="str">
        <f>VLOOKUP(A556,'Tox Summary'!$O$3:$R$824,3,FALSE)</f>
        <v>No</v>
      </c>
      <c r="E556" s="97">
        <f>VLOOKUP(A556,'Parameters Summary'!$B$2:$AB$826,4,FALSE)</f>
        <v>128.26</v>
      </c>
      <c r="F556" s="97" t="str">
        <f>VLOOKUP(A556,'Parameters Summary'!$B$2:$AB$826,5,FALSE)</f>
        <v>PHYSPROP</v>
      </c>
      <c r="G556" s="93">
        <f>VLOOKUP(A556,'Parameters Summary'!$B$2:$AB$826,9,FALSE)</f>
        <v>4.45</v>
      </c>
      <c r="H556" s="93" t="str">
        <f>VLOOKUP(A556,'Parameters Summary'!$B$2:$AB$826,10,FALSE)</f>
        <v>PHYSPROP</v>
      </c>
      <c r="I556" s="93">
        <f>VLOOKUP(A556,'Parameters Summary'!$B$2:$AB$826,24,FALSE)</f>
        <v>0.22</v>
      </c>
      <c r="J556" s="97" t="str">
        <f>VLOOKUP(A556,'Parameters Summary'!$B$2:$AB$826,25,FALSE)</f>
        <v>PHYSPROP</v>
      </c>
      <c r="K556" s="97" t="str">
        <f>VLOOKUP(A556,'Tox Summary'!$O$3:$S$827,2,FALSE)</f>
        <v/>
      </c>
      <c r="L556" s="93">
        <f>VLOOKUP(A556,'Parameters Summary'!$B$2:$AB$826,7,FALSE)</f>
        <v>3.4</v>
      </c>
      <c r="M556" s="93" t="str">
        <f>VLOOKUP(A556,'Parameters Summary'!$B$2:$AB$826,8,FALSE)</f>
        <v>EPI</v>
      </c>
      <c r="N556" s="91">
        <f>VLOOKUP(A556,'Parameters Summary'!$B$2:$AB$826,6,FALSE)</f>
        <v>139.00245000000001</v>
      </c>
      <c r="O556" s="91">
        <f t="shared" si="52"/>
        <v>139.00245000000001</v>
      </c>
      <c r="P556" s="91">
        <f t="shared" si="55"/>
        <v>139.00245000000001</v>
      </c>
      <c r="Q556" s="91">
        <f t="shared" si="53"/>
        <v>139.00245000000001</v>
      </c>
      <c r="R556" s="91">
        <f t="shared" si="56"/>
        <v>139.00245000000001</v>
      </c>
      <c r="S556" s="91">
        <f t="shared" si="57"/>
        <v>30711741.068518985</v>
      </c>
      <c r="T556" s="93">
        <f>VLOOKUP(A556,'Parameters Summary'!$B$2:$AB$826,15,FALSE)</f>
        <v>5.1431999999999999E-2</v>
      </c>
      <c r="U556" s="93" t="str">
        <f>VLOOKUP(A556,'Parameters Summary'!$B$2:$AB$826,17,FALSE)</f>
        <v>WATER9 (U.S. EPA, 2001)</v>
      </c>
      <c r="V556" s="93">
        <f>VLOOKUP(A556,'Parameters Summary'!$B$2:$AB$826,16,FALSE)</f>
        <v>6.7689999999999999E-6</v>
      </c>
      <c r="W556" s="379" t="str">
        <f>VLOOKUP(A556,'Parameters Summary'!$B$2:$AB$826,17,FALSE)</f>
        <v>WATER9 (U.S. EPA, 2001)</v>
      </c>
      <c r="X556" s="290">
        <v>423.8</v>
      </c>
      <c r="Y556" s="96" t="s">
        <v>2217</v>
      </c>
      <c r="Z556" s="96">
        <v>594</v>
      </c>
      <c r="AA556" s="96" t="s">
        <v>2218</v>
      </c>
      <c r="AB556" s="96">
        <v>11082.45</v>
      </c>
      <c r="AC556" s="96" t="s">
        <v>2218</v>
      </c>
      <c r="AD556" s="93">
        <f>VLOOKUP(A556,'Parameters Summary'!$B$2:$AB$826,20,FALSE)</f>
        <v>796</v>
      </c>
      <c r="AE556" s="97" t="str">
        <f>VLOOKUP(A556,'Parameters Summary'!$B$2:$AB$826,21,FALSE)</f>
        <v>EPI</v>
      </c>
      <c r="AF556" s="380"/>
      <c r="AG556" s="97"/>
      <c r="AH556" s="92"/>
      <c r="AI556" s="96"/>
      <c r="AJ556" s="330"/>
      <c r="AL556" s="81"/>
    </row>
    <row r="557" spans="1:38" ht="12.75" customHeight="1">
      <c r="A557" s="96" t="s">
        <v>140</v>
      </c>
      <c r="B557" s="96" t="s">
        <v>1273</v>
      </c>
      <c r="C557" s="96" t="str">
        <f t="shared" si="54"/>
        <v>No</v>
      </c>
      <c r="D557" s="96" t="str">
        <f>VLOOKUP(A557,'Tox Summary'!$O$3:$R$824,3,FALSE)</f>
        <v>No</v>
      </c>
      <c r="E557" s="97">
        <f>VLOOKUP(A557,'Parameters Summary'!$B$2:$AB$826,4,FALSE)</f>
        <v>303.67</v>
      </c>
      <c r="F557" s="97" t="str">
        <f>VLOOKUP(A557,'Parameters Summary'!$B$2:$AB$826,5,FALSE)</f>
        <v>PHYSPROP</v>
      </c>
      <c r="G557" s="93">
        <f>VLOOKUP(A557,'Parameters Summary'!$B$2:$AB$826,9,FALSE)</f>
        <v>2.8900000000000001E-8</v>
      </c>
      <c r="H557" s="93" t="str">
        <f>VLOOKUP(A557,'Parameters Summary'!$B$2:$AB$826,10,FALSE)</f>
        <v>PHYSPROP</v>
      </c>
      <c r="I557" s="93">
        <f>VLOOKUP(A557,'Parameters Summary'!$B$2:$AB$826,24,FALSE)</f>
        <v>33.700000000000003</v>
      </c>
      <c r="J557" s="97" t="str">
        <f>VLOOKUP(A557,'Parameters Summary'!$B$2:$AB$826,25,FALSE)</f>
        <v>PHYSPROP</v>
      </c>
      <c r="K557" s="97" t="str">
        <f>VLOOKUP(A557,'Tox Summary'!$O$3:$S$827,2,FALSE)</f>
        <v/>
      </c>
      <c r="L557" s="93">
        <f>VLOOKUP(A557,'Parameters Summary'!$B$2:$AB$826,7,FALSE)</f>
        <v>3.43E-10</v>
      </c>
      <c r="M557" s="93" t="str">
        <f>VLOOKUP(A557,'Parameters Summary'!$B$2:$AB$826,8,FALSE)</f>
        <v>EPI</v>
      </c>
      <c r="N557" s="91">
        <f>VLOOKUP(A557,'Parameters Summary'!$B$2:$AB$826,6,FALSE)</f>
        <v>1.4022999999999999E-8</v>
      </c>
      <c r="O557" s="91" t="str">
        <f t="shared" si="52"/>
        <v/>
      </c>
      <c r="P557" s="91">
        <f t="shared" si="55"/>
        <v>1.4022999999999999E-8</v>
      </c>
      <c r="Q557" s="91" t="str">
        <f t="shared" si="53"/>
        <v/>
      </c>
      <c r="R557" s="91">
        <f t="shared" si="56"/>
        <v>1.4022999999999999E-8</v>
      </c>
      <c r="S557" s="91" t="str">
        <f t="shared" si="57"/>
        <v/>
      </c>
      <c r="T557" s="93">
        <f>VLOOKUP(A557,'Parameters Summary'!$B$2:$AB$826,15,FALSE)</f>
        <v>4.2055099999999998E-2</v>
      </c>
      <c r="U557" s="93" t="str">
        <f>VLOOKUP(A557,'Parameters Summary'!$B$2:$AB$826,17,FALSE)</f>
        <v>WATER9 (U.S. EPA, 2001)</v>
      </c>
      <c r="V557" s="93">
        <f>VLOOKUP(A557,'Parameters Summary'!$B$2:$AB$826,16,FALSE)</f>
        <v>4.9138000000000003E-6</v>
      </c>
      <c r="W557" s="379" t="str">
        <f>VLOOKUP(A557,'Parameters Summary'!$B$2:$AB$826,17,FALSE)</f>
        <v>WATER9 (U.S. EPA, 2001)</v>
      </c>
      <c r="X557" s="347"/>
      <c r="Y557" s="96"/>
      <c r="Z557" s="96" t="s">
        <v>1653</v>
      </c>
      <c r="AA557" s="96"/>
      <c r="AB557" s="96" t="s">
        <v>1651</v>
      </c>
      <c r="AC557" s="96"/>
      <c r="AD557" s="93">
        <f>VLOOKUP(A557,'Parameters Summary'!$B$2:$AB$826,20,FALSE)</f>
        <v>3118</v>
      </c>
      <c r="AE557" s="97" t="str">
        <f>VLOOKUP(A557,'Parameters Summary'!$B$2:$AB$826,21,FALSE)</f>
        <v>EPI</v>
      </c>
      <c r="AF557" s="97"/>
      <c r="AG557" s="94"/>
      <c r="AH557" s="92"/>
      <c r="AI557" s="96"/>
      <c r="AJ557" s="330"/>
      <c r="AL557" s="81"/>
    </row>
    <row r="558" spans="1:38" ht="12.75" customHeight="1">
      <c r="A558" s="96" t="s">
        <v>142</v>
      </c>
      <c r="B558" s="96" t="s">
        <v>1274</v>
      </c>
      <c r="C558" s="96" t="str">
        <f t="shared" si="54"/>
        <v>No</v>
      </c>
      <c r="D558" s="96" t="str">
        <f>VLOOKUP(A558,'Tox Summary'!$O$3:$R$824,3,FALSE)</f>
        <v>No</v>
      </c>
      <c r="E558" s="97">
        <f>VLOOKUP(A558,'Parameters Summary'!$B$2:$AB$826,4,FALSE)</f>
        <v>801.38</v>
      </c>
      <c r="F558" s="97" t="str">
        <f>VLOOKUP(A558,'Parameters Summary'!$B$2:$AB$826,5,FALSE)</f>
        <v>PHYSPROP</v>
      </c>
      <c r="G558" s="93">
        <f>VLOOKUP(A558,'Parameters Summary'!$B$2:$AB$826,9,FALSE)</f>
        <v>1.2699999999999999E-2</v>
      </c>
      <c r="H558" s="93" t="str">
        <f>VLOOKUP(A558,'Parameters Summary'!$B$2:$AB$826,10,FALSE)</f>
        <v>EPI</v>
      </c>
      <c r="I558" s="93">
        <f>VLOOKUP(A558,'Parameters Summary'!$B$2:$AB$826,24,FALSE)</f>
        <v>1.11E-8</v>
      </c>
      <c r="J558" s="97" t="str">
        <f>VLOOKUP(A558,'Parameters Summary'!$B$2:$AB$826,25,FALSE)</f>
        <v>PHYSPROP</v>
      </c>
      <c r="K558" s="97" t="str">
        <f>VLOOKUP(A558,'Tox Summary'!$O$3:$S$827,2,FALSE)</f>
        <v/>
      </c>
      <c r="L558" s="93">
        <f>VLOOKUP(A558,'Parameters Summary'!$B$2:$AB$826,7,FALSE)</f>
        <v>7.4799999999999995E-8</v>
      </c>
      <c r="M558" s="93" t="str">
        <f>VLOOKUP(A558,'Parameters Summary'!$B$2:$AB$826,8,FALSE)</f>
        <v>PHYSPROP</v>
      </c>
      <c r="N558" s="91">
        <f>VLOOKUP(A558,'Parameters Summary'!$B$2:$AB$826,6,FALSE)</f>
        <v>3.0581E-6</v>
      </c>
      <c r="O558" s="91" t="str">
        <f t="shared" si="52"/>
        <v/>
      </c>
      <c r="P558" s="91">
        <f t="shared" si="55"/>
        <v>3.0581E-6</v>
      </c>
      <c r="Q558" s="91" t="str">
        <f t="shared" si="53"/>
        <v/>
      </c>
      <c r="R558" s="91">
        <f t="shared" si="56"/>
        <v>3.0581E-6</v>
      </c>
      <c r="S558" s="91" t="str">
        <f t="shared" si="57"/>
        <v/>
      </c>
      <c r="T558" s="93">
        <f>VLOOKUP(A558,'Parameters Summary'!$B$2:$AB$826,15,FALSE)</f>
        <v>2.2022199999999999E-2</v>
      </c>
      <c r="U558" s="93" t="str">
        <f>VLOOKUP(A558,'Parameters Summary'!$B$2:$AB$826,17,FALSE)</f>
        <v>WATER9 (U.S. EPA, 2001)</v>
      </c>
      <c r="V558" s="93">
        <f>VLOOKUP(A558,'Parameters Summary'!$B$2:$AB$826,16,FALSE)</f>
        <v>2.5731E-6</v>
      </c>
      <c r="W558" s="379" t="str">
        <f>VLOOKUP(A558,'Parameters Summary'!$B$2:$AB$826,17,FALSE)</f>
        <v>WATER9 (U.S. EPA, 2001)</v>
      </c>
      <c r="X558" s="347"/>
      <c r="Y558" s="96"/>
      <c r="Z558" s="96" t="s">
        <v>1653</v>
      </c>
      <c r="AA558" s="96"/>
      <c r="AB558" s="96" t="s">
        <v>1651</v>
      </c>
      <c r="AC558" s="96"/>
      <c r="AD558" s="93">
        <f>VLOOKUP(A558,'Parameters Summary'!$B$2:$AB$826,20,FALSE)</f>
        <v>98980</v>
      </c>
      <c r="AE558" s="97" t="str">
        <f>VLOOKUP(A558,'Parameters Summary'!$B$2:$AB$826,21,FALSE)</f>
        <v>EPI</v>
      </c>
      <c r="AF558" s="97"/>
      <c r="AG558" s="94"/>
      <c r="AH558" s="92"/>
      <c r="AI558" s="96"/>
      <c r="AJ558" s="330"/>
      <c r="AL558" s="81"/>
    </row>
    <row r="559" spans="1:38" ht="12.75" customHeight="1">
      <c r="A559" s="96" t="s">
        <v>143</v>
      </c>
      <c r="B559" s="96" t="s">
        <v>2047</v>
      </c>
      <c r="C559" s="96" t="str">
        <f t="shared" si="54"/>
        <v>No</v>
      </c>
      <c r="D559" s="96" t="str">
        <f>VLOOKUP(A559,'Tox Summary'!$O$3:$R$824,3,FALSE)</f>
        <v>No</v>
      </c>
      <c r="E559" s="97">
        <f>VLOOKUP(A559,'Parameters Summary'!$B$2:$AB$826,4,FALSE)</f>
        <v>296.16000000000003</v>
      </c>
      <c r="F559" s="97" t="str">
        <f>VLOOKUP(A559,'Parameters Summary'!$B$2:$AB$826,5,FALSE)</f>
        <v>PHYSPROP</v>
      </c>
      <c r="G559" s="93">
        <f>VLOOKUP(A559,'Parameters Summary'!$B$2:$AB$826,9,FALSE)</f>
        <v>3.2999999999999998E-14</v>
      </c>
      <c r="H559" s="93" t="str">
        <f>VLOOKUP(A559,'Parameters Summary'!$B$2:$AB$826,10,FALSE)</f>
        <v>PHYSPROP</v>
      </c>
      <c r="I559" s="93">
        <f>VLOOKUP(A559,'Parameters Summary'!$B$2:$AB$826,24,FALSE)</f>
        <v>5</v>
      </c>
      <c r="J559" s="97" t="str">
        <f>VLOOKUP(A559,'Parameters Summary'!$B$2:$AB$826,25,FALSE)</f>
        <v>PHYSPROP</v>
      </c>
      <c r="K559" s="97" t="str">
        <f>VLOOKUP(A559,'Tox Summary'!$O$3:$S$827,2,FALSE)</f>
        <v/>
      </c>
      <c r="L559" s="93">
        <f>VLOOKUP(A559,'Parameters Summary'!$B$2:$AB$826,7,FALSE)</f>
        <v>8.67E-10</v>
      </c>
      <c r="M559" s="93" t="str">
        <f>VLOOKUP(A559,'Parameters Summary'!$B$2:$AB$826,8,FALSE)</f>
        <v>PHYSPROP</v>
      </c>
      <c r="N559" s="91">
        <f>VLOOKUP(A559,'Parameters Summary'!$B$2:$AB$826,6,FALSE)</f>
        <v>3.5445999999999999E-8</v>
      </c>
      <c r="O559" s="91" t="str">
        <f t="shared" si="52"/>
        <v/>
      </c>
      <c r="P559" s="91">
        <f t="shared" si="55"/>
        <v>3.5445999999999999E-8</v>
      </c>
      <c r="Q559" s="91" t="str">
        <f t="shared" si="53"/>
        <v/>
      </c>
      <c r="R559" s="91">
        <f t="shared" si="56"/>
        <v>3.5445999999999999E-8</v>
      </c>
      <c r="S559" s="91" t="str">
        <f t="shared" si="57"/>
        <v/>
      </c>
      <c r="T559" s="93">
        <f>VLOOKUP(A559,'Parameters Summary'!$B$2:$AB$826,15,FALSE)</f>
        <v>4.2763099999999998E-2</v>
      </c>
      <c r="U559" s="93" t="str">
        <f>VLOOKUP(A559,'Parameters Summary'!$B$2:$AB$826,17,FALSE)</f>
        <v>WATER9 (U.S. EPA, 2001)</v>
      </c>
      <c r="V559" s="93">
        <f>VLOOKUP(A559,'Parameters Summary'!$B$2:$AB$826,16,FALSE)</f>
        <v>4.9965000000000004E-6</v>
      </c>
      <c r="W559" s="379" t="str">
        <f>VLOOKUP(A559,'Parameters Summary'!$B$2:$AB$826,17,FALSE)</f>
        <v>WATER9 (U.S. EPA, 2001)</v>
      </c>
      <c r="X559" s="347"/>
      <c r="Y559" s="96"/>
      <c r="Z559" s="96" t="s">
        <v>1653</v>
      </c>
      <c r="AA559" s="96"/>
      <c r="AB559" s="96" t="s">
        <v>1651</v>
      </c>
      <c r="AC559" s="96"/>
      <c r="AD559" s="93">
        <f>VLOOKUP(A559,'Parameters Summary'!$B$2:$AB$826,20,FALSE)</f>
        <v>531.6</v>
      </c>
      <c r="AE559" s="97" t="str">
        <f>VLOOKUP(A559,'Parameters Summary'!$B$2:$AB$826,21,FALSE)</f>
        <v>EPI</v>
      </c>
      <c r="AF559" s="97"/>
      <c r="AG559" s="94"/>
      <c r="AH559" s="92"/>
      <c r="AI559" s="96"/>
      <c r="AJ559" s="330"/>
      <c r="AL559" s="81"/>
    </row>
    <row r="560" spans="1:38" ht="12.75" customHeight="1">
      <c r="A560" s="96" t="s">
        <v>144</v>
      </c>
      <c r="B560" s="96" t="s">
        <v>1275</v>
      </c>
      <c r="C560" s="96" t="str">
        <f t="shared" si="54"/>
        <v>No</v>
      </c>
      <c r="D560" s="96" t="str">
        <f>VLOOKUP(A560,'Tox Summary'!$O$3:$R$824,3,FALSE)</f>
        <v>No</v>
      </c>
      <c r="E560" s="97">
        <f>VLOOKUP(A560,'Parameters Summary'!$B$2:$AB$826,4,FALSE)</f>
        <v>286.25</v>
      </c>
      <c r="F560" s="97" t="str">
        <f>VLOOKUP(A560,'Parameters Summary'!$B$2:$AB$826,5,FALSE)</f>
        <v>PHYSPROP</v>
      </c>
      <c r="G560" s="93">
        <f>VLOOKUP(A560,'Parameters Summary'!$B$2:$AB$826,9,FALSE)</f>
        <v>1E-3</v>
      </c>
      <c r="H560" s="93" t="str">
        <f>VLOOKUP(A560,'Parameters Summary'!$B$2:$AB$826,10,FALSE)</f>
        <v>PHYSPROP</v>
      </c>
      <c r="I560" s="93">
        <f>VLOOKUP(A560,'Parameters Summary'!$B$2:$AB$826,24,FALSE)</f>
        <v>1000000</v>
      </c>
      <c r="J560" s="97" t="str">
        <f>VLOOKUP(A560,'Parameters Summary'!$B$2:$AB$826,25,FALSE)</f>
        <v>PHYSPROP</v>
      </c>
      <c r="K560" s="97" t="str">
        <f>VLOOKUP(A560,'Tox Summary'!$O$3:$S$827,2,FALSE)</f>
        <v/>
      </c>
      <c r="L560" s="93">
        <f>VLOOKUP(A560,'Parameters Summary'!$B$2:$AB$826,7,FALSE)</f>
        <v>3.767E-10</v>
      </c>
      <c r="M560" s="93" t="str">
        <f>VLOOKUP(A560,'Parameters Summary'!$B$2:$AB$826,8,FALSE)</f>
        <v>PHYSPROP</v>
      </c>
      <c r="N560" s="91">
        <f>VLOOKUP(A560,'Parameters Summary'!$B$2:$AB$826,6,FALSE)</f>
        <v>1.5401E-8</v>
      </c>
      <c r="O560" s="91" t="str">
        <f t="shared" si="52"/>
        <v/>
      </c>
      <c r="P560" s="91">
        <f t="shared" si="55"/>
        <v>1.5401E-8</v>
      </c>
      <c r="Q560" s="91" t="str">
        <f t="shared" si="53"/>
        <v/>
      </c>
      <c r="R560" s="91">
        <f t="shared" si="56"/>
        <v>1.5401E-8</v>
      </c>
      <c r="S560" s="91" t="str">
        <f t="shared" si="57"/>
        <v/>
      </c>
      <c r="T560" s="93">
        <f>VLOOKUP(A560,'Parameters Summary'!$B$2:$AB$826,15,FALSE)</f>
        <v>2.1539900000000001E-2</v>
      </c>
      <c r="U560" s="93" t="str">
        <f>VLOOKUP(A560,'Parameters Summary'!$B$2:$AB$826,17,FALSE)</f>
        <v>WATER9 (U.S. EPA, 2001)</v>
      </c>
      <c r="V560" s="93">
        <f>VLOOKUP(A560,'Parameters Summary'!$B$2:$AB$826,16,FALSE)</f>
        <v>5.3664E-6</v>
      </c>
      <c r="W560" s="379" t="str">
        <f>VLOOKUP(A560,'Parameters Summary'!$B$2:$AB$826,17,FALSE)</f>
        <v>WATER9 (U.S. EPA, 2001)</v>
      </c>
      <c r="X560" s="290">
        <v>427.15</v>
      </c>
      <c r="Y560" s="96" t="s">
        <v>553</v>
      </c>
      <c r="Z560" s="96" t="s">
        <v>1653</v>
      </c>
      <c r="AA560" s="96"/>
      <c r="AB560" s="96" t="s">
        <v>1651</v>
      </c>
      <c r="AC560" s="96"/>
      <c r="AD560" s="93">
        <f>VLOOKUP(A560,'Parameters Summary'!$B$2:$AB$826,20,FALSE)</f>
        <v>20.12</v>
      </c>
      <c r="AE560" s="97" t="str">
        <f>VLOOKUP(A560,'Parameters Summary'!$B$2:$AB$826,21,FALSE)</f>
        <v>EPI</v>
      </c>
      <c r="AF560" s="97"/>
      <c r="AG560" s="94"/>
      <c r="AH560" s="92"/>
      <c r="AI560" s="96"/>
      <c r="AJ560" s="330"/>
      <c r="AL560" s="81"/>
    </row>
    <row r="561" spans="1:38" ht="12.75" customHeight="1">
      <c r="A561" s="96" t="s">
        <v>2001</v>
      </c>
      <c r="B561" s="96" t="s">
        <v>2344</v>
      </c>
      <c r="C561" s="96" t="str">
        <f t="shared" si="54"/>
        <v>No</v>
      </c>
      <c r="D561" s="96" t="str">
        <f>VLOOKUP(A561,'Tox Summary'!$O$3:$R$824,3,FALSE)</f>
        <v>Yes</v>
      </c>
      <c r="E561" s="97">
        <f>VLOOKUP(A561,'Parameters Summary'!$B$2:$AB$826,4,FALSE)</f>
        <v>390.57</v>
      </c>
      <c r="F561" s="97" t="str">
        <f>VLOOKUP(A561,'Parameters Summary'!$B$2:$AB$826,5,FALSE)</f>
        <v>PHYSPROP</v>
      </c>
      <c r="G561" s="93">
        <f>VLOOKUP(A561,'Parameters Summary'!$B$2:$AB$826,9,FALSE)</f>
        <v>9.9999999999999995E-8</v>
      </c>
      <c r="H561" s="93" t="str">
        <f>VLOOKUP(A561,'Parameters Summary'!$B$2:$AB$826,10,FALSE)</f>
        <v>PHYSPROP</v>
      </c>
      <c r="I561" s="93">
        <f>VLOOKUP(A561,'Parameters Summary'!$B$2:$AB$826,24,FALSE)</f>
        <v>2.1999999999999999E-2</v>
      </c>
      <c r="J561" s="97" t="str">
        <f>VLOOKUP(A561,'Parameters Summary'!$B$2:$AB$826,25,FALSE)</f>
        <v>PHYSPROP</v>
      </c>
      <c r="K561" s="97" t="str">
        <f>VLOOKUP(A561,'Tox Summary'!$O$3:$S$827,2,FALSE)</f>
        <v/>
      </c>
      <c r="L561" s="93">
        <f>VLOOKUP(A561,'Parameters Summary'!$B$2:$AB$826,7,FALSE)</f>
        <v>2.57E-6</v>
      </c>
      <c r="M561" s="93" t="str">
        <f>VLOOKUP(A561,'Parameters Summary'!$B$2:$AB$826,8,FALSE)</f>
        <v>EPI</v>
      </c>
      <c r="N561" s="91">
        <f>VLOOKUP(A561,'Parameters Summary'!$B$2:$AB$826,6,FALSE)</f>
        <v>1.0509999999999999E-4</v>
      </c>
      <c r="O561" s="91" t="str">
        <f t="shared" si="52"/>
        <v/>
      </c>
      <c r="P561" s="91">
        <f t="shared" si="55"/>
        <v>1.0509999999999999E-4</v>
      </c>
      <c r="Q561" s="91" t="str">
        <f t="shared" si="53"/>
        <v/>
      </c>
      <c r="R561" s="91">
        <f t="shared" si="56"/>
        <v>1.0509999999999999E-4</v>
      </c>
      <c r="S561" s="91" t="str">
        <f t="shared" si="57"/>
        <v/>
      </c>
      <c r="T561" s="93">
        <f>VLOOKUP(A561,'Parameters Summary'!$B$2:$AB$826,15,FALSE)</f>
        <v>3.5559399999999998E-2</v>
      </c>
      <c r="U561" s="93" t="str">
        <f>VLOOKUP(A561,'Parameters Summary'!$B$2:$AB$826,17,FALSE)</f>
        <v>WATER9 (U.S. EPA, 2001)</v>
      </c>
      <c r="V561" s="93">
        <f>VLOOKUP(A561,'Parameters Summary'!$B$2:$AB$826,16,FALSE)</f>
        <v>4.1547999999999996E-6</v>
      </c>
      <c r="W561" s="379" t="str">
        <f>VLOOKUP(A561,'Parameters Summary'!$B$2:$AB$826,17,FALSE)</f>
        <v>WATER9 (U.S. EPA, 2001)</v>
      </c>
      <c r="X561" s="290">
        <f>273.15+234</f>
        <v>507.15</v>
      </c>
      <c r="Y561" s="96" t="s">
        <v>553</v>
      </c>
      <c r="Z561" s="96" t="s">
        <v>1653</v>
      </c>
      <c r="AA561" s="96"/>
      <c r="AB561" s="96" t="s">
        <v>1651</v>
      </c>
      <c r="AC561" s="96"/>
      <c r="AD561" s="93">
        <f>VLOOKUP(A561,'Parameters Summary'!$B$2:$AB$826,20,FALSE)</f>
        <v>140800</v>
      </c>
      <c r="AE561" s="97" t="str">
        <f>VLOOKUP(A561,'Parameters Summary'!$B$2:$AB$826,21,FALSE)</f>
        <v>EPI</v>
      </c>
      <c r="AF561" s="97"/>
      <c r="AG561" s="94"/>
      <c r="AH561" s="92"/>
      <c r="AI561" s="96"/>
      <c r="AJ561" s="330"/>
      <c r="AL561" s="81"/>
    </row>
    <row r="562" spans="1:38" ht="12.75" customHeight="1">
      <c r="A562" s="96" t="s">
        <v>145</v>
      </c>
      <c r="B562" s="96" t="s">
        <v>1276</v>
      </c>
      <c r="C562" s="96" t="str">
        <f t="shared" si="54"/>
        <v>No</v>
      </c>
      <c r="D562" s="96" t="str">
        <f>VLOOKUP(A562,'Tox Summary'!$O$3:$R$824,3,FALSE)</f>
        <v>No</v>
      </c>
      <c r="E562" s="97">
        <f>VLOOKUP(A562,'Parameters Summary'!$B$2:$AB$826,4,FALSE)</f>
        <v>346.36</v>
      </c>
      <c r="F562" s="97" t="str">
        <f>VLOOKUP(A562,'Parameters Summary'!$B$2:$AB$826,5,FALSE)</f>
        <v>PHYSPROP</v>
      </c>
      <c r="G562" s="93">
        <f>VLOOKUP(A562,'Parameters Summary'!$B$2:$AB$826,9,FALSE)</f>
        <v>9.7499999999999996E-9</v>
      </c>
      <c r="H562" s="93" t="str">
        <f>VLOOKUP(A562,'Parameters Summary'!$B$2:$AB$826,10,FALSE)</f>
        <v>PHYSPROP</v>
      </c>
      <c r="I562" s="93">
        <f>VLOOKUP(A562,'Parameters Summary'!$B$2:$AB$826,24,FALSE)</f>
        <v>2.5</v>
      </c>
      <c r="J562" s="97" t="str">
        <f>VLOOKUP(A562,'Parameters Summary'!$B$2:$AB$826,25,FALSE)</f>
        <v>PHYSPROP</v>
      </c>
      <c r="K562" s="97" t="str">
        <f>VLOOKUP(A562,'Tox Summary'!$O$3:$S$827,2,FALSE)</f>
        <v/>
      </c>
      <c r="L562" s="93">
        <f>VLOOKUP(A562,'Parameters Summary'!$B$2:$AB$826,7,FALSE)</f>
        <v>1.9099999999999998E-9</v>
      </c>
      <c r="M562" s="93" t="str">
        <f>VLOOKUP(A562,'Parameters Summary'!$B$2:$AB$826,8,FALSE)</f>
        <v>PHYSPROP</v>
      </c>
      <c r="N562" s="91">
        <f>VLOOKUP(A562,'Parameters Summary'!$B$2:$AB$826,6,FALSE)</f>
        <v>7.8087000000000003E-8</v>
      </c>
      <c r="O562" s="91" t="str">
        <f t="shared" si="52"/>
        <v/>
      </c>
      <c r="P562" s="91">
        <f t="shared" si="55"/>
        <v>7.8087000000000003E-8</v>
      </c>
      <c r="Q562" s="91" t="str">
        <f t="shared" si="53"/>
        <v/>
      </c>
      <c r="R562" s="91">
        <f t="shared" si="56"/>
        <v>7.8087000000000003E-8</v>
      </c>
      <c r="S562" s="91" t="str">
        <f t="shared" si="57"/>
        <v/>
      </c>
      <c r="T562" s="93">
        <f>VLOOKUP(A562,'Parameters Summary'!$B$2:$AB$826,15,FALSE)</f>
        <v>3.8524299999999997E-2</v>
      </c>
      <c r="U562" s="93" t="str">
        <f>VLOOKUP(A562,'Parameters Summary'!$B$2:$AB$826,17,FALSE)</f>
        <v>WATER9 (U.S. EPA, 2001)</v>
      </c>
      <c r="V562" s="93">
        <f>VLOOKUP(A562,'Parameters Summary'!$B$2:$AB$826,16,FALSE)</f>
        <v>4.5013000000000004E-6</v>
      </c>
      <c r="W562" s="379" t="str">
        <f>VLOOKUP(A562,'Parameters Summary'!$B$2:$AB$826,17,FALSE)</f>
        <v>WATER9 (U.S. EPA, 2001)</v>
      </c>
      <c r="X562" s="347"/>
      <c r="Y562" s="96"/>
      <c r="Z562" s="96" t="s">
        <v>1653</v>
      </c>
      <c r="AA562" s="96"/>
      <c r="AB562" s="96" t="s">
        <v>1651</v>
      </c>
      <c r="AC562" s="96"/>
      <c r="AD562" s="93">
        <f>VLOOKUP(A562,'Parameters Summary'!$B$2:$AB$826,20,FALSE)</f>
        <v>825.4</v>
      </c>
      <c r="AE562" s="97" t="str">
        <f>VLOOKUP(A562,'Parameters Summary'!$B$2:$AB$826,21,FALSE)</f>
        <v>EPI</v>
      </c>
      <c r="AF562" s="97"/>
      <c r="AG562" s="94"/>
      <c r="AH562" s="92"/>
      <c r="AI562" s="96"/>
      <c r="AJ562" s="330"/>
      <c r="AL562" s="81"/>
    </row>
    <row r="563" spans="1:38" ht="12.75" customHeight="1">
      <c r="A563" s="96" t="s">
        <v>146</v>
      </c>
      <c r="B563" s="96" t="s">
        <v>1277</v>
      </c>
      <c r="C563" s="96" t="str">
        <f t="shared" si="54"/>
        <v>No</v>
      </c>
      <c r="D563" s="96" t="str">
        <f>VLOOKUP(A563,'Tox Summary'!$O$3:$R$824,3,FALSE)</f>
        <v>No</v>
      </c>
      <c r="E563" s="97">
        <f>VLOOKUP(A563,'Parameters Summary'!$B$2:$AB$826,4,FALSE)</f>
        <v>345.23</v>
      </c>
      <c r="F563" s="97" t="str">
        <f>VLOOKUP(A563,'Parameters Summary'!$B$2:$AB$826,5,FALSE)</f>
        <v>PHYSPROP</v>
      </c>
      <c r="G563" s="93">
        <f>VLOOKUP(A563,'Parameters Summary'!$B$2:$AB$826,9,FALSE)</f>
        <v>1.12E-7</v>
      </c>
      <c r="H563" s="93" t="str">
        <f>VLOOKUP(A563,'Parameters Summary'!$B$2:$AB$826,10,FALSE)</f>
        <v>PHYSPROP</v>
      </c>
      <c r="I563" s="93">
        <f>VLOOKUP(A563,'Parameters Summary'!$B$2:$AB$826,24,FALSE)</f>
        <v>0.7</v>
      </c>
      <c r="J563" s="97" t="str">
        <f>VLOOKUP(A563,'Parameters Summary'!$B$2:$AB$826,25,FALSE)</f>
        <v>PHYSPROP</v>
      </c>
      <c r="K563" s="97" t="str">
        <f>VLOOKUP(A563,'Tox Summary'!$O$3:$S$827,2,FALSE)</f>
        <v/>
      </c>
      <c r="L563" s="93">
        <f>VLOOKUP(A563,'Parameters Summary'!$B$2:$AB$826,7,FALSE)</f>
        <v>7.2699999999999996E-8</v>
      </c>
      <c r="M563" s="93" t="str">
        <f>VLOOKUP(A563,'Parameters Summary'!$B$2:$AB$826,8,FALSE)</f>
        <v>EPI</v>
      </c>
      <c r="N563" s="91">
        <f>VLOOKUP(A563,'Parameters Summary'!$B$2:$AB$826,6,FALSE)</f>
        <v>2.9722000000000001E-6</v>
      </c>
      <c r="O563" s="91" t="str">
        <f t="shared" si="52"/>
        <v/>
      </c>
      <c r="P563" s="91">
        <f t="shared" si="55"/>
        <v>2.9722000000000001E-6</v>
      </c>
      <c r="Q563" s="91" t="str">
        <f t="shared" si="53"/>
        <v/>
      </c>
      <c r="R563" s="91">
        <f t="shared" si="56"/>
        <v>2.9722000000000001E-6</v>
      </c>
      <c r="S563" s="91" t="str">
        <f t="shared" si="57"/>
        <v/>
      </c>
      <c r="T563" s="93">
        <f>VLOOKUP(A563,'Parameters Summary'!$B$2:$AB$826,15,FALSE)</f>
        <v>3.8608400000000001E-2</v>
      </c>
      <c r="U563" s="93" t="str">
        <f>VLOOKUP(A563,'Parameters Summary'!$B$2:$AB$826,17,FALSE)</f>
        <v>WATER9 (U.S. EPA, 2001)</v>
      </c>
      <c r="V563" s="93">
        <f>VLOOKUP(A563,'Parameters Summary'!$B$2:$AB$826,16,FALSE)</f>
        <v>4.5110999999999999E-6</v>
      </c>
      <c r="W563" s="379" t="str">
        <f>VLOOKUP(A563,'Parameters Summary'!$B$2:$AB$826,17,FALSE)</f>
        <v>WATER9 (U.S. EPA, 2001)</v>
      </c>
      <c r="X563" s="347"/>
      <c r="Y563" s="96"/>
      <c r="Z563" s="96" t="s">
        <v>1653</v>
      </c>
      <c r="AA563" s="96"/>
      <c r="AB563" s="96" t="s">
        <v>1651</v>
      </c>
      <c r="AC563" s="96"/>
      <c r="AD563" s="93">
        <f>VLOOKUP(A563,'Parameters Summary'!$B$2:$AB$826,20,FALSE)</f>
        <v>4996</v>
      </c>
      <c r="AE563" s="97" t="str">
        <f>VLOOKUP(A563,'Parameters Summary'!$B$2:$AB$826,21,FALSE)</f>
        <v>EPI</v>
      </c>
      <c r="AF563" s="97"/>
      <c r="AG563" s="94"/>
      <c r="AH563" s="92"/>
      <c r="AI563" s="96"/>
      <c r="AJ563" s="330"/>
      <c r="AL563" s="81"/>
    </row>
    <row r="564" spans="1:38" ht="12.75" customHeight="1">
      <c r="A564" s="96" t="s">
        <v>147</v>
      </c>
      <c r="B564" s="96" t="s">
        <v>1278</v>
      </c>
      <c r="C564" s="96" t="str">
        <f t="shared" si="54"/>
        <v>No</v>
      </c>
      <c r="D564" s="96" t="str">
        <f>VLOOKUP(A564,'Tox Summary'!$O$3:$R$824,3,FALSE)</f>
        <v>No</v>
      </c>
      <c r="E564" s="97">
        <f>VLOOKUP(A564,'Parameters Summary'!$B$2:$AB$826,4,FALSE)</f>
        <v>219.26</v>
      </c>
      <c r="F564" s="97" t="str">
        <f>VLOOKUP(A564,'Parameters Summary'!$B$2:$AB$826,5,FALSE)</f>
        <v>PHYSPROP</v>
      </c>
      <c r="G564" s="93">
        <f>VLOOKUP(A564,'Parameters Summary'!$B$2:$AB$826,9,FALSE)</f>
        <v>2.3000000000000001E-4</v>
      </c>
      <c r="H564" s="93" t="str">
        <f>VLOOKUP(A564,'Parameters Summary'!$B$2:$AB$826,10,FALSE)</f>
        <v>PHYSPROP</v>
      </c>
      <c r="I564" s="93">
        <f>VLOOKUP(A564,'Parameters Summary'!$B$2:$AB$826,24,FALSE)</f>
        <v>280000</v>
      </c>
      <c r="J564" s="97" t="str">
        <f>VLOOKUP(A564,'Parameters Summary'!$B$2:$AB$826,25,FALSE)</f>
        <v>PHYSPROP</v>
      </c>
      <c r="K564" s="97">
        <f>VLOOKUP(A564,'Tox Summary'!$O$3:$S$827,2,FALSE)</f>
        <v>200</v>
      </c>
      <c r="L564" s="93">
        <f>VLOOKUP(A564,'Parameters Summary'!$B$2:$AB$826,7,FALSE)</f>
        <v>2.3700000000000001E-10</v>
      </c>
      <c r="M564" s="93" t="str">
        <f>VLOOKUP(A564,'Parameters Summary'!$B$2:$AB$826,8,FALSE)</f>
        <v>EPI</v>
      </c>
      <c r="N564" s="91">
        <f>VLOOKUP(A564,'Parameters Summary'!$B$2:$AB$826,6,FALSE)</f>
        <v>9.6892999999999996E-9</v>
      </c>
      <c r="O564" s="91" t="str">
        <f t="shared" si="52"/>
        <v/>
      </c>
      <c r="P564" s="91">
        <f t="shared" si="55"/>
        <v>9.6892999999999996E-9</v>
      </c>
      <c r="Q564" s="91" t="str">
        <f t="shared" si="53"/>
        <v/>
      </c>
      <c r="R564" s="91">
        <f t="shared" si="56"/>
        <v>9.6892999999999996E-9</v>
      </c>
      <c r="S564" s="91" t="str">
        <f t="shared" si="57"/>
        <v/>
      </c>
      <c r="T564" s="93">
        <f>VLOOKUP(A564,'Parameters Summary'!$B$2:$AB$826,15,FALSE)</f>
        <v>2.34696E-2</v>
      </c>
      <c r="U564" s="93" t="str">
        <f>VLOOKUP(A564,'Parameters Summary'!$B$2:$AB$826,17,FALSE)</f>
        <v>WATER9 (U.S. EPA, 2001)</v>
      </c>
      <c r="V564" s="93">
        <f>VLOOKUP(A564,'Parameters Summary'!$B$2:$AB$826,16,FALSE)</f>
        <v>5.8715999999999998E-6</v>
      </c>
      <c r="W564" s="379" t="str">
        <f>VLOOKUP(A564,'Parameters Summary'!$B$2:$AB$826,17,FALSE)</f>
        <v>WATER9 (U.S. EPA, 2001)</v>
      </c>
      <c r="X564" s="347"/>
      <c r="Y564" s="96"/>
      <c r="Z564" s="96" t="s">
        <v>1653</v>
      </c>
      <c r="AA564" s="96"/>
      <c r="AB564" s="96" t="s">
        <v>1651</v>
      </c>
      <c r="AC564" s="96"/>
      <c r="AD564" s="93">
        <f>VLOOKUP(A564,'Parameters Summary'!$B$2:$AB$826,20,FALSE)</f>
        <v>10</v>
      </c>
      <c r="AE564" s="97" t="str">
        <f>VLOOKUP(A564,'Parameters Summary'!$B$2:$AB$826,21,FALSE)</f>
        <v>EPI</v>
      </c>
      <c r="AF564" s="97"/>
      <c r="AG564" s="94"/>
      <c r="AH564" s="92"/>
      <c r="AI564" s="96"/>
      <c r="AJ564" s="330"/>
      <c r="AL564" s="81"/>
    </row>
    <row r="565" spans="1:38" ht="12.75" customHeight="1">
      <c r="A565" s="96" t="s">
        <v>955</v>
      </c>
      <c r="B565" s="96" t="s">
        <v>2316</v>
      </c>
      <c r="C565" s="96" t="str">
        <f t="shared" si="54"/>
        <v>No</v>
      </c>
      <c r="D565" s="96" t="str">
        <f>VLOOKUP(A565,'Tox Summary'!$O$3:$R$824,3,FALSE)</f>
        <v>No</v>
      </c>
      <c r="E565" s="97">
        <f>VLOOKUP(A565,'Parameters Summary'!$B$2:$AB$826,4,FALSE)</f>
        <v>361.71</v>
      </c>
      <c r="F565" s="97" t="str">
        <f>VLOOKUP(A565,'Parameters Summary'!$B$2:$AB$826,5,FALSE)</f>
        <v>PHYSPROP</v>
      </c>
      <c r="G565" s="93">
        <f>VLOOKUP(A565,'Parameters Summary'!$B$2:$AB$826,9,FALSE)</f>
        <v>1.9999999999999999E-7</v>
      </c>
      <c r="H565" s="93" t="str">
        <f>VLOOKUP(A565,'Parameters Summary'!$B$2:$AB$826,10,FALSE)</f>
        <v>PHYSPROP</v>
      </c>
      <c r="I565" s="93">
        <f>VLOOKUP(A565,'Parameters Summary'!$B$2:$AB$826,24,FALSE)</f>
        <v>0.11600000000000001</v>
      </c>
      <c r="J565" s="97" t="str">
        <f>VLOOKUP(A565,'Parameters Summary'!$B$2:$AB$826,25,FALSE)</f>
        <v>PHYSPROP</v>
      </c>
      <c r="K565" s="97" t="str">
        <f>VLOOKUP(A565,'Tox Summary'!$O$3:$S$827,2,FALSE)</f>
        <v/>
      </c>
      <c r="L565" s="93">
        <f>VLOOKUP(A565,'Parameters Summary'!$B$2:$AB$826,7,FALSE)</f>
        <v>8.1999999999999998E-7</v>
      </c>
      <c r="M565" s="93" t="str">
        <f>VLOOKUP(A565,'Parameters Summary'!$B$2:$AB$826,8,FALSE)</f>
        <v>EPI</v>
      </c>
      <c r="N565" s="91">
        <f>VLOOKUP(A565,'Parameters Summary'!$B$2:$AB$826,6,FALSE)</f>
        <v>3.3500000000000001E-5</v>
      </c>
      <c r="O565" s="91" t="str">
        <f t="shared" si="52"/>
        <v/>
      </c>
      <c r="P565" s="91">
        <f t="shared" si="55"/>
        <v>3.3500000000000001E-5</v>
      </c>
      <c r="Q565" s="91" t="str">
        <f t="shared" si="53"/>
        <v/>
      </c>
      <c r="R565" s="91">
        <f t="shared" si="56"/>
        <v>3.3500000000000001E-5</v>
      </c>
      <c r="S565" s="91" t="str">
        <f t="shared" si="57"/>
        <v/>
      </c>
      <c r="T565" s="93">
        <f>VLOOKUP(A565,'Parameters Summary'!$B$2:$AB$826,15,FALSE)</f>
        <v>2.1124199999999999E-2</v>
      </c>
      <c r="U565" s="93" t="str">
        <f>VLOOKUP(A565,'Parameters Summary'!$B$2:$AB$826,17,FALSE)</f>
        <v>WATER9 (U.S. EPA, 2001)</v>
      </c>
      <c r="V565" s="93">
        <f>VLOOKUP(A565,'Parameters Summary'!$B$2:$AB$826,16,FALSE)</f>
        <v>5.3021999999999998E-6</v>
      </c>
      <c r="W565" s="379" t="str">
        <f>VLOOKUP(A565,'Parameters Summary'!$B$2:$AB$826,17,FALSE)</f>
        <v>WATER9 (U.S. EPA, 2001)</v>
      </c>
      <c r="X565" s="290">
        <v>631.34999999999991</v>
      </c>
      <c r="Y565" s="96" t="s">
        <v>553</v>
      </c>
      <c r="Z565" s="96" t="s">
        <v>1653</v>
      </c>
      <c r="AA565" s="96"/>
      <c r="AB565" s="96" t="s">
        <v>1651</v>
      </c>
      <c r="AC565" s="96"/>
      <c r="AD565" s="93">
        <f>VLOOKUP(A565,'Parameters Summary'!$B$2:$AB$826,20,FALSE)</f>
        <v>39900</v>
      </c>
      <c r="AE565" s="97" t="str">
        <f>VLOOKUP(A565,'Parameters Summary'!$B$2:$AB$826,21,FALSE)</f>
        <v>EPI</v>
      </c>
      <c r="AF565" s="97"/>
      <c r="AG565" s="94"/>
      <c r="AH565" s="92"/>
      <c r="AI565" s="96"/>
      <c r="AJ565" s="330"/>
      <c r="AL565" s="81"/>
    </row>
    <row r="566" spans="1:38" ht="12.75" customHeight="1">
      <c r="A566" s="96" t="s">
        <v>148</v>
      </c>
      <c r="B566" s="96" t="s">
        <v>1279</v>
      </c>
      <c r="C566" s="96" t="str">
        <f t="shared" si="54"/>
        <v>No</v>
      </c>
      <c r="D566" s="96" t="str">
        <f>VLOOKUP(A566,'Tox Summary'!$O$3:$R$824,3,FALSE)</f>
        <v>No</v>
      </c>
      <c r="E566" s="97">
        <f>VLOOKUP(A566,'Parameters Summary'!$B$2:$AB$826,4,FALSE)</f>
        <v>293.8</v>
      </c>
      <c r="F566" s="97" t="str">
        <f>VLOOKUP(A566,'Parameters Summary'!$B$2:$AB$826,5,FALSE)</f>
        <v>PHYSPROP</v>
      </c>
      <c r="G566" s="93">
        <f>VLOOKUP(A566,'Parameters Summary'!$B$2:$AB$826,9,FALSE)</f>
        <v>7.4999999999999993E-9</v>
      </c>
      <c r="H566" s="93" t="str">
        <f>VLOOKUP(A566,'Parameters Summary'!$B$2:$AB$826,10,FALSE)</f>
        <v>PHYSPROP</v>
      </c>
      <c r="I566" s="93">
        <f>VLOOKUP(A566,'Parameters Summary'!$B$2:$AB$826,24,FALSE)</f>
        <v>26</v>
      </c>
      <c r="J566" s="97" t="str">
        <f>VLOOKUP(A566,'Parameters Summary'!$B$2:$AB$826,25,FALSE)</f>
        <v>PHYSPROP</v>
      </c>
      <c r="K566" s="97" t="str">
        <f>VLOOKUP(A566,'Tox Summary'!$O$3:$S$827,2,FALSE)</f>
        <v/>
      </c>
      <c r="L566" s="93">
        <f>VLOOKUP(A566,'Parameters Summary'!$B$2:$AB$826,7,FALSE)</f>
        <v>8.2800000000000001E-11</v>
      </c>
      <c r="M566" s="93" t="str">
        <f>VLOOKUP(A566,'Parameters Summary'!$B$2:$AB$826,8,FALSE)</f>
        <v>EPI</v>
      </c>
      <c r="N566" s="91">
        <f>VLOOKUP(A566,'Parameters Summary'!$B$2:$AB$826,6,FALSE)</f>
        <v>3.3850999999999998E-9</v>
      </c>
      <c r="O566" s="91" t="str">
        <f t="shared" si="52"/>
        <v/>
      </c>
      <c r="P566" s="91">
        <f t="shared" si="55"/>
        <v>3.3850999999999998E-9</v>
      </c>
      <c r="Q566" s="91" t="str">
        <f t="shared" si="53"/>
        <v/>
      </c>
      <c r="R566" s="91">
        <f t="shared" si="56"/>
        <v>3.3850999999999998E-9</v>
      </c>
      <c r="S566" s="91" t="str">
        <f t="shared" si="57"/>
        <v/>
      </c>
      <c r="T566" s="93">
        <f>VLOOKUP(A566,'Parameters Summary'!$B$2:$AB$826,15,FALSE)</f>
        <v>2.24275E-2</v>
      </c>
      <c r="U566" s="93" t="str">
        <f>VLOOKUP(A566,'Parameters Summary'!$B$2:$AB$826,17,FALSE)</f>
        <v>WATER9 (U.S. EPA, 2001)</v>
      </c>
      <c r="V566" s="93">
        <f>VLOOKUP(A566,'Parameters Summary'!$B$2:$AB$826,16,FALSE)</f>
        <v>5.6527000000000001E-6</v>
      </c>
      <c r="W566" s="379" t="str">
        <f>VLOOKUP(A566,'Parameters Summary'!$B$2:$AB$826,17,FALSE)</f>
        <v>WATER9 (U.S. EPA, 2001)</v>
      </c>
      <c r="X566" s="347"/>
      <c r="Y566" s="96"/>
      <c r="Z566" s="96" t="s">
        <v>1653</v>
      </c>
      <c r="AA566" s="96"/>
      <c r="AB566" s="96" t="s">
        <v>1651</v>
      </c>
      <c r="AC566" s="96"/>
      <c r="AD566" s="93">
        <f>VLOOKUP(A566,'Parameters Summary'!$B$2:$AB$826,20,FALSE)</f>
        <v>922.9</v>
      </c>
      <c r="AE566" s="97" t="str">
        <f>VLOOKUP(A566,'Parameters Summary'!$B$2:$AB$826,21,FALSE)</f>
        <v>EPI</v>
      </c>
      <c r="AF566" s="97"/>
      <c r="AG566" s="94"/>
      <c r="AH566" s="92"/>
      <c r="AI566" s="96"/>
      <c r="AJ566" s="330"/>
      <c r="AL566" s="81"/>
    </row>
    <row r="567" spans="1:38" ht="12.75" customHeight="1">
      <c r="A567" s="96" t="s">
        <v>149</v>
      </c>
      <c r="B567" s="96" t="s">
        <v>1281</v>
      </c>
      <c r="C567" s="96" t="str">
        <f t="shared" si="54"/>
        <v>No</v>
      </c>
      <c r="D567" s="96" t="str">
        <f>VLOOKUP(A567,'Tox Summary'!$O$3:$R$824,3,FALSE)</f>
        <v>Yes</v>
      </c>
      <c r="E567" s="97">
        <f>VLOOKUP(A567,'Parameters Summary'!$B$2:$AB$826,4,FALSE)</f>
        <v>257.16000000000003</v>
      </c>
      <c r="F567" s="97" t="str">
        <f>VLOOKUP(A567,'Parameters Summary'!$B$2:$AB$826,5,FALSE)</f>
        <v>PHYSPROP</v>
      </c>
      <c r="G567" s="93">
        <f>VLOOKUP(A567,'Parameters Summary'!$B$2:$AB$826,9,FALSE)</f>
        <v>7.4999999999999997E-8</v>
      </c>
      <c r="H567" s="93" t="str">
        <f>VLOOKUP(A567,'Parameters Summary'!$B$2:$AB$826,10,FALSE)</f>
        <v>PHYSPROP</v>
      </c>
      <c r="I567" s="93">
        <f>VLOOKUP(A567,'Parameters Summary'!$B$2:$AB$826,24,FALSE)</f>
        <v>620000</v>
      </c>
      <c r="J567" s="97" t="str">
        <f>VLOOKUP(A567,'Parameters Summary'!$B$2:$AB$826,25,FALSE)</f>
        <v>PHYSPROP</v>
      </c>
      <c r="K567" s="97" t="str">
        <f>VLOOKUP(A567,'Tox Summary'!$O$3:$S$827,2,FALSE)</f>
        <v/>
      </c>
      <c r="L567" s="93">
        <f>VLOOKUP(A567,'Parameters Summary'!$B$2:$AB$826,7,FALSE)</f>
        <v>3.2199999999999999E-13</v>
      </c>
      <c r="M567" s="93" t="str">
        <f>VLOOKUP(A567,'Parameters Summary'!$B$2:$AB$826,8,FALSE)</f>
        <v>PHYSPROP</v>
      </c>
      <c r="N567" s="91">
        <f>VLOOKUP(A567,'Parameters Summary'!$B$2:$AB$826,6,FALSE)</f>
        <v>1.316E-11</v>
      </c>
      <c r="O567" s="91" t="str">
        <f t="shared" si="52"/>
        <v/>
      </c>
      <c r="P567" s="91">
        <f t="shared" si="55"/>
        <v>1.316E-11</v>
      </c>
      <c r="Q567" s="91" t="str">
        <f t="shared" si="53"/>
        <v/>
      </c>
      <c r="R567" s="91">
        <f t="shared" si="56"/>
        <v>1.316E-11</v>
      </c>
      <c r="S567" s="91" t="str">
        <f t="shared" si="57"/>
        <v/>
      </c>
      <c r="T567" s="93">
        <f>VLOOKUP(A567,'Parameters Summary'!$B$2:$AB$826,15,FALSE)</f>
        <v>4.6984100000000001E-2</v>
      </c>
      <c r="U567" s="93" t="str">
        <f>VLOOKUP(A567,'Parameters Summary'!$B$2:$AB$826,17,FALSE)</f>
        <v>WATER9 (U.S. EPA, 2001)</v>
      </c>
      <c r="V567" s="93">
        <f>VLOOKUP(A567,'Parameters Summary'!$B$2:$AB$826,16,FALSE)</f>
        <v>5.4897000000000001E-6</v>
      </c>
      <c r="W567" s="379" t="str">
        <f>VLOOKUP(A567,'Parameters Summary'!$B$2:$AB$826,17,FALSE)</f>
        <v>WATER9 (U.S. EPA, 2001)</v>
      </c>
      <c r="X567" s="347"/>
      <c r="Y567" s="96"/>
      <c r="Z567" s="96" t="s">
        <v>1653</v>
      </c>
      <c r="AA567" s="96"/>
      <c r="AB567" s="96" t="s">
        <v>1651</v>
      </c>
      <c r="AC567" s="96"/>
      <c r="AD567" s="93">
        <f>VLOOKUP(A567,'Parameters Summary'!$B$2:$AB$826,20,FALSE)</f>
        <v>6780</v>
      </c>
      <c r="AE567" s="97" t="str">
        <f>VLOOKUP(A567,'Parameters Summary'!$B$2:$AB$826,21,FALSE)</f>
        <v>EPI</v>
      </c>
      <c r="AF567" s="97"/>
      <c r="AG567" s="94"/>
      <c r="AH567" s="92"/>
      <c r="AI567" s="96"/>
      <c r="AJ567" s="330"/>
      <c r="AL567" s="81"/>
    </row>
    <row r="568" spans="1:38" ht="12.75" customHeight="1">
      <c r="A568" s="96" t="s">
        <v>150</v>
      </c>
      <c r="B568" s="96" t="s">
        <v>1282</v>
      </c>
      <c r="C568" s="96" t="str">
        <f t="shared" si="54"/>
        <v>No</v>
      </c>
      <c r="D568" s="96" t="str">
        <f>VLOOKUP(A568,'Tox Summary'!$O$3:$R$824,3,FALSE)</f>
        <v>No</v>
      </c>
      <c r="E568" s="97">
        <f>VLOOKUP(A568,'Parameters Summary'!$B$2:$AB$826,4,FALSE)</f>
        <v>291.26</v>
      </c>
      <c r="F568" s="97" t="str">
        <f>VLOOKUP(A568,'Parameters Summary'!$B$2:$AB$826,5,FALSE)</f>
        <v>PHYSPROP</v>
      </c>
      <c r="G568" s="93">
        <f>VLOOKUP(A568,'Parameters Summary'!$B$2:$AB$826,9,FALSE)</f>
        <v>6.6800000000000004E-6</v>
      </c>
      <c r="H568" s="93" t="str">
        <f>VLOOKUP(A568,'Parameters Summary'!$B$2:$AB$826,10,FALSE)</f>
        <v>PHYSPROP</v>
      </c>
      <c r="I568" s="93">
        <f>VLOOKUP(A568,'Parameters Summary'!$B$2:$AB$826,24,FALSE)</f>
        <v>11</v>
      </c>
      <c r="J568" s="97" t="str">
        <f>VLOOKUP(A568,'Parameters Summary'!$B$2:$AB$826,25,FALSE)</f>
        <v>PHYSPROP</v>
      </c>
      <c r="K568" s="97" t="str">
        <f>VLOOKUP(A568,'Tox Summary'!$O$3:$S$827,2,FALSE)</f>
        <v/>
      </c>
      <c r="L568" s="93">
        <f>VLOOKUP(A568,'Parameters Summary'!$B$2:$AB$826,7,FALSE)</f>
        <v>2.9799999999999999E-7</v>
      </c>
      <c r="M568" s="93" t="str">
        <f>VLOOKUP(A568,'Parameters Summary'!$B$2:$AB$826,8,FALSE)</f>
        <v>PHYSPROP</v>
      </c>
      <c r="N568" s="91">
        <f>VLOOKUP(A568,'Parameters Summary'!$B$2:$AB$826,6,FALSE)</f>
        <v>1.22E-5</v>
      </c>
      <c r="O568" s="91" t="str">
        <f t="shared" si="52"/>
        <v/>
      </c>
      <c r="P568" s="91">
        <f t="shared" si="55"/>
        <v>1.22E-5</v>
      </c>
      <c r="Q568" s="91" t="str">
        <f t="shared" si="53"/>
        <v/>
      </c>
      <c r="R568" s="91">
        <f t="shared" si="56"/>
        <v>1.22E-5</v>
      </c>
      <c r="S568" s="91" t="str">
        <f t="shared" si="57"/>
        <v/>
      </c>
      <c r="T568" s="93">
        <f>VLOOKUP(A568,'Parameters Summary'!$B$2:$AB$826,15,FALSE)</f>
        <v>2.2948900000000001E-2</v>
      </c>
      <c r="U568" s="93" t="str">
        <f>VLOOKUP(A568,'Parameters Summary'!$B$2:$AB$826,17,FALSE)</f>
        <v>WATER9 (U.S. EPA, 2001)</v>
      </c>
      <c r="V568" s="93">
        <f>VLOOKUP(A568,'Parameters Summary'!$B$2:$AB$826,16,FALSE)</f>
        <v>5.8155999999999999E-6</v>
      </c>
      <c r="W568" s="379" t="str">
        <f>VLOOKUP(A568,'Parameters Summary'!$B$2:$AB$826,17,FALSE)</f>
        <v>WATER9 (U.S. EPA, 2001)</v>
      </c>
      <c r="X568" s="290">
        <v>648.15</v>
      </c>
      <c r="Y568" s="96" t="s">
        <v>553</v>
      </c>
      <c r="Z568" s="96" t="s">
        <v>1653</v>
      </c>
      <c r="AA568" s="96"/>
      <c r="AB568" s="96" t="s">
        <v>1651</v>
      </c>
      <c r="AC568" s="96"/>
      <c r="AD568" s="93">
        <f>VLOOKUP(A568,'Parameters Summary'!$B$2:$AB$826,20,FALSE)</f>
        <v>2422</v>
      </c>
      <c r="AE568" s="97" t="str">
        <f>VLOOKUP(A568,'Parameters Summary'!$B$2:$AB$826,21,FALSE)</f>
        <v>EPI</v>
      </c>
      <c r="AF568" s="97"/>
      <c r="AG568" s="94"/>
      <c r="AH568" s="92"/>
      <c r="AI568" s="96"/>
      <c r="AJ568" s="330"/>
      <c r="AL568" s="81"/>
    </row>
    <row r="569" spans="1:38" ht="12.75" customHeight="1">
      <c r="A569" s="96" t="s">
        <v>151</v>
      </c>
      <c r="B569" s="96" t="s">
        <v>1284</v>
      </c>
      <c r="C569" s="96" t="str">
        <f t="shared" si="54"/>
        <v>Yes</v>
      </c>
      <c r="D569" s="96" t="str">
        <f>VLOOKUP(A569,'Tox Summary'!$O$3:$R$824,3,FALSE)</f>
        <v>Yes</v>
      </c>
      <c r="E569" s="97">
        <f>VLOOKUP(A569,'Parameters Summary'!$B$2:$AB$826,4,FALSE)</f>
        <v>203.35</v>
      </c>
      <c r="F569" s="97" t="str">
        <f>VLOOKUP(A569,'Parameters Summary'!$B$2:$AB$826,5,FALSE)</f>
        <v>PHYSPROP</v>
      </c>
      <c r="G569" s="93">
        <f>VLOOKUP(A569,'Parameters Summary'!$B$2:$AB$826,9,FALSE)</f>
        <v>8.8499999999999995E-2</v>
      </c>
      <c r="H569" s="93" t="str">
        <f>VLOOKUP(A569,'Parameters Summary'!$B$2:$AB$826,10,FALSE)</f>
        <v>PHYSPROP</v>
      </c>
      <c r="I569" s="93">
        <f>VLOOKUP(A569,'Parameters Summary'!$B$2:$AB$826,24,FALSE)</f>
        <v>100</v>
      </c>
      <c r="J569" s="97" t="str">
        <f>VLOOKUP(A569,'Parameters Summary'!$B$2:$AB$826,25,FALSE)</f>
        <v>PHYSPROP</v>
      </c>
      <c r="K569" s="97" t="str">
        <f>VLOOKUP(A569,'Tox Summary'!$O$3:$S$827,2,FALSE)</f>
        <v/>
      </c>
      <c r="L569" s="93">
        <f>VLOOKUP(A569,'Parameters Summary'!$B$2:$AB$826,7,FALSE)</f>
        <v>2.3699999999999999E-4</v>
      </c>
      <c r="M569" s="93" t="str">
        <f>VLOOKUP(A569,'Parameters Summary'!$B$2:$AB$826,8,FALSE)</f>
        <v>EPI</v>
      </c>
      <c r="N569" s="91">
        <f>VLOOKUP(A569,'Parameters Summary'!$B$2:$AB$826,6,FALSE)</f>
        <v>9.6892999999999996E-3</v>
      </c>
      <c r="O569" s="91" t="str">
        <f t="shared" si="52"/>
        <v/>
      </c>
      <c r="P569" s="91">
        <f t="shared" si="55"/>
        <v>9.6892999999999996E-3</v>
      </c>
      <c r="Q569" s="91" t="str">
        <f t="shared" si="53"/>
        <v/>
      </c>
      <c r="R569" s="91">
        <f t="shared" si="56"/>
        <v>9.6892999999999996E-3</v>
      </c>
      <c r="S569" s="91" t="str">
        <f t="shared" si="57"/>
        <v/>
      </c>
      <c r="T569" s="93">
        <f>VLOOKUP(A569,'Parameters Summary'!$B$2:$AB$826,15,FALSE)</f>
        <v>2.4144200000000001E-2</v>
      </c>
      <c r="U569" s="93" t="str">
        <f>VLOOKUP(A569,'Parameters Summary'!$B$2:$AB$826,17,FALSE)</f>
        <v>WATER9 (U.S. EPA, 2001)</v>
      </c>
      <c r="V569" s="93">
        <f>VLOOKUP(A569,'Parameters Summary'!$B$2:$AB$826,16,FALSE)</f>
        <v>6.0507000000000004E-6</v>
      </c>
      <c r="W569" s="379" t="str">
        <f>VLOOKUP(A569,'Parameters Summary'!$B$2:$AB$826,17,FALSE)</f>
        <v>WATER9 (U.S. EPA, 2001)</v>
      </c>
      <c r="X569" s="290">
        <v>415.15</v>
      </c>
      <c r="Y569" s="96" t="s">
        <v>553</v>
      </c>
      <c r="Z569" s="96" t="s">
        <v>1653</v>
      </c>
      <c r="AA569" s="96"/>
      <c r="AB569" s="96" t="s">
        <v>1651</v>
      </c>
      <c r="AC569" s="96"/>
      <c r="AD569" s="93">
        <f>VLOOKUP(A569,'Parameters Summary'!$B$2:$AB$826,20,FALSE)</f>
        <v>299.10000000000002</v>
      </c>
      <c r="AE569" s="97" t="str">
        <f>VLOOKUP(A569,'Parameters Summary'!$B$2:$AB$826,21,FALSE)</f>
        <v>EPI</v>
      </c>
      <c r="AF569" s="97"/>
      <c r="AG569" s="94"/>
      <c r="AH569" s="92"/>
      <c r="AI569" s="96"/>
      <c r="AJ569" s="330"/>
      <c r="AL569" s="81"/>
    </row>
    <row r="570" spans="1:38" ht="12.75" customHeight="1">
      <c r="A570" s="96" t="s">
        <v>152</v>
      </c>
      <c r="B570" s="96" t="s">
        <v>1285</v>
      </c>
      <c r="C570" s="96" t="str">
        <f t="shared" si="54"/>
        <v>No</v>
      </c>
      <c r="D570" s="96" t="str">
        <f>VLOOKUP(A570,'Tox Summary'!$O$3:$R$824,3,FALSE)</f>
        <v>No</v>
      </c>
      <c r="E570" s="97">
        <f>VLOOKUP(A570,'Parameters Summary'!$B$2:$AB$826,4,FALSE)</f>
        <v>281.31</v>
      </c>
      <c r="F570" s="97" t="str">
        <f>VLOOKUP(A570,'Parameters Summary'!$B$2:$AB$826,5,FALSE)</f>
        <v>PHYSPROP</v>
      </c>
      <c r="G570" s="93">
        <f>VLOOKUP(A570,'Parameters Summary'!$B$2:$AB$826,9,FALSE)</f>
        <v>1.4600000000000001E-5</v>
      </c>
      <c r="H570" s="93" t="str">
        <f>VLOOKUP(A570,'Parameters Summary'!$B$2:$AB$826,10,FALSE)</f>
        <v>PHYSPROP</v>
      </c>
      <c r="I570" s="93">
        <f>VLOOKUP(A570,'Parameters Summary'!$B$2:$AB$826,24,FALSE)</f>
        <v>0.33</v>
      </c>
      <c r="J570" s="97" t="str">
        <f>VLOOKUP(A570,'Parameters Summary'!$B$2:$AB$826,25,FALSE)</f>
        <v>PHYSPROP</v>
      </c>
      <c r="K570" s="97" t="str">
        <f>VLOOKUP(A570,'Tox Summary'!$O$3:$S$827,2,FALSE)</f>
        <v/>
      </c>
      <c r="L570" s="93">
        <f>VLOOKUP(A570,'Parameters Summary'!$B$2:$AB$826,7,FALSE)</f>
        <v>8.5600000000000004E-7</v>
      </c>
      <c r="M570" s="93" t="str">
        <f>VLOOKUP(A570,'Parameters Summary'!$B$2:$AB$826,8,FALSE)</f>
        <v>EPI</v>
      </c>
      <c r="N570" s="91">
        <f>VLOOKUP(A570,'Parameters Summary'!$B$2:$AB$826,6,FALSE)</f>
        <v>3.4999999999999997E-5</v>
      </c>
      <c r="O570" s="91" t="str">
        <f t="shared" si="52"/>
        <v/>
      </c>
      <c r="P570" s="91">
        <f t="shared" si="55"/>
        <v>3.4999999999999997E-5</v>
      </c>
      <c r="Q570" s="91" t="str">
        <f t="shared" si="53"/>
        <v/>
      </c>
      <c r="R570" s="91">
        <f t="shared" si="56"/>
        <v>3.4999999999999997E-5</v>
      </c>
      <c r="S570" s="91" t="str">
        <f t="shared" si="57"/>
        <v/>
      </c>
      <c r="T570" s="93">
        <f>VLOOKUP(A570,'Parameters Summary'!$B$2:$AB$826,15,FALSE)</f>
        <v>2.26727E-2</v>
      </c>
      <c r="U570" s="93" t="str">
        <f>VLOOKUP(A570,'Parameters Summary'!$B$2:$AB$826,17,FALSE)</f>
        <v>WATER9 (U.S. EPA, 2001)</v>
      </c>
      <c r="V570" s="93">
        <f>VLOOKUP(A570,'Parameters Summary'!$B$2:$AB$826,16,FALSE)</f>
        <v>5.716E-6</v>
      </c>
      <c r="W570" s="379" t="str">
        <f>VLOOKUP(A570,'Parameters Summary'!$B$2:$AB$826,17,FALSE)</f>
        <v>WATER9 (U.S. EPA, 2001)</v>
      </c>
      <c r="X570" s="290">
        <v>603.15</v>
      </c>
      <c r="Y570" s="96" t="s">
        <v>553</v>
      </c>
      <c r="Z570" s="96" t="s">
        <v>1653</v>
      </c>
      <c r="AA570" s="96"/>
      <c r="AB570" s="96" t="s">
        <v>1651</v>
      </c>
      <c r="AC570" s="96"/>
      <c r="AD570" s="93">
        <f>VLOOKUP(A570,'Parameters Summary'!$B$2:$AB$826,20,FALSE)</f>
        <v>5615</v>
      </c>
      <c r="AE570" s="97" t="str">
        <f>VLOOKUP(A570,'Parameters Summary'!$B$2:$AB$826,21,FALSE)</f>
        <v>EPI</v>
      </c>
      <c r="AF570" s="97"/>
      <c r="AG570" s="94"/>
      <c r="AH570" s="92"/>
      <c r="AI570" s="96"/>
      <c r="AJ570" s="330"/>
      <c r="AL570" s="81"/>
    </row>
    <row r="571" spans="1:38" ht="12.75" customHeight="1">
      <c r="A571" s="96" t="s">
        <v>153</v>
      </c>
      <c r="B571" s="96" t="s">
        <v>1286</v>
      </c>
      <c r="C571" s="96" t="str">
        <f t="shared" si="54"/>
        <v>Yes</v>
      </c>
      <c r="D571" s="96" t="str">
        <f>VLOOKUP(A571,'Tox Summary'!$O$3:$R$824,3,FALSE)</f>
        <v>No</v>
      </c>
      <c r="E571" s="97">
        <f>VLOOKUP(A571,'Parameters Summary'!$B$2:$AB$826,4,FALSE)</f>
        <v>564.69000000000005</v>
      </c>
      <c r="F571" s="97" t="str">
        <f>VLOOKUP(A571,'Parameters Summary'!$B$2:$AB$826,5,FALSE)</f>
        <v>PHYSPROP</v>
      </c>
      <c r="G571" s="93">
        <f>VLOOKUP(A571,'Parameters Summary'!$B$2:$AB$826,9,FALSE)</f>
        <v>3.1E-8</v>
      </c>
      <c r="H571" s="93" t="str">
        <f>VLOOKUP(A571,'Parameters Summary'!$B$2:$AB$826,10,FALSE)</f>
        <v>EPI</v>
      </c>
      <c r="I571" s="93">
        <f>VLOOKUP(A571,'Parameters Summary'!$B$2:$AB$826,24,FALSE)</f>
        <v>2.3999999999999998E-3</v>
      </c>
      <c r="J571" s="97" t="str">
        <f>VLOOKUP(A571,'Parameters Summary'!$B$2:$AB$826,25,FALSE)</f>
        <v>PHYSPROP</v>
      </c>
      <c r="K571" s="97" t="str">
        <f>VLOOKUP(A571,'Tox Summary'!$O$3:$S$827,2,FALSE)</f>
        <v/>
      </c>
      <c r="L571" s="93">
        <f>VLOOKUP(A571,'Parameters Summary'!$B$2:$AB$826,7,FALSE)</f>
        <v>1.08E-4</v>
      </c>
      <c r="M571" s="93" t="str">
        <f>VLOOKUP(A571,'Parameters Summary'!$B$2:$AB$826,8,FALSE)</f>
        <v>PHYSPROP</v>
      </c>
      <c r="N571" s="91">
        <f>VLOOKUP(A571,'Parameters Summary'!$B$2:$AB$826,6,FALSE)</f>
        <v>4.4153999999999999E-3</v>
      </c>
      <c r="O571" s="91" t="str">
        <f t="shared" si="52"/>
        <v/>
      </c>
      <c r="P571" s="91">
        <f t="shared" si="55"/>
        <v>4.4153999999999999E-3</v>
      </c>
      <c r="Q571" s="91" t="str">
        <f t="shared" si="53"/>
        <v/>
      </c>
      <c r="R571" s="91">
        <f t="shared" si="56"/>
        <v>4.4153999999999999E-3</v>
      </c>
      <c r="S571" s="91" t="str">
        <f t="shared" si="57"/>
        <v/>
      </c>
      <c r="T571" s="93">
        <f>VLOOKUP(A571,'Parameters Summary'!$B$2:$AB$826,15,FALSE)</f>
        <v>2.78108E-2</v>
      </c>
      <c r="U571" s="93" t="str">
        <f>VLOOKUP(A571,'Parameters Summary'!$B$2:$AB$826,17,FALSE)</f>
        <v>WATER9 (U.S. EPA, 2001)</v>
      </c>
      <c r="V571" s="93">
        <f>VLOOKUP(A571,'Parameters Summary'!$B$2:$AB$826,16,FALSE)</f>
        <v>3.2495E-6</v>
      </c>
      <c r="W571" s="379" t="str">
        <f>VLOOKUP(A571,'Parameters Summary'!$B$2:$AB$826,17,FALSE)</f>
        <v>WATER9 (U.S. EPA, 2001)</v>
      </c>
      <c r="X571" s="347"/>
      <c r="Y571" s="96"/>
      <c r="Z571" s="96" t="s">
        <v>1653</v>
      </c>
      <c r="AA571" s="96"/>
      <c r="AB571" s="96" t="s">
        <v>1651</v>
      </c>
      <c r="AC571" s="96"/>
      <c r="AD571" s="93">
        <f>VLOOKUP(A571,'Parameters Summary'!$B$2:$AB$826,20,FALSE)</f>
        <v>21660</v>
      </c>
      <c r="AE571" s="97" t="str">
        <f>VLOOKUP(A571,'Parameters Summary'!$B$2:$AB$826,21,FALSE)</f>
        <v>EPI</v>
      </c>
      <c r="AF571" s="97"/>
      <c r="AG571" s="94"/>
      <c r="AH571" s="92"/>
      <c r="AI571" s="96"/>
      <c r="AJ571" s="330"/>
      <c r="AL571" s="81"/>
    </row>
    <row r="572" spans="1:38" ht="12.75" customHeight="1">
      <c r="A572" s="96" t="s">
        <v>154</v>
      </c>
      <c r="B572" s="96" t="s">
        <v>539</v>
      </c>
      <c r="C572" s="96" t="str">
        <f t="shared" si="54"/>
        <v>No</v>
      </c>
      <c r="D572" s="96" t="str">
        <f>VLOOKUP(A572,'Tox Summary'!$O$3:$R$824,3,FALSE)</f>
        <v>No</v>
      </c>
      <c r="E572" s="97">
        <f>VLOOKUP(A572,'Parameters Summary'!$B$2:$AB$826,4,FALSE)</f>
        <v>564.69000000000005</v>
      </c>
      <c r="F572" s="97" t="str">
        <f>VLOOKUP(A572,'Parameters Summary'!$B$2:$AB$826,5,FALSE)</f>
        <v>PHYSPROP</v>
      </c>
      <c r="G572" s="93">
        <f>VLOOKUP(A572,'Parameters Summary'!$B$2:$AB$826,9,FALSE)</f>
        <v>3.1E-8</v>
      </c>
      <c r="H572" s="93" t="str">
        <f>VLOOKUP(A572,'Parameters Summary'!$B$2:$AB$826,10,FALSE)</f>
        <v>EPI</v>
      </c>
      <c r="I572" s="93">
        <f>VLOOKUP(A572,'Parameters Summary'!$B$2:$AB$826,24,FALSE)</f>
        <v>7.86E-5</v>
      </c>
      <c r="J572" s="97" t="str">
        <f>VLOOKUP(A572,'Parameters Summary'!$B$2:$AB$826,25,FALSE)</f>
        <v>PHYSPROP</v>
      </c>
      <c r="K572" s="97" t="str">
        <f>VLOOKUP(A572,'Tox Summary'!$O$3:$S$827,2,FALSE)</f>
        <v/>
      </c>
      <c r="L572" s="93">
        <f>VLOOKUP(A572,'Parameters Summary'!$B$2:$AB$826,7,FALSE)</f>
        <v>1.1799999999999999E-6</v>
      </c>
      <c r="M572" s="93" t="str">
        <f>VLOOKUP(A572,'Parameters Summary'!$B$2:$AB$826,8,FALSE)</f>
        <v>PHYSPROP</v>
      </c>
      <c r="N572" s="91">
        <f>VLOOKUP(A572,'Parameters Summary'!$B$2:$AB$826,6,FALSE)</f>
        <v>4.8199999999999999E-5</v>
      </c>
      <c r="O572" s="91" t="str">
        <f t="shared" si="52"/>
        <v/>
      </c>
      <c r="P572" s="91">
        <f t="shared" si="55"/>
        <v>4.8199999999999999E-5</v>
      </c>
      <c r="Q572" s="91" t="str">
        <f t="shared" si="53"/>
        <v/>
      </c>
      <c r="R572" s="91">
        <f t="shared" si="56"/>
        <v>4.8199999999999999E-5</v>
      </c>
      <c r="S572" s="91" t="str">
        <f t="shared" si="57"/>
        <v/>
      </c>
      <c r="T572" s="93">
        <f>VLOOKUP(A572,'Parameters Summary'!$B$2:$AB$826,15,FALSE)</f>
        <v>2.164E-2</v>
      </c>
      <c r="U572" s="93" t="str">
        <f>VLOOKUP(A572,'Parameters Summary'!$B$2:$AB$826,17,FALSE)</f>
        <v>WATER9 (U.S. EPA, 2001)</v>
      </c>
      <c r="V572" s="93">
        <f>VLOOKUP(A572,'Parameters Summary'!$B$2:$AB$826,16,FALSE)</f>
        <v>5.5584E-6</v>
      </c>
      <c r="W572" s="379" t="str">
        <f>VLOOKUP(A572,'Parameters Summary'!$B$2:$AB$826,17,FALSE)</f>
        <v>WATER9 (U.S. EPA, 2001)</v>
      </c>
      <c r="X572" s="347"/>
      <c r="Y572" s="96"/>
      <c r="Z572" s="96" t="s">
        <v>1653</v>
      </c>
      <c r="AA572" s="96"/>
      <c r="AB572" s="96" t="s">
        <v>1651</v>
      </c>
      <c r="AC572" s="96"/>
      <c r="AD572" s="93">
        <f>VLOOKUP(A572,'Parameters Summary'!$B$2:$AB$826,20,FALSE)</f>
        <v>21660</v>
      </c>
      <c r="AE572" s="97" t="str">
        <f>VLOOKUP(A572,'Parameters Summary'!$B$2:$AB$826,21,FALSE)</f>
        <v>EPI</v>
      </c>
      <c r="AF572" s="97"/>
      <c r="AG572" s="94"/>
      <c r="AH572" s="92"/>
      <c r="AI572" s="96"/>
      <c r="AJ572" s="330"/>
      <c r="AL572" s="81"/>
    </row>
    <row r="573" spans="1:38" ht="12.75" customHeight="1">
      <c r="A573" s="96" t="s">
        <v>155</v>
      </c>
      <c r="B573" s="96" t="s">
        <v>1287</v>
      </c>
      <c r="C573" s="96" t="str">
        <f t="shared" si="54"/>
        <v>Yes</v>
      </c>
      <c r="D573" s="96" t="str">
        <f>VLOOKUP(A573,'Tox Summary'!$O$3:$R$824,3,FALSE)</f>
        <v>No</v>
      </c>
      <c r="E573" s="97">
        <f>VLOOKUP(A573,'Parameters Summary'!$B$2:$AB$826,4,FALSE)</f>
        <v>250.34</v>
      </c>
      <c r="F573" s="97" t="str">
        <f>VLOOKUP(A573,'Parameters Summary'!$B$2:$AB$826,5,FALSE)</f>
        <v>PHYSPROP</v>
      </c>
      <c r="G573" s="93">
        <f>VLOOKUP(A573,'Parameters Summary'!$B$2:$AB$826,9,FALSE)</f>
        <v>1.01E-3</v>
      </c>
      <c r="H573" s="93" t="str">
        <f>VLOOKUP(A573,'Parameters Summary'!$B$2:$AB$826,10,FALSE)</f>
        <v>EPI</v>
      </c>
      <c r="I573" s="93">
        <f>VLOOKUP(A573,'Parameters Summary'!$B$2:$AB$826,24,FALSE)</f>
        <v>0.83099999999999996</v>
      </c>
      <c r="J573" s="97" t="str">
        <f>VLOOKUP(A573,'Parameters Summary'!$B$2:$AB$826,25,FALSE)</f>
        <v>PHYSPROP</v>
      </c>
      <c r="K573" s="97" t="str">
        <f>VLOOKUP(A573,'Tox Summary'!$O$3:$S$827,2,FALSE)</f>
        <v/>
      </c>
      <c r="L573" s="93">
        <f>VLOOKUP(A573,'Parameters Summary'!$B$2:$AB$826,7,FALSE)</f>
        <v>7.0299999999999996E-4</v>
      </c>
      <c r="M573" s="93" t="str">
        <f>VLOOKUP(A573,'Parameters Summary'!$B$2:$AB$826,8,FALSE)</f>
        <v>PHYSPROP</v>
      </c>
      <c r="N573" s="91">
        <f>VLOOKUP(A573,'Parameters Summary'!$B$2:$AB$826,6,FALSE)</f>
        <v>2.87408E-2</v>
      </c>
      <c r="O573" s="91" t="str">
        <f t="shared" si="52"/>
        <v/>
      </c>
      <c r="P573" s="91">
        <f t="shared" si="55"/>
        <v>2.87408E-2</v>
      </c>
      <c r="Q573" s="91" t="str">
        <f t="shared" si="53"/>
        <v/>
      </c>
      <c r="R573" s="91">
        <f t="shared" si="56"/>
        <v>2.87408E-2</v>
      </c>
      <c r="S573" s="91" t="str">
        <f t="shared" si="57"/>
        <v/>
      </c>
      <c r="T573" s="93">
        <f>VLOOKUP(A573,'Parameters Summary'!$B$2:$AB$826,15,FALSE)</f>
        <v>2.94332E-2</v>
      </c>
      <c r="U573" s="93" t="str">
        <f>VLOOKUP(A573,'Parameters Summary'!$B$2:$AB$826,17,FALSE)</f>
        <v>WATER9 (U.S. EPA, 2001)</v>
      </c>
      <c r="V573" s="93">
        <f>VLOOKUP(A573,'Parameters Summary'!$B$2:$AB$826,16,FALSE)</f>
        <v>7.9472999999999993E-6</v>
      </c>
      <c r="W573" s="379" t="str">
        <f>VLOOKUP(A573,'Parameters Summary'!$B$2:$AB$826,17,FALSE)</f>
        <v>WATER9 (U.S. EPA, 2001)</v>
      </c>
      <c r="X573" s="290">
        <v>550.15</v>
      </c>
      <c r="Y573" s="96" t="s">
        <v>553</v>
      </c>
      <c r="Z573" s="96" t="s">
        <v>1653</v>
      </c>
      <c r="AA573" s="96"/>
      <c r="AB573" s="96" t="s">
        <v>1651</v>
      </c>
      <c r="AC573" s="96"/>
      <c r="AD573" s="93">
        <f>VLOOKUP(A573,'Parameters Summary'!$B$2:$AB$826,20,FALSE)</f>
        <v>3708</v>
      </c>
      <c r="AE573" s="97" t="str">
        <f>VLOOKUP(A573,'Parameters Summary'!$B$2:$AB$826,21,FALSE)</f>
        <v>EPI</v>
      </c>
      <c r="AF573" s="97"/>
      <c r="AG573" s="94"/>
      <c r="AH573" s="92"/>
      <c r="AI573" s="96"/>
      <c r="AJ573" s="330"/>
      <c r="AL573" s="81"/>
    </row>
    <row r="574" spans="1:38" ht="12.75" customHeight="1">
      <c r="A574" s="95" t="s">
        <v>195</v>
      </c>
      <c r="B574" s="96" t="s">
        <v>2245</v>
      </c>
      <c r="C574" s="96" t="str">
        <f t="shared" si="54"/>
        <v>Yes</v>
      </c>
      <c r="D574" s="96" t="str">
        <f>VLOOKUP(A574,'Tox Summary'!$O$3:$R$824,3,FALSE)</f>
        <v>Yes</v>
      </c>
      <c r="E574" s="97">
        <f>VLOOKUP(A574,'Parameters Summary'!$B$2:$AB$826,4,FALSE)</f>
        <v>326.44</v>
      </c>
      <c r="F574" s="97" t="str">
        <f>VLOOKUP(A574,'Parameters Summary'!$B$2:$AB$826,5,FALSE)</f>
        <v>PHYSPROP</v>
      </c>
      <c r="G574" s="93">
        <f>VLOOKUP(A574,'Parameters Summary'!$B$2:$AB$826,9,FALSE)</f>
        <v>6.5309999999999998E-6</v>
      </c>
      <c r="H574" s="93" t="str">
        <f>VLOOKUP(A574,'Parameters Summary'!$B$2:$AB$826,10,FALSE)</f>
        <v>PHYSPROP</v>
      </c>
      <c r="I574" s="93">
        <f>VLOOKUP(A574,'Parameters Summary'!$B$2:$AB$826,24,FALSE)</f>
        <v>3.3999999999999998E-3</v>
      </c>
      <c r="J574" s="97" t="str">
        <f>VLOOKUP(A574,'Parameters Summary'!$B$2:$AB$826,25,FALSE)</f>
        <v>PHYSPROP</v>
      </c>
      <c r="K574" s="97" t="str">
        <f>VLOOKUP(A574,'Tox Summary'!$O$3:$S$827,2,FALSE)</f>
        <v/>
      </c>
      <c r="L574" s="93">
        <f>VLOOKUP(A574,'Parameters Summary'!$B$2:$AB$826,7,FALSE)</f>
        <v>2.8299999999999999E-4</v>
      </c>
      <c r="M574" s="93" t="str">
        <f>VLOOKUP(A574,'Parameters Summary'!$B$2:$AB$826,8,FALSE)</f>
        <v>EPI</v>
      </c>
      <c r="N574" s="91">
        <f>VLOOKUP(A574,'Parameters Summary'!$B$2:$AB$826,6,FALSE)</f>
        <v>1.1569899999999999E-2</v>
      </c>
      <c r="O574" s="91" t="str">
        <f t="shared" si="52"/>
        <v/>
      </c>
      <c r="P574" s="91">
        <f t="shared" si="55"/>
        <v>1.1569899999999999E-2</v>
      </c>
      <c r="Q574" s="91" t="str">
        <f t="shared" si="53"/>
        <v/>
      </c>
      <c r="R574" s="91">
        <f t="shared" si="56"/>
        <v>1.1569899999999999E-2</v>
      </c>
      <c r="S574" s="91" t="str">
        <f t="shared" si="57"/>
        <v/>
      </c>
      <c r="T574" s="93">
        <f>VLOOKUP(A574,'Parameters Summary'!$B$2:$AB$826,15,FALSE)</f>
        <v>4.6705499999999997E-2</v>
      </c>
      <c r="U574" s="93" t="str">
        <f>VLOOKUP(A574,'Parameters Summary'!$B$2:$AB$826,17,FALSE)</f>
        <v>WATER9 (U.S. EPA, 2001)</v>
      </c>
      <c r="V574" s="93">
        <f>VLOOKUP(A574,'Parameters Summary'!$B$2:$AB$826,16,FALSE)</f>
        <v>6.0595000000000002E-6</v>
      </c>
      <c r="W574" s="379" t="str">
        <f>VLOOKUP(A574,'Parameters Summary'!$B$2:$AB$826,17,FALSE)</f>
        <v>WATER9 (U.S. EPA, 2001)</v>
      </c>
      <c r="X574" s="290">
        <f>378.1+273.15</f>
        <v>651.25</v>
      </c>
      <c r="Y574" s="96" t="s">
        <v>553</v>
      </c>
      <c r="Z574" s="96">
        <f>1.5*X574</f>
        <v>976.875</v>
      </c>
      <c r="AA574" s="96" t="s">
        <v>2220</v>
      </c>
      <c r="AB574" s="96" t="s">
        <v>1651</v>
      </c>
      <c r="AC574" s="96"/>
      <c r="AD574" s="93">
        <f>VLOOKUP(A574,'Parameters Summary'!$B$2:$AB$826,20,FALSE)</f>
        <v>130500</v>
      </c>
      <c r="AE574" s="97" t="str">
        <f>VLOOKUP(A574,'Parameters Summary'!$B$2:$AB$826,21,FALSE)</f>
        <v>EPI</v>
      </c>
      <c r="AF574" s="380"/>
      <c r="AG574" s="97"/>
      <c r="AH574" s="92"/>
      <c r="AI574" s="96"/>
      <c r="AJ574" s="330"/>
      <c r="AL574" s="81"/>
    </row>
    <row r="575" spans="1:38" ht="12.75" customHeight="1">
      <c r="A575" s="95" t="s">
        <v>196</v>
      </c>
      <c r="B575" s="96" t="s">
        <v>2246</v>
      </c>
      <c r="C575" s="96" t="str">
        <f t="shared" si="54"/>
        <v>Yes</v>
      </c>
      <c r="D575" s="96" t="str">
        <f>VLOOKUP(A575,'Tox Summary'!$O$3:$R$824,3,FALSE)</f>
        <v>Yes</v>
      </c>
      <c r="E575" s="97">
        <f>VLOOKUP(A575,'Parameters Summary'!$B$2:$AB$826,4,FALSE)</f>
        <v>326.44</v>
      </c>
      <c r="F575" s="97" t="str">
        <f>VLOOKUP(A575,'Parameters Summary'!$B$2:$AB$826,5,FALSE)</f>
        <v>PHYSPROP</v>
      </c>
      <c r="G575" s="93">
        <f>VLOOKUP(A575,'Parameters Summary'!$B$2:$AB$826,9,FALSE)</f>
        <v>5.4700000000000001E-6</v>
      </c>
      <c r="H575" s="93" t="str">
        <f>VLOOKUP(A575,'Parameters Summary'!$B$2:$AB$826,10,FALSE)</f>
        <v>PHYSPROP</v>
      </c>
      <c r="I575" s="93">
        <f>VLOOKUP(A575,'Parameters Summary'!$B$2:$AB$826,24,FALSE)</f>
        <v>1.5980000000000001E-2</v>
      </c>
      <c r="J575" s="97" t="str">
        <f>VLOOKUP(A575,'Parameters Summary'!$B$2:$AB$826,25,FALSE)</f>
        <v>PHYSPROP</v>
      </c>
      <c r="K575" s="97" t="str">
        <f>VLOOKUP(A575,'Tox Summary'!$O$3:$S$827,2,FALSE)</f>
        <v/>
      </c>
      <c r="L575" s="93">
        <f>VLOOKUP(A575,'Parameters Summary'!$B$2:$AB$826,7,FALSE)</f>
        <v>9.2399999999999996E-5</v>
      </c>
      <c r="M575" s="93" t="str">
        <f>VLOOKUP(A575,'Parameters Summary'!$B$2:$AB$826,8,FALSE)</f>
        <v>PHYSPROP</v>
      </c>
      <c r="N575" s="91">
        <f>VLOOKUP(A575,'Parameters Summary'!$B$2:$AB$826,6,FALSE)</f>
        <v>3.7775999999999999E-3</v>
      </c>
      <c r="O575" s="91" t="str">
        <f t="shared" si="52"/>
        <v/>
      </c>
      <c r="P575" s="91">
        <f t="shared" si="55"/>
        <v>3.7775999999999999E-3</v>
      </c>
      <c r="Q575" s="91" t="str">
        <f t="shared" si="53"/>
        <v/>
      </c>
      <c r="R575" s="91">
        <f t="shared" si="56"/>
        <v>3.7775999999999999E-3</v>
      </c>
      <c r="S575" s="91" t="str">
        <f t="shared" si="57"/>
        <v/>
      </c>
      <c r="T575" s="93">
        <f>VLOOKUP(A575,'Parameters Summary'!$B$2:$AB$826,15,FALSE)</f>
        <v>4.6705499999999997E-2</v>
      </c>
      <c r="U575" s="93" t="str">
        <f>VLOOKUP(A575,'Parameters Summary'!$B$2:$AB$826,17,FALSE)</f>
        <v>WATER9 (U.S. EPA, 2001)</v>
      </c>
      <c r="V575" s="93">
        <f>VLOOKUP(A575,'Parameters Summary'!$B$2:$AB$826,16,FALSE)</f>
        <v>6.0595000000000002E-6</v>
      </c>
      <c r="W575" s="379" t="str">
        <f>VLOOKUP(A575,'Parameters Summary'!$B$2:$AB$826,17,FALSE)</f>
        <v>WATER9 (U.S. EPA, 2001)</v>
      </c>
      <c r="X575" s="290">
        <f>378.1+273.15</f>
        <v>651.25</v>
      </c>
      <c r="Y575" s="96" t="s">
        <v>553</v>
      </c>
      <c r="Z575" s="96">
        <f>1.5*X575</f>
        <v>976.875</v>
      </c>
      <c r="AA575" s="96" t="s">
        <v>2220</v>
      </c>
      <c r="AB575" s="96" t="s">
        <v>1651</v>
      </c>
      <c r="AC575" s="96"/>
      <c r="AD575" s="93">
        <f>VLOOKUP(A575,'Parameters Summary'!$B$2:$AB$826,20,FALSE)</f>
        <v>130500</v>
      </c>
      <c r="AE575" s="97" t="str">
        <f>VLOOKUP(A575,'Parameters Summary'!$B$2:$AB$826,21,FALSE)</f>
        <v>EPI</v>
      </c>
      <c r="AF575" s="380"/>
      <c r="AG575" s="97"/>
      <c r="AH575" s="92"/>
      <c r="AI575" s="96"/>
      <c r="AJ575" s="330"/>
      <c r="AL575" s="81"/>
    </row>
    <row r="576" spans="1:38" ht="12.75" customHeight="1">
      <c r="A576" s="95" t="s">
        <v>194</v>
      </c>
      <c r="B576" s="96" t="s">
        <v>2247</v>
      </c>
      <c r="C576" s="96" t="str">
        <f t="shared" si="54"/>
        <v>Yes</v>
      </c>
      <c r="D576" s="96" t="str">
        <f>VLOOKUP(A576,'Tox Summary'!$O$3:$R$824,3,FALSE)</f>
        <v>Yes</v>
      </c>
      <c r="E576" s="97">
        <f>VLOOKUP(A576,'Parameters Summary'!$B$2:$AB$826,4,FALSE)</f>
        <v>326.44</v>
      </c>
      <c r="F576" s="97" t="str">
        <f>VLOOKUP(A576,'Parameters Summary'!$B$2:$AB$826,5,FALSE)</f>
        <v>PHYSPROP</v>
      </c>
      <c r="G576" s="93">
        <f>VLOOKUP(A576,'Parameters Summary'!$B$2:$AB$826,9,FALSE)</f>
        <v>8.9740000000000008E-6</v>
      </c>
      <c r="H576" s="93" t="str">
        <f>VLOOKUP(A576,'Parameters Summary'!$B$2:$AB$826,10,FALSE)</f>
        <v>PHYSPROP</v>
      </c>
      <c r="I576" s="93">
        <f>VLOOKUP(A576,'Parameters Summary'!$B$2:$AB$826,24,FALSE)</f>
        <v>1.34E-2</v>
      </c>
      <c r="J576" s="97" t="str">
        <f>VLOOKUP(A576,'Parameters Summary'!$B$2:$AB$826,25,FALSE)</f>
        <v>PHYSPROP</v>
      </c>
      <c r="K576" s="97" t="str">
        <f>VLOOKUP(A576,'Tox Summary'!$O$3:$S$827,2,FALSE)</f>
        <v/>
      </c>
      <c r="L576" s="93">
        <f>VLOOKUP(A576,'Parameters Summary'!$B$2:$AB$826,7,FALSE)</f>
        <v>2.8800000000000001E-4</v>
      </c>
      <c r="M576" s="93" t="str">
        <f>VLOOKUP(A576,'Parameters Summary'!$B$2:$AB$826,8,FALSE)</f>
        <v>EPI</v>
      </c>
      <c r="N576" s="91">
        <f>VLOOKUP(A576,'Parameters Summary'!$B$2:$AB$826,6,FALSE)</f>
        <v>1.17743E-2</v>
      </c>
      <c r="O576" s="91" t="str">
        <f t="shared" si="52"/>
        <v/>
      </c>
      <c r="P576" s="91">
        <f t="shared" si="55"/>
        <v>1.17743E-2</v>
      </c>
      <c r="Q576" s="91" t="str">
        <f t="shared" si="53"/>
        <v/>
      </c>
      <c r="R576" s="91">
        <f t="shared" si="56"/>
        <v>1.17743E-2</v>
      </c>
      <c r="S576" s="91" t="str">
        <f t="shared" si="57"/>
        <v/>
      </c>
      <c r="T576" s="93">
        <f>VLOOKUP(A576,'Parameters Summary'!$B$2:$AB$826,15,FALSE)</f>
        <v>4.6705499999999997E-2</v>
      </c>
      <c r="U576" s="93" t="str">
        <f>VLOOKUP(A576,'Parameters Summary'!$B$2:$AB$826,17,FALSE)</f>
        <v>WATER9 (U.S. EPA, 2001)</v>
      </c>
      <c r="V576" s="93">
        <f>VLOOKUP(A576,'Parameters Summary'!$B$2:$AB$826,16,FALSE)</f>
        <v>6.0595000000000002E-6</v>
      </c>
      <c r="W576" s="379" t="str">
        <f>VLOOKUP(A576,'Parameters Summary'!$B$2:$AB$826,17,FALSE)</f>
        <v>WATER9 (U.S. EPA, 2001)</v>
      </c>
      <c r="X576" s="290">
        <f>378.1+273.15</f>
        <v>651.25</v>
      </c>
      <c r="Y576" s="96" t="s">
        <v>553</v>
      </c>
      <c r="Z576" s="96">
        <f>1.5*X576</f>
        <v>976.875</v>
      </c>
      <c r="AA576" s="96" t="s">
        <v>2220</v>
      </c>
      <c r="AB576" s="96" t="s">
        <v>1651</v>
      </c>
      <c r="AC576" s="96"/>
      <c r="AD576" s="93">
        <f>VLOOKUP(A576,'Parameters Summary'!$B$2:$AB$826,20,FALSE)</f>
        <v>127900</v>
      </c>
      <c r="AE576" s="97" t="str">
        <f>VLOOKUP(A576,'Parameters Summary'!$B$2:$AB$826,21,FALSE)</f>
        <v>EPI</v>
      </c>
      <c r="AF576" s="380"/>
      <c r="AG576" s="97"/>
      <c r="AH576" s="92"/>
      <c r="AI576" s="96"/>
      <c r="AJ576" s="330"/>
      <c r="AL576" s="81"/>
    </row>
    <row r="577" spans="1:38" ht="12.75" customHeight="1">
      <c r="A577" s="95" t="s">
        <v>193</v>
      </c>
      <c r="B577" s="96" t="s">
        <v>2248</v>
      </c>
      <c r="C577" s="96" t="str">
        <f t="shared" si="54"/>
        <v>Yes</v>
      </c>
      <c r="D577" s="96" t="str">
        <f>VLOOKUP(A577,'Tox Summary'!$O$3:$R$824,3,FALSE)</f>
        <v>No</v>
      </c>
      <c r="E577" s="97">
        <f>VLOOKUP(A577,'Parameters Summary'!$B$2:$AB$826,4,FALSE)</f>
        <v>326.44</v>
      </c>
      <c r="F577" s="97" t="str">
        <f>VLOOKUP(A577,'Parameters Summary'!$B$2:$AB$826,5,FALSE)</f>
        <v>EPI</v>
      </c>
      <c r="G577" s="93">
        <f>VLOOKUP(A577,'Parameters Summary'!$B$2:$AB$826,9,FALSE)</f>
        <v>5.4700000000000001E-6</v>
      </c>
      <c r="H577" s="93" t="str">
        <f>VLOOKUP(A577,'Parameters Summary'!$B$2:$AB$826,10,FALSE)</f>
        <v>EPI</v>
      </c>
      <c r="I577" s="93">
        <f>VLOOKUP(A577,'Parameters Summary'!$B$2:$AB$826,24,FALSE)</f>
        <v>1.6E-2</v>
      </c>
      <c r="J577" s="97" t="str">
        <f>VLOOKUP(A577,'Parameters Summary'!$B$2:$AB$826,25,FALSE)</f>
        <v>EPI</v>
      </c>
      <c r="K577" s="97" t="str">
        <f>VLOOKUP(A577,'Tox Summary'!$O$3:$S$827,2,FALSE)</f>
        <v/>
      </c>
      <c r="L577" s="93">
        <f>VLOOKUP(A577,'Parameters Summary'!$B$2:$AB$826,7,FALSE)</f>
        <v>1.9000000000000001E-4</v>
      </c>
      <c r="M577" s="93" t="str">
        <f>VLOOKUP(A577,'Parameters Summary'!$B$2:$AB$826,8,FALSE)</f>
        <v>EPI</v>
      </c>
      <c r="N577" s="91">
        <f>VLOOKUP(A577,'Parameters Summary'!$B$2:$AB$826,6,FALSE)</f>
        <v>7.7678000000000001E-3</v>
      </c>
      <c r="O577" s="91" t="str">
        <f t="shared" si="52"/>
        <v/>
      </c>
      <c r="P577" s="91">
        <f t="shared" si="55"/>
        <v>7.7678000000000001E-3</v>
      </c>
      <c r="Q577" s="91" t="str">
        <f t="shared" si="53"/>
        <v/>
      </c>
      <c r="R577" s="91">
        <f t="shared" si="56"/>
        <v>7.7678000000000001E-3</v>
      </c>
      <c r="S577" s="91" t="str">
        <f t="shared" si="57"/>
        <v/>
      </c>
      <c r="T577" s="93">
        <f>VLOOKUP(A577,'Parameters Summary'!$B$2:$AB$826,15,FALSE)</f>
        <v>4.6705499999999997E-2</v>
      </c>
      <c r="U577" s="93" t="str">
        <f>VLOOKUP(A577,'Parameters Summary'!$B$2:$AB$826,17,FALSE)</f>
        <v>WATER9 (U.S. EPA, 2001)</v>
      </c>
      <c r="V577" s="93">
        <f>VLOOKUP(A577,'Parameters Summary'!$B$2:$AB$826,16,FALSE)</f>
        <v>6.0595000000000002E-6</v>
      </c>
      <c r="W577" s="379" t="str">
        <f>VLOOKUP(A577,'Parameters Summary'!$B$2:$AB$826,17,FALSE)</f>
        <v>WATER9 (U.S. EPA, 2001)</v>
      </c>
      <c r="X577" s="290">
        <f>378.1+273.15</f>
        <v>651.25</v>
      </c>
      <c r="Y577" s="96" t="s">
        <v>553</v>
      </c>
      <c r="Z577" s="96">
        <f>1.5*X577</f>
        <v>976.875</v>
      </c>
      <c r="AA577" s="96" t="s">
        <v>2220</v>
      </c>
      <c r="AB577" s="96" t="s">
        <v>1651</v>
      </c>
      <c r="AC577" s="96"/>
      <c r="AD577" s="93">
        <f>VLOOKUP(A577,'Parameters Summary'!$B$2:$AB$826,20,FALSE)</f>
        <v>130500</v>
      </c>
      <c r="AE577" s="97" t="str">
        <f>VLOOKUP(A577,'Parameters Summary'!$B$2:$AB$826,21,FALSE)</f>
        <v>EPI</v>
      </c>
      <c r="AF577" s="380"/>
      <c r="AG577" s="97"/>
      <c r="AH577" s="92"/>
      <c r="AI577" s="96"/>
      <c r="AJ577" s="330"/>
      <c r="AL577" s="81"/>
    </row>
    <row r="578" spans="1:38" ht="12.75" customHeight="1">
      <c r="A578" s="95" t="s">
        <v>197</v>
      </c>
      <c r="B578" s="96" t="s">
        <v>2249</v>
      </c>
      <c r="C578" s="96" t="str">
        <f t="shared" si="54"/>
        <v>Yes</v>
      </c>
      <c r="D578" s="96" t="str">
        <f>VLOOKUP(A578,'Tox Summary'!$O$3:$R$824,3,FALSE)</f>
        <v>Yes</v>
      </c>
      <c r="E578" s="97">
        <f>VLOOKUP(A578,'Parameters Summary'!$B$2:$AB$826,4,FALSE)</f>
        <v>326.44</v>
      </c>
      <c r="F578" s="97" t="str">
        <f>VLOOKUP(A578,'Parameters Summary'!$B$2:$AB$826,5,FALSE)</f>
        <v>EPI</v>
      </c>
      <c r="G578" s="93">
        <f>VLOOKUP(A578,'Parameters Summary'!$B$2:$AB$826,9,FALSE)</f>
        <v>2.2199999999999999E-6</v>
      </c>
      <c r="H578" s="93" t="str">
        <f>VLOOKUP(A578,'Parameters Summary'!$B$2:$AB$826,10,FALSE)</f>
        <v>EPI</v>
      </c>
      <c r="I578" s="93">
        <f>VLOOKUP(A578,'Parameters Summary'!$B$2:$AB$826,24,FALSE)</f>
        <v>7.3282E-3</v>
      </c>
      <c r="J578" s="97" t="str">
        <f>VLOOKUP(A578,'Parameters Summary'!$B$2:$AB$826,25,FALSE)</f>
        <v>EPI</v>
      </c>
      <c r="K578" s="97" t="str">
        <f>VLOOKUP(A578,'Tox Summary'!$O$3:$S$827,2,FALSE)</f>
        <v/>
      </c>
      <c r="L578" s="93">
        <f>VLOOKUP(A578,'Parameters Summary'!$B$2:$AB$826,7,FALSE)</f>
        <v>1.9000000000000001E-4</v>
      </c>
      <c r="M578" s="93" t="str">
        <f>VLOOKUP(A578,'Parameters Summary'!$B$2:$AB$826,8,FALSE)</f>
        <v>EPI</v>
      </c>
      <c r="N578" s="91">
        <f>VLOOKUP(A578,'Parameters Summary'!$B$2:$AB$826,6,FALSE)</f>
        <v>7.7678000000000001E-3</v>
      </c>
      <c r="O578" s="91" t="str">
        <f t="shared" si="52"/>
        <v/>
      </c>
      <c r="P578" s="91">
        <f t="shared" si="55"/>
        <v>7.7678000000000001E-3</v>
      </c>
      <c r="Q578" s="91" t="str">
        <f t="shared" si="53"/>
        <v/>
      </c>
      <c r="R578" s="91">
        <f t="shared" si="56"/>
        <v>7.7678000000000001E-3</v>
      </c>
      <c r="S578" s="91" t="str">
        <f t="shared" si="57"/>
        <v/>
      </c>
      <c r="T578" s="93">
        <f>VLOOKUP(A578,'Parameters Summary'!$B$2:$AB$826,15,FALSE)</f>
        <v>4.6705499999999997E-2</v>
      </c>
      <c r="U578" s="93" t="str">
        <f>VLOOKUP(A578,'Parameters Summary'!$B$2:$AB$826,17,FALSE)</f>
        <v>WATER9 (U.S. EPA, 2001)</v>
      </c>
      <c r="V578" s="93">
        <f>VLOOKUP(A578,'Parameters Summary'!$B$2:$AB$826,16,FALSE)</f>
        <v>6.0595000000000002E-6</v>
      </c>
      <c r="W578" s="379" t="str">
        <f>VLOOKUP(A578,'Parameters Summary'!$B$2:$AB$826,17,FALSE)</f>
        <v>WATER9 (U.S. EPA, 2001)</v>
      </c>
      <c r="X578" s="290">
        <f>378.1+273.15</f>
        <v>651.25</v>
      </c>
      <c r="Y578" s="96" t="s">
        <v>553</v>
      </c>
      <c r="Z578" s="96">
        <f>1.5*X578</f>
        <v>976.875</v>
      </c>
      <c r="AA578" s="96" t="s">
        <v>2220</v>
      </c>
      <c r="AB578" s="96" t="s">
        <v>1651</v>
      </c>
      <c r="AC578" s="96"/>
      <c r="AD578" s="93">
        <f>VLOOKUP(A578,'Parameters Summary'!$B$2:$AB$826,20,FALSE)</f>
        <v>127900</v>
      </c>
      <c r="AE578" s="97" t="str">
        <f>VLOOKUP(A578,'Parameters Summary'!$B$2:$AB$826,21,FALSE)</f>
        <v>EPI</v>
      </c>
      <c r="AF578" s="380"/>
      <c r="AG578" s="97"/>
      <c r="AH578" s="92"/>
      <c r="AI578" s="96"/>
      <c r="AJ578" s="330"/>
      <c r="AL578" s="81"/>
    </row>
    <row r="579" spans="1:38" ht="12.75" customHeight="1">
      <c r="A579" s="96" t="s">
        <v>156</v>
      </c>
      <c r="B579" s="96" t="s">
        <v>540</v>
      </c>
      <c r="C579" s="96" t="str">
        <f t="shared" si="54"/>
        <v>Yes</v>
      </c>
      <c r="D579" s="96" t="str">
        <f>VLOOKUP(A579,'Tox Summary'!$O$3:$R$824,3,FALSE)</f>
        <v>No</v>
      </c>
      <c r="E579" s="97">
        <f>VLOOKUP(A579,'Parameters Summary'!$B$2:$AB$826,4,FALSE)</f>
        <v>202.3</v>
      </c>
      <c r="F579" s="97" t="str">
        <f>VLOOKUP(A579,'Parameters Summary'!$B$2:$AB$826,5,FALSE)</f>
        <v>PHYSPROP</v>
      </c>
      <c r="G579" s="93">
        <f>VLOOKUP(A579,'Parameters Summary'!$B$2:$AB$826,9,FALSE)</f>
        <v>3.5</v>
      </c>
      <c r="H579" s="93" t="str">
        <f>VLOOKUP(A579,'Parameters Summary'!$B$2:$AB$826,10,FALSE)</f>
        <v>PHYSPROP</v>
      </c>
      <c r="I579" s="93">
        <f>VLOOKUP(A579,'Parameters Summary'!$B$2:$AB$826,24,FALSE)</f>
        <v>490</v>
      </c>
      <c r="J579" s="97" t="str">
        <f>VLOOKUP(A579,'Parameters Summary'!$B$2:$AB$826,25,FALSE)</f>
        <v>PHYSPROP</v>
      </c>
      <c r="K579" s="97" t="str">
        <f>VLOOKUP(A579,'Tox Summary'!$O$3:$S$827,2,FALSE)</f>
        <v/>
      </c>
      <c r="L579" s="93">
        <f>VLOOKUP(A579,'Parameters Summary'!$B$2:$AB$826,7,FALSE)</f>
        <v>1.9400000000000001E-3</v>
      </c>
      <c r="M579" s="93" t="str">
        <f>VLOOKUP(A579,'Parameters Summary'!$B$2:$AB$826,8,FALSE)</f>
        <v>EPI</v>
      </c>
      <c r="N579" s="91">
        <f>VLOOKUP(A579,'Parameters Summary'!$B$2:$AB$826,6,FALSE)</f>
        <v>7.93132E-2</v>
      </c>
      <c r="O579" s="91" t="str">
        <f t="shared" si="52"/>
        <v/>
      </c>
      <c r="P579" s="91">
        <f t="shared" si="55"/>
        <v>7.93132E-2</v>
      </c>
      <c r="Q579" s="91" t="str">
        <f t="shared" si="53"/>
        <v/>
      </c>
      <c r="R579" s="91">
        <f t="shared" si="56"/>
        <v>7.93132E-2</v>
      </c>
      <c r="S579" s="91" t="str">
        <f t="shared" si="57"/>
        <v/>
      </c>
      <c r="T579" s="93">
        <f>VLOOKUP(A579,'Parameters Summary'!$B$2:$AB$826,15,FALSE)</f>
        <v>3.1516700000000002E-2</v>
      </c>
      <c r="U579" s="93" t="str">
        <f>VLOOKUP(A579,'Parameters Summary'!$B$2:$AB$826,17,FALSE)</f>
        <v>WATER9 (U.S. EPA, 2001)</v>
      </c>
      <c r="V579" s="93">
        <f>VLOOKUP(A579,'Parameters Summary'!$B$2:$AB$826,16,FALSE)</f>
        <v>8.5663999999999998E-6</v>
      </c>
      <c r="W579" s="379" t="str">
        <f>VLOOKUP(A579,'Parameters Summary'!$B$2:$AB$826,17,FALSE)</f>
        <v>WATER9 (U.S. EPA, 2001)</v>
      </c>
      <c r="X579" s="290">
        <v>435.15</v>
      </c>
      <c r="Y579" s="96" t="s">
        <v>553</v>
      </c>
      <c r="Z579" s="96" t="s">
        <v>1653</v>
      </c>
      <c r="AA579" s="96" t="s">
        <v>2215</v>
      </c>
      <c r="AB579" s="96">
        <v>157743</v>
      </c>
      <c r="AC579" s="96" t="s">
        <v>2214</v>
      </c>
      <c r="AD579" s="93">
        <f>VLOOKUP(A579,'Parameters Summary'!$B$2:$AB$826,20,FALSE)</f>
        <v>136.19999999999999</v>
      </c>
      <c r="AE579" s="97" t="str">
        <f>VLOOKUP(A579,'Parameters Summary'!$B$2:$AB$826,21,FALSE)</f>
        <v>EPI</v>
      </c>
      <c r="AF579" s="97"/>
      <c r="AG579" s="94"/>
      <c r="AH579" s="92"/>
      <c r="AI579" s="96"/>
      <c r="AJ579" s="330"/>
      <c r="AL579" s="81"/>
    </row>
    <row r="580" spans="1:38" ht="12.75" customHeight="1">
      <c r="A580" s="96" t="s">
        <v>157</v>
      </c>
      <c r="B580" s="96" t="s">
        <v>1288</v>
      </c>
      <c r="C580" s="96" t="str">
        <f t="shared" si="54"/>
        <v>Yes</v>
      </c>
      <c r="D580" s="96" t="str">
        <f>VLOOKUP(A580,'Tox Summary'!$O$3:$R$824,3,FALSE)</f>
        <v>No</v>
      </c>
      <c r="E580" s="97">
        <f>VLOOKUP(A580,'Parameters Summary'!$B$2:$AB$826,4,FALSE)</f>
        <v>295.33999999999997</v>
      </c>
      <c r="F580" s="97" t="str">
        <f>VLOOKUP(A580,'Parameters Summary'!$B$2:$AB$826,5,FALSE)</f>
        <v>PHYSPROP</v>
      </c>
      <c r="G580" s="93">
        <f>VLOOKUP(A580,'Parameters Summary'!$B$2:$AB$826,9,FALSE)</f>
        <v>5.0000000000000002E-5</v>
      </c>
      <c r="H580" s="93" t="str">
        <f>VLOOKUP(A580,'Parameters Summary'!$B$2:$AB$826,10,FALSE)</f>
        <v>PHYSPROP</v>
      </c>
      <c r="I580" s="93">
        <f>VLOOKUP(A580,'Parameters Summary'!$B$2:$AB$826,24,FALSE)</f>
        <v>0.44</v>
      </c>
      <c r="J580" s="97" t="str">
        <f>VLOOKUP(A580,'Parameters Summary'!$B$2:$AB$826,25,FALSE)</f>
        <v>PHYSPROP</v>
      </c>
      <c r="K580" s="97" t="str">
        <f>VLOOKUP(A580,'Tox Summary'!$O$3:$S$827,2,FALSE)</f>
        <v/>
      </c>
      <c r="L580" s="93">
        <f>VLOOKUP(A580,'Parameters Summary'!$B$2:$AB$826,7,FALSE)</f>
        <v>4.4199999999999997E-5</v>
      </c>
      <c r="M580" s="93" t="str">
        <f>VLOOKUP(A580,'Parameters Summary'!$B$2:$AB$826,8,FALSE)</f>
        <v>EPI</v>
      </c>
      <c r="N580" s="91">
        <f>VLOOKUP(A580,'Parameters Summary'!$B$2:$AB$826,6,FALSE)</f>
        <v>1.807E-3</v>
      </c>
      <c r="O580" s="91" t="str">
        <f t="shared" si="52"/>
        <v/>
      </c>
      <c r="P580" s="91">
        <f t="shared" si="55"/>
        <v>1.807E-3</v>
      </c>
      <c r="Q580" s="91" t="str">
        <f t="shared" si="53"/>
        <v/>
      </c>
      <c r="R580" s="91">
        <f t="shared" si="56"/>
        <v>1.807E-3</v>
      </c>
      <c r="S580" s="91" t="str">
        <f t="shared" si="57"/>
        <v/>
      </c>
      <c r="T580" s="93">
        <f>VLOOKUP(A580,'Parameters Summary'!$B$2:$AB$826,15,FALSE)</f>
        <v>2.6274200000000001E-2</v>
      </c>
      <c r="U580" s="93" t="str">
        <f>VLOOKUP(A580,'Parameters Summary'!$B$2:$AB$826,17,FALSE)</f>
        <v>WATER9 (U.S. EPA, 2001)</v>
      </c>
      <c r="V580" s="93">
        <f>VLOOKUP(A580,'Parameters Summary'!$B$2:$AB$826,16,FALSE)</f>
        <v>6.9198000000000002E-6</v>
      </c>
      <c r="W580" s="379" t="str">
        <f>VLOOKUP(A580,'Parameters Summary'!$B$2:$AB$826,17,FALSE)</f>
        <v>WATER9 (U.S. EPA, 2001)</v>
      </c>
      <c r="X580" s="290">
        <v>601.15</v>
      </c>
      <c r="Y580" s="96" t="s">
        <v>553</v>
      </c>
      <c r="Z580" s="96" t="s">
        <v>1653</v>
      </c>
      <c r="AA580" s="96"/>
      <c r="AB580" s="96" t="s">
        <v>1651</v>
      </c>
      <c r="AC580" s="96"/>
      <c r="AD580" s="93">
        <f>VLOOKUP(A580,'Parameters Summary'!$B$2:$AB$826,20,FALSE)</f>
        <v>5996</v>
      </c>
      <c r="AE580" s="97" t="str">
        <f>VLOOKUP(A580,'Parameters Summary'!$B$2:$AB$826,21,FALSE)</f>
        <v>EPI</v>
      </c>
      <c r="AF580" s="97"/>
      <c r="AG580" s="94"/>
      <c r="AH580" s="92"/>
      <c r="AI580" s="96"/>
      <c r="AJ580" s="330"/>
      <c r="AL580" s="81"/>
    </row>
    <row r="581" spans="1:38" ht="12.75" customHeight="1">
      <c r="A581" s="96" t="s">
        <v>158</v>
      </c>
      <c r="B581" s="96" t="s">
        <v>393</v>
      </c>
      <c r="C581" s="96" t="str">
        <f t="shared" si="54"/>
        <v>No</v>
      </c>
      <c r="D581" s="96" t="str">
        <f>VLOOKUP(A581,'Tox Summary'!$O$3:$R$824,3,FALSE)</f>
        <v>No</v>
      </c>
      <c r="E581" s="97">
        <f>VLOOKUP(A581,'Parameters Summary'!$B$2:$AB$826,4,FALSE)</f>
        <v>266.33999999999997</v>
      </c>
      <c r="F581" s="97" t="str">
        <f>VLOOKUP(A581,'Parameters Summary'!$B$2:$AB$826,5,FALSE)</f>
        <v>PHYSPROP</v>
      </c>
      <c r="G581" s="93">
        <f>VLOOKUP(A581,'Parameters Summary'!$B$2:$AB$826,9,FALSE)</f>
        <v>1.1E-4</v>
      </c>
      <c r="H581" s="93" t="str">
        <f>VLOOKUP(A581,'Parameters Summary'!$B$2:$AB$826,10,FALSE)</f>
        <v>PHYSPROP</v>
      </c>
      <c r="I581" s="93">
        <f>VLOOKUP(A581,'Parameters Summary'!$B$2:$AB$826,24,FALSE)</f>
        <v>14</v>
      </c>
      <c r="J581" s="97" t="str">
        <f>VLOOKUP(A581,'Parameters Summary'!$B$2:$AB$826,25,FALSE)</f>
        <v>PHYSPROP</v>
      </c>
      <c r="K581" s="97">
        <f>VLOOKUP(A581,'Tox Summary'!$O$3:$S$827,2,FALSE)</f>
        <v>1</v>
      </c>
      <c r="L581" s="93">
        <f>VLOOKUP(A581,'Parameters Summary'!$B$2:$AB$826,7,FALSE)</f>
        <v>2.4500000000000001E-8</v>
      </c>
      <c r="M581" s="93" t="str">
        <f>VLOOKUP(A581,'Parameters Summary'!$B$2:$AB$826,8,FALSE)</f>
        <v>PHYSPROP</v>
      </c>
      <c r="N581" s="91">
        <f>VLOOKUP(A581,'Parameters Summary'!$B$2:$AB$826,6,FALSE)</f>
        <v>1.0016000000000001E-6</v>
      </c>
      <c r="O581" s="91" t="str">
        <f t="shared" si="52"/>
        <v/>
      </c>
      <c r="P581" s="91">
        <f t="shared" si="55"/>
        <v>1.0016000000000001E-6</v>
      </c>
      <c r="Q581" s="91" t="str">
        <f t="shared" si="53"/>
        <v/>
      </c>
      <c r="R581" s="91">
        <f t="shared" si="56"/>
        <v>1.0016000000000001E-6</v>
      </c>
      <c r="S581" s="91" t="str">
        <f t="shared" si="57"/>
        <v/>
      </c>
      <c r="T581" s="93">
        <f>VLOOKUP(A581,'Parameters Summary'!$B$2:$AB$826,15,FALSE)</f>
        <v>2.9519699999999999E-2</v>
      </c>
      <c r="U581" s="93" t="str">
        <f>VLOOKUP(A581,'Parameters Summary'!$B$2:$AB$826,17,FALSE)</f>
        <v>WATER9 (U.S. EPA, 2001)</v>
      </c>
      <c r="V581" s="93">
        <f>VLOOKUP(A581,'Parameters Summary'!$B$2:$AB$826,16,FALSE)</f>
        <v>8.0121000000000008E-6</v>
      </c>
      <c r="W581" s="379" t="str">
        <f>VLOOKUP(A581,'Parameters Summary'!$B$2:$AB$826,17,FALSE)</f>
        <v>WATER9 (U.S. EPA, 2001)</v>
      </c>
      <c r="X581" s="290">
        <f>273.15+310</f>
        <v>583.15</v>
      </c>
      <c r="Y581" s="96" t="s">
        <v>553</v>
      </c>
      <c r="Z581" s="96" t="s">
        <v>1653</v>
      </c>
      <c r="AA581" s="96"/>
      <c r="AB581" s="96" t="s">
        <v>1651</v>
      </c>
      <c r="AC581" s="96"/>
      <c r="AD581" s="93">
        <f>VLOOKUP(A581,'Parameters Summary'!$B$2:$AB$826,20,FALSE)</f>
        <v>592</v>
      </c>
      <c r="AE581" s="97" t="str">
        <f>VLOOKUP(A581,'Parameters Summary'!$B$2:$AB$826,21,FALSE)</f>
        <v>SSL</v>
      </c>
      <c r="AF581" s="97"/>
      <c r="AG581" s="94"/>
      <c r="AH581" s="92"/>
      <c r="AI581" s="96"/>
      <c r="AJ581" s="330"/>
      <c r="AL581" s="81"/>
    </row>
    <row r="582" spans="1:38" ht="12.75" customHeight="1">
      <c r="A582" s="96" t="s">
        <v>1576</v>
      </c>
      <c r="B582" s="96" t="s">
        <v>1575</v>
      </c>
      <c r="C582" s="96" t="str">
        <f t="shared" si="54"/>
        <v>No</v>
      </c>
      <c r="D582" s="96" t="str">
        <f>VLOOKUP(A582,'Tox Summary'!$O$3:$R$824,3,FALSE)</f>
        <v>No</v>
      </c>
      <c r="E582" s="97">
        <f>VLOOKUP(A582,'Parameters Summary'!$B$2:$AB$826,4,FALSE)</f>
        <v>316.14</v>
      </c>
      <c r="F582" s="97" t="str">
        <f>VLOOKUP(A582,'Parameters Summary'!$B$2:$AB$826,5,FALSE)</f>
        <v>PHYSPROP</v>
      </c>
      <c r="G582" s="93">
        <f>VLOOKUP(A582,'Parameters Summary'!$B$2:$AB$826,9,FALSE)</f>
        <v>5.45E-9</v>
      </c>
      <c r="H582" s="93" t="str">
        <f>VLOOKUP(A582,'Parameters Summary'!$B$2:$AB$826,10,FALSE)</f>
        <v>EPI</v>
      </c>
      <c r="I582" s="93">
        <f>VLOOKUP(A582,'Parameters Summary'!$B$2:$AB$826,24,FALSE)</f>
        <v>43</v>
      </c>
      <c r="J582" s="97" t="str">
        <f>VLOOKUP(A582,'Parameters Summary'!$B$2:$AB$826,25,FALSE)</f>
        <v>PHYSPROP</v>
      </c>
      <c r="K582" s="97" t="str">
        <f>VLOOKUP(A582,'Tox Summary'!$O$3:$S$827,2,FALSE)</f>
        <v/>
      </c>
      <c r="L582" s="93">
        <f>VLOOKUP(A582,'Parameters Summary'!$B$2:$AB$826,7,FALSE)</f>
        <v>1.32E-9</v>
      </c>
      <c r="M582" s="93" t="str">
        <f>VLOOKUP(A582,'Parameters Summary'!$B$2:$AB$826,8,FALSE)</f>
        <v>PHYSPROP</v>
      </c>
      <c r="N582" s="91">
        <f>VLOOKUP(A582,'Parameters Summary'!$B$2:$AB$826,6,FALSE)</f>
        <v>5.3966000000000002E-8</v>
      </c>
      <c r="O582" s="91" t="str">
        <f t="shared" si="52"/>
        <v/>
      </c>
      <c r="P582" s="91">
        <f t="shared" si="55"/>
        <v>5.3966000000000002E-8</v>
      </c>
      <c r="Q582" s="91" t="str">
        <f t="shared" si="53"/>
        <v/>
      </c>
      <c r="R582" s="91">
        <f t="shared" si="56"/>
        <v>5.3966000000000002E-8</v>
      </c>
      <c r="S582" s="91" t="str">
        <f t="shared" si="57"/>
        <v/>
      </c>
      <c r="T582" s="93">
        <f>VLOOKUP(A582,'Parameters Summary'!$B$2:$AB$826,15,FALSE)</f>
        <v>2.5756000000000001E-2</v>
      </c>
      <c r="U582" s="93" t="str">
        <f>VLOOKUP(A582,'Parameters Summary'!$B$2:$AB$826,17,FALSE)</f>
        <v>WATER9 (U.S. EPA, 2001)</v>
      </c>
      <c r="V582" s="93">
        <f>VLOOKUP(A582,'Parameters Summary'!$B$2:$AB$826,16,FALSE)</f>
        <v>6.7696999999999997E-6</v>
      </c>
      <c r="W582" s="379" t="str">
        <f>VLOOKUP(A582,'Parameters Summary'!$B$2:$AB$826,17,FALSE)</f>
        <v>WATER9 (U.S. EPA, 2001)</v>
      </c>
      <c r="X582" s="347"/>
      <c r="Y582" s="96"/>
      <c r="Z582" s="96" t="s">
        <v>1653</v>
      </c>
      <c r="AA582" s="96"/>
      <c r="AB582" s="96" t="s">
        <v>1651</v>
      </c>
      <c r="AC582" s="96"/>
      <c r="AD582" s="93">
        <f>VLOOKUP(A582,'Parameters Summary'!$B$2:$AB$826,20,FALSE)</f>
        <v>647.9</v>
      </c>
      <c r="AE582" s="97" t="str">
        <f>VLOOKUP(A582,'Parameters Summary'!$B$2:$AB$826,21,FALSE)</f>
        <v>EPI</v>
      </c>
      <c r="AF582" s="97"/>
      <c r="AG582" s="94"/>
      <c r="AH582" s="92"/>
      <c r="AI582" s="96"/>
      <c r="AJ582" s="330"/>
      <c r="AL582" s="81"/>
    </row>
    <row r="583" spans="1:38" ht="12.75" customHeight="1">
      <c r="A583" s="95" t="s">
        <v>159</v>
      </c>
      <c r="B583" s="96" t="s">
        <v>609</v>
      </c>
      <c r="C583" s="96" t="str">
        <f t="shared" si="54"/>
        <v>Yes</v>
      </c>
      <c r="D583" s="96" t="str">
        <f>VLOOKUP(A583,'Tox Summary'!$O$3:$R$824,3,FALSE)</f>
        <v>Yes</v>
      </c>
      <c r="E583" s="97">
        <f>VLOOKUP(A583,'Parameters Summary'!$B$2:$AB$826,4,FALSE)</f>
        <v>72.150999999999996</v>
      </c>
      <c r="F583" s="97" t="str">
        <f>VLOOKUP(A583,'Parameters Summary'!$B$2:$AB$826,5,FALSE)</f>
        <v>PHYSPROP</v>
      </c>
      <c r="G583" s="93">
        <f>VLOOKUP(A583,'Parameters Summary'!$B$2:$AB$826,9,FALSE)</f>
        <v>514</v>
      </c>
      <c r="H583" s="93" t="str">
        <f>VLOOKUP(A583,'Parameters Summary'!$B$2:$AB$826,10,FALSE)</f>
        <v>PHYSPROP</v>
      </c>
      <c r="I583" s="93">
        <f>VLOOKUP(A583,'Parameters Summary'!$B$2:$AB$826,24,FALSE)</f>
        <v>38</v>
      </c>
      <c r="J583" s="97" t="str">
        <f>VLOOKUP(A583,'Parameters Summary'!$B$2:$AB$826,25,FALSE)</f>
        <v>PHYSPROP</v>
      </c>
      <c r="K583" s="97" t="str">
        <f>VLOOKUP(A583,'Tox Summary'!$O$3:$S$827,2,FALSE)</f>
        <v/>
      </c>
      <c r="L583" s="93">
        <f>VLOOKUP(A583,'Parameters Summary'!$B$2:$AB$826,7,FALSE)</f>
        <v>1.25</v>
      </c>
      <c r="M583" s="93" t="str">
        <f>VLOOKUP(A583,'Parameters Summary'!$B$2:$AB$826,8,FALSE)</f>
        <v>PHYSPROP</v>
      </c>
      <c r="N583" s="91">
        <f>VLOOKUP(A583,'Parameters Summary'!$B$2:$AB$826,6,FALSE)</f>
        <v>51.103842999999998</v>
      </c>
      <c r="O583" s="91">
        <f t="shared" si="52"/>
        <v>51.103842999999998</v>
      </c>
      <c r="P583" s="91">
        <f t="shared" si="55"/>
        <v>51.103842999999998</v>
      </c>
      <c r="Q583" s="91">
        <f t="shared" si="53"/>
        <v>51.103842999999998</v>
      </c>
      <c r="R583" s="91">
        <f t="shared" si="56"/>
        <v>51.103842999999998</v>
      </c>
      <c r="S583" s="91">
        <f t="shared" si="57"/>
        <v>1995531854.2480299</v>
      </c>
      <c r="T583" s="93">
        <f>VLOOKUP(A583,'Parameters Summary'!$B$2:$AB$826,15,FALSE)</f>
        <v>8.2129300000000002E-2</v>
      </c>
      <c r="U583" s="93" t="str">
        <f>VLOOKUP(A583,'Parameters Summary'!$B$2:$AB$826,17,FALSE)</f>
        <v>WATER9 (U.S. EPA, 2001)</v>
      </c>
      <c r="V583" s="93">
        <f>VLOOKUP(A583,'Parameters Summary'!$B$2:$AB$826,16,FALSE)</f>
        <v>8.7973999999999998E-6</v>
      </c>
      <c r="W583" s="379" t="str">
        <f>VLOOKUP(A583,'Parameters Summary'!$B$2:$AB$826,17,FALSE)</f>
        <v>WATER9 (U.S. EPA, 2001)</v>
      </c>
      <c r="X583" s="290">
        <v>309</v>
      </c>
      <c r="Y583" s="96" t="s">
        <v>2217</v>
      </c>
      <c r="Z583" s="96">
        <v>469.7</v>
      </c>
      <c r="AA583" s="96" t="s">
        <v>2215</v>
      </c>
      <c r="AB583" s="96">
        <v>6155.06</v>
      </c>
      <c r="AC583" s="96" t="s">
        <v>2218</v>
      </c>
      <c r="AD583" s="93">
        <f>VLOOKUP(A583,'Parameters Summary'!$B$2:$AB$826,20,FALSE)</f>
        <v>72.17</v>
      </c>
      <c r="AE583" s="97" t="str">
        <f>VLOOKUP(A583,'Parameters Summary'!$B$2:$AB$826,21,FALSE)</f>
        <v>EPI</v>
      </c>
      <c r="AF583" s="380"/>
      <c r="AG583" s="97"/>
      <c r="AH583" s="92"/>
      <c r="AI583" s="96"/>
      <c r="AJ583" s="330"/>
      <c r="AL583" s="81"/>
    </row>
    <row r="584" spans="1:38" ht="12.75" customHeight="1">
      <c r="A584" s="96" t="s">
        <v>160</v>
      </c>
      <c r="B584" s="96" t="s">
        <v>2378</v>
      </c>
      <c r="C584" s="96" t="str">
        <f t="shared" si="54"/>
        <v>No</v>
      </c>
      <c r="D584" s="96" t="str">
        <f>VLOOKUP(A584,'Tox Summary'!$O$3:$R$824,3,FALSE)</f>
        <v>No</v>
      </c>
      <c r="E584" s="97">
        <f>VLOOKUP(A584,'Parameters Summary'!$B$2:$AB$826,4,FALSE)</f>
        <v>117.49</v>
      </c>
      <c r="F584" s="97" t="str">
        <f>VLOOKUP(A584,'Parameters Summary'!$B$2:$AB$826,5,FALSE)</f>
        <v>CRC89</v>
      </c>
      <c r="G584" s="93" t="s">
        <v>2439</v>
      </c>
      <c r="H584" s="93" t="str">
        <f>VLOOKUP(A584,'Parameters Summary'!$B$2:$AB$826,10,FALSE)</f>
        <v/>
      </c>
      <c r="I584" s="93">
        <f>VLOOKUP(A584,'Parameters Summary'!$B$2:$AB$826,24,FALSE)</f>
        <v>245000</v>
      </c>
      <c r="J584" s="97" t="str">
        <f>VLOOKUP(A584,'Parameters Summary'!$B$2:$AB$826,25,FALSE)</f>
        <v>CRC89</v>
      </c>
      <c r="K584" s="97" t="str">
        <f>VLOOKUP(A584,'Tox Summary'!$O$3:$S$827,2,FALSE)</f>
        <v>1.5E+01(F)</v>
      </c>
      <c r="L584" s="93" t="s">
        <v>2298</v>
      </c>
      <c r="M584" s="93" t="str">
        <f>VLOOKUP(A584,'Parameters Summary'!$B$2:$AB$826,8,FALSE)</f>
        <v/>
      </c>
      <c r="N584" s="91" t="str">
        <f>VLOOKUP(A584,'Parameters Summary'!$B$2:$AB$826,6,FALSE)</f>
        <v xml:space="preserve"> </v>
      </c>
      <c r="O584" s="91" t="str">
        <f t="shared" si="52"/>
        <v/>
      </c>
      <c r="P584" s="91" t="str">
        <f t="shared" si="55"/>
        <v xml:space="preserve"> </v>
      </c>
      <c r="Q584" s="91" t="str">
        <f t="shared" si="53"/>
        <v/>
      </c>
      <c r="R584" s="91" t="str">
        <f t="shared" si="56"/>
        <v xml:space="preserve"> </v>
      </c>
      <c r="S584" s="91" t="str">
        <f t="shared" si="57"/>
        <v/>
      </c>
      <c r="T584" s="93" t="str">
        <f>VLOOKUP(A584,'Parameters Summary'!$B$2:$AB$826,15,FALSE)</f>
        <v xml:space="preserve"> </v>
      </c>
      <c r="U584" s="93" t="str">
        <f>VLOOKUP(A584,'Parameters Summary'!$B$2:$AB$826,17,FALSE)</f>
        <v/>
      </c>
      <c r="V584" s="93" t="str">
        <f>VLOOKUP(A584,'Parameters Summary'!$B$2:$AB$826,16,FALSE)</f>
        <v xml:space="preserve"> </v>
      </c>
      <c r="W584" s="379" t="str">
        <f>VLOOKUP(A584,'Parameters Summary'!$B$2:$AB$826,17,FALSE)</f>
        <v/>
      </c>
      <c r="X584" s="347"/>
      <c r="Y584" s="96"/>
      <c r="Z584" s="96" t="s">
        <v>1653</v>
      </c>
      <c r="AA584" s="96"/>
      <c r="AB584" s="96" t="s">
        <v>1651</v>
      </c>
      <c r="AC584" s="96"/>
      <c r="AD584" s="93" t="str">
        <f>VLOOKUP(A584,'Parameters Summary'!$B$2:$AB$826,20,FALSE)</f>
        <v xml:space="preserve"> </v>
      </c>
      <c r="AE584" s="97" t="str">
        <f>VLOOKUP(A584,'Parameters Summary'!$B$2:$AB$826,21,FALSE)</f>
        <v/>
      </c>
      <c r="AF584" s="97"/>
      <c r="AG584" s="94"/>
      <c r="AH584" s="92"/>
      <c r="AI584" s="96"/>
      <c r="AJ584" s="330"/>
      <c r="AL584" s="81"/>
    </row>
    <row r="585" spans="1:38" ht="12.75" customHeight="1">
      <c r="A585" s="96" t="s">
        <v>2126</v>
      </c>
      <c r="B585" s="96" t="s">
        <v>2429</v>
      </c>
      <c r="C585" s="96" t="str">
        <f t="shared" si="54"/>
        <v>No</v>
      </c>
      <c r="D585" s="96" t="str">
        <f>VLOOKUP(A585,'Tox Summary'!$O$3:$R$824,3,FALSE)</f>
        <v>No</v>
      </c>
      <c r="E585" s="97">
        <f>VLOOKUP(A585,'Parameters Summary'!$B$2:$AB$826,4,FALSE)</f>
        <v>300.10000000000002</v>
      </c>
      <c r="F585" s="97" t="str">
        <f>VLOOKUP(A585,'Parameters Summary'!$B$2:$AB$826,5,FALSE)</f>
        <v>PHYSPROP</v>
      </c>
      <c r="G585" s="93" t="s">
        <v>2439</v>
      </c>
      <c r="H585" s="93" t="str">
        <f>VLOOKUP(A585,'Parameters Summary'!$B$2:$AB$826,10,FALSE)</f>
        <v/>
      </c>
      <c r="I585" s="93">
        <f>VLOOKUP(A585,'Parameters Summary'!$B$2:$AB$826,24,FALSE)</f>
        <v>56600</v>
      </c>
      <c r="J585" s="97" t="str">
        <f>VLOOKUP(A585,'Parameters Summary'!$B$2:$AB$826,25,FALSE)</f>
        <v>CHR Australia</v>
      </c>
      <c r="K585" s="97" t="str">
        <f>VLOOKUP(A585,'Tox Summary'!$O$3:$S$827,2,FALSE)</f>
        <v/>
      </c>
      <c r="L585" s="93" t="s">
        <v>2298</v>
      </c>
      <c r="M585" s="93" t="str">
        <f>VLOOKUP(A585,'Parameters Summary'!$B$2:$AB$826,8,FALSE)</f>
        <v/>
      </c>
      <c r="N585" s="91" t="str">
        <f>VLOOKUP(A585,'Parameters Summary'!$B$2:$AB$826,6,FALSE)</f>
        <v xml:space="preserve"> </v>
      </c>
      <c r="O585" s="91" t="str">
        <f t="shared" si="52"/>
        <v/>
      </c>
      <c r="P585" s="91" t="str">
        <f t="shared" si="55"/>
        <v xml:space="preserve"> </v>
      </c>
      <c r="Q585" s="91" t="str">
        <f t="shared" si="53"/>
        <v/>
      </c>
      <c r="R585" s="91" t="str">
        <f t="shared" si="56"/>
        <v xml:space="preserve"> </v>
      </c>
      <c r="S585" s="91" t="str">
        <f t="shared" si="57"/>
        <v/>
      </c>
      <c r="T585" s="93">
        <f>VLOOKUP(A585,'Parameters Summary'!$B$2:$AB$826,15,FALSE)</f>
        <v>2.6954100000000002E-2</v>
      </c>
      <c r="U585" s="93" t="str">
        <f>VLOOKUP(A585,'Parameters Summary'!$B$2:$AB$826,17,FALSE)</f>
        <v>WATER9 (U.S. EPA, 2001)</v>
      </c>
      <c r="V585" s="93">
        <f>VLOOKUP(A585,'Parameters Summary'!$B$2:$AB$826,16,FALSE)</f>
        <v>7.1602999999999999E-6</v>
      </c>
      <c r="W585" s="379" t="str">
        <f>VLOOKUP(A585,'Parameters Summary'!$B$2:$AB$826,17,FALSE)</f>
        <v>WATER9 (U.S. EPA, 2001)</v>
      </c>
      <c r="X585" s="290">
        <v>484.15</v>
      </c>
      <c r="Y585" s="96" t="s">
        <v>553</v>
      </c>
      <c r="Z585" s="96" t="s">
        <v>1653</v>
      </c>
      <c r="AA585" s="96"/>
      <c r="AB585" s="96" t="s">
        <v>1651</v>
      </c>
      <c r="AC585" s="96"/>
      <c r="AD585" s="93">
        <f>VLOOKUP(A585,'Parameters Summary'!$B$2:$AB$826,20,FALSE)</f>
        <v>61.66</v>
      </c>
      <c r="AE585" s="97" t="str">
        <f>VLOOKUP(A585,'Parameters Summary'!$B$2:$AB$826,21,FALSE)</f>
        <v>Guelfo and Higgins</v>
      </c>
      <c r="AF585" s="97"/>
      <c r="AG585" s="94"/>
      <c r="AH585" s="92"/>
      <c r="AI585" s="96"/>
      <c r="AJ585" s="330"/>
      <c r="AL585" s="81"/>
    </row>
    <row r="586" spans="1:38" ht="12.75" customHeight="1">
      <c r="A586" s="96" t="s">
        <v>161</v>
      </c>
      <c r="B586" s="96" t="s">
        <v>1289</v>
      </c>
      <c r="C586" s="96" t="str">
        <f t="shared" si="54"/>
        <v>No</v>
      </c>
      <c r="D586" s="96" t="str">
        <f>VLOOKUP(A586,'Tox Summary'!$O$3:$R$824,3,FALSE)</f>
        <v>Yes</v>
      </c>
      <c r="E586" s="97">
        <f>VLOOKUP(A586,'Parameters Summary'!$B$2:$AB$826,4,FALSE)</f>
        <v>391.3</v>
      </c>
      <c r="F586" s="97" t="str">
        <f>VLOOKUP(A586,'Parameters Summary'!$B$2:$AB$826,5,FALSE)</f>
        <v>PHYSPROP</v>
      </c>
      <c r="G586" s="93">
        <f>VLOOKUP(A586,'Parameters Summary'!$B$2:$AB$826,9,FALSE)</f>
        <v>2.18E-8</v>
      </c>
      <c r="H586" s="93" t="str">
        <f>VLOOKUP(A586,'Parameters Summary'!$B$2:$AB$826,10,FALSE)</f>
        <v>PHYSPROP</v>
      </c>
      <c r="I586" s="93">
        <f>VLOOKUP(A586,'Parameters Summary'!$B$2:$AB$826,24,FALSE)</f>
        <v>6.0000000000000001E-3</v>
      </c>
      <c r="J586" s="97" t="str">
        <f>VLOOKUP(A586,'Parameters Summary'!$B$2:$AB$826,25,FALSE)</f>
        <v>PHYSPROP</v>
      </c>
      <c r="K586" s="97" t="str">
        <f>VLOOKUP(A586,'Tox Summary'!$O$3:$S$827,2,FALSE)</f>
        <v/>
      </c>
      <c r="L586" s="93">
        <f>VLOOKUP(A586,'Parameters Summary'!$B$2:$AB$826,7,FALSE)</f>
        <v>1.8700000000000001E-6</v>
      </c>
      <c r="M586" s="93" t="str">
        <f>VLOOKUP(A586,'Parameters Summary'!$B$2:$AB$826,8,FALSE)</f>
        <v>EPI</v>
      </c>
      <c r="N586" s="91">
        <f>VLOOKUP(A586,'Parameters Summary'!$B$2:$AB$826,6,FALSE)</f>
        <v>7.6500000000000003E-5</v>
      </c>
      <c r="O586" s="91" t="str">
        <f t="shared" si="52"/>
        <v/>
      </c>
      <c r="P586" s="91">
        <f t="shared" si="55"/>
        <v>7.6500000000000003E-5</v>
      </c>
      <c r="Q586" s="91" t="str">
        <f t="shared" si="53"/>
        <v/>
      </c>
      <c r="R586" s="91">
        <f t="shared" si="56"/>
        <v>7.6500000000000003E-5</v>
      </c>
      <c r="S586" s="91" t="str">
        <f t="shared" si="57"/>
        <v/>
      </c>
      <c r="T586" s="93">
        <f>VLOOKUP(A586,'Parameters Summary'!$B$2:$AB$826,15,FALSE)</f>
        <v>1.9375699999999999E-2</v>
      </c>
      <c r="U586" s="93" t="str">
        <f>VLOOKUP(A586,'Parameters Summary'!$B$2:$AB$826,17,FALSE)</f>
        <v>WATER9 (U.S. EPA, 2001)</v>
      </c>
      <c r="V586" s="93">
        <f>VLOOKUP(A586,'Parameters Summary'!$B$2:$AB$826,16,FALSE)</f>
        <v>4.7831E-6</v>
      </c>
      <c r="W586" s="379" t="str">
        <f>VLOOKUP(A586,'Parameters Summary'!$B$2:$AB$826,17,FALSE)</f>
        <v>WATER9 (U.S. EPA, 2001)</v>
      </c>
      <c r="X586" s="290">
        <v>493.15</v>
      </c>
      <c r="Y586" s="96" t="s">
        <v>553</v>
      </c>
      <c r="Z586" s="96" t="s">
        <v>1653</v>
      </c>
      <c r="AA586" s="96"/>
      <c r="AB586" s="96" t="s">
        <v>1651</v>
      </c>
      <c r="AC586" s="96"/>
      <c r="AD586" s="93">
        <f>VLOOKUP(A586,'Parameters Summary'!$B$2:$AB$826,20,FALSE)</f>
        <v>118800</v>
      </c>
      <c r="AE586" s="97" t="str">
        <f>VLOOKUP(A586,'Parameters Summary'!$B$2:$AB$826,21,FALSE)</f>
        <v>EPI</v>
      </c>
      <c r="AF586" s="97"/>
      <c r="AG586" s="94"/>
      <c r="AH586" s="92"/>
      <c r="AI586" s="96"/>
      <c r="AJ586" s="330"/>
      <c r="AL586" s="81"/>
    </row>
    <row r="587" spans="1:38" ht="12.75" customHeight="1">
      <c r="A587" s="96" t="s">
        <v>162</v>
      </c>
      <c r="B587" s="96" t="s">
        <v>610</v>
      </c>
      <c r="C587" s="96" t="str">
        <f t="shared" si="54"/>
        <v>No</v>
      </c>
      <c r="D587" s="96" t="str">
        <f>VLOOKUP(A587,'Tox Summary'!$O$3:$R$824,3,FALSE)</f>
        <v>No</v>
      </c>
      <c r="E587" s="97">
        <f>VLOOKUP(A587,'Parameters Summary'!$B$2:$AB$826,4,FALSE)</f>
        <v>179.22</v>
      </c>
      <c r="F587" s="97" t="str">
        <f>VLOOKUP(A587,'Parameters Summary'!$B$2:$AB$826,5,FALSE)</f>
        <v>PHYSPROP</v>
      </c>
      <c r="G587" s="93">
        <f>VLOOKUP(A587,'Parameters Summary'!$B$2:$AB$826,9,FALSE)</f>
        <v>6.92E-7</v>
      </c>
      <c r="H587" s="93" t="str">
        <f>VLOOKUP(A587,'Parameters Summary'!$B$2:$AB$826,10,FALSE)</f>
        <v>PHYSPROP</v>
      </c>
      <c r="I587" s="93">
        <f>VLOOKUP(A587,'Parameters Summary'!$B$2:$AB$826,24,FALSE)</f>
        <v>766</v>
      </c>
      <c r="J587" s="97" t="str">
        <f>VLOOKUP(A587,'Parameters Summary'!$B$2:$AB$826,25,FALSE)</f>
        <v>PHYSPROP</v>
      </c>
      <c r="K587" s="97" t="str">
        <f>VLOOKUP(A587,'Tox Summary'!$O$3:$S$827,2,FALSE)</f>
        <v/>
      </c>
      <c r="L587" s="93">
        <f>VLOOKUP(A587,'Parameters Summary'!$B$2:$AB$826,7,FALSE)</f>
        <v>2.1299999999999999E-10</v>
      </c>
      <c r="M587" s="93" t="str">
        <f>VLOOKUP(A587,'Parameters Summary'!$B$2:$AB$826,8,FALSE)</f>
        <v>EPI</v>
      </c>
      <c r="N587" s="91">
        <f>VLOOKUP(A587,'Parameters Summary'!$B$2:$AB$826,6,FALSE)</f>
        <v>8.7080999999999997E-9</v>
      </c>
      <c r="O587" s="91" t="str">
        <f t="shared" si="52"/>
        <v/>
      </c>
      <c r="P587" s="91">
        <f t="shared" si="55"/>
        <v>8.7080999999999997E-9</v>
      </c>
      <c r="Q587" s="91" t="str">
        <f t="shared" si="53"/>
        <v/>
      </c>
      <c r="R587" s="91">
        <f t="shared" si="56"/>
        <v>8.7080999999999997E-9</v>
      </c>
      <c r="S587" s="91" t="str">
        <f t="shared" si="57"/>
        <v/>
      </c>
      <c r="T587" s="93">
        <f>VLOOKUP(A587,'Parameters Summary'!$B$2:$AB$826,15,FALSE)</f>
        <v>5.9771699999999997E-2</v>
      </c>
      <c r="U587" s="93" t="str">
        <f>VLOOKUP(A587,'Parameters Summary'!$B$2:$AB$826,17,FALSE)</f>
        <v>WATER9 (U.S. EPA, 2001)</v>
      </c>
      <c r="V587" s="93">
        <f>VLOOKUP(A587,'Parameters Summary'!$B$2:$AB$826,16,FALSE)</f>
        <v>6.9839000000000002E-6</v>
      </c>
      <c r="W587" s="379" t="str">
        <f>VLOOKUP(A587,'Parameters Summary'!$B$2:$AB$826,17,FALSE)</f>
        <v>WATER9 (U.S. EPA, 2001)</v>
      </c>
      <c r="X587" s="290">
        <v>516.65</v>
      </c>
      <c r="Y587" s="96" t="s">
        <v>553</v>
      </c>
      <c r="Z587" s="96" t="s">
        <v>1653</v>
      </c>
      <c r="AA587" s="96"/>
      <c r="AB587" s="96" t="s">
        <v>1651</v>
      </c>
      <c r="AC587" s="96"/>
      <c r="AD587" s="93">
        <f>VLOOKUP(A587,'Parameters Summary'!$B$2:$AB$826,20,FALSE)</f>
        <v>40.99</v>
      </c>
      <c r="AE587" s="97" t="str">
        <f>VLOOKUP(A587,'Parameters Summary'!$B$2:$AB$826,21,FALSE)</f>
        <v>EPI</v>
      </c>
      <c r="AF587" s="97"/>
      <c r="AG587" s="94"/>
      <c r="AH587" s="92"/>
      <c r="AI587" s="96"/>
      <c r="AJ587" s="330"/>
      <c r="AL587" s="81"/>
    </row>
    <row r="588" spans="1:38" ht="12.75" customHeight="1">
      <c r="A588" s="96" t="s">
        <v>163</v>
      </c>
      <c r="B588" s="96" t="s">
        <v>1290</v>
      </c>
      <c r="C588" s="96" t="str">
        <f t="shared" si="54"/>
        <v>No</v>
      </c>
      <c r="D588" s="96" t="str">
        <f>VLOOKUP(A588,'Tox Summary'!$O$3:$R$824,3,FALSE)</f>
        <v>No</v>
      </c>
      <c r="E588" s="97">
        <f>VLOOKUP(A588,'Parameters Summary'!$B$2:$AB$826,4,FALSE)</f>
        <v>300.32</v>
      </c>
      <c r="F588" s="97" t="str">
        <f>VLOOKUP(A588,'Parameters Summary'!$B$2:$AB$826,5,FALSE)</f>
        <v>PHYSPROP</v>
      </c>
      <c r="G588" s="93">
        <f>VLOOKUP(A588,'Parameters Summary'!$B$2:$AB$826,9,FALSE)</f>
        <v>9.9999999999999994E-12</v>
      </c>
      <c r="H588" s="93" t="str">
        <f>VLOOKUP(A588,'Parameters Summary'!$B$2:$AB$826,10,FALSE)</f>
        <v>PHYSPROP</v>
      </c>
      <c r="I588" s="93">
        <f>VLOOKUP(A588,'Parameters Summary'!$B$2:$AB$826,24,FALSE)</f>
        <v>4.7</v>
      </c>
      <c r="J588" s="97" t="str">
        <f>VLOOKUP(A588,'Parameters Summary'!$B$2:$AB$826,25,FALSE)</f>
        <v>PHYSPROP</v>
      </c>
      <c r="K588" s="97" t="str">
        <f>VLOOKUP(A588,'Tox Summary'!$O$3:$S$827,2,FALSE)</f>
        <v/>
      </c>
      <c r="L588" s="93">
        <f>VLOOKUP(A588,'Parameters Summary'!$B$2:$AB$826,7,FALSE)</f>
        <v>8.4099999999999995E-13</v>
      </c>
      <c r="M588" s="93" t="str">
        <f>VLOOKUP(A588,'Parameters Summary'!$B$2:$AB$826,8,FALSE)</f>
        <v>EPI</v>
      </c>
      <c r="N588" s="91">
        <f>VLOOKUP(A588,'Parameters Summary'!$B$2:$AB$826,6,FALSE)</f>
        <v>3.4380000000000002E-11</v>
      </c>
      <c r="O588" s="91" t="str">
        <f t="shared" ref="O588:O621" si="58">IF(OR(L588="No Hc25",Z588="No Tcrit",AB588="No DHv,b"),"",N588*EXP((-(AB588*((1-(Tgw+273)/Z588)/(1-X588/Z588))^(IF(X588/Z588&lt;0.57,0.3,IF(X588/Z588&gt;0.71,0.41,0.74*(X588/Z588)-0.116))))/1.9872)*(1/(Tgw+273)-1/298)))</f>
        <v/>
      </c>
      <c r="P588" s="91">
        <f t="shared" si="55"/>
        <v>3.4380000000000002E-11</v>
      </c>
      <c r="Q588" s="91" t="str">
        <f t="shared" ref="Q588:Q651" si="59">IF(OR(L588="No Hc25",Z588="No Tcrit",AB588="No DHv,b"),"",N588*EXP((-(AB588*((1-(Tgw_GW+273)/Z588)/(1-X588/Z588))^(IF(X588/Z588&lt;0.57,0.3,IF(X588/Z588&gt;0.71,0.41,0.74*(X588/Z588)-0.116))))/1.9872)*(1/(Tgw_GW+273)-1/298)))</f>
        <v/>
      </c>
      <c r="R588" s="91">
        <f t="shared" si="56"/>
        <v>3.4380000000000002E-11</v>
      </c>
      <c r="S588" s="91" t="str">
        <f t="shared" si="57"/>
        <v/>
      </c>
      <c r="T588" s="93">
        <f>VLOOKUP(A588,'Parameters Summary'!$B$2:$AB$826,15,FALSE)</f>
        <v>4.2367299999999997E-2</v>
      </c>
      <c r="U588" s="93" t="str">
        <f>VLOOKUP(A588,'Parameters Summary'!$B$2:$AB$826,17,FALSE)</f>
        <v>WATER9 (U.S. EPA, 2001)</v>
      </c>
      <c r="V588" s="93">
        <f>VLOOKUP(A588,'Parameters Summary'!$B$2:$AB$826,16,FALSE)</f>
        <v>4.9502999999999999E-6</v>
      </c>
      <c r="W588" s="379" t="str">
        <f>VLOOKUP(A588,'Parameters Summary'!$B$2:$AB$826,17,FALSE)</f>
        <v>WATER9 (U.S. EPA, 2001)</v>
      </c>
      <c r="X588" s="347"/>
      <c r="Y588" s="96"/>
      <c r="Z588" s="96" t="s">
        <v>1653</v>
      </c>
      <c r="AA588" s="96"/>
      <c r="AB588" s="96" t="s">
        <v>1651</v>
      </c>
      <c r="AC588" s="96"/>
      <c r="AD588" s="93">
        <f>VLOOKUP(A588,'Parameters Summary'!$B$2:$AB$826,20,FALSE)</f>
        <v>2594</v>
      </c>
      <c r="AE588" s="97" t="str">
        <f>VLOOKUP(A588,'Parameters Summary'!$B$2:$AB$826,21,FALSE)</f>
        <v>EPI</v>
      </c>
      <c r="AF588" s="97"/>
      <c r="AG588" s="94"/>
      <c r="AH588" s="92"/>
      <c r="AI588" s="96"/>
      <c r="AJ588" s="330"/>
      <c r="AL588" s="81"/>
    </row>
    <row r="589" spans="1:38" ht="12.75" customHeight="1">
      <c r="A589" s="96" t="s">
        <v>164</v>
      </c>
      <c r="B589" s="96" t="s">
        <v>394</v>
      </c>
      <c r="C589" s="96" t="str">
        <f t="shared" ref="C589:C653" si="60">IF((COUNTIF(G589,"&gt;1")+COUNTIF(L589,"&gt;1E-5"))&gt;0,"Yes","No")</f>
        <v>No</v>
      </c>
      <c r="D589" s="96" t="str">
        <f>VLOOKUP(A589,'Tox Summary'!$O$3:$R$824,3,FALSE)</f>
        <v>No</v>
      </c>
      <c r="E589" s="97">
        <f>VLOOKUP(A589,'Parameters Summary'!$B$2:$AB$826,4,FALSE)</f>
        <v>94.114000000000004</v>
      </c>
      <c r="F589" s="97" t="str">
        <f>VLOOKUP(A589,'Parameters Summary'!$B$2:$AB$826,5,FALSE)</f>
        <v>PHYSPROP</v>
      </c>
      <c r="G589" s="93">
        <f>VLOOKUP(A589,'Parameters Summary'!$B$2:$AB$826,9,FALSE)</f>
        <v>0.35</v>
      </c>
      <c r="H589" s="93" t="str">
        <f>VLOOKUP(A589,'Parameters Summary'!$B$2:$AB$826,10,FALSE)</f>
        <v>PHYSPROP</v>
      </c>
      <c r="I589" s="93">
        <f>VLOOKUP(A589,'Parameters Summary'!$B$2:$AB$826,24,FALSE)</f>
        <v>82800</v>
      </c>
      <c r="J589" s="97" t="str">
        <f>VLOOKUP(A589,'Parameters Summary'!$B$2:$AB$826,25,FALSE)</f>
        <v>PHYSPROP</v>
      </c>
      <c r="K589" s="97" t="str">
        <f>VLOOKUP(A589,'Tox Summary'!$O$3:$S$827,2,FALSE)</f>
        <v/>
      </c>
      <c r="L589" s="93">
        <f>VLOOKUP(A589,'Parameters Summary'!$B$2:$AB$826,7,FALSE)</f>
        <v>3.3299999999999998E-7</v>
      </c>
      <c r="M589" s="93" t="str">
        <f>VLOOKUP(A589,'Parameters Summary'!$B$2:$AB$826,8,FALSE)</f>
        <v>PHYSPROP</v>
      </c>
      <c r="N589" s="91">
        <f>VLOOKUP(A589,'Parameters Summary'!$B$2:$AB$826,6,FALSE)</f>
        <v>1.36E-5</v>
      </c>
      <c r="O589" s="91" t="str">
        <f t="shared" si="58"/>
        <v/>
      </c>
      <c r="P589" s="91">
        <f t="shared" ref="P589:P621" si="61">IF(O589="",N589,O589)</f>
        <v>1.36E-5</v>
      </c>
      <c r="Q589" s="91" t="str">
        <f t="shared" si="59"/>
        <v/>
      </c>
      <c r="R589" s="91">
        <f t="shared" ref="R589:R621" si="62">IF(Q589="",P589,Q589)</f>
        <v>1.36E-5</v>
      </c>
      <c r="S589" s="91" t="str">
        <f t="shared" si="57"/>
        <v/>
      </c>
      <c r="T589" s="93">
        <f>VLOOKUP(A589,'Parameters Summary'!$B$2:$AB$826,15,FALSE)</f>
        <v>8.3398299999999995E-2</v>
      </c>
      <c r="U589" s="93" t="str">
        <f>VLOOKUP(A589,'Parameters Summary'!$B$2:$AB$826,17,FALSE)</f>
        <v>WATER9 (U.S. EPA, 2001)</v>
      </c>
      <c r="V589" s="93">
        <f>VLOOKUP(A589,'Parameters Summary'!$B$2:$AB$826,16,FALSE)</f>
        <v>1.03E-5</v>
      </c>
      <c r="W589" s="379" t="str">
        <f>VLOOKUP(A589,'Parameters Summary'!$B$2:$AB$826,17,FALSE)</f>
        <v>WATER9 (U.S. EPA, 2001)</v>
      </c>
      <c r="X589" s="290">
        <v>454.95</v>
      </c>
      <c r="Y589" s="96" t="s">
        <v>553</v>
      </c>
      <c r="Z589" s="96" t="s">
        <v>1653</v>
      </c>
      <c r="AA589" s="96"/>
      <c r="AB589" s="96" t="s">
        <v>1651</v>
      </c>
      <c r="AC589" s="96"/>
      <c r="AD589" s="93">
        <f>VLOOKUP(A589,'Parameters Summary'!$B$2:$AB$826,20,FALSE)</f>
        <v>187.2</v>
      </c>
      <c r="AE589" s="97" t="str">
        <f>VLOOKUP(A589,'Parameters Summary'!$B$2:$AB$826,21,FALSE)</f>
        <v>EPI</v>
      </c>
      <c r="AF589" s="97"/>
      <c r="AG589" s="94"/>
      <c r="AH589" s="92"/>
      <c r="AI589" s="96"/>
      <c r="AJ589" s="330"/>
      <c r="AL589" s="81"/>
    </row>
    <row r="590" spans="1:38" ht="12.75" customHeight="1">
      <c r="A590" s="96" t="s">
        <v>1579</v>
      </c>
      <c r="B590" s="96" t="s">
        <v>1578</v>
      </c>
      <c r="C590" s="96" t="str">
        <f t="shared" si="60"/>
        <v>No</v>
      </c>
      <c r="D590" s="96" t="str">
        <f>VLOOKUP(A590,'Tox Summary'!$O$3:$R$824,3,FALSE)</f>
        <v>No</v>
      </c>
      <c r="E590" s="97">
        <f>VLOOKUP(A590,'Parameters Summary'!$B$2:$AB$826,4,FALSE)</f>
        <v>199.28</v>
      </c>
      <c r="F590" s="97" t="str">
        <f>VLOOKUP(A590,'Parameters Summary'!$B$2:$AB$826,5,FALSE)</f>
        <v>PHYSPROP</v>
      </c>
      <c r="G590" s="93">
        <f>VLOOKUP(A590,'Parameters Summary'!$B$2:$AB$826,9,FALSE)</f>
        <v>8.8999999999999995E-7</v>
      </c>
      <c r="H590" s="93" t="str">
        <f>VLOOKUP(A590,'Parameters Summary'!$B$2:$AB$826,10,FALSE)</f>
        <v>PHYSPROP</v>
      </c>
      <c r="I590" s="93">
        <f>VLOOKUP(A590,'Parameters Summary'!$B$2:$AB$826,24,FALSE)</f>
        <v>1.59</v>
      </c>
      <c r="J590" s="97" t="str">
        <f>VLOOKUP(A590,'Parameters Summary'!$B$2:$AB$826,25,FALSE)</f>
        <v>PHYSPROP</v>
      </c>
      <c r="K590" s="97" t="str">
        <f>VLOOKUP(A590,'Tox Summary'!$O$3:$S$827,2,FALSE)</f>
        <v/>
      </c>
      <c r="L590" s="93">
        <f>VLOOKUP(A590,'Parameters Summary'!$B$2:$AB$826,7,FALSE)</f>
        <v>2.7999999999999999E-8</v>
      </c>
      <c r="M590" s="93" t="str">
        <f>VLOOKUP(A590,'Parameters Summary'!$B$2:$AB$826,8,FALSE)</f>
        <v>PHYSPROP</v>
      </c>
      <c r="N590" s="91">
        <f>VLOOKUP(A590,'Parameters Summary'!$B$2:$AB$826,6,FALSE)</f>
        <v>1.1447E-6</v>
      </c>
      <c r="O590" s="91" t="str">
        <f t="shared" si="58"/>
        <v/>
      </c>
      <c r="P590" s="91">
        <f t="shared" si="61"/>
        <v>1.1447E-6</v>
      </c>
      <c r="Q590" s="91" t="str">
        <f t="shared" si="59"/>
        <v/>
      </c>
      <c r="R590" s="91">
        <f t="shared" si="62"/>
        <v>1.1447E-6</v>
      </c>
      <c r="S590" s="91" t="str">
        <f t="shared" si="57"/>
        <v/>
      </c>
      <c r="T590" s="93">
        <f>VLOOKUP(A590,'Parameters Summary'!$B$2:$AB$826,15,FALSE)</f>
        <v>2.8997499999999999E-2</v>
      </c>
      <c r="U590" s="93" t="str">
        <f>VLOOKUP(A590,'Parameters Summary'!$B$2:$AB$826,17,FALSE)</f>
        <v>WATER9 (U.S. EPA, 2001)</v>
      </c>
      <c r="V590" s="93">
        <f>VLOOKUP(A590,'Parameters Summary'!$B$2:$AB$826,16,FALSE)</f>
        <v>7.5483999999999996E-6</v>
      </c>
      <c r="W590" s="379" t="str">
        <f>VLOOKUP(A590,'Parameters Summary'!$B$2:$AB$826,17,FALSE)</f>
        <v>WATER9 (U.S. EPA, 2001)</v>
      </c>
      <c r="X590" s="290">
        <v>644.15</v>
      </c>
      <c r="Y590" s="96" t="s">
        <v>553</v>
      </c>
      <c r="Z590" s="96" t="s">
        <v>1653</v>
      </c>
      <c r="AA590" s="96"/>
      <c r="AB590" s="96" t="s">
        <v>1651</v>
      </c>
      <c r="AC590" s="96"/>
      <c r="AD590" s="93">
        <f>VLOOKUP(A590,'Parameters Summary'!$B$2:$AB$826,20,FALSE)</f>
        <v>1475</v>
      </c>
      <c r="AE590" s="97" t="str">
        <f>VLOOKUP(A590,'Parameters Summary'!$B$2:$AB$826,21,FALSE)</f>
        <v>EPI</v>
      </c>
      <c r="AF590" s="97"/>
      <c r="AG590" s="94"/>
      <c r="AH590" s="92"/>
      <c r="AI590" s="96"/>
      <c r="AJ590" s="330"/>
      <c r="AL590" s="81"/>
    </row>
    <row r="591" spans="1:38" ht="12.75" customHeight="1">
      <c r="A591" s="96" t="s">
        <v>165</v>
      </c>
      <c r="B591" s="96" t="s">
        <v>1291</v>
      </c>
      <c r="C591" s="96" t="str">
        <f t="shared" si="60"/>
        <v>No</v>
      </c>
      <c r="D591" s="96" t="str">
        <f>VLOOKUP(A591,'Tox Summary'!$O$3:$R$824,3,FALSE)</f>
        <v>No</v>
      </c>
      <c r="E591" s="97">
        <f>VLOOKUP(A591,'Parameters Summary'!$B$2:$AB$826,4,FALSE)</f>
        <v>108.14</v>
      </c>
      <c r="F591" s="97" t="str">
        <f>VLOOKUP(A591,'Parameters Summary'!$B$2:$AB$826,5,FALSE)</f>
        <v>PHYSPROP</v>
      </c>
      <c r="G591" s="93">
        <f>VLOOKUP(A591,'Parameters Summary'!$B$2:$AB$826,9,FALSE)</f>
        <v>2.0899999999999998E-3</v>
      </c>
      <c r="H591" s="93" t="str">
        <f>VLOOKUP(A591,'Parameters Summary'!$B$2:$AB$826,10,FALSE)</f>
        <v>EPI</v>
      </c>
      <c r="I591" s="93">
        <f>VLOOKUP(A591,'Parameters Summary'!$B$2:$AB$826,24,FALSE)</f>
        <v>238000</v>
      </c>
      <c r="J591" s="97" t="str">
        <f>VLOOKUP(A591,'Parameters Summary'!$B$2:$AB$826,25,FALSE)</f>
        <v>PHYSPROP</v>
      </c>
      <c r="K591" s="97" t="str">
        <f>VLOOKUP(A591,'Tox Summary'!$O$3:$S$827,2,FALSE)</f>
        <v/>
      </c>
      <c r="L591" s="93">
        <f>VLOOKUP(A591,'Parameters Summary'!$B$2:$AB$826,7,FALSE)</f>
        <v>1.25E-9</v>
      </c>
      <c r="M591" s="93" t="str">
        <f>VLOOKUP(A591,'Parameters Summary'!$B$2:$AB$826,8,FALSE)</f>
        <v>EPI</v>
      </c>
      <c r="N591" s="91">
        <f>VLOOKUP(A591,'Parameters Summary'!$B$2:$AB$826,6,FALSE)</f>
        <v>5.1103999999999999E-8</v>
      </c>
      <c r="O591" s="91" t="str">
        <f t="shared" si="58"/>
        <v/>
      </c>
      <c r="P591" s="91">
        <f t="shared" si="61"/>
        <v>5.1103999999999999E-8</v>
      </c>
      <c r="Q591" s="91" t="str">
        <f t="shared" si="59"/>
        <v/>
      </c>
      <c r="R591" s="91">
        <f t="shared" si="62"/>
        <v>5.1103999999999999E-8</v>
      </c>
      <c r="S591" s="91" t="str">
        <f t="shared" ref="S591:S655" si="63">IF(OR(G591="No VP",Z591="No Tcrit",AB591="No DHv,b",L591="No Hc25"),"",G591*E591*53808.7856452378*O591/N591)</f>
        <v/>
      </c>
      <c r="T591" s="93">
        <f>VLOOKUP(A591,'Parameters Summary'!$B$2:$AB$826,15,FALSE)</f>
        <v>7.2115200000000004E-2</v>
      </c>
      <c r="U591" s="93" t="str">
        <f>VLOOKUP(A591,'Parameters Summary'!$B$2:$AB$826,17,FALSE)</f>
        <v>WATER9 (U.S. EPA, 2001)</v>
      </c>
      <c r="V591" s="93">
        <f>VLOOKUP(A591,'Parameters Summary'!$B$2:$AB$826,16,FALSE)</f>
        <v>9.1911000000000008E-6</v>
      </c>
      <c r="W591" s="379" t="str">
        <f>VLOOKUP(A591,'Parameters Summary'!$B$2:$AB$826,17,FALSE)</f>
        <v>WATER9 (U.S. EPA, 2001)</v>
      </c>
      <c r="X591" s="290">
        <v>558.15</v>
      </c>
      <c r="Y591" s="96" t="s">
        <v>553</v>
      </c>
      <c r="Z591" s="96" t="s">
        <v>1653</v>
      </c>
      <c r="AA591" s="96"/>
      <c r="AB591" s="96" t="s">
        <v>1651</v>
      </c>
      <c r="AC591" s="96"/>
      <c r="AD591" s="93">
        <f>VLOOKUP(A591,'Parameters Summary'!$B$2:$AB$826,20,FALSE)</f>
        <v>33.83</v>
      </c>
      <c r="AE591" s="97" t="str">
        <f>VLOOKUP(A591,'Parameters Summary'!$B$2:$AB$826,21,FALSE)</f>
        <v>EPI</v>
      </c>
      <c r="AF591" s="97"/>
      <c r="AG591" s="94"/>
      <c r="AH591" s="92"/>
      <c r="AI591" s="96"/>
      <c r="AJ591" s="330"/>
      <c r="AL591" s="81"/>
    </row>
    <row r="592" spans="1:38" ht="12.75" customHeight="1">
      <c r="A592" s="96" t="s">
        <v>166</v>
      </c>
      <c r="B592" s="96" t="s">
        <v>1292</v>
      </c>
      <c r="C592" s="96" t="str">
        <f t="shared" si="60"/>
        <v>No</v>
      </c>
      <c r="D592" s="96" t="str">
        <f>VLOOKUP(A592,'Tox Summary'!$O$3:$R$824,3,FALSE)</f>
        <v>No</v>
      </c>
      <c r="E592" s="97">
        <f>VLOOKUP(A592,'Parameters Summary'!$B$2:$AB$826,4,FALSE)</f>
        <v>108.14</v>
      </c>
      <c r="F592" s="97" t="str">
        <f>VLOOKUP(A592,'Parameters Summary'!$B$2:$AB$826,5,FALSE)</f>
        <v>PHYSPROP</v>
      </c>
      <c r="G592" s="93">
        <f>VLOOKUP(A592,'Parameters Summary'!$B$2:$AB$826,9,FALSE)</f>
        <v>2.0600000000000002E-3</v>
      </c>
      <c r="H592" s="93" t="str">
        <f>VLOOKUP(A592,'Parameters Summary'!$B$2:$AB$826,10,FALSE)</f>
        <v>EPI</v>
      </c>
      <c r="I592" s="93">
        <f>VLOOKUP(A592,'Parameters Summary'!$B$2:$AB$826,24,FALSE)</f>
        <v>40400</v>
      </c>
      <c r="J592" s="97" t="str">
        <f>VLOOKUP(A592,'Parameters Summary'!$B$2:$AB$826,25,FALSE)</f>
        <v>PHYSPROP</v>
      </c>
      <c r="K592" s="97" t="str">
        <f>VLOOKUP(A592,'Tox Summary'!$O$3:$S$827,2,FALSE)</f>
        <v/>
      </c>
      <c r="L592" s="93">
        <f>VLOOKUP(A592,'Parameters Summary'!$B$2:$AB$826,7,FALSE)</f>
        <v>7.2E-9</v>
      </c>
      <c r="M592" s="93" t="str">
        <f>VLOOKUP(A592,'Parameters Summary'!$B$2:$AB$826,8,FALSE)</f>
        <v>EPI</v>
      </c>
      <c r="N592" s="91">
        <f>VLOOKUP(A592,'Parameters Summary'!$B$2:$AB$826,6,FALSE)</f>
        <v>2.9436E-7</v>
      </c>
      <c r="O592" s="91" t="str">
        <f t="shared" si="58"/>
        <v/>
      </c>
      <c r="P592" s="91">
        <f t="shared" si="61"/>
        <v>2.9436E-7</v>
      </c>
      <c r="Q592" s="91" t="str">
        <f t="shared" si="59"/>
        <v/>
      </c>
      <c r="R592" s="91">
        <f t="shared" si="62"/>
        <v>2.9436E-7</v>
      </c>
      <c r="S592" s="91" t="str">
        <f t="shared" si="63"/>
        <v/>
      </c>
      <c r="T592" s="93">
        <f>VLOOKUP(A592,'Parameters Summary'!$B$2:$AB$826,15,FALSE)</f>
        <v>8.3707199999999995E-2</v>
      </c>
      <c r="U592" s="93" t="str">
        <f>VLOOKUP(A592,'Parameters Summary'!$B$2:$AB$826,17,FALSE)</f>
        <v>WATER9 (U.S. EPA, 2001)</v>
      </c>
      <c r="V592" s="93">
        <f>VLOOKUP(A592,'Parameters Summary'!$B$2:$AB$826,16,FALSE)</f>
        <v>9.7805000000000006E-6</v>
      </c>
      <c r="W592" s="379" t="str">
        <f>VLOOKUP(A592,'Parameters Summary'!$B$2:$AB$826,17,FALSE)</f>
        <v>WATER9 (U.S. EPA, 2001)</v>
      </c>
      <c r="X592" s="290">
        <v>530.15</v>
      </c>
      <c r="Y592" s="96" t="s">
        <v>553</v>
      </c>
      <c r="Z592" s="96" t="s">
        <v>1653</v>
      </c>
      <c r="AA592" s="96"/>
      <c r="AB592" s="96" t="s">
        <v>1651</v>
      </c>
      <c r="AC592" s="96"/>
      <c r="AD592" s="93">
        <f>VLOOKUP(A592,'Parameters Summary'!$B$2:$AB$826,20,FALSE)</f>
        <v>34.520000000000003</v>
      </c>
      <c r="AE592" s="97" t="str">
        <f>VLOOKUP(A592,'Parameters Summary'!$B$2:$AB$826,21,FALSE)</f>
        <v>EPI</v>
      </c>
      <c r="AF592" s="97"/>
      <c r="AG592" s="94"/>
      <c r="AH592" s="92"/>
      <c r="AI592" s="96"/>
      <c r="AJ592" s="330"/>
      <c r="AL592" s="81"/>
    </row>
    <row r="593" spans="1:38" ht="12.75" customHeight="1">
      <c r="A593" s="96" t="s">
        <v>167</v>
      </c>
      <c r="B593" s="96" t="s">
        <v>1293</v>
      </c>
      <c r="C593" s="96" t="str">
        <f t="shared" si="60"/>
        <v>No</v>
      </c>
      <c r="D593" s="96" t="str">
        <f>VLOOKUP(A593,'Tox Summary'!$O$3:$R$824,3,FALSE)</f>
        <v>No</v>
      </c>
      <c r="E593" s="97">
        <f>VLOOKUP(A593,'Parameters Summary'!$B$2:$AB$826,4,FALSE)</f>
        <v>108.14</v>
      </c>
      <c r="F593" s="97" t="str">
        <f>VLOOKUP(A593,'Parameters Summary'!$B$2:$AB$826,5,FALSE)</f>
        <v>PHYSPROP</v>
      </c>
      <c r="G593" s="93">
        <f>VLOOKUP(A593,'Parameters Summary'!$B$2:$AB$826,9,FALSE)</f>
        <v>5.0000000000000001E-3</v>
      </c>
      <c r="H593" s="93" t="str">
        <f>VLOOKUP(A593,'Parameters Summary'!$B$2:$AB$826,10,FALSE)</f>
        <v>PHYSPROP</v>
      </c>
      <c r="I593" s="93">
        <f>VLOOKUP(A593,'Parameters Summary'!$B$2:$AB$826,24,FALSE)</f>
        <v>37000</v>
      </c>
      <c r="J593" s="97" t="str">
        <f>VLOOKUP(A593,'Parameters Summary'!$B$2:$AB$826,25,FALSE)</f>
        <v>PHYSPROP</v>
      </c>
      <c r="K593" s="97" t="str">
        <f>VLOOKUP(A593,'Tox Summary'!$O$3:$S$827,2,FALSE)</f>
        <v/>
      </c>
      <c r="L593" s="93">
        <f>VLOOKUP(A593,'Parameters Summary'!$B$2:$AB$826,7,FALSE)</f>
        <v>6.7299999999999995E-10</v>
      </c>
      <c r="M593" s="93" t="str">
        <f>VLOOKUP(A593,'Parameters Summary'!$B$2:$AB$826,8,FALSE)</f>
        <v>PHYSPROP</v>
      </c>
      <c r="N593" s="91">
        <f>VLOOKUP(A593,'Parameters Summary'!$B$2:$AB$826,6,FALSE)</f>
        <v>2.7514000000000001E-8</v>
      </c>
      <c r="O593" s="91" t="str">
        <f t="shared" si="58"/>
        <v/>
      </c>
      <c r="P593" s="91">
        <f t="shared" si="61"/>
        <v>2.7514000000000001E-8</v>
      </c>
      <c r="Q593" s="91" t="str">
        <f t="shared" si="59"/>
        <v/>
      </c>
      <c r="R593" s="91">
        <f t="shared" si="62"/>
        <v>2.7514000000000001E-8</v>
      </c>
      <c r="S593" s="91" t="str">
        <f t="shared" si="63"/>
        <v/>
      </c>
      <c r="T593" s="93">
        <f>VLOOKUP(A593,'Parameters Summary'!$B$2:$AB$826,15,FALSE)</f>
        <v>8.3707199999999995E-2</v>
      </c>
      <c r="U593" s="93" t="str">
        <f>VLOOKUP(A593,'Parameters Summary'!$B$2:$AB$826,17,FALSE)</f>
        <v>WATER9 (U.S. EPA, 2001)</v>
      </c>
      <c r="V593" s="93">
        <f>VLOOKUP(A593,'Parameters Summary'!$B$2:$AB$826,16,FALSE)</f>
        <v>9.7805000000000006E-6</v>
      </c>
      <c r="W593" s="379" t="str">
        <f>VLOOKUP(A593,'Parameters Summary'!$B$2:$AB$826,17,FALSE)</f>
        <v>WATER9 (U.S. EPA, 2001)</v>
      </c>
      <c r="X593" s="290">
        <v>540.15</v>
      </c>
      <c r="Y593" s="96" t="s">
        <v>553</v>
      </c>
      <c r="Z593" s="96" t="s">
        <v>1653</v>
      </c>
      <c r="AA593" s="96"/>
      <c r="AB593" s="96" t="s">
        <v>1651</v>
      </c>
      <c r="AC593" s="96"/>
      <c r="AD593" s="93">
        <f>VLOOKUP(A593,'Parameters Summary'!$B$2:$AB$826,20,FALSE)</f>
        <v>33.83</v>
      </c>
      <c r="AE593" s="97" t="str">
        <f>VLOOKUP(A593,'Parameters Summary'!$B$2:$AB$826,21,FALSE)</f>
        <v>EPI</v>
      </c>
      <c r="AF593" s="97"/>
      <c r="AG593" s="94"/>
      <c r="AH593" s="92"/>
      <c r="AI593" s="96"/>
      <c r="AJ593" s="330"/>
      <c r="AL593" s="81"/>
    </row>
    <row r="594" spans="1:38" ht="12.75" customHeight="1">
      <c r="A594" s="96" t="s">
        <v>61</v>
      </c>
      <c r="B594" s="96" t="s">
        <v>2339</v>
      </c>
      <c r="C594" s="96" t="str">
        <f t="shared" si="60"/>
        <v>No</v>
      </c>
      <c r="D594" s="96" t="str">
        <f>VLOOKUP(A594,'Tox Summary'!$O$3:$R$824,3,FALSE)</f>
        <v>No</v>
      </c>
      <c r="E594" s="97">
        <f>VLOOKUP(A594,'Parameters Summary'!$B$2:$AB$826,4,FALSE)</f>
        <v>336.74</v>
      </c>
      <c r="F594" s="97" t="str">
        <f>VLOOKUP(A594,'Parameters Summary'!$B$2:$AB$826,5,FALSE)</f>
        <v>PHYSPROP</v>
      </c>
      <c r="G594" s="93">
        <f>VLOOKUP(A594,'Parameters Summary'!$B$2:$AB$826,9,FALSE)</f>
        <v>6.0000000000000002E-6</v>
      </c>
      <c r="H594" s="93" t="str">
        <f>VLOOKUP(A594,'Parameters Summary'!$B$2:$AB$826,10,FALSE)</f>
        <v>PHYSPROP</v>
      </c>
      <c r="I594" s="93">
        <f>VLOOKUP(A594,'Parameters Summary'!$B$2:$AB$826,24,FALSE)</f>
        <v>4370</v>
      </c>
      <c r="J594" s="97" t="str">
        <f>VLOOKUP(A594,'Parameters Summary'!$B$2:$AB$826,25,FALSE)</f>
        <v>PHYSPROP</v>
      </c>
      <c r="K594" s="97" t="str">
        <f>VLOOKUP(A594,'Tox Summary'!$O$3:$S$827,2,FALSE)</f>
        <v/>
      </c>
      <c r="L594" s="93">
        <f>VLOOKUP(A594,'Parameters Summary'!$B$2:$AB$826,7,FALSE)</f>
        <v>5.6600000000000001E-10</v>
      </c>
      <c r="M594" s="93" t="str">
        <f>VLOOKUP(A594,'Parameters Summary'!$B$2:$AB$826,8,FALSE)</f>
        <v>EPI</v>
      </c>
      <c r="N594" s="91">
        <f>VLOOKUP(A594,'Parameters Summary'!$B$2:$AB$826,6,FALSE)</f>
        <v>2.3140000000000001E-8</v>
      </c>
      <c r="O594" s="91" t="str">
        <f t="shared" si="58"/>
        <v/>
      </c>
      <c r="P594" s="91">
        <f t="shared" si="61"/>
        <v>2.3140000000000001E-8</v>
      </c>
      <c r="Q594" s="91" t="str">
        <f t="shared" si="59"/>
        <v/>
      </c>
      <c r="R594" s="91">
        <f t="shared" si="62"/>
        <v>2.3140000000000001E-8</v>
      </c>
      <c r="S594" s="91" t="str">
        <f t="shared" si="63"/>
        <v/>
      </c>
      <c r="T594" s="93">
        <f>VLOOKUP(A594,'Parameters Summary'!$B$2:$AB$826,15,FALSE)</f>
        <v>3.9254600000000001E-2</v>
      </c>
      <c r="U594" s="93" t="str">
        <f>VLOOKUP(A594,'Parameters Summary'!$B$2:$AB$826,17,FALSE)</f>
        <v>WATER9 (U.S. EPA, 2001)</v>
      </c>
      <c r="V594" s="93">
        <f>VLOOKUP(A594,'Parameters Summary'!$B$2:$AB$826,16,FALSE)</f>
        <v>4.5866000000000003E-6</v>
      </c>
      <c r="W594" s="379" t="str">
        <f>VLOOKUP(A594,'Parameters Summary'!$B$2:$AB$826,17,FALSE)</f>
        <v>WATER9 (U.S. EPA, 2001)</v>
      </c>
      <c r="X594" s="347"/>
      <c r="Y594" s="96"/>
      <c r="Z594" s="96" t="s">
        <v>1653</v>
      </c>
      <c r="AA594" s="96"/>
      <c r="AB594" s="96" t="s">
        <v>1651</v>
      </c>
      <c r="AC594" s="96"/>
      <c r="AD594" s="93">
        <f>VLOOKUP(A594,'Parameters Summary'!$B$2:$AB$826,20,FALSE)</f>
        <v>56.44</v>
      </c>
      <c r="AE594" s="97" t="str">
        <f>VLOOKUP(A594,'Parameters Summary'!$B$2:$AB$826,21,FALSE)</f>
        <v>EPI</v>
      </c>
      <c r="AF594" s="97"/>
      <c r="AG594" s="94"/>
      <c r="AH594" s="92"/>
      <c r="AI594" s="96"/>
      <c r="AJ594" s="330"/>
      <c r="AL594" s="81"/>
    </row>
    <row r="595" spans="1:38" ht="12.75" customHeight="1">
      <c r="A595" s="96" t="s">
        <v>168</v>
      </c>
      <c r="B595" s="96" t="s">
        <v>1294</v>
      </c>
      <c r="C595" s="96" t="str">
        <f t="shared" si="60"/>
        <v>No</v>
      </c>
      <c r="D595" s="96" t="str">
        <f>VLOOKUP(A595,'Tox Summary'!$O$3:$R$824,3,FALSE)</f>
        <v>No</v>
      </c>
      <c r="E595" s="97">
        <f>VLOOKUP(A595,'Parameters Summary'!$B$2:$AB$826,4,FALSE)</f>
        <v>170.21</v>
      </c>
      <c r="F595" s="97" t="str">
        <f>VLOOKUP(A595,'Parameters Summary'!$B$2:$AB$826,5,FALSE)</f>
        <v>PHYSPROP</v>
      </c>
      <c r="G595" s="93">
        <f>VLOOKUP(A595,'Parameters Summary'!$B$2:$AB$826,9,FALSE)</f>
        <v>2E-3</v>
      </c>
      <c r="H595" s="93" t="str">
        <f>VLOOKUP(A595,'Parameters Summary'!$B$2:$AB$826,10,FALSE)</f>
        <v>EPI</v>
      </c>
      <c r="I595" s="93">
        <f>VLOOKUP(A595,'Parameters Summary'!$B$2:$AB$826,24,FALSE)</f>
        <v>700</v>
      </c>
      <c r="J595" s="97" t="str">
        <f>VLOOKUP(A595,'Parameters Summary'!$B$2:$AB$826,25,FALSE)</f>
        <v>PHYSPROP</v>
      </c>
      <c r="K595" s="97" t="str">
        <f>VLOOKUP(A595,'Tox Summary'!$O$3:$S$827,2,FALSE)</f>
        <v/>
      </c>
      <c r="L595" s="93">
        <f>VLOOKUP(A595,'Parameters Summary'!$B$2:$AB$826,7,FALSE)</f>
        <v>1.0499999999999999E-6</v>
      </c>
      <c r="M595" s="93" t="str">
        <f>VLOOKUP(A595,'Parameters Summary'!$B$2:$AB$826,8,FALSE)</f>
        <v>EPI</v>
      </c>
      <c r="N595" s="91">
        <f>VLOOKUP(A595,'Parameters Summary'!$B$2:$AB$826,6,FALSE)</f>
        <v>4.2899999999999999E-5</v>
      </c>
      <c r="O595" s="91" t="str">
        <f t="shared" si="58"/>
        <v/>
      </c>
      <c r="P595" s="91">
        <f t="shared" si="61"/>
        <v>4.2899999999999999E-5</v>
      </c>
      <c r="Q595" s="91" t="str">
        <f t="shared" si="59"/>
        <v/>
      </c>
      <c r="R595" s="91">
        <f t="shared" si="62"/>
        <v>4.2899999999999999E-5</v>
      </c>
      <c r="S595" s="91" t="str">
        <f t="shared" si="63"/>
        <v/>
      </c>
      <c r="T595" s="93">
        <f>VLOOKUP(A595,'Parameters Summary'!$B$2:$AB$826,15,FALSE)</f>
        <v>4.2092200000000003E-2</v>
      </c>
      <c r="U595" s="93" t="str">
        <f>VLOOKUP(A595,'Parameters Summary'!$B$2:$AB$826,17,FALSE)</f>
        <v>WATER9 (U.S. EPA, 2001)</v>
      </c>
      <c r="V595" s="93">
        <f>VLOOKUP(A595,'Parameters Summary'!$B$2:$AB$826,16,FALSE)</f>
        <v>7.8161999999999998E-6</v>
      </c>
      <c r="W595" s="379" t="str">
        <f>VLOOKUP(A595,'Parameters Summary'!$B$2:$AB$826,17,FALSE)</f>
        <v>WATER9 (U.S. EPA, 2001)</v>
      </c>
      <c r="X595" s="290">
        <v>559.15</v>
      </c>
      <c r="Y595" s="96" t="s">
        <v>553</v>
      </c>
      <c r="Z595" s="96" t="s">
        <v>1653</v>
      </c>
      <c r="AA595" s="96"/>
      <c r="AB595" s="96" t="s">
        <v>1651</v>
      </c>
      <c r="AC595" s="96"/>
      <c r="AD595" s="93">
        <f>VLOOKUP(A595,'Parameters Summary'!$B$2:$AB$826,20,FALSE)</f>
        <v>6722</v>
      </c>
      <c r="AE595" s="97" t="str">
        <f>VLOOKUP(A595,'Parameters Summary'!$B$2:$AB$826,21,FALSE)</f>
        <v>EPI</v>
      </c>
      <c r="AF595" s="97"/>
      <c r="AG595" s="94"/>
      <c r="AH595" s="92"/>
      <c r="AI595" s="96"/>
      <c r="AJ595" s="330"/>
      <c r="AL595" s="81"/>
    </row>
    <row r="596" spans="1:38" ht="12.75" customHeight="1">
      <c r="A596" s="96" t="s">
        <v>169</v>
      </c>
      <c r="B596" s="96" t="s">
        <v>1295</v>
      </c>
      <c r="C596" s="96" t="str">
        <f t="shared" si="60"/>
        <v>No</v>
      </c>
      <c r="D596" s="96" t="str">
        <f>VLOOKUP(A596,'Tox Summary'!$O$3:$R$824,3,FALSE)</f>
        <v>No</v>
      </c>
      <c r="E596" s="97">
        <f>VLOOKUP(A596,'Parameters Summary'!$B$2:$AB$826,4,FALSE)</f>
        <v>260.38</v>
      </c>
      <c r="F596" s="97" t="str">
        <f>VLOOKUP(A596,'Parameters Summary'!$B$2:$AB$826,5,FALSE)</f>
        <v>PHYSPROP</v>
      </c>
      <c r="G596" s="93">
        <f>VLOOKUP(A596,'Parameters Summary'!$B$2:$AB$826,9,FALSE)</f>
        <v>6.38E-4</v>
      </c>
      <c r="H596" s="93" t="str">
        <f>VLOOKUP(A596,'Parameters Summary'!$B$2:$AB$826,10,FALSE)</f>
        <v>PHYSPROP</v>
      </c>
      <c r="I596" s="93">
        <f>VLOOKUP(A596,'Parameters Summary'!$B$2:$AB$826,24,FALSE)</f>
        <v>50</v>
      </c>
      <c r="J596" s="97" t="str">
        <f>VLOOKUP(A596,'Parameters Summary'!$B$2:$AB$826,25,FALSE)</f>
        <v>PHYSPROP</v>
      </c>
      <c r="K596" s="97" t="str">
        <f>VLOOKUP(A596,'Tox Summary'!$O$3:$S$827,2,FALSE)</f>
        <v/>
      </c>
      <c r="L596" s="93">
        <f>VLOOKUP(A596,'Parameters Summary'!$B$2:$AB$826,7,FALSE)</f>
        <v>4.3699999999999997E-6</v>
      </c>
      <c r="M596" s="93" t="str">
        <f>VLOOKUP(A596,'Parameters Summary'!$B$2:$AB$826,8,FALSE)</f>
        <v>EPI</v>
      </c>
      <c r="N596" s="91">
        <f>VLOOKUP(A596,'Parameters Summary'!$B$2:$AB$826,6,FALSE)</f>
        <v>1.7870000000000001E-4</v>
      </c>
      <c r="O596" s="91" t="str">
        <f t="shared" si="58"/>
        <v/>
      </c>
      <c r="P596" s="91">
        <f t="shared" si="61"/>
        <v>1.7870000000000001E-4</v>
      </c>
      <c r="Q596" s="91" t="str">
        <f t="shared" si="59"/>
        <v/>
      </c>
      <c r="R596" s="91">
        <f t="shared" si="62"/>
        <v>1.7870000000000001E-4</v>
      </c>
      <c r="S596" s="91" t="str">
        <f t="shared" si="63"/>
        <v/>
      </c>
      <c r="T596" s="93">
        <f>VLOOKUP(A596,'Parameters Summary'!$B$2:$AB$826,15,FALSE)</f>
        <v>2.3326800000000002E-2</v>
      </c>
      <c r="U596" s="93" t="str">
        <f>VLOOKUP(A596,'Parameters Summary'!$B$2:$AB$826,17,FALSE)</f>
        <v>WATER9 (U.S. EPA, 2001)</v>
      </c>
      <c r="V596" s="93">
        <f>VLOOKUP(A596,'Parameters Summary'!$B$2:$AB$826,16,FALSE)</f>
        <v>5.8962999999999998E-6</v>
      </c>
      <c r="W596" s="379" t="str">
        <f>VLOOKUP(A596,'Parameters Summary'!$B$2:$AB$826,17,FALSE)</f>
        <v>WATER9 (U.S. EPA, 2001)</v>
      </c>
      <c r="X596" s="290">
        <f>273.15+126</f>
        <v>399.15</v>
      </c>
      <c r="Y596" s="96" t="s">
        <v>553</v>
      </c>
      <c r="Z596" s="96" t="s">
        <v>1653</v>
      </c>
      <c r="AA596" s="96"/>
      <c r="AB596" s="96" t="s">
        <v>1651</v>
      </c>
      <c r="AC596" s="96"/>
      <c r="AD596" s="93">
        <f>VLOOKUP(A596,'Parameters Summary'!$B$2:$AB$826,20,FALSE)</f>
        <v>459.8</v>
      </c>
      <c r="AE596" s="97" t="str">
        <f>VLOOKUP(A596,'Parameters Summary'!$B$2:$AB$826,21,FALSE)</f>
        <v>EPI</v>
      </c>
      <c r="AF596" s="97"/>
      <c r="AG596" s="94"/>
      <c r="AH596" s="92"/>
      <c r="AI596" s="96"/>
      <c r="AJ596" s="330"/>
      <c r="AL596" s="81"/>
    </row>
    <row r="597" spans="1:38" ht="12.75" customHeight="1">
      <c r="A597" s="95" t="s">
        <v>170</v>
      </c>
      <c r="B597" s="96" t="s">
        <v>1296</v>
      </c>
      <c r="C597" s="96" t="str">
        <f t="shared" si="60"/>
        <v>Yes</v>
      </c>
      <c r="D597" s="96" t="str">
        <f>VLOOKUP(A597,'Tox Summary'!$O$3:$R$824,3,FALSE)</f>
        <v>No</v>
      </c>
      <c r="E597" s="97">
        <f>VLOOKUP(A597,'Parameters Summary'!$B$2:$AB$826,4,FALSE)</f>
        <v>98.917000000000002</v>
      </c>
      <c r="F597" s="97" t="str">
        <f>VLOOKUP(A597,'Parameters Summary'!$B$2:$AB$826,5,FALSE)</f>
        <v>PHYSPROP</v>
      </c>
      <c r="G597" s="93">
        <f>VLOOKUP(A597,'Parameters Summary'!$B$2:$AB$826,9,FALSE)</f>
        <v>1418</v>
      </c>
      <c r="H597" s="93" t="str">
        <f>VLOOKUP(A597,'Parameters Summary'!$B$2:$AB$826,10,FALSE)</f>
        <v>PHYSPROP</v>
      </c>
      <c r="I597" s="93">
        <f>VLOOKUP(A597,'Parameters Summary'!$B$2:$AB$826,24,FALSE)</f>
        <v>6825.5</v>
      </c>
      <c r="J597" s="97" t="str">
        <f>VLOOKUP(A597,'Parameters Summary'!$B$2:$AB$826,25,FALSE)</f>
        <v>YAWS</v>
      </c>
      <c r="K597" s="97" t="str">
        <f>VLOOKUP(A597,'Tox Summary'!$O$3:$S$827,2,FALSE)</f>
        <v/>
      </c>
      <c r="L597" s="93">
        <f>VLOOKUP(A597,'Parameters Summary'!$B$2:$AB$826,7,FALSE)</f>
        <v>1.67E-2</v>
      </c>
      <c r="M597" s="93" t="str">
        <f>VLOOKUP(A597,'Parameters Summary'!$B$2:$AB$826,8,FALSE)</f>
        <v>PHYSPROP</v>
      </c>
      <c r="N597" s="91">
        <f>VLOOKUP(A597,'Parameters Summary'!$B$2:$AB$826,6,FALSE)</f>
        <v>0.68274729999999995</v>
      </c>
      <c r="O597" s="91">
        <f t="shared" si="58"/>
        <v>0.68274729999999995</v>
      </c>
      <c r="P597" s="91">
        <f t="shared" si="61"/>
        <v>0.68274729999999995</v>
      </c>
      <c r="Q597" s="91">
        <f t="shared" si="59"/>
        <v>0.68274729999999995</v>
      </c>
      <c r="R597" s="91">
        <f t="shared" si="62"/>
        <v>0.68274729999999995</v>
      </c>
      <c r="S597" s="91">
        <f t="shared" si="63"/>
        <v>7547451975.2320423</v>
      </c>
      <c r="T597" s="93">
        <f>VLOOKUP(A597,'Parameters Summary'!$B$2:$AB$826,15,FALSE)</f>
        <v>8.9328199999999996E-2</v>
      </c>
      <c r="U597" s="93" t="str">
        <f>VLOOKUP(A597,'Parameters Summary'!$B$2:$AB$826,17,FALSE)</f>
        <v>WATER9 (U.S. EPA, 2001)</v>
      </c>
      <c r="V597" s="93">
        <f>VLOOKUP(A597,'Parameters Summary'!$B$2:$AB$826,16,FALSE)</f>
        <v>1.17E-5</v>
      </c>
      <c r="W597" s="379" t="str">
        <f>VLOOKUP(A597,'Parameters Summary'!$B$2:$AB$826,17,FALSE)</f>
        <v>WATER9 (U.S. EPA, 2001)</v>
      </c>
      <c r="X597" s="290">
        <v>281.2</v>
      </c>
      <c r="Y597" s="96" t="s">
        <v>2217</v>
      </c>
      <c r="Z597" s="96">
        <v>455</v>
      </c>
      <c r="AA597" s="96" t="s">
        <v>2215</v>
      </c>
      <c r="AB597" s="96">
        <v>7352.39</v>
      </c>
      <c r="AC597" s="96" t="s">
        <v>2218</v>
      </c>
      <c r="AD597" s="93">
        <f>VLOOKUP(A597,'Parameters Summary'!$B$2:$AB$826,20,FALSE)</f>
        <v>1</v>
      </c>
      <c r="AE597" s="97" t="str">
        <f>VLOOKUP(A597,'Parameters Summary'!$B$2:$AB$826,21,FALSE)</f>
        <v>EPI</v>
      </c>
      <c r="AF597" s="380"/>
      <c r="AG597" s="97"/>
      <c r="AH597" s="92"/>
      <c r="AI597" s="96"/>
      <c r="AJ597" s="330"/>
      <c r="AL597" s="81"/>
    </row>
    <row r="598" spans="1:38" ht="12.75" customHeight="1">
      <c r="A598" s="96" t="s">
        <v>171</v>
      </c>
      <c r="B598" s="96" t="s">
        <v>1297</v>
      </c>
      <c r="C598" s="96" t="str">
        <f t="shared" si="60"/>
        <v>No</v>
      </c>
      <c r="D598" s="96" t="str">
        <f>VLOOKUP(A598,'Tox Summary'!$O$3:$R$824,3,FALSE)</f>
        <v>No</v>
      </c>
      <c r="E598" s="97">
        <f>VLOOKUP(A598,'Parameters Summary'!$B$2:$AB$826,4,FALSE)</f>
        <v>317.32</v>
      </c>
      <c r="F598" s="97" t="str">
        <f>VLOOKUP(A598,'Parameters Summary'!$B$2:$AB$826,5,FALSE)</f>
        <v>PHYSPROP</v>
      </c>
      <c r="G598" s="93">
        <f>VLOOKUP(A598,'Parameters Summary'!$B$2:$AB$826,9,FALSE)</f>
        <v>4.8999999999999997E-7</v>
      </c>
      <c r="H598" s="93" t="str">
        <f>VLOOKUP(A598,'Parameters Summary'!$B$2:$AB$826,10,FALSE)</f>
        <v>PHYSPROP</v>
      </c>
      <c r="I598" s="93">
        <f>VLOOKUP(A598,'Parameters Summary'!$B$2:$AB$826,24,FALSE)</f>
        <v>24.4</v>
      </c>
      <c r="J598" s="97" t="str">
        <f>VLOOKUP(A598,'Parameters Summary'!$B$2:$AB$826,25,FALSE)</f>
        <v>PHYSPROP</v>
      </c>
      <c r="K598" s="97" t="str">
        <f>VLOOKUP(A598,'Tox Summary'!$O$3:$S$827,2,FALSE)</f>
        <v/>
      </c>
      <c r="L598" s="93">
        <f>VLOOKUP(A598,'Parameters Summary'!$B$2:$AB$826,7,FALSE)</f>
        <v>8.3799999999999996E-9</v>
      </c>
      <c r="M598" s="93" t="str">
        <f>VLOOKUP(A598,'Parameters Summary'!$B$2:$AB$826,8,FALSE)</f>
        <v>EPI</v>
      </c>
      <c r="N598" s="91">
        <f>VLOOKUP(A598,'Parameters Summary'!$B$2:$AB$826,6,FALSE)</f>
        <v>3.4260000000000001E-7</v>
      </c>
      <c r="O598" s="91" t="str">
        <f t="shared" si="58"/>
        <v/>
      </c>
      <c r="P598" s="91">
        <f t="shared" si="61"/>
        <v>3.4260000000000001E-7</v>
      </c>
      <c r="Q598" s="91" t="str">
        <f t="shared" si="59"/>
        <v/>
      </c>
      <c r="R598" s="91">
        <f t="shared" si="62"/>
        <v>3.4260000000000001E-7</v>
      </c>
      <c r="S598" s="91" t="str">
        <f t="shared" si="63"/>
        <v/>
      </c>
      <c r="T598" s="93">
        <f>VLOOKUP(A598,'Parameters Summary'!$B$2:$AB$826,15,FALSE)</f>
        <v>4.0840300000000003E-2</v>
      </c>
      <c r="U598" s="93" t="str">
        <f>VLOOKUP(A598,'Parameters Summary'!$B$2:$AB$826,17,FALSE)</f>
        <v>WATER9 (U.S. EPA, 2001)</v>
      </c>
      <c r="V598" s="93">
        <f>VLOOKUP(A598,'Parameters Summary'!$B$2:$AB$826,16,FALSE)</f>
        <v>4.7719E-6</v>
      </c>
      <c r="W598" s="379" t="str">
        <f>VLOOKUP(A598,'Parameters Summary'!$B$2:$AB$826,17,FALSE)</f>
        <v>WATER9 (U.S. EPA, 2001)</v>
      </c>
      <c r="X598" s="347"/>
      <c r="Y598" s="96"/>
      <c r="Z598" s="96" t="s">
        <v>1653</v>
      </c>
      <c r="AA598" s="96"/>
      <c r="AB598" s="96" t="s">
        <v>1651</v>
      </c>
      <c r="AC598" s="96"/>
      <c r="AD598" s="93">
        <f>VLOOKUP(A598,'Parameters Summary'!$B$2:$AB$826,20,FALSE)</f>
        <v>10</v>
      </c>
      <c r="AE598" s="97" t="str">
        <f>VLOOKUP(A598,'Parameters Summary'!$B$2:$AB$826,21,FALSE)</f>
        <v>EPI</v>
      </c>
      <c r="AF598" s="97"/>
      <c r="AG598" s="94"/>
      <c r="AH598" s="92"/>
      <c r="AI598" s="96"/>
      <c r="AJ598" s="330"/>
      <c r="AL598" s="81"/>
    </row>
    <row r="599" spans="1:38" ht="12.75" customHeight="1">
      <c r="A599" s="95" t="s">
        <v>172</v>
      </c>
      <c r="B599" s="96" t="s">
        <v>1298</v>
      </c>
      <c r="C599" s="96" t="str">
        <f t="shared" si="60"/>
        <v>Yes</v>
      </c>
      <c r="D599" s="96" t="str">
        <f>VLOOKUP(A599,'Tox Summary'!$O$3:$R$824,3,FALSE)</f>
        <v>No</v>
      </c>
      <c r="E599" s="97">
        <f>VLOOKUP(A599,'Parameters Summary'!$B$2:$AB$826,4,FALSE)</f>
        <v>33.997999999999998</v>
      </c>
      <c r="F599" s="97" t="str">
        <f>VLOOKUP(A599,'Parameters Summary'!$B$2:$AB$826,5,FALSE)</f>
        <v>PHYSPROP</v>
      </c>
      <c r="G599" s="93">
        <f>VLOOKUP(A599,'Parameters Summary'!$B$2:$AB$826,9,FALSE)</f>
        <v>29300</v>
      </c>
      <c r="H599" s="93" t="str">
        <f>VLOOKUP(A599,'Parameters Summary'!$B$2:$AB$826,10,FALSE)</f>
        <v>PHYSPROP</v>
      </c>
      <c r="I599" s="93">
        <f>VLOOKUP(A599,'Parameters Summary'!$B$2:$AB$826,24,FALSE)</f>
        <v>260000</v>
      </c>
      <c r="J599" s="97" t="str">
        <f>VLOOKUP(A599,'Parameters Summary'!$B$2:$AB$826,25,FALSE)</f>
        <v>PERRY</v>
      </c>
      <c r="K599" s="97" t="str">
        <f>VLOOKUP(A599,'Tox Summary'!$O$3:$S$827,2,FALSE)</f>
        <v/>
      </c>
      <c r="L599" s="93">
        <f>VLOOKUP(A599,'Parameters Summary'!$B$2:$AB$826,7,FALSE)</f>
        <v>2.4400000000000002E-2</v>
      </c>
      <c r="M599" s="93" t="str">
        <f>VLOOKUP(A599,'Parameters Summary'!$B$2:$AB$826,8,FALSE)</f>
        <v>PHYSPROP</v>
      </c>
      <c r="N599" s="91">
        <f>VLOOKUP(A599,'Parameters Summary'!$B$2:$AB$826,6,FALSE)</f>
        <v>0.998</v>
      </c>
      <c r="O599" s="91" t="str">
        <f t="shared" si="58"/>
        <v/>
      </c>
      <c r="P599" s="91">
        <f t="shared" si="61"/>
        <v>0.998</v>
      </c>
      <c r="Q599" s="91" t="str">
        <f t="shared" si="59"/>
        <v/>
      </c>
      <c r="R599" s="91">
        <f t="shared" si="62"/>
        <v>0.998</v>
      </c>
      <c r="S599" s="91" t="str">
        <f t="shared" si="63"/>
        <v/>
      </c>
      <c r="T599" s="93">
        <f>VLOOKUP(A599,'Parameters Summary'!$B$2:$AB$826,15,FALSE)</f>
        <v>0.1882017</v>
      </c>
      <c r="U599" s="93" t="str">
        <f>VLOOKUP(A599,'Parameters Summary'!$B$2:$AB$826,17,FALSE)</f>
        <v>WATER9 (U.S. EPA, 2001)</v>
      </c>
      <c r="V599" s="93">
        <f>VLOOKUP(A599,'Parameters Summary'!$B$2:$AB$826,16,FALSE)</f>
        <v>2.23E-5</v>
      </c>
      <c r="W599" s="379" t="str">
        <f>VLOOKUP(A599,'Parameters Summary'!$B$2:$AB$826,17,FALSE)</f>
        <v>WATER9 (U.S. EPA, 2001)</v>
      </c>
      <c r="X599" s="290">
        <f>-87.7+273.15</f>
        <v>185.45</v>
      </c>
      <c r="Y599" s="96" t="s">
        <v>553</v>
      </c>
      <c r="Z599" s="96">
        <f>52+273.15</f>
        <v>325.14999999999998</v>
      </c>
      <c r="AA599" s="96" t="s">
        <v>2218</v>
      </c>
      <c r="AB599" s="96" t="s">
        <v>1651</v>
      </c>
      <c r="AC599" s="96"/>
      <c r="AD599" s="93" t="str">
        <f>VLOOKUP(A599,'Parameters Summary'!$B$2:$AB$826,20,FALSE)</f>
        <v xml:space="preserve"> </v>
      </c>
      <c r="AE599" s="97" t="str">
        <f>VLOOKUP(A599,'Parameters Summary'!$B$2:$AB$826,21,FALSE)</f>
        <v/>
      </c>
      <c r="AF599" s="380">
        <v>1.79</v>
      </c>
      <c r="AG599" s="97" t="s">
        <v>302</v>
      </c>
      <c r="AH599" s="92"/>
      <c r="AI599" s="96"/>
      <c r="AJ599" s="330"/>
      <c r="AL599" s="81"/>
    </row>
    <row r="600" spans="1:38" ht="12.75" customHeight="1">
      <c r="A600" s="96" t="s">
        <v>173</v>
      </c>
      <c r="B600" s="96" t="s">
        <v>1299</v>
      </c>
      <c r="C600" s="96" t="str">
        <f t="shared" si="60"/>
        <v>No</v>
      </c>
      <c r="D600" s="96" t="str">
        <f>VLOOKUP(A600,'Tox Summary'!$O$3:$R$824,3,FALSE)</f>
        <v>No</v>
      </c>
      <c r="E600" s="97">
        <f>VLOOKUP(A600,'Parameters Summary'!$B$2:$AB$826,4,FALSE)</f>
        <v>97.995000000000005</v>
      </c>
      <c r="F600" s="97" t="str">
        <f>VLOOKUP(A600,'Parameters Summary'!$B$2:$AB$826,5,FALSE)</f>
        <v>PHYSPROP</v>
      </c>
      <c r="G600" s="93">
        <f>VLOOKUP(A600,'Parameters Summary'!$B$2:$AB$826,9,FALSE)</f>
        <v>0.03</v>
      </c>
      <c r="H600" s="93" t="str">
        <f>VLOOKUP(A600,'Parameters Summary'!$B$2:$AB$826,10,FALSE)</f>
        <v>NIOSH</v>
      </c>
      <c r="I600" s="93">
        <f>VLOOKUP(A600,'Parameters Summary'!$B$2:$AB$826,24,FALSE)</f>
        <v>5480000</v>
      </c>
      <c r="J600" s="97" t="str">
        <f>VLOOKUP(A600,'Parameters Summary'!$B$2:$AB$826,25,FALSE)</f>
        <v>CRC89</v>
      </c>
      <c r="K600" s="97" t="str">
        <f>VLOOKUP(A600,'Tox Summary'!$O$3:$S$827,2,FALSE)</f>
        <v/>
      </c>
      <c r="L600" s="93" t="str">
        <f>VLOOKUP(A600,'Parameters Summary'!$B$2:$AB$826,7,FALSE)</f>
        <v xml:space="preserve"> </v>
      </c>
      <c r="M600" s="93" t="str">
        <f>VLOOKUP(A600,'Parameters Summary'!$B$2:$AB$826,8,FALSE)</f>
        <v/>
      </c>
      <c r="N600" s="91" t="str">
        <f>VLOOKUP(A600,'Parameters Summary'!$B$2:$AB$826,6,FALSE)</f>
        <v xml:space="preserve"> </v>
      </c>
      <c r="O600" s="91" t="str">
        <f t="shared" si="58"/>
        <v/>
      </c>
      <c r="P600" s="91" t="str">
        <f t="shared" si="61"/>
        <v xml:space="preserve"> </v>
      </c>
      <c r="Q600" s="91" t="str">
        <f t="shared" si="59"/>
        <v/>
      </c>
      <c r="R600" s="91" t="str">
        <f t="shared" si="62"/>
        <v xml:space="preserve"> </v>
      </c>
      <c r="S600" s="91" t="str">
        <f t="shared" si="63"/>
        <v/>
      </c>
      <c r="T600" s="93" t="str">
        <f>VLOOKUP(A600,'Parameters Summary'!$B$2:$AB$826,15,FALSE)</f>
        <v xml:space="preserve"> </v>
      </c>
      <c r="U600" s="93" t="str">
        <f>VLOOKUP(A600,'Parameters Summary'!$B$2:$AB$826,17,FALSE)</f>
        <v/>
      </c>
      <c r="V600" s="93" t="str">
        <f>VLOOKUP(A600,'Parameters Summary'!$B$2:$AB$826,16,FALSE)</f>
        <v xml:space="preserve"> </v>
      </c>
      <c r="W600" s="379" t="str">
        <f>VLOOKUP(A600,'Parameters Summary'!$B$2:$AB$826,17,FALSE)</f>
        <v/>
      </c>
      <c r="X600" s="347"/>
      <c r="Y600" s="96"/>
      <c r="Z600" s="96" t="s">
        <v>1653</v>
      </c>
      <c r="AA600" s="96"/>
      <c r="AB600" s="96" t="s">
        <v>1651</v>
      </c>
      <c r="AC600" s="96"/>
      <c r="AD600" s="93" t="str">
        <f>VLOOKUP(A600,'Parameters Summary'!$B$2:$AB$826,20,FALSE)</f>
        <v xml:space="preserve"> </v>
      </c>
      <c r="AE600" s="97" t="str">
        <f>VLOOKUP(A600,'Parameters Summary'!$B$2:$AB$826,21,FALSE)</f>
        <v/>
      </c>
      <c r="AF600" s="97"/>
      <c r="AG600" s="94"/>
      <c r="AH600" s="92"/>
      <c r="AI600" s="96"/>
      <c r="AJ600" s="330"/>
      <c r="AL600" s="81"/>
    </row>
    <row r="601" spans="1:38" ht="12.75" customHeight="1">
      <c r="A601" s="96" t="s">
        <v>174</v>
      </c>
      <c r="B601" s="96" t="s">
        <v>1300</v>
      </c>
      <c r="C601" s="96" t="str">
        <f t="shared" si="60"/>
        <v>Yes</v>
      </c>
      <c r="D601" s="96" t="str">
        <f>VLOOKUP(A601,'Tox Summary'!$O$3:$R$824,3,FALSE)</f>
        <v>No</v>
      </c>
      <c r="E601" s="97">
        <f>VLOOKUP(A601,'Parameters Summary'!$B$2:$AB$826,4,FALSE)</f>
        <v>30.974</v>
      </c>
      <c r="F601" s="97" t="str">
        <f>VLOOKUP(A601,'Parameters Summary'!$B$2:$AB$826,5,FALSE)</f>
        <v>YAWS</v>
      </c>
      <c r="G601" s="93">
        <f>VLOOKUP(A601,'Parameters Summary'!$B$2:$AB$826,9,FALSE)</f>
        <v>2.5000000000000001E-2</v>
      </c>
      <c r="H601" s="93" t="str">
        <f>VLOOKUP(A601,'Parameters Summary'!$B$2:$AB$826,10,FALSE)</f>
        <v>ATSDR Profile</v>
      </c>
      <c r="I601" s="93">
        <f>VLOOKUP(A601,'Parameters Summary'!$B$2:$AB$826,24,FALSE)</f>
        <v>3</v>
      </c>
      <c r="J601" s="97" t="str">
        <f>VLOOKUP(A601,'Parameters Summary'!$B$2:$AB$826,25,FALSE)</f>
        <v>ATSDR Profile</v>
      </c>
      <c r="K601" s="97" t="str">
        <f>VLOOKUP(A601,'Tox Summary'!$O$3:$S$827,2,FALSE)</f>
        <v/>
      </c>
      <c r="L601" s="93">
        <f>VLOOKUP(A601,'Parameters Summary'!$B$2:$AB$826,7,FALSE)</f>
        <v>2.1099999999999999E-3</v>
      </c>
      <c r="M601" s="93" t="str">
        <f>VLOOKUP(A601,'Parameters Summary'!$B$2:$AB$826,8,FALSE)</f>
        <v>ATSDR Profile</v>
      </c>
      <c r="N601" s="91">
        <f>VLOOKUP(A601,'Parameters Summary'!$B$2:$AB$826,6,FALSE)</f>
        <v>8.5999999999999993E-2</v>
      </c>
      <c r="O601" s="91" t="str">
        <f t="shared" si="58"/>
        <v/>
      </c>
      <c r="P601" s="91">
        <f t="shared" si="61"/>
        <v>8.5999999999999993E-2</v>
      </c>
      <c r="Q601" s="91" t="str">
        <f t="shared" si="59"/>
        <v/>
      </c>
      <c r="R601" s="91">
        <f t="shared" si="62"/>
        <v>8.5999999999999993E-2</v>
      </c>
      <c r="S601" s="91" t="str">
        <f t="shared" si="63"/>
        <v/>
      </c>
      <c r="T601" s="93">
        <f>VLOOKUP(A601,'Parameters Summary'!$B$2:$AB$826,15,FALSE)</f>
        <v>0.21936549999999999</v>
      </c>
      <c r="U601" s="93" t="str">
        <f>VLOOKUP(A601,'Parameters Summary'!$B$2:$AB$826,17,FALSE)</f>
        <v>WATER9 (U.S. EPA, 2001)</v>
      </c>
      <c r="V601" s="93">
        <f>VLOOKUP(A601,'Parameters Summary'!$B$2:$AB$826,16,FALSE)</f>
        <v>2.7699999999999999E-5</v>
      </c>
      <c r="W601" s="379" t="str">
        <f>VLOOKUP(A601,'Parameters Summary'!$B$2:$AB$826,17,FALSE)</f>
        <v>WATER9 (U.S. EPA, 2001)</v>
      </c>
      <c r="X601" s="290">
        <v>553.15</v>
      </c>
      <c r="Y601" s="96" t="s">
        <v>553</v>
      </c>
      <c r="Z601" s="96">
        <f>1.5*X601</f>
        <v>829.72499999999991</v>
      </c>
      <c r="AA601" s="96" t="s">
        <v>2220</v>
      </c>
      <c r="AB601" s="96" t="s">
        <v>1651</v>
      </c>
      <c r="AC601" s="96"/>
      <c r="AD601" s="93">
        <f>VLOOKUP(A601,'Parameters Summary'!$B$2:$AB$826,20,FALSE)</f>
        <v>1122</v>
      </c>
      <c r="AE601" s="97" t="str">
        <f>VLOOKUP(A601,'Parameters Summary'!$B$2:$AB$826,21,FALSE)</f>
        <v>ATSDR Profile</v>
      </c>
      <c r="AF601" s="97"/>
      <c r="AG601" s="94"/>
      <c r="AH601" s="92"/>
      <c r="AI601" s="96"/>
      <c r="AJ601" s="330"/>
      <c r="AL601" s="81"/>
    </row>
    <row r="602" spans="1:38" ht="12.75" customHeight="1">
      <c r="A602" s="96" t="s">
        <v>175</v>
      </c>
      <c r="B602" s="96" t="s">
        <v>2345</v>
      </c>
      <c r="C602" s="96" t="str">
        <f t="shared" si="60"/>
        <v>No</v>
      </c>
      <c r="D602" s="96" t="str">
        <f>VLOOKUP(A602,'Tox Summary'!$O$3:$R$824,3,FALSE)</f>
        <v>Yes</v>
      </c>
      <c r="E602" s="97">
        <f>VLOOKUP(A602,'Parameters Summary'!$B$2:$AB$826,4,FALSE)</f>
        <v>166.13</v>
      </c>
      <c r="F602" s="97" t="str">
        <f>VLOOKUP(A602,'Parameters Summary'!$B$2:$AB$826,5,FALSE)</f>
        <v>PHYSPROP</v>
      </c>
      <c r="G602" s="93">
        <f>VLOOKUP(A602,'Parameters Summary'!$B$2:$AB$826,9,FALSE)</f>
        <v>9.2E-6</v>
      </c>
      <c r="H602" s="93" t="str">
        <f>VLOOKUP(A602,'Parameters Summary'!$B$2:$AB$826,10,FALSE)</f>
        <v>EPI</v>
      </c>
      <c r="I602" s="93">
        <f>VLOOKUP(A602,'Parameters Summary'!$B$2:$AB$826,24,FALSE)</f>
        <v>15</v>
      </c>
      <c r="J602" s="97" t="str">
        <f>VLOOKUP(A602,'Parameters Summary'!$B$2:$AB$826,25,FALSE)</f>
        <v>PHYSPROP</v>
      </c>
      <c r="K602" s="97" t="str">
        <f>VLOOKUP(A602,'Tox Summary'!$O$3:$S$827,2,FALSE)</f>
        <v/>
      </c>
      <c r="L602" s="93">
        <f>VLOOKUP(A602,'Parameters Summary'!$B$2:$AB$826,7,FALSE)</f>
        <v>3.8800000000000001E-13</v>
      </c>
      <c r="M602" s="93" t="str">
        <f>VLOOKUP(A602,'Parameters Summary'!$B$2:$AB$826,8,FALSE)</f>
        <v>PHYSPROP</v>
      </c>
      <c r="N602" s="91">
        <f>VLOOKUP(A602,'Parameters Summary'!$B$2:$AB$826,6,FALSE)</f>
        <v>1.5860000000000001E-11</v>
      </c>
      <c r="O602" s="91" t="str">
        <f t="shared" si="58"/>
        <v/>
      </c>
      <c r="P602" s="91">
        <f t="shared" si="61"/>
        <v>1.5860000000000001E-11</v>
      </c>
      <c r="Q602" s="91" t="str">
        <f t="shared" si="59"/>
        <v/>
      </c>
      <c r="R602" s="91">
        <f t="shared" si="62"/>
        <v>1.5860000000000001E-11</v>
      </c>
      <c r="S602" s="91" t="str">
        <f t="shared" si="63"/>
        <v/>
      </c>
      <c r="T602" s="93">
        <f>VLOOKUP(A602,'Parameters Summary'!$B$2:$AB$826,15,FALSE)</f>
        <v>4.8722700000000001E-2</v>
      </c>
      <c r="U602" s="93" t="str">
        <f>VLOOKUP(A602,'Parameters Summary'!$B$2:$AB$826,17,FALSE)</f>
        <v>WATER9 (U.S. EPA, 2001)</v>
      </c>
      <c r="V602" s="93">
        <f>VLOOKUP(A602,'Parameters Summary'!$B$2:$AB$826,16,FALSE)</f>
        <v>9.0445999999999998E-6</v>
      </c>
      <c r="W602" s="379" t="str">
        <f>VLOOKUP(A602,'Parameters Summary'!$B$2:$AB$826,17,FALSE)</f>
        <v>WATER9 (U.S. EPA, 2001)</v>
      </c>
      <c r="X602" s="347"/>
      <c r="Y602" s="96"/>
      <c r="Z602" s="96" t="s">
        <v>1653</v>
      </c>
      <c r="AA602" s="96"/>
      <c r="AB602" s="96" t="s">
        <v>1651</v>
      </c>
      <c r="AC602" s="96"/>
      <c r="AD602" s="93">
        <f>VLOOKUP(A602,'Parameters Summary'!$B$2:$AB$826,20,FALSE)</f>
        <v>79.239999999999995</v>
      </c>
      <c r="AE602" s="97" t="str">
        <f>VLOOKUP(A602,'Parameters Summary'!$B$2:$AB$826,21,FALSE)</f>
        <v>EPI</v>
      </c>
      <c r="AF602" s="97"/>
      <c r="AG602" s="94"/>
      <c r="AH602" s="92"/>
      <c r="AI602" s="96"/>
      <c r="AJ602" s="330"/>
      <c r="AL602" s="81"/>
    </row>
    <row r="603" spans="1:38" ht="12.75" customHeight="1">
      <c r="A603" s="96" t="s">
        <v>176</v>
      </c>
      <c r="B603" s="96" t="s">
        <v>2346</v>
      </c>
      <c r="C603" s="96" t="str">
        <f t="shared" si="60"/>
        <v>No</v>
      </c>
      <c r="D603" s="96" t="str">
        <f>VLOOKUP(A603,'Tox Summary'!$O$3:$R$824,3,FALSE)</f>
        <v>Yes</v>
      </c>
      <c r="E603" s="97">
        <f>VLOOKUP(A603,'Parameters Summary'!$B$2:$AB$826,4,FALSE)</f>
        <v>148.12</v>
      </c>
      <c r="F603" s="97" t="str">
        <f>VLOOKUP(A603,'Parameters Summary'!$B$2:$AB$826,5,FALSE)</f>
        <v>PHYSPROP</v>
      </c>
      <c r="G603" s="93">
        <f>VLOOKUP(A603,'Parameters Summary'!$B$2:$AB$826,9,FALSE)</f>
        <v>5.1699999999999999E-4</v>
      </c>
      <c r="H603" s="93" t="str">
        <f>VLOOKUP(A603,'Parameters Summary'!$B$2:$AB$826,10,FALSE)</f>
        <v>EPI</v>
      </c>
      <c r="I603" s="93">
        <f>VLOOKUP(A603,'Parameters Summary'!$B$2:$AB$826,24,FALSE)</f>
        <v>6200</v>
      </c>
      <c r="J603" s="97" t="str">
        <f>VLOOKUP(A603,'Parameters Summary'!$B$2:$AB$826,25,FALSE)</f>
        <v>PHYSPROP</v>
      </c>
      <c r="K603" s="97" t="str">
        <f>VLOOKUP(A603,'Tox Summary'!$O$3:$S$827,2,FALSE)</f>
        <v/>
      </c>
      <c r="L603" s="93">
        <f>VLOOKUP(A603,'Parameters Summary'!$B$2:$AB$826,7,FALSE)</f>
        <v>1.63E-8</v>
      </c>
      <c r="M603" s="93" t="str">
        <f>VLOOKUP(A603,'Parameters Summary'!$B$2:$AB$826,8,FALSE)</f>
        <v>EPI</v>
      </c>
      <c r="N603" s="91">
        <f>VLOOKUP(A603,'Parameters Summary'!$B$2:$AB$826,6,FALSE)</f>
        <v>6.6639000000000003E-7</v>
      </c>
      <c r="O603" s="91" t="str">
        <f t="shared" si="58"/>
        <v/>
      </c>
      <c r="P603" s="91">
        <f t="shared" si="61"/>
        <v>6.6639000000000003E-7</v>
      </c>
      <c r="Q603" s="91" t="str">
        <f t="shared" si="59"/>
        <v/>
      </c>
      <c r="R603" s="91">
        <f t="shared" si="62"/>
        <v>6.6639000000000003E-7</v>
      </c>
      <c r="S603" s="91" t="str">
        <f t="shared" si="63"/>
        <v/>
      </c>
      <c r="T603" s="93">
        <f>VLOOKUP(A603,'Parameters Summary'!$B$2:$AB$826,15,FALSE)</f>
        <v>5.9479499999999998E-2</v>
      </c>
      <c r="U603" s="93" t="str">
        <f>VLOOKUP(A603,'Parameters Summary'!$B$2:$AB$826,17,FALSE)</f>
        <v>WATER9 (U.S. EPA, 2001)</v>
      </c>
      <c r="V603" s="93">
        <f>VLOOKUP(A603,'Parameters Summary'!$B$2:$AB$826,16,FALSE)</f>
        <v>9.7544999999999995E-6</v>
      </c>
      <c r="W603" s="379" t="str">
        <f>VLOOKUP(A603,'Parameters Summary'!$B$2:$AB$826,17,FALSE)</f>
        <v>WATER9 (U.S. EPA, 2001)</v>
      </c>
      <c r="X603" s="290">
        <v>568.15</v>
      </c>
      <c r="Y603" s="96" t="s">
        <v>553</v>
      </c>
      <c r="Z603" s="96" t="s">
        <v>1653</v>
      </c>
      <c r="AA603" s="96"/>
      <c r="AB603" s="96" t="s">
        <v>1651</v>
      </c>
      <c r="AC603" s="96"/>
      <c r="AD603" s="93">
        <f>VLOOKUP(A603,'Parameters Summary'!$B$2:$AB$826,20,FALSE)</f>
        <v>10</v>
      </c>
      <c r="AE603" s="97" t="str">
        <f>VLOOKUP(A603,'Parameters Summary'!$B$2:$AB$826,21,FALSE)</f>
        <v>EPI</v>
      </c>
      <c r="AF603" s="97"/>
      <c r="AG603" s="94"/>
      <c r="AH603" s="92"/>
      <c r="AI603" s="96"/>
      <c r="AJ603" s="330"/>
      <c r="AL603" s="81"/>
    </row>
    <row r="604" spans="1:38" ht="12.75" customHeight="1">
      <c r="A604" s="96" t="s">
        <v>177</v>
      </c>
      <c r="B604" s="96" t="s">
        <v>1301</v>
      </c>
      <c r="C604" s="96" t="str">
        <f t="shared" si="60"/>
        <v>No</v>
      </c>
      <c r="D604" s="96" t="str">
        <f>VLOOKUP(A604,'Tox Summary'!$O$3:$R$824,3,FALSE)</f>
        <v>No</v>
      </c>
      <c r="E604" s="97">
        <f>VLOOKUP(A604,'Parameters Summary'!$B$2:$AB$826,4,FALSE)</f>
        <v>241.46</v>
      </c>
      <c r="F604" s="97" t="str">
        <f>VLOOKUP(A604,'Parameters Summary'!$B$2:$AB$826,5,FALSE)</f>
        <v>PHYSPROP</v>
      </c>
      <c r="G604" s="93">
        <f>VLOOKUP(A604,'Parameters Summary'!$B$2:$AB$826,9,FALSE)</f>
        <v>7.2100000000000002E-11</v>
      </c>
      <c r="H604" s="93" t="str">
        <f>VLOOKUP(A604,'Parameters Summary'!$B$2:$AB$826,10,FALSE)</f>
        <v>PHYSPROP</v>
      </c>
      <c r="I604" s="93">
        <f>VLOOKUP(A604,'Parameters Summary'!$B$2:$AB$826,24,FALSE)</f>
        <v>430</v>
      </c>
      <c r="J604" s="97" t="str">
        <f>VLOOKUP(A604,'Parameters Summary'!$B$2:$AB$826,25,FALSE)</f>
        <v>PHYSPROP</v>
      </c>
      <c r="K604" s="97">
        <f>VLOOKUP(A604,'Tox Summary'!$O$3:$S$827,2,FALSE)</f>
        <v>500</v>
      </c>
      <c r="L604" s="93">
        <f>VLOOKUP(A604,'Parameters Summary'!$B$2:$AB$826,7,FALSE)</f>
        <v>5.3299999999999998E-14</v>
      </c>
      <c r="M604" s="93" t="str">
        <f>VLOOKUP(A604,'Parameters Summary'!$B$2:$AB$826,8,FALSE)</f>
        <v>EPI</v>
      </c>
      <c r="N604" s="91">
        <f>VLOOKUP(A604,'Parameters Summary'!$B$2:$AB$826,6,FALSE)</f>
        <v>2.1789999999999999E-12</v>
      </c>
      <c r="O604" s="91" t="str">
        <f t="shared" si="58"/>
        <v/>
      </c>
      <c r="P604" s="91">
        <f t="shared" si="61"/>
        <v>2.1789999999999999E-12</v>
      </c>
      <c r="Q604" s="91" t="str">
        <f t="shared" si="59"/>
        <v/>
      </c>
      <c r="R604" s="91">
        <f t="shared" si="62"/>
        <v>2.1789999999999999E-12</v>
      </c>
      <c r="S604" s="91" t="str">
        <f t="shared" si="63"/>
        <v/>
      </c>
      <c r="T604" s="93">
        <f>VLOOKUP(A604,'Parameters Summary'!$B$2:$AB$826,15,FALSE)</f>
        <v>4.8999300000000003E-2</v>
      </c>
      <c r="U604" s="93" t="str">
        <f>VLOOKUP(A604,'Parameters Summary'!$B$2:$AB$826,17,FALSE)</f>
        <v>WATER9 (U.S. EPA, 2001)</v>
      </c>
      <c r="V604" s="93">
        <f>VLOOKUP(A604,'Parameters Summary'!$B$2:$AB$826,16,FALSE)</f>
        <v>5.7251999999999998E-6</v>
      </c>
      <c r="W604" s="379" t="str">
        <f>VLOOKUP(A604,'Parameters Summary'!$B$2:$AB$826,17,FALSE)</f>
        <v>WATER9 (U.S. EPA, 2001)</v>
      </c>
      <c r="X604" s="347"/>
      <c r="Y604" s="96"/>
      <c r="Z604" s="96" t="s">
        <v>1653</v>
      </c>
      <c r="AA604" s="96"/>
      <c r="AB604" s="96" t="s">
        <v>1651</v>
      </c>
      <c r="AC604" s="96"/>
      <c r="AD604" s="93">
        <f>VLOOKUP(A604,'Parameters Summary'!$B$2:$AB$826,20,FALSE)</f>
        <v>38.770000000000003</v>
      </c>
      <c r="AE604" s="97" t="str">
        <f>VLOOKUP(A604,'Parameters Summary'!$B$2:$AB$826,21,FALSE)</f>
        <v>EPI</v>
      </c>
      <c r="AF604" s="97"/>
      <c r="AG604" s="94"/>
      <c r="AH604" s="92"/>
      <c r="AI604" s="96"/>
      <c r="AJ604" s="330"/>
      <c r="AL604" s="81"/>
    </row>
    <row r="605" spans="1:38" ht="12.75" customHeight="1">
      <c r="A605" s="96" t="s">
        <v>178</v>
      </c>
      <c r="B605" s="96" t="s">
        <v>541</v>
      </c>
      <c r="C605" s="96" t="str">
        <f t="shared" si="60"/>
        <v>No</v>
      </c>
      <c r="D605" s="96" t="str">
        <f>VLOOKUP(A605,'Tox Summary'!$O$3:$R$824,3,FALSE)</f>
        <v>Yes</v>
      </c>
      <c r="E605" s="97">
        <f>VLOOKUP(A605,'Parameters Summary'!$B$2:$AB$826,4,FALSE)</f>
        <v>199.12</v>
      </c>
      <c r="F605" s="97" t="str">
        <f>VLOOKUP(A605,'Parameters Summary'!$B$2:$AB$826,5,FALSE)</f>
        <v>PHYSPROP</v>
      </c>
      <c r="G605" s="93">
        <f>VLOOKUP(A605,'Parameters Summary'!$B$2:$AB$826,9,FALSE)</f>
        <v>4.1600000000000002E-7</v>
      </c>
      <c r="H605" s="93" t="str">
        <f>VLOOKUP(A605,'Parameters Summary'!$B$2:$AB$826,10,FALSE)</f>
        <v>PHYSPROP</v>
      </c>
      <c r="I605" s="93">
        <f>VLOOKUP(A605,'Parameters Summary'!$B$2:$AB$826,24,FALSE)</f>
        <v>1400</v>
      </c>
      <c r="J605" s="97" t="str">
        <f>VLOOKUP(A605,'Parameters Summary'!$B$2:$AB$826,25,FALSE)</f>
        <v>PHYSPROP</v>
      </c>
      <c r="K605" s="97" t="str">
        <f>VLOOKUP(A605,'Tox Summary'!$O$3:$S$827,2,FALSE)</f>
        <v/>
      </c>
      <c r="L605" s="93">
        <f>VLOOKUP(A605,'Parameters Summary'!$B$2:$AB$826,7,FALSE)</f>
        <v>9.7500000000000003E-12</v>
      </c>
      <c r="M605" s="93" t="str">
        <f>VLOOKUP(A605,'Parameters Summary'!$B$2:$AB$826,8,FALSE)</f>
        <v>PHYSPROP</v>
      </c>
      <c r="N605" s="91">
        <f>VLOOKUP(A605,'Parameters Summary'!$B$2:$AB$826,6,FALSE)</f>
        <v>3.986E-10</v>
      </c>
      <c r="O605" s="91" t="str">
        <f t="shared" si="58"/>
        <v/>
      </c>
      <c r="P605" s="91">
        <f t="shared" si="61"/>
        <v>3.986E-10</v>
      </c>
      <c r="Q605" s="91" t="str">
        <f t="shared" si="59"/>
        <v/>
      </c>
      <c r="R605" s="91">
        <f t="shared" si="62"/>
        <v>3.986E-10</v>
      </c>
      <c r="S605" s="91" t="str">
        <f t="shared" si="63"/>
        <v/>
      </c>
      <c r="T605" s="93">
        <f>VLOOKUP(A605,'Parameters Summary'!$B$2:$AB$826,15,FALSE)</f>
        <v>5.5719900000000003E-2</v>
      </c>
      <c r="U605" s="93" t="str">
        <f>VLOOKUP(A605,'Parameters Summary'!$B$2:$AB$826,17,FALSE)</f>
        <v>WATER9 (U.S. EPA, 2001)</v>
      </c>
      <c r="V605" s="93">
        <f>VLOOKUP(A605,'Parameters Summary'!$B$2:$AB$826,16,FALSE)</f>
        <v>6.5104000000000004E-6</v>
      </c>
      <c r="W605" s="379" t="str">
        <f>VLOOKUP(A605,'Parameters Summary'!$B$2:$AB$826,17,FALSE)</f>
        <v>WATER9 (U.S. EPA, 2001)</v>
      </c>
      <c r="X605" s="347"/>
      <c r="Y605" s="96"/>
      <c r="Z605" s="96" t="s">
        <v>1653</v>
      </c>
      <c r="AA605" s="96"/>
      <c r="AB605" s="96" t="s">
        <v>1651</v>
      </c>
      <c r="AC605" s="96"/>
      <c r="AD605" s="93">
        <f>VLOOKUP(A605,'Parameters Summary'!$B$2:$AB$826,20,FALSE)</f>
        <v>226.5</v>
      </c>
      <c r="AE605" s="97" t="str">
        <f>VLOOKUP(A605,'Parameters Summary'!$B$2:$AB$826,21,FALSE)</f>
        <v>EPI</v>
      </c>
      <c r="AF605" s="97"/>
      <c r="AG605" s="94"/>
      <c r="AH605" s="92"/>
      <c r="AI605" s="96"/>
      <c r="AJ605" s="330"/>
      <c r="AL605" s="81"/>
    </row>
    <row r="606" spans="1:38" ht="12.75" customHeight="1">
      <c r="A606" s="96" t="s">
        <v>2285</v>
      </c>
      <c r="B606" s="96" t="s">
        <v>2286</v>
      </c>
      <c r="C606" s="96" t="str">
        <f t="shared" si="60"/>
        <v>No</v>
      </c>
      <c r="D606" s="96" t="str">
        <f>VLOOKUP(A606,'Tox Summary'!$O$3:$R$824,3,FALSE)</f>
        <v>Yes</v>
      </c>
      <c r="E606" s="97">
        <f>VLOOKUP(A606,'Parameters Summary'!$B$2:$AB$826,4,FALSE)</f>
        <v>229.11</v>
      </c>
      <c r="F606" s="97" t="str">
        <f>VLOOKUP(A606,'Parameters Summary'!$B$2:$AB$826,5,FALSE)</f>
        <v>PHYSPROP</v>
      </c>
      <c r="G606" s="93">
        <f>VLOOKUP(A606,'Parameters Summary'!$B$2:$AB$826,9,FALSE)</f>
        <v>7.5000000000000002E-7</v>
      </c>
      <c r="H606" s="93" t="str">
        <f>VLOOKUP(A606,'Parameters Summary'!$B$2:$AB$826,10,FALSE)</f>
        <v>PHYSPROP</v>
      </c>
      <c r="I606" s="93">
        <f>VLOOKUP(A606,'Parameters Summary'!$B$2:$AB$826,24,FALSE)</f>
        <v>12700</v>
      </c>
      <c r="J606" s="97" t="str">
        <f>VLOOKUP(A606,'Parameters Summary'!$B$2:$AB$826,25,FALSE)</f>
        <v>PHYSPROP</v>
      </c>
      <c r="K606" s="97" t="str">
        <f>VLOOKUP(A606,'Tox Summary'!$O$3:$S$827,2,FALSE)</f>
        <v/>
      </c>
      <c r="L606" s="93">
        <f>VLOOKUP(A606,'Parameters Summary'!$B$2:$AB$826,7,FALSE)</f>
        <v>1.6999999999999999E-11</v>
      </c>
      <c r="M606" s="93" t="str">
        <f>VLOOKUP(A606,'Parameters Summary'!$B$2:$AB$826,8,FALSE)</f>
        <v>EPI</v>
      </c>
      <c r="N606" s="91">
        <f>VLOOKUP(A606,'Parameters Summary'!$B$2:$AB$826,6,FALSE)</f>
        <v>6.9499999999999998E-10</v>
      </c>
      <c r="O606" s="91" t="str">
        <f t="shared" si="58"/>
        <v/>
      </c>
      <c r="P606" s="91">
        <f t="shared" si="61"/>
        <v>6.9499999999999998E-10</v>
      </c>
      <c r="Q606" s="91" t="str">
        <f t="shared" si="59"/>
        <v/>
      </c>
      <c r="R606" s="91">
        <f t="shared" si="62"/>
        <v>6.9499999999999998E-10</v>
      </c>
      <c r="S606" s="91" t="str">
        <f t="shared" si="63"/>
        <v/>
      </c>
      <c r="T606" s="93">
        <f>VLOOKUP(A606,'Parameters Summary'!$B$2:$AB$826,15,FALSE)</f>
        <v>3.02364E-2</v>
      </c>
      <c r="U606" s="93" t="str">
        <f>VLOOKUP(A606,'Parameters Summary'!$B$2:$AB$826,17,FALSE)</f>
        <v>WATER9 (U.S. EPA, 2001)</v>
      </c>
      <c r="V606" s="93">
        <f>VLOOKUP(A606,'Parameters Summary'!$B$2:$AB$826,16,FALSE)</f>
        <v>8.1845999999999995E-6</v>
      </c>
      <c r="W606" s="379" t="str">
        <f>VLOOKUP(A606,'Parameters Summary'!$B$2:$AB$826,17,FALSE)</f>
        <v>WATER9 (U.S. EPA, 2001)</v>
      </c>
      <c r="X606" s="347">
        <v>573.15</v>
      </c>
      <c r="Y606" s="96" t="s">
        <v>2323</v>
      </c>
      <c r="Z606" s="96">
        <f>1.5*X606</f>
        <v>859.72499999999991</v>
      </c>
      <c r="AA606" s="96" t="s">
        <v>2220</v>
      </c>
      <c r="AB606" s="96" t="s">
        <v>1651</v>
      </c>
      <c r="AC606" s="96"/>
      <c r="AD606" s="93">
        <f>VLOOKUP(A606,'Parameters Summary'!$B$2:$AB$826,20,FALSE)</f>
        <v>2251</v>
      </c>
      <c r="AE606" s="97" t="str">
        <f>VLOOKUP(A606,'Parameters Summary'!$B$2:$AB$826,21,FALSE)</f>
        <v>EPI</v>
      </c>
      <c r="AF606" s="97"/>
      <c r="AG606" s="94"/>
      <c r="AH606" s="92"/>
      <c r="AI606" s="96"/>
      <c r="AJ606" s="330"/>
      <c r="AL606" s="81"/>
    </row>
    <row r="607" spans="1:38" ht="12.75" customHeight="1">
      <c r="A607" s="96" t="s">
        <v>179</v>
      </c>
      <c r="B607" s="96" t="s">
        <v>1302</v>
      </c>
      <c r="C607" s="96" t="str">
        <f t="shared" si="60"/>
        <v>No</v>
      </c>
      <c r="D607" s="96" t="str">
        <f>VLOOKUP(A607,'Tox Summary'!$O$3:$R$824,3,FALSE)</f>
        <v>Yes</v>
      </c>
      <c r="E607" s="97">
        <f>VLOOKUP(A607,'Parameters Summary'!$B$2:$AB$826,4,FALSE)</f>
        <v>305.33999999999997</v>
      </c>
      <c r="F607" s="97" t="str">
        <f>VLOOKUP(A607,'Parameters Summary'!$B$2:$AB$826,5,FALSE)</f>
        <v>PHYSPROP</v>
      </c>
      <c r="G607" s="93">
        <f>VLOOKUP(A607,'Parameters Summary'!$B$2:$AB$826,9,FALSE)</f>
        <v>1.5E-5</v>
      </c>
      <c r="H607" s="93" t="str">
        <f>VLOOKUP(A607,'Parameters Summary'!$B$2:$AB$826,10,FALSE)</f>
        <v>PHYSPROP</v>
      </c>
      <c r="I607" s="93">
        <f>VLOOKUP(A607,'Parameters Summary'!$B$2:$AB$826,24,FALSE)</f>
        <v>8.6</v>
      </c>
      <c r="J607" s="97" t="str">
        <f>VLOOKUP(A607,'Parameters Summary'!$B$2:$AB$826,25,FALSE)</f>
        <v>PHYSPROP</v>
      </c>
      <c r="K607" s="97" t="str">
        <f>VLOOKUP(A607,'Tox Summary'!$O$3:$S$827,2,FALSE)</f>
        <v/>
      </c>
      <c r="L607" s="93">
        <f>VLOOKUP(A607,'Parameters Summary'!$B$2:$AB$826,7,FALSE)</f>
        <v>7.0100000000000004E-7</v>
      </c>
      <c r="M607" s="93" t="str">
        <f>VLOOKUP(A607,'Parameters Summary'!$B$2:$AB$826,8,FALSE)</f>
        <v>EPI</v>
      </c>
      <c r="N607" s="91">
        <f>VLOOKUP(A607,'Parameters Summary'!$B$2:$AB$826,6,FALSE)</f>
        <v>2.87E-5</v>
      </c>
      <c r="O607" s="91" t="str">
        <f t="shared" si="58"/>
        <v/>
      </c>
      <c r="P607" s="91">
        <f t="shared" si="61"/>
        <v>2.87E-5</v>
      </c>
      <c r="Q607" s="91" t="str">
        <f t="shared" si="59"/>
        <v/>
      </c>
      <c r="R607" s="91">
        <f t="shared" si="62"/>
        <v>2.87E-5</v>
      </c>
      <c r="S607" s="91" t="str">
        <f t="shared" si="63"/>
        <v/>
      </c>
      <c r="T607" s="93">
        <f>VLOOKUP(A607,'Parameters Summary'!$B$2:$AB$826,15,FALSE)</f>
        <v>2.1541999999999999E-2</v>
      </c>
      <c r="U607" s="93" t="str">
        <f>VLOOKUP(A607,'Parameters Summary'!$B$2:$AB$826,17,FALSE)</f>
        <v>WATER9 (U.S. EPA, 2001)</v>
      </c>
      <c r="V607" s="93">
        <f>VLOOKUP(A607,'Parameters Summary'!$B$2:$AB$826,16,FALSE)</f>
        <v>5.3866000000000002E-6</v>
      </c>
      <c r="W607" s="379" t="str">
        <f>VLOOKUP(A607,'Parameters Summary'!$B$2:$AB$826,17,FALSE)</f>
        <v>WATER9 (U.S. EPA, 2001)</v>
      </c>
      <c r="X607" s="347"/>
      <c r="Y607" s="96"/>
      <c r="Z607" s="96" t="s">
        <v>1653</v>
      </c>
      <c r="AA607" s="96"/>
      <c r="AB607" s="96" t="s">
        <v>1651</v>
      </c>
      <c r="AC607" s="96"/>
      <c r="AD607" s="93">
        <f>VLOOKUP(A607,'Parameters Summary'!$B$2:$AB$826,20,FALSE)</f>
        <v>374.7</v>
      </c>
      <c r="AE607" s="97" t="str">
        <f>VLOOKUP(A607,'Parameters Summary'!$B$2:$AB$826,21,FALSE)</f>
        <v>EPI</v>
      </c>
      <c r="AF607" s="97"/>
      <c r="AG607" s="94"/>
      <c r="AH607" s="92"/>
      <c r="AI607" s="96"/>
      <c r="AJ607" s="330"/>
      <c r="AL607" s="81"/>
    </row>
    <row r="608" spans="1:38" ht="12.75" customHeight="1">
      <c r="A608" s="96" t="s">
        <v>180</v>
      </c>
      <c r="B608" s="96" t="s">
        <v>1303</v>
      </c>
      <c r="C608" s="96" t="str">
        <f t="shared" si="60"/>
        <v>No</v>
      </c>
      <c r="D608" s="96" t="str">
        <f>VLOOKUP(A608,'Tox Summary'!$O$3:$R$824,3,FALSE)</f>
        <v>Yes</v>
      </c>
      <c r="E608" s="97" t="str">
        <f>VLOOKUP(A608,'Parameters Summary'!$B$2:$AB$826,4,FALSE)</f>
        <v xml:space="preserve"> </v>
      </c>
      <c r="F608" s="97" t="str">
        <f>VLOOKUP(A608,'Parameters Summary'!$B$2:$AB$826,5,FALSE)</f>
        <v/>
      </c>
      <c r="G608" s="93" t="s">
        <v>2439</v>
      </c>
      <c r="H608" s="93" t="str">
        <f>VLOOKUP(A608,'Parameters Summary'!$B$2:$AB$826,10,FALSE)</f>
        <v/>
      </c>
      <c r="I608" s="93" t="s">
        <v>2440</v>
      </c>
      <c r="J608" s="97" t="str">
        <f>VLOOKUP(A608,'Parameters Summary'!$B$2:$AB$826,25,FALSE)</f>
        <v/>
      </c>
      <c r="K608" s="97" t="str">
        <f>VLOOKUP(A608,'Tox Summary'!$O$3:$S$827,2,FALSE)</f>
        <v/>
      </c>
      <c r="L608" s="93" t="s">
        <v>2298</v>
      </c>
      <c r="M608" s="93" t="str">
        <f>VLOOKUP(A608,'Parameters Summary'!$B$2:$AB$826,8,FALSE)</f>
        <v/>
      </c>
      <c r="N608" s="91" t="str">
        <f>VLOOKUP(A608,'Parameters Summary'!$B$2:$AB$826,6,FALSE)</f>
        <v xml:space="preserve"> </v>
      </c>
      <c r="O608" s="91" t="str">
        <f t="shared" si="58"/>
        <v/>
      </c>
      <c r="P608" s="91" t="str">
        <f t="shared" si="61"/>
        <v xml:space="preserve"> </v>
      </c>
      <c r="Q608" s="91" t="str">
        <f t="shared" si="59"/>
        <v/>
      </c>
      <c r="R608" s="91" t="str">
        <f t="shared" si="62"/>
        <v xml:space="preserve"> </v>
      </c>
      <c r="S608" s="91" t="str">
        <f t="shared" si="63"/>
        <v/>
      </c>
      <c r="T608" s="93" t="str">
        <f>VLOOKUP(A608,'Parameters Summary'!$B$2:$AB$826,15,FALSE)</f>
        <v xml:space="preserve"> </v>
      </c>
      <c r="U608" s="93" t="str">
        <f>VLOOKUP(A608,'Parameters Summary'!$B$2:$AB$826,17,FALSE)</f>
        <v/>
      </c>
      <c r="V608" s="93" t="str">
        <f>VLOOKUP(A608,'Parameters Summary'!$B$2:$AB$826,16,FALSE)</f>
        <v xml:space="preserve"> </v>
      </c>
      <c r="W608" s="379" t="str">
        <f>VLOOKUP(A608,'Parameters Summary'!$B$2:$AB$826,17,FALSE)</f>
        <v/>
      </c>
      <c r="X608" s="347"/>
      <c r="Y608" s="96"/>
      <c r="Z608" s="96" t="s">
        <v>1653</v>
      </c>
      <c r="AA608" s="96"/>
      <c r="AB608" s="96" t="s">
        <v>1651</v>
      </c>
      <c r="AC608" s="96"/>
      <c r="AD608" s="93" t="str">
        <f>VLOOKUP(A608,'Parameters Summary'!$B$2:$AB$826,20,FALSE)</f>
        <v xml:space="preserve"> </v>
      </c>
      <c r="AE608" s="97" t="str">
        <f>VLOOKUP(A608,'Parameters Summary'!$B$2:$AB$826,21,FALSE)</f>
        <v/>
      </c>
      <c r="AF608" s="97"/>
      <c r="AG608" s="94"/>
      <c r="AH608" s="92"/>
      <c r="AI608" s="96"/>
      <c r="AJ608" s="330"/>
      <c r="AL608" s="81"/>
    </row>
    <row r="609" spans="1:38" ht="12.75" customHeight="1">
      <c r="A609" s="96" t="s">
        <v>200</v>
      </c>
      <c r="B609" s="96" t="s">
        <v>1304</v>
      </c>
      <c r="C609" s="96" t="str">
        <f t="shared" si="60"/>
        <v>No</v>
      </c>
      <c r="D609" s="96" t="str">
        <f>VLOOKUP(A609,'Tox Summary'!$O$3:$R$824,3,FALSE)</f>
        <v>Yes</v>
      </c>
      <c r="E609" s="97">
        <f>VLOOKUP(A609,'Parameters Summary'!$B$2:$AB$826,4,FALSE)</f>
        <v>512.53</v>
      </c>
      <c r="F609" s="97" t="str">
        <f>VLOOKUP(A609,'Parameters Summary'!$B$2:$AB$826,5,FALSE)</f>
        <v>EPI</v>
      </c>
      <c r="G609" s="93">
        <f>VLOOKUP(A609,'Parameters Summary'!$B$2:$AB$826,9,FALSE)</f>
        <v>5.4100000000000002E-13</v>
      </c>
      <c r="H609" s="93" t="str">
        <f>VLOOKUP(A609,'Parameters Summary'!$B$2:$AB$826,10,FALSE)</f>
        <v>EPI</v>
      </c>
      <c r="I609" s="93">
        <f>VLOOKUP(A609,'Parameters Summary'!$B$2:$AB$826,24,FALSE)</f>
        <v>1.7630000000000001E-6</v>
      </c>
      <c r="J609" s="97" t="str">
        <f>VLOOKUP(A609,'Parameters Summary'!$B$2:$AB$826,25,FALSE)</f>
        <v>EPI</v>
      </c>
      <c r="K609" s="97" t="str">
        <f>VLOOKUP(A609,'Tox Summary'!$O$3:$S$827,2,FALSE)</f>
        <v/>
      </c>
      <c r="L609" s="93">
        <f>VLOOKUP(A609,'Parameters Summary'!$B$2:$AB$826,7,FALSE)</f>
        <v>1.32E-11</v>
      </c>
      <c r="M609" s="93" t="str">
        <f>VLOOKUP(A609,'Parameters Summary'!$B$2:$AB$826,8,FALSE)</f>
        <v>EPI</v>
      </c>
      <c r="N609" s="91">
        <f>VLOOKUP(A609,'Parameters Summary'!$B$2:$AB$826,6,FALSE)</f>
        <v>5.3970000000000001E-10</v>
      </c>
      <c r="O609" s="91" t="str">
        <f t="shared" si="58"/>
        <v/>
      </c>
      <c r="P609" s="91">
        <f t="shared" si="61"/>
        <v>5.3970000000000001E-10</v>
      </c>
      <c r="Q609" s="91" t="str">
        <f t="shared" si="59"/>
        <v/>
      </c>
      <c r="R609" s="91">
        <f t="shared" si="62"/>
        <v>5.3970000000000001E-10</v>
      </c>
      <c r="S609" s="91" t="str">
        <f t="shared" si="63"/>
        <v/>
      </c>
      <c r="T609" s="93">
        <f>VLOOKUP(A609,'Parameters Summary'!$B$2:$AB$826,15,FALSE)</f>
        <v>2.9666999999999999E-2</v>
      </c>
      <c r="U609" s="93" t="str">
        <f>VLOOKUP(A609,'Parameters Summary'!$B$2:$AB$826,17,FALSE)</f>
        <v>WATER9 (U.S. EPA, 2001)</v>
      </c>
      <c r="V609" s="93">
        <f>VLOOKUP(A609,'Parameters Summary'!$B$2:$AB$826,16,FALSE)</f>
        <v>3.4664E-6</v>
      </c>
      <c r="W609" s="379" t="str">
        <f>VLOOKUP(A609,'Parameters Summary'!$B$2:$AB$826,17,FALSE)</f>
        <v>WATER9 (U.S. EPA, 2001)</v>
      </c>
      <c r="X609" s="347"/>
      <c r="Y609" s="96"/>
      <c r="Z609" s="96" t="s">
        <v>1653</v>
      </c>
      <c r="AA609" s="96"/>
      <c r="AB609" s="96" t="s">
        <v>1651</v>
      </c>
      <c r="AC609" s="96"/>
      <c r="AD609" s="93">
        <f>VLOOKUP(A609,'Parameters Summary'!$B$2:$AB$826,20,FALSE)</f>
        <v>10000000000</v>
      </c>
      <c r="AE609" s="97" t="str">
        <f>VLOOKUP(A609,'Parameters Summary'!$B$2:$AB$826,21,FALSE)</f>
        <v>EPI</v>
      </c>
      <c r="AF609" s="97"/>
      <c r="AG609" s="94"/>
      <c r="AH609" s="92"/>
      <c r="AI609" s="96"/>
      <c r="AJ609" s="330"/>
      <c r="AL609" s="81"/>
    </row>
    <row r="610" spans="1:38" ht="12.75" customHeight="1">
      <c r="A610" s="96" t="s">
        <v>1595</v>
      </c>
      <c r="B610" s="96" t="s">
        <v>2394</v>
      </c>
      <c r="C610" s="96" t="str">
        <f t="shared" si="60"/>
        <v>No</v>
      </c>
      <c r="D610" s="96" t="str">
        <f>VLOOKUP(A610,'Tox Summary'!$O$3:$R$824,3,FALSE)</f>
        <v>No</v>
      </c>
      <c r="E610" s="97">
        <f>VLOOKUP(A610,'Parameters Summary'!$B$2:$AB$826,4,FALSE)</f>
        <v>257.95999999999998</v>
      </c>
      <c r="F610" s="97" t="str">
        <f>VLOOKUP(A610,'Parameters Summary'!$B$2:$AB$826,5,FALSE)</f>
        <v>EPI</v>
      </c>
      <c r="G610" s="93" t="s">
        <v>2439</v>
      </c>
      <c r="H610" s="93" t="str">
        <f>VLOOKUP(A610,'Parameters Summary'!$B$2:$AB$826,10,FALSE)</f>
        <v/>
      </c>
      <c r="I610" s="93" t="s">
        <v>2440</v>
      </c>
      <c r="J610" s="97" t="str">
        <f>VLOOKUP(A610,'Parameters Summary'!$B$2:$AB$826,25,FALSE)</f>
        <v/>
      </c>
      <c r="K610" s="97" t="str">
        <f>VLOOKUP(A610,'Tox Summary'!$O$3:$S$827,2,FALSE)</f>
        <v/>
      </c>
      <c r="L610" s="93" t="s">
        <v>2298</v>
      </c>
      <c r="M610" s="93" t="str">
        <f>VLOOKUP(A610,'Parameters Summary'!$B$2:$AB$826,8,FALSE)</f>
        <v/>
      </c>
      <c r="N610" s="91" t="str">
        <f>VLOOKUP(A610,'Parameters Summary'!$B$2:$AB$826,6,FALSE)</f>
        <v xml:space="preserve"> </v>
      </c>
      <c r="O610" s="91" t="str">
        <f t="shared" si="58"/>
        <v/>
      </c>
      <c r="P610" s="91" t="str">
        <f t="shared" si="61"/>
        <v xml:space="preserve"> </v>
      </c>
      <c r="Q610" s="91" t="str">
        <f t="shared" si="59"/>
        <v/>
      </c>
      <c r="R610" s="91" t="str">
        <f t="shared" si="62"/>
        <v xml:space="preserve"> </v>
      </c>
      <c r="S610" s="91" t="str">
        <f t="shared" si="63"/>
        <v/>
      </c>
      <c r="T610" s="93" t="str">
        <f>VLOOKUP(A610,'Parameters Summary'!$B$2:$AB$826,15,FALSE)</f>
        <v xml:space="preserve"> </v>
      </c>
      <c r="U610" s="93" t="str">
        <f>VLOOKUP(A610,'Parameters Summary'!$B$2:$AB$826,17,FALSE)</f>
        <v/>
      </c>
      <c r="V610" s="93" t="str">
        <f>VLOOKUP(A610,'Parameters Summary'!$B$2:$AB$826,16,FALSE)</f>
        <v xml:space="preserve"> </v>
      </c>
      <c r="W610" s="379" t="str">
        <f>VLOOKUP(A610,'Parameters Summary'!$B$2:$AB$826,17,FALSE)</f>
        <v/>
      </c>
      <c r="X610" s="347"/>
      <c r="Y610" s="96"/>
      <c r="Z610" s="96" t="s">
        <v>1653</v>
      </c>
      <c r="AA610" s="96"/>
      <c r="AB610" s="96" t="s">
        <v>1651</v>
      </c>
      <c r="AC610" s="96"/>
      <c r="AD610" s="93" t="str">
        <f>VLOOKUP(A610,'Parameters Summary'!$B$2:$AB$826,20,FALSE)</f>
        <v xml:space="preserve"> </v>
      </c>
      <c r="AE610" s="97" t="str">
        <f>VLOOKUP(A610,'Parameters Summary'!$B$2:$AB$826,21,FALSE)</f>
        <v/>
      </c>
      <c r="AF610" s="97"/>
      <c r="AG610" s="94"/>
      <c r="AH610" s="92"/>
      <c r="AI610" s="96"/>
      <c r="AJ610" s="330"/>
      <c r="AL610" s="81"/>
    </row>
    <row r="611" spans="1:38" ht="12.75" customHeight="1">
      <c r="A611" s="96" t="s">
        <v>795</v>
      </c>
      <c r="B611" s="96" t="s">
        <v>2365</v>
      </c>
      <c r="C611" s="96" t="str">
        <f t="shared" si="60"/>
        <v>No</v>
      </c>
      <c r="D611" s="96" t="str">
        <f>VLOOKUP(A611,'Tox Summary'!$O$3:$R$824,3,FALSE)</f>
        <v>No</v>
      </c>
      <c r="E611" s="97">
        <f>VLOOKUP(A611,'Parameters Summary'!$B$2:$AB$826,4,FALSE)</f>
        <v>65.12</v>
      </c>
      <c r="F611" s="97" t="str">
        <f>VLOOKUP(A611,'Parameters Summary'!$B$2:$AB$826,5,FALSE)</f>
        <v>PHYSPROP</v>
      </c>
      <c r="G611" s="93">
        <f>VLOOKUP(A611,'Parameters Summary'!$B$2:$AB$826,9,FALSE)</f>
        <v>0</v>
      </c>
      <c r="H611" s="93" t="str">
        <f>VLOOKUP(A611,'Parameters Summary'!$B$2:$AB$826,10,FALSE)</f>
        <v>NIOSH</v>
      </c>
      <c r="I611" s="93">
        <f>VLOOKUP(A611,'Parameters Summary'!$B$2:$AB$826,24,FALSE)</f>
        <v>720000</v>
      </c>
      <c r="J611" s="97" t="str">
        <f>VLOOKUP(A611,'Parameters Summary'!$B$2:$AB$826,25,FALSE)</f>
        <v>PHYSPROP</v>
      </c>
      <c r="K611" s="97" t="str">
        <f>VLOOKUP(A611,'Tox Summary'!$O$3:$S$827,2,FALSE)</f>
        <v/>
      </c>
      <c r="L611" s="93" t="str">
        <f>VLOOKUP(A611,'Parameters Summary'!$B$2:$AB$826,7,FALSE)</f>
        <v xml:space="preserve"> </v>
      </c>
      <c r="M611" s="93" t="str">
        <f>VLOOKUP(A611,'Parameters Summary'!$B$2:$AB$826,8,FALSE)</f>
        <v/>
      </c>
      <c r="N611" s="91" t="str">
        <f>VLOOKUP(A611,'Parameters Summary'!$B$2:$AB$826,6,FALSE)</f>
        <v xml:space="preserve"> </v>
      </c>
      <c r="O611" s="91" t="str">
        <f t="shared" si="58"/>
        <v/>
      </c>
      <c r="P611" s="91" t="str">
        <f t="shared" si="61"/>
        <v xml:space="preserve"> </v>
      </c>
      <c r="Q611" s="91" t="str">
        <f t="shared" si="59"/>
        <v/>
      </c>
      <c r="R611" s="91" t="str">
        <f t="shared" si="62"/>
        <v xml:space="preserve"> </v>
      </c>
      <c r="S611" s="91" t="str">
        <f t="shared" si="63"/>
        <v/>
      </c>
      <c r="T611" s="93" t="str">
        <f>VLOOKUP(A611,'Parameters Summary'!$B$2:$AB$826,15,FALSE)</f>
        <v xml:space="preserve"> </v>
      </c>
      <c r="U611" s="93" t="str">
        <f>VLOOKUP(A611,'Parameters Summary'!$B$2:$AB$826,17,FALSE)</f>
        <v/>
      </c>
      <c r="V611" s="93" t="str">
        <f>VLOOKUP(A611,'Parameters Summary'!$B$2:$AB$826,16,FALSE)</f>
        <v xml:space="preserve"> </v>
      </c>
      <c r="W611" s="379" t="str">
        <f>VLOOKUP(A611,'Parameters Summary'!$B$2:$AB$826,17,FALSE)</f>
        <v/>
      </c>
      <c r="X611" s="347"/>
      <c r="Y611" s="96"/>
      <c r="Z611" s="96" t="s">
        <v>1653</v>
      </c>
      <c r="AA611" s="96"/>
      <c r="AB611" s="96" t="s">
        <v>1651</v>
      </c>
      <c r="AC611" s="96"/>
      <c r="AD611" s="93" t="str">
        <f>VLOOKUP(A611,'Parameters Summary'!$B$2:$AB$826,20,FALSE)</f>
        <v xml:space="preserve"> </v>
      </c>
      <c r="AE611" s="97" t="str">
        <f>VLOOKUP(A611,'Parameters Summary'!$B$2:$AB$826,21,FALSE)</f>
        <v/>
      </c>
      <c r="AF611" s="97"/>
      <c r="AG611" s="94"/>
      <c r="AH611" s="92"/>
      <c r="AI611" s="96"/>
      <c r="AJ611" s="330"/>
      <c r="AL611" s="81"/>
    </row>
    <row r="612" spans="1:38" ht="12.75" customHeight="1">
      <c r="A612" s="96" t="s">
        <v>220</v>
      </c>
      <c r="B612" s="96" t="s">
        <v>2379</v>
      </c>
      <c r="C612" s="96" t="str">
        <f t="shared" si="60"/>
        <v>No</v>
      </c>
      <c r="D612" s="96" t="str">
        <f>VLOOKUP(A612,'Tox Summary'!$O$3:$R$824,3,FALSE)</f>
        <v>No</v>
      </c>
      <c r="E612" s="97">
        <f>VLOOKUP(A612,'Parameters Summary'!$B$2:$AB$826,4,FALSE)</f>
        <v>138.55000000000001</v>
      </c>
      <c r="F612" s="97" t="str">
        <f>VLOOKUP(A612,'Parameters Summary'!$B$2:$AB$826,5,FALSE)</f>
        <v>PHYSPROP</v>
      </c>
      <c r="G612" s="93" t="s">
        <v>2439</v>
      </c>
      <c r="H612" s="93" t="str">
        <f>VLOOKUP(A612,'Parameters Summary'!$B$2:$AB$826,10,FALSE)</f>
        <v/>
      </c>
      <c r="I612" s="93">
        <f>VLOOKUP(A612,'Parameters Summary'!$B$2:$AB$826,24,FALSE)</f>
        <v>15000</v>
      </c>
      <c r="J612" s="97" t="str">
        <f>VLOOKUP(A612,'Parameters Summary'!$B$2:$AB$826,25,FALSE)</f>
        <v>PHYSPROP</v>
      </c>
      <c r="K612" s="97" t="str">
        <f>VLOOKUP(A612,'Tox Summary'!$O$3:$S$827,2,FALSE)</f>
        <v/>
      </c>
      <c r="L612" s="93" t="s">
        <v>2298</v>
      </c>
      <c r="M612" s="93" t="str">
        <f>VLOOKUP(A612,'Parameters Summary'!$B$2:$AB$826,8,FALSE)</f>
        <v/>
      </c>
      <c r="N612" s="91" t="str">
        <f>VLOOKUP(A612,'Parameters Summary'!$B$2:$AB$826,6,FALSE)</f>
        <v xml:space="preserve"> </v>
      </c>
      <c r="O612" s="91" t="str">
        <f t="shared" si="58"/>
        <v/>
      </c>
      <c r="P612" s="91" t="str">
        <f t="shared" si="61"/>
        <v xml:space="preserve"> </v>
      </c>
      <c r="Q612" s="91" t="str">
        <f t="shared" si="59"/>
        <v/>
      </c>
      <c r="R612" s="91" t="str">
        <f t="shared" si="62"/>
        <v xml:space="preserve"> </v>
      </c>
      <c r="S612" s="91" t="str">
        <f t="shared" si="63"/>
        <v/>
      </c>
      <c r="T612" s="93" t="str">
        <f>VLOOKUP(A612,'Parameters Summary'!$B$2:$AB$826,15,FALSE)</f>
        <v xml:space="preserve"> </v>
      </c>
      <c r="U612" s="93" t="str">
        <f>VLOOKUP(A612,'Parameters Summary'!$B$2:$AB$826,17,FALSE)</f>
        <v/>
      </c>
      <c r="V612" s="93" t="str">
        <f>VLOOKUP(A612,'Parameters Summary'!$B$2:$AB$826,16,FALSE)</f>
        <v xml:space="preserve"> </v>
      </c>
      <c r="W612" s="379" t="str">
        <f>VLOOKUP(A612,'Parameters Summary'!$B$2:$AB$826,17,FALSE)</f>
        <v/>
      </c>
      <c r="X612" s="347"/>
      <c r="Y612" s="96"/>
      <c r="Z612" s="96" t="s">
        <v>1653</v>
      </c>
      <c r="AA612" s="96"/>
      <c r="AB612" s="96" t="s">
        <v>1651</v>
      </c>
      <c r="AC612" s="96"/>
      <c r="AD612" s="93" t="str">
        <f>VLOOKUP(A612,'Parameters Summary'!$B$2:$AB$826,20,FALSE)</f>
        <v xml:space="preserve"> </v>
      </c>
      <c r="AE612" s="97" t="str">
        <f>VLOOKUP(A612,'Parameters Summary'!$B$2:$AB$826,21,FALSE)</f>
        <v/>
      </c>
      <c r="AF612" s="97"/>
      <c r="AG612" s="94"/>
      <c r="AH612" s="92"/>
      <c r="AI612" s="96"/>
      <c r="AJ612" s="330"/>
      <c r="AL612" s="81"/>
    </row>
    <row r="613" spans="1:38" ht="12.75" customHeight="1">
      <c r="A613" s="96" t="s">
        <v>2128</v>
      </c>
      <c r="B613" s="96" t="s">
        <v>2127</v>
      </c>
      <c r="C613" s="96" t="str">
        <f t="shared" si="60"/>
        <v>No</v>
      </c>
      <c r="D613" s="96" t="str">
        <f>VLOOKUP(A613,'Tox Summary'!$O$3:$R$824,3,FALSE)</f>
        <v>Yes</v>
      </c>
      <c r="E613" s="97">
        <f>VLOOKUP(A613,'Parameters Summary'!$B$2:$AB$826,4,FALSE)</f>
        <v>338.19</v>
      </c>
      <c r="F613" s="97" t="str">
        <f>VLOOKUP(A613,'Parameters Summary'!$B$2:$AB$826,5,FALSE)</f>
        <v>EPI</v>
      </c>
      <c r="G613" s="93">
        <f>VLOOKUP(A613,'Parameters Summary'!$B$2:$AB$826,9,FALSE)</f>
        <v>9.1500000000000005E-8</v>
      </c>
      <c r="H613" s="93" t="str">
        <f>VLOOKUP(A613,'Parameters Summary'!$B$2:$AB$826,10,FALSE)</f>
        <v>CHR Australia</v>
      </c>
      <c r="I613" s="93">
        <f>VLOOKUP(A613,'Parameters Summary'!$B$2:$AB$826,24,FALSE)</f>
        <v>46200</v>
      </c>
      <c r="J613" s="97" t="str">
        <f>VLOOKUP(A613,'Parameters Summary'!$B$2:$AB$826,25,FALSE)</f>
        <v>CHR Australia</v>
      </c>
      <c r="K613" s="97" t="str">
        <f>VLOOKUP(A613,'Tox Summary'!$O$3:$S$827,2,FALSE)</f>
        <v/>
      </c>
      <c r="L613" s="93">
        <f>VLOOKUP(A613,'Parameters Summary'!$B$2:$AB$826,7,FALSE)</f>
        <v>8.7899999999999999E-13</v>
      </c>
      <c r="M613" s="93" t="str">
        <f>VLOOKUP(A613,'Parameters Summary'!$B$2:$AB$826,8,FALSE)</f>
        <v>CHR Australia</v>
      </c>
      <c r="N613" s="91">
        <f>VLOOKUP(A613,'Parameters Summary'!$B$2:$AB$826,6,FALSE)</f>
        <v>3.59E-11</v>
      </c>
      <c r="O613" s="91" t="str">
        <f t="shared" si="58"/>
        <v/>
      </c>
      <c r="P613" s="91">
        <f t="shared" si="61"/>
        <v>3.59E-11</v>
      </c>
      <c r="Q613" s="91" t="str">
        <f t="shared" si="59"/>
        <v/>
      </c>
      <c r="R613" s="91">
        <f t="shared" si="62"/>
        <v>3.59E-11</v>
      </c>
      <c r="S613" s="91" t="str">
        <f t="shared" si="63"/>
        <v/>
      </c>
      <c r="T613" s="93">
        <f>VLOOKUP(A613,'Parameters Summary'!$B$2:$AB$826,15,FALSE)</f>
        <v>3.9142299999999998E-2</v>
      </c>
      <c r="U613" s="93" t="str">
        <f>VLOOKUP(A613,'Parameters Summary'!$B$2:$AB$826,17,FALSE)</f>
        <v>WATER9 (U.S. EPA, 2001)</v>
      </c>
      <c r="V613" s="93">
        <f>VLOOKUP(A613,'Parameters Summary'!$B$2:$AB$826,16,FALSE)</f>
        <v>4.5735000000000003E-6</v>
      </c>
      <c r="W613" s="379" t="str">
        <f>VLOOKUP(A613,'Parameters Summary'!$B$2:$AB$826,17,FALSE)</f>
        <v>WATER9 (U.S. EPA, 2001)</v>
      </c>
      <c r="X613" s="347"/>
      <c r="Y613" s="96"/>
      <c r="Z613" s="96" t="s">
        <v>1653</v>
      </c>
      <c r="AA613" s="96"/>
      <c r="AB613" s="96" t="s">
        <v>1651</v>
      </c>
      <c r="AC613" s="96"/>
      <c r="AD613" s="93" t="str">
        <f>VLOOKUP(A613,'Parameters Summary'!$B$2:$AB$826,20,FALSE)</f>
        <v xml:space="preserve"> </v>
      </c>
      <c r="AE613" s="97" t="str">
        <f>VLOOKUP(A613,'Parameters Summary'!$B$2:$AB$826,21,FALSE)</f>
        <v/>
      </c>
      <c r="AF613" s="97"/>
      <c r="AG613" s="94"/>
      <c r="AH613" s="92"/>
      <c r="AI613" s="96"/>
      <c r="AJ613" s="330"/>
      <c r="AL613" s="81"/>
    </row>
    <row r="614" spans="1:38" ht="12.75" customHeight="1">
      <c r="A614" s="96" t="s">
        <v>796</v>
      </c>
      <c r="B614" s="96" t="s">
        <v>2366</v>
      </c>
      <c r="C614" s="96" t="str">
        <f t="shared" si="60"/>
        <v>No</v>
      </c>
      <c r="D614" s="96" t="str">
        <f>VLOOKUP(A614,'Tox Summary'!$O$3:$R$824,3,FALSE)</f>
        <v>No</v>
      </c>
      <c r="E614" s="97">
        <f>VLOOKUP(A614,'Parameters Summary'!$B$2:$AB$826,4,FALSE)</f>
        <v>199.01</v>
      </c>
      <c r="F614" s="97" t="str">
        <f>VLOOKUP(A614,'Parameters Summary'!$B$2:$AB$826,5,FALSE)</f>
        <v>PHYSPROP</v>
      </c>
      <c r="G614" s="93" t="s">
        <v>2439</v>
      </c>
      <c r="H614" s="93" t="str">
        <f>VLOOKUP(A614,'Parameters Summary'!$B$2:$AB$826,10,FALSE)</f>
        <v/>
      </c>
      <c r="I614" s="93" t="s">
        <v>2440</v>
      </c>
      <c r="J614" s="97" t="str">
        <f>VLOOKUP(A614,'Parameters Summary'!$B$2:$AB$826,25,FALSE)</f>
        <v/>
      </c>
      <c r="K614" s="97" t="str">
        <f>VLOOKUP(A614,'Tox Summary'!$O$3:$S$827,2,FALSE)</f>
        <v/>
      </c>
      <c r="L614" s="93" t="s">
        <v>2298</v>
      </c>
      <c r="M614" s="93" t="str">
        <f>VLOOKUP(A614,'Parameters Summary'!$B$2:$AB$826,8,FALSE)</f>
        <v/>
      </c>
      <c r="N614" s="91" t="str">
        <f>VLOOKUP(A614,'Parameters Summary'!$B$2:$AB$826,6,FALSE)</f>
        <v xml:space="preserve"> </v>
      </c>
      <c r="O614" s="91" t="str">
        <f t="shared" si="58"/>
        <v/>
      </c>
      <c r="P614" s="91" t="str">
        <f t="shared" si="61"/>
        <v xml:space="preserve"> </v>
      </c>
      <c r="Q614" s="91" t="str">
        <f t="shared" si="59"/>
        <v/>
      </c>
      <c r="R614" s="91" t="str">
        <f t="shared" si="62"/>
        <v xml:space="preserve"> </v>
      </c>
      <c r="S614" s="91" t="str">
        <f t="shared" si="63"/>
        <v/>
      </c>
      <c r="T614" s="93" t="str">
        <f>VLOOKUP(A614,'Parameters Summary'!$B$2:$AB$826,15,FALSE)</f>
        <v xml:space="preserve"> </v>
      </c>
      <c r="U614" s="93" t="str">
        <f>VLOOKUP(A614,'Parameters Summary'!$B$2:$AB$826,17,FALSE)</f>
        <v/>
      </c>
      <c r="V614" s="93" t="str">
        <f>VLOOKUP(A614,'Parameters Summary'!$B$2:$AB$826,16,FALSE)</f>
        <v xml:space="preserve"> </v>
      </c>
      <c r="W614" s="379" t="str">
        <f>VLOOKUP(A614,'Parameters Summary'!$B$2:$AB$826,17,FALSE)</f>
        <v/>
      </c>
      <c r="X614" s="347"/>
      <c r="Y614" s="96"/>
      <c r="Z614" s="96" t="s">
        <v>1653</v>
      </c>
      <c r="AA614" s="96"/>
      <c r="AB614" s="96" t="s">
        <v>1651</v>
      </c>
      <c r="AC614" s="96"/>
      <c r="AD614" s="93" t="str">
        <f>VLOOKUP(A614,'Parameters Summary'!$B$2:$AB$826,20,FALSE)</f>
        <v xml:space="preserve"> </v>
      </c>
      <c r="AE614" s="97" t="str">
        <f>VLOOKUP(A614,'Parameters Summary'!$B$2:$AB$826,21,FALSE)</f>
        <v/>
      </c>
      <c r="AF614" s="97"/>
      <c r="AG614" s="94"/>
      <c r="AH614" s="92"/>
      <c r="AI614" s="96"/>
      <c r="AJ614" s="330"/>
      <c r="AL614" s="81"/>
    </row>
    <row r="615" spans="1:38" ht="12.75" customHeight="1">
      <c r="A615" s="96" t="s">
        <v>1596</v>
      </c>
      <c r="B615" s="96" t="s">
        <v>2395</v>
      </c>
      <c r="C615" s="96" t="str">
        <f t="shared" si="60"/>
        <v>No</v>
      </c>
      <c r="D615" s="96" t="str">
        <f>VLOOKUP(A615,'Tox Summary'!$O$3:$R$824,3,FALSE)</f>
        <v>No</v>
      </c>
      <c r="E615" s="97">
        <f>VLOOKUP(A615,'Parameters Summary'!$B$2:$AB$826,4,FALSE)</f>
        <v>448.40679</v>
      </c>
      <c r="F615" s="97" t="str">
        <f>VLOOKUP(A615,'Parameters Summary'!$B$2:$AB$826,5,FALSE)</f>
        <v>PubChem</v>
      </c>
      <c r="G615" s="93" t="s">
        <v>2439</v>
      </c>
      <c r="H615" s="93" t="str">
        <f>VLOOKUP(A615,'Parameters Summary'!$B$2:$AB$826,10,FALSE)</f>
        <v/>
      </c>
      <c r="I615" s="93" t="s">
        <v>2440</v>
      </c>
      <c r="J615" s="97" t="str">
        <f>VLOOKUP(A615,'Parameters Summary'!$B$2:$AB$826,25,FALSE)</f>
        <v/>
      </c>
      <c r="K615" s="97" t="str">
        <f>VLOOKUP(A615,'Tox Summary'!$O$3:$S$827,2,FALSE)</f>
        <v/>
      </c>
      <c r="L615" s="93" t="s">
        <v>2298</v>
      </c>
      <c r="M615" s="93" t="str">
        <f>VLOOKUP(A615,'Parameters Summary'!$B$2:$AB$826,8,FALSE)</f>
        <v/>
      </c>
      <c r="N615" s="91" t="str">
        <f>VLOOKUP(A615,'Parameters Summary'!$B$2:$AB$826,6,FALSE)</f>
        <v xml:space="preserve"> </v>
      </c>
      <c r="O615" s="91" t="str">
        <f t="shared" si="58"/>
        <v/>
      </c>
      <c r="P615" s="91" t="str">
        <f t="shared" si="61"/>
        <v xml:space="preserve"> </v>
      </c>
      <c r="Q615" s="91" t="str">
        <f t="shared" si="59"/>
        <v/>
      </c>
      <c r="R615" s="91" t="str">
        <f t="shared" si="62"/>
        <v xml:space="preserve"> </v>
      </c>
      <c r="S615" s="91" t="str">
        <f t="shared" si="63"/>
        <v/>
      </c>
      <c r="T615" s="93" t="str">
        <f>VLOOKUP(A615,'Parameters Summary'!$B$2:$AB$826,15,FALSE)</f>
        <v xml:space="preserve"> </v>
      </c>
      <c r="U615" s="93" t="str">
        <f>VLOOKUP(A615,'Parameters Summary'!$B$2:$AB$826,17,FALSE)</f>
        <v/>
      </c>
      <c r="V615" s="93" t="str">
        <f>VLOOKUP(A615,'Parameters Summary'!$B$2:$AB$826,16,FALSE)</f>
        <v xml:space="preserve"> </v>
      </c>
      <c r="W615" s="379" t="str">
        <f>VLOOKUP(A615,'Parameters Summary'!$B$2:$AB$826,17,FALSE)</f>
        <v/>
      </c>
      <c r="X615" s="347"/>
      <c r="Y615" s="96"/>
      <c r="Z615" s="96" t="s">
        <v>1653</v>
      </c>
      <c r="AA615" s="96"/>
      <c r="AB615" s="96" t="s">
        <v>1651</v>
      </c>
      <c r="AC615" s="96"/>
      <c r="AD615" s="93" t="str">
        <f>VLOOKUP(A615,'Parameters Summary'!$B$2:$AB$826,20,FALSE)</f>
        <v xml:space="preserve"> </v>
      </c>
      <c r="AE615" s="97" t="str">
        <f>VLOOKUP(A615,'Parameters Summary'!$B$2:$AB$826,21,FALSE)</f>
        <v/>
      </c>
      <c r="AF615" s="97"/>
      <c r="AG615" s="94"/>
      <c r="AH615" s="92"/>
      <c r="AI615" s="96"/>
      <c r="AJ615" s="330"/>
      <c r="AL615" s="81"/>
    </row>
    <row r="616" spans="1:38" ht="12.75" customHeight="1">
      <c r="A616" s="96" t="s">
        <v>221</v>
      </c>
      <c r="B616" s="96" t="s">
        <v>1305</v>
      </c>
      <c r="C616" s="96" t="str">
        <f t="shared" si="60"/>
        <v>No</v>
      </c>
      <c r="D616" s="96" t="str">
        <f>VLOOKUP(A616,'Tox Summary'!$O$3:$R$824,3,FALSE)</f>
        <v>Yes</v>
      </c>
      <c r="E616" s="97">
        <f>VLOOKUP(A616,'Parameters Summary'!$B$2:$AB$826,4,FALSE)</f>
        <v>376.67</v>
      </c>
      <c r="F616" s="97" t="str">
        <f>VLOOKUP(A616,'Parameters Summary'!$B$2:$AB$826,5,FALSE)</f>
        <v>PHYSPROP</v>
      </c>
      <c r="G616" s="93">
        <f>VLOOKUP(A616,'Parameters Summary'!$B$2:$AB$826,9,FALSE)</f>
        <v>1.13E-6</v>
      </c>
      <c r="H616" s="93" t="str">
        <f>VLOOKUP(A616,'Parameters Summary'!$B$2:$AB$826,10,FALSE)</f>
        <v>PHYSPROP</v>
      </c>
      <c r="I616" s="93">
        <f>VLOOKUP(A616,'Parameters Summary'!$B$2:$AB$826,24,FALSE)</f>
        <v>34</v>
      </c>
      <c r="J616" s="97" t="str">
        <f>VLOOKUP(A616,'Parameters Summary'!$B$2:$AB$826,25,FALSE)</f>
        <v>PHYSPROP</v>
      </c>
      <c r="K616" s="97" t="str">
        <f>VLOOKUP(A616,'Tox Summary'!$O$3:$S$827,2,FALSE)</f>
        <v/>
      </c>
      <c r="L616" s="93">
        <f>VLOOKUP(A616,'Parameters Summary'!$B$2:$AB$826,7,FALSE)</f>
        <v>1.6400000000000001E-8</v>
      </c>
      <c r="M616" s="93" t="str">
        <f>VLOOKUP(A616,'Parameters Summary'!$B$2:$AB$826,8,FALSE)</f>
        <v>EPI</v>
      </c>
      <c r="N616" s="91">
        <f>VLOOKUP(A616,'Parameters Summary'!$B$2:$AB$826,6,FALSE)</f>
        <v>6.7047999999999995E-7</v>
      </c>
      <c r="O616" s="91" t="str">
        <f t="shared" si="58"/>
        <v/>
      </c>
      <c r="P616" s="91">
        <f t="shared" si="61"/>
        <v>6.7047999999999995E-7</v>
      </c>
      <c r="Q616" s="91" t="str">
        <f t="shared" si="59"/>
        <v/>
      </c>
      <c r="R616" s="91">
        <f t="shared" si="62"/>
        <v>6.7047999999999995E-7</v>
      </c>
      <c r="S616" s="91" t="str">
        <f t="shared" si="63"/>
        <v/>
      </c>
      <c r="T616" s="93">
        <f>VLOOKUP(A616,'Parameters Summary'!$B$2:$AB$826,15,FALSE)</f>
        <v>3.64289E-2</v>
      </c>
      <c r="U616" s="93" t="str">
        <f>VLOOKUP(A616,'Parameters Summary'!$B$2:$AB$826,17,FALSE)</f>
        <v>WATER9 (U.S. EPA, 2001)</v>
      </c>
      <c r="V616" s="93">
        <f>VLOOKUP(A616,'Parameters Summary'!$B$2:$AB$826,16,FALSE)</f>
        <v>4.2563999999999996E-6</v>
      </c>
      <c r="W616" s="379" t="str">
        <f>VLOOKUP(A616,'Parameters Summary'!$B$2:$AB$826,17,FALSE)</f>
        <v>WATER9 (U.S. EPA, 2001)</v>
      </c>
      <c r="X616" s="290">
        <v>482.15</v>
      </c>
      <c r="Y616" s="96" t="s">
        <v>553</v>
      </c>
      <c r="Z616" s="96" t="s">
        <v>1653</v>
      </c>
      <c r="AA616" s="96"/>
      <c r="AB616" s="96" t="s">
        <v>1651</v>
      </c>
      <c r="AC616" s="96"/>
      <c r="AD616" s="93">
        <f>VLOOKUP(A616,'Parameters Summary'!$B$2:$AB$826,20,FALSE)</f>
        <v>2425</v>
      </c>
      <c r="AE616" s="97" t="str">
        <f>VLOOKUP(A616,'Parameters Summary'!$B$2:$AB$826,21,FALSE)</f>
        <v>EPI</v>
      </c>
      <c r="AF616" s="97"/>
      <c r="AG616" s="94"/>
      <c r="AH616" s="92"/>
      <c r="AI616" s="96"/>
      <c r="AJ616" s="330"/>
      <c r="AL616" s="81"/>
    </row>
    <row r="617" spans="1:38" ht="12.75" customHeight="1">
      <c r="A617" s="96" t="s">
        <v>222</v>
      </c>
      <c r="B617" s="96" t="s">
        <v>1306</v>
      </c>
      <c r="C617" s="96" t="str">
        <f t="shared" si="60"/>
        <v>Yes</v>
      </c>
      <c r="D617" s="96" t="str">
        <f>VLOOKUP(A617,'Tox Summary'!$O$3:$R$824,3,FALSE)</f>
        <v>Yes</v>
      </c>
      <c r="E617" s="97">
        <f>VLOOKUP(A617,'Parameters Summary'!$B$2:$AB$826,4,FALSE)</f>
        <v>347.3</v>
      </c>
      <c r="F617" s="97" t="str">
        <f>VLOOKUP(A617,'Parameters Summary'!$B$2:$AB$826,5,FALSE)</f>
        <v>PHYSPROP</v>
      </c>
      <c r="G617" s="93">
        <f>VLOOKUP(A617,'Parameters Summary'!$B$2:$AB$826,9,FALSE)</f>
        <v>6.3E-5</v>
      </c>
      <c r="H617" s="93" t="str">
        <f>VLOOKUP(A617,'Parameters Summary'!$B$2:$AB$826,10,FALSE)</f>
        <v>PHYSPROP</v>
      </c>
      <c r="I617" s="93">
        <f>VLOOKUP(A617,'Parameters Summary'!$B$2:$AB$826,24,FALSE)</f>
        <v>0.1</v>
      </c>
      <c r="J617" s="97" t="str">
        <f>VLOOKUP(A617,'Parameters Summary'!$B$2:$AB$826,25,FALSE)</f>
        <v>PHYSPROP</v>
      </c>
      <c r="K617" s="97" t="str">
        <f>VLOOKUP(A617,'Tox Summary'!$O$3:$S$827,2,FALSE)</f>
        <v/>
      </c>
      <c r="L617" s="93">
        <f>VLOOKUP(A617,'Parameters Summary'!$B$2:$AB$826,7,FALSE)</f>
        <v>2.9E-4</v>
      </c>
      <c r="M617" s="93" t="str">
        <f>VLOOKUP(A617,'Parameters Summary'!$B$2:$AB$826,8,FALSE)</f>
        <v>EPI</v>
      </c>
      <c r="N617" s="91">
        <f>VLOOKUP(A617,'Parameters Summary'!$B$2:$AB$826,6,FALSE)</f>
        <v>1.18561E-2</v>
      </c>
      <c r="O617" s="91" t="str">
        <f t="shared" si="58"/>
        <v/>
      </c>
      <c r="P617" s="91">
        <f t="shared" si="61"/>
        <v>1.18561E-2</v>
      </c>
      <c r="Q617" s="91" t="str">
        <f t="shared" si="59"/>
        <v/>
      </c>
      <c r="R617" s="91">
        <f t="shared" si="62"/>
        <v>1.18561E-2</v>
      </c>
      <c r="S617" s="91" t="str">
        <f t="shared" si="63"/>
        <v/>
      </c>
      <c r="T617" s="93">
        <f>VLOOKUP(A617,'Parameters Summary'!$B$2:$AB$826,15,FALSE)</f>
        <v>2.18047E-2</v>
      </c>
      <c r="U617" s="93" t="str">
        <f>VLOOKUP(A617,'Parameters Summary'!$B$2:$AB$826,17,FALSE)</f>
        <v>WATER9 (U.S. EPA, 2001)</v>
      </c>
      <c r="V617" s="93">
        <f>VLOOKUP(A617,'Parameters Summary'!$B$2:$AB$826,16,FALSE)</f>
        <v>5.5052000000000002E-6</v>
      </c>
      <c r="W617" s="379" t="str">
        <f>VLOOKUP(A617,'Parameters Summary'!$B$2:$AB$826,17,FALSE)</f>
        <v>WATER9 (U.S. EPA, 2001)</v>
      </c>
      <c r="X617" s="347">
        <f>273+395.75</f>
        <v>668.75</v>
      </c>
      <c r="Y617" s="96" t="s">
        <v>553</v>
      </c>
      <c r="Z617" s="96" t="s">
        <v>1653</v>
      </c>
      <c r="AA617" s="96"/>
      <c r="AB617" s="96" t="s">
        <v>1651</v>
      </c>
      <c r="AC617" s="96"/>
      <c r="AD617" s="93">
        <f>VLOOKUP(A617,'Parameters Summary'!$B$2:$AB$826,20,FALSE)</f>
        <v>30520</v>
      </c>
      <c r="AE617" s="97" t="str">
        <f>VLOOKUP(A617,'Parameters Summary'!$B$2:$AB$826,21,FALSE)</f>
        <v>EPI</v>
      </c>
      <c r="AF617" s="97"/>
      <c r="AG617" s="94"/>
      <c r="AH617" s="92"/>
      <c r="AI617" s="96"/>
      <c r="AJ617" s="330"/>
      <c r="AL617" s="81"/>
    </row>
    <row r="618" spans="1:38" ht="12.75" customHeight="1">
      <c r="A618" s="96" t="s">
        <v>223</v>
      </c>
      <c r="B618" s="96" t="s">
        <v>1307</v>
      </c>
      <c r="C618" s="96" t="str">
        <f t="shared" si="60"/>
        <v>No</v>
      </c>
      <c r="D618" s="96" t="str">
        <f>VLOOKUP(A618,'Tox Summary'!$O$3:$R$824,3,FALSE)</f>
        <v>No</v>
      </c>
      <c r="E618" s="97">
        <f>VLOOKUP(A618,'Parameters Summary'!$B$2:$AB$826,4,FALSE)</f>
        <v>225.3</v>
      </c>
      <c r="F618" s="97" t="str">
        <f>VLOOKUP(A618,'Parameters Summary'!$B$2:$AB$826,5,FALSE)</f>
        <v>PHYSPROP</v>
      </c>
      <c r="G618" s="93">
        <f>VLOOKUP(A618,'Parameters Summary'!$B$2:$AB$826,9,FALSE)</f>
        <v>2.3E-6</v>
      </c>
      <c r="H618" s="93" t="str">
        <f>VLOOKUP(A618,'Parameters Summary'!$B$2:$AB$826,10,FALSE)</f>
        <v>PHYSPROP</v>
      </c>
      <c r="I618" s="93">
        <f>VLOOKUP(A618,'Parameters Summary'!$B$2:$AB$826,24,FALSE)</f>
        <v>750</v>
      </c>
      <c r="J618" s="97" t="str">
        <f>VLOOKUP(A618,'Parameters Summary'!$B$2:$AB$826,25,FALSE)</f>
        <v>PHYSPROP</v>
      </c>
      <c r="K618" s="97" t="str">
        <f>VLOOKUP(A618,'Tox Summary'!$O$3:$S$827,2,FALSE)</f>
        <v/>
      </c>
      <c r="L618" s="93">
        <f>VLOOKUP(A618,'Parameters Summary'!$B$2:$AB$826,7,FALSE)</f>
        <v>9.0899999999999996E-10</v>
      </c>
      <c r="M618" s="93" t="str">
        <f>VLOOKUP(A618,'Parameters Summary'!$B$2:$AB$826,8,FALSE)</f>
        <v>EPI</v>
      </c>
      <c r="N618" s="91">
        <f>VLOOKUP(A618,'Parameters Summary'!$B$2:$AB$826,6,FALSE)</f>
        <v>3.7163E-8</v>
      </c>
      <c r="O618" s="91" t="str">
        <f t="shared" si="58"/>
        <v/>
      </c>
      <c r="P618" s="91">
        <f t="shared" si="61"/>
        <v>3.7163E-8</v>
      </c>
      <c r="Q618" s="91" t="str">
        <f t="shared" si="59"/>
        <v/>
      </c>
      <c r="R618" s="91">
        <f t="shared" si="62"/>
        <v>3.7163E-8</v>
      </c>
      <c r="S618" s="91" t="str">
        <f t="shared" si="63"/>
        <v/>
      </c>
      <c r="T618" s="93">
        <f>VLOOKUP(A618,'Parameters Summary'!$B$2:$AB$826,15,FALSE)</f>
        <v>5.1315199999999998E-2</v>
      </c>
      <c r="U618" s="93" t="str">
        <f>VLOOKUP(A618,'Parameters Summary'!$B$2:$AB$826,17,FALSE)</f>
        <v>WATER9 (U.S. EPA, 2001)</v>
      </c>
      <c r="V618" s="93">
        <f>VLOOKUP(A618,'Parameters Summary'!$B$2:$AB$826,16,FALSE)</f>
        <v>5.9958000000000003E-6</v>
      </c>
      <c r="W618" s="379" t="str">
        <f>VLOOKUP(A618,'Parameters Summary'!$B$2:$AB$826,17,FALSE)</f>
        <v>WATER9 (U.S. EPA, 2001)</v>
      </c>
      <c r="X618" s="347"/>
      <c r="Y618" s="96"/>
      <c r="Z618" s="96" t="s">
        <v>1653</v>
      </c>
      <c r="AA618" s="96"/>
      <c r="AB618" s="96" t="s">
        <v>1651</v>
      </c>
      <c r="AC618" s="96"/>
      <c r="AD618" s="93">
        <f>VLOOKUP(A618,'Parameters Summary'!$B$2:$AB$826,20,FALSE)</f>
        <v>137.4</v>
      </c>
      <c r="AE618" s="97" t="str">
        <f>VLOOKUP(A618,'Parameters Summary'!$B$2:$AB$826,21,FALSE)</f>
        <v>EPI</v>
      </c>
      <c r="AF618" s="97"/>
      <c r="AG618" s="94"/>
      <c r="AH618" s="92"/>
      <c r="AI618" s="96"/>
      <c r="AJ618" s="330"/>
      <c r="AL618" s="81"/>
    </row>
    <row r="619" spans="1:38" ht="12.75" customHeight="1">
      <c r="A619" s="96" t="s">
        <v>224</v>
      </c>
      <c r="B619" s="96" t="s">
        <v>1308</v>
      </c>
      <c r="C619" s="96" t="str">
        <f t="shared" si="60"/>
        <v>No</v>
      </c>
      <c r="D619" s="96" t="str">
        <f>VLOOKUP(A619,'Tox Summary'!$O$3:$R$824,3,FALSE)</f>
        <v>Yes</v>
      </c>
      <c r="E619" s="97">
        <f>VLOOKUP(A619,'Parameters Summary'!$B$2:$AB$826,4,FALSE)</f>
        <v>241.36</v>
      </c>
      <c r="F619" s="97" t="str">
        <f>VLOOKUP(A619,'Parameters Summary'!$B$2:$AB$826,5,FALSE)</f>
        <v>PHYSPROP</v>
      </c>
      <c r="G619" s="93">
        <f>VLOOKUP(A619,'Parameters Summary'!$B$2:$AB$826,9,FALSE)</f>
        <v>1.24E-6</v>
      </c>
      <c r="H619" s="93" t="str">
        <f>VLOOKUP(A619,'Parameters Summary'!$B$2:$AB$826,10,FALSE)</f>
        <v>PHYSPROP</v>
      </c>
      <c r="I619" s="93">
        <f>VLOOKUP(A619,'Parameters Summary'!$B$2:$AB$826,24,FALSE)</f>
        <v>33</v>
      </c>
      <c r="J619" s="97" t="str">
        <f>VLOOKUP(A619,'Parameters Summary'!$B$2:$AB$826,25,FALSE)</f>
        <v>PHYSPROP</v>
      </c>
      <c r="K619" s="97" t="str">
        <f>VLOOKUP(A619,'Tox Summary'!$O$3:$S$827,2,FALSE)</f>
        <v/>
      </c>
      <c r="L619" s="93">
        <f>VLOOKUP(A619,'Parameters Summary'!$B$2:$AB$826,7,FALSE)</f>
        <v>1.1900000000000001E-8</v>
      </c>
      <c r="M619" s="93" t="str">
        <f>VLOOKUP(A619,'Parameters Summary'!$B$2:$AB$826,8,FALSE)</f>
        <v>EPI</v>
      </c>
      <c r="N619" s="91">
        <f>VLOOKUP(A619,'Parameters Summary'!$B$2:$AB$826,6,FALSE)</f>
        <v>4.8650999999999998E-7</v>
      </c>
      <c r="O619" s="91" t="str">
        <f t="shared" si="58"/>
        <v/>
      </c>
      <c r="P619" s="91">
        <f t="shared" si="61"/>
        <v>4.8650999999999998E-7</v>
      </c>
      <c r="Q619" s="91" t="str">
        <f t="shared" si="59"/>
        <v/>
      </c>
      <c r="R619" s="91">
        <f t="shared" si="62"/>
        <v>4.8650999999999998E-7</v>
      </c>
      <c r="S619" s="91" t="str">
        <f t="shared" si="63"/>
        <v/>
      </c>
      <c r="T619" s="93">
        <f>VLOOKUP(A619,'Parameters Summary'!$B$2:$AB$826,15,FALSE)</f>
        <v>2.4246E-2</v>
      </c>
      <c r="U619" s="93" t="str">
        <f>VLOOKUP(A619,'Parameters Summary'!$B$2:$AB$826,17,FALSE)</f>
        <v>WATER9 (U.S. EPA, 2001)</v>
      </c>
      <c r="V619" s="93">
        <f>VLOOKUP(A619,'Parameters Summary'!$B$2:$AB$826,16,FALSE)</f>
        <v>6.1612999999999998E-6</v>
      </c>
      <c r="W619" s="379" t="str">
        <f>VLOOKUP(A619,'Parameters Summary'!$B$2:$AB$826,17,FALSE)</f>
        <v>WATER9 (U.S. EPA, 2001)</v>
      </c>
      <c r="X619" s="290">
        <v>573.15</v>
      </c>
      <c r="Y619" s="96" t="s">
        <v>553</v>
      </c>
      <c r="Z619" s="96" t="s">
        <v>1653</v>
      </c>
      <c r="AA619" s="96"/>
      <c r="AB619" s="96" t="s">
        <v>1651</v>
      </c>
      <c r="AC619" s="96"/>
      <c r="AD619" s="93">
        <f>VLOOKUP(A619,'Parameters Summary'!$B$2:$AB$826,20,FALSE)</f>
        <v>656.4</v>
      </c>
      <c r="AE619" s="97" t="str">
        <f>VLOOKUP(A619,'Parameters Summary'!$B$2:$AB$826,21,FALSE)</f>
        <v>EPI</v>
      </c>
      <c r="AF619" s="97"/>
      <c r="AG619" s="94"/>
      <c r="AH619" s="92"/>
      <c r="AI619" s="96"/>
      <c r="AJ619" s="330"/>
      <c r="AL619" s="81"/>
    </row>
    <row r="620" spans="1:38" ht="12.75" customHeight="1">
      <c r="A620" s="96" t="s">
        <v>225</v>
      </c>
      <c r="B620" s="96" t="s">
        <v>1309</v>
      </c>
      <c r="C620" s="96" t="str">
        <f t="shared" si="60"/>
        <v>No</v>
      </c>
      <c r="D620" s="96" t="str">
        <f>VLOOKUP(A620,'Tox Summary'!$O$3:$R$824,3,FALSE)</f>
        <v>Yes</v>
      </c>
      <c r="E620" s="97">
        <f>VLOOKUP(A620,'Parameters Summary'!$B$2:$AB$826,4,FALSE)</f>
        <v>211.69</v>
      </c>
      <c r="F620" s="97" t="str">
        <f>VLOOKUP(A620,'Parameters Summary'!$B$2:$AB$826,5,FALSE)</f>
        <v>PHYSPROP</v>
      </c>
      <c r="G620" s="93">
        <f>VLOOKUP(A620,'Parameters Summary'!$B$2:$AB$826,9,FALSE)</f>
        <v>2.3000000000000001E-4</v>
      </c>
      <c r="H620" s="93" t="str">
        <f>VLOOKUP(A620,'Parameters Summary'!$B$2:$AB$826,10,FALSE)</f>
        <v>PHYSPROP</v>
      </c>
      <c r="I620" s="93">
        <f>VLOOKUP(A620,'Parameters Summary'!$B$2:$AB$826,24,FALSE)</f>
        <v>580</v>
      </c>
      <c r="J620" s="97" t="str">
        <f>VLOOKUP(A620,'Parameters Summary'!$B$2:$AB$826,25,FALSE)</f>
        <v>PHYSPROP</v>
      </c>
      <c r="K620" s="97" t="str">
        <f>VLOOKUP(A620,'Tox Summary'!$O$3:$S$827,2,FALSE)</f>
        <v/>
      </c>
      <c r="L620" s="93">
        <f>VLOOKUP(A620,'Parameters Summary'!$B$2:$AB$826,7,FALSE)</f>
        <v>3.5999999999999999E-7</v>
      </c>
      <c r="M620" s="93" t="str">
        <f>VLOOKUP(A620,'Parameters Summary'!$B$2:$AB$826,8,FALSE)</f>
        <v>EPI</v>
      </c>
      <c r="N620" s="91">
        <f>VLOOKUP(A620,'Parameters Summary'!$B$2:$AB$826,6,FALSE)</f>
        <v>1.47E-5</v>
      </c>
      <c r="O620" s="91" t="str">
        <f t="shared" si="58"/>
        <v/>
      </c>
      <c r="P620" s="91">
        <f t="shared" si="61"/>
        <v>1.47E-5</v>
      </c>
      <c r="Q620" s="91" t="str">
        <f t="shared" si="59"/>
        <v/>
      </c>
      <c r="R620" s="91">
        <f t="shared" si="62"/>
        <v>1.47E-5</v>
      </c>
      <c r="S620" s="91" t="str">
        <f t="shared" si="63"/>
        <v/>
      </c>
      <c r="T620" s="93">
        <f>VLOOKUP(A620,'Parameters Summary'!$B$2:$AB$826,15,FALSE)</f>
        <v>2.6846399999999999E-2</v>
      </c>
      <c r="U620" s="93" t="str">
        <f>VLOOKUP(A620,'Parameters Summary'!$B$2:$AB$826,17,FALSE)</f>
        <v>WATER9 (U.S. EPA, 2001)</v>
      </c>
      <c r="V620" s="93">
        <f>VLOOKUP(A620,'Parameters Summary'!$B$2:$AB$826,16,FALSE)</f>
        <v>6.9554000000000004E-6</v>
      </c>
      <c r="W620" s="379" t="str">
        <f>VLOOKUP(A620,'Parameters Summary'!$B$2:$AB$826,17,FALSE)</f>
        <v>WATER9 (U.S. EPA, 2001)</v>
      </c>
      <c r="X620" s="290">
        <v>383.15</v>
      </c>
      <c r="Y620" s="96" t="s">
        <v>553</v>
      </c>
      <c r="Z620" s="96" t="s">
        <v>1653</v>
      </c>
      <c r="AA620" s="96"/>
      <c r="AB620" s="96" t="s">
        <v>1651</v>
      </c>
      <c r="AC620" s="96"/>
      <c r="AD620" s="93">
        <f>VLOOKUP(A620,'Parameters Summary'!$B$2:$AB$826,20,FALSE)</f>
        <v>204.5</v>
      </c>
      <c r="AE620" s="97" t="str">
        <f>VLOOKUP(A620,'Parameters Summary'!$B$2:$AB$826,21,FALSE)</f>
        <v>EPI</v>
      </c>
      <c r="AF620" s="97"/>
      <c r="AG620" s="94"/>
      <c r="AH620" s="92"/>
      <c r="AI620" s="96"/>
      <c r="AJ620" s="330"/>
      <c r="AL620" s="81"/>
    </row>
    <row r="621" spans="1:38" ht="12.75" customHeight="1">
      <c r="A621" s="96" t="s">
        <v>679</v>
      </c>
      <c r="B621" s="96" t="s">
        <v>2430</v>
      </c>
      <c r="C621" s="96" t="str">
        <f t="shared" si="60"/>
        <v>No</v>
      </c>
      <c r="D621" s="96" t="str">
        <f>VLOOKUP(A621,'Tox Summary'!$O$3:$R$824,3,FALSE)</f>
        <v>No</v>
      </c>
      <c r="E621" s="97">
        <f>VLOOKUP(A621,'Parameters Summary'!$B$2:$AB$826,4,FALSE)</f>
        <v>209.25</v>
      </c>
      <c r="F621" s="97" t="str">
        <f>VLOOKUP(A621,'Parameters Summary'!$B$2:$AB$826,5,FALSE)</f>
        <v>PHYSPROP</v>
      </c>
      <c r="G621" s="93">
        <f>VLOOKUP(A621,'Parameters Summary'!$B$2:$AB$826,9,FALSE)</f>
        <v>2.0999999999999999E-5</v>
      </c>
      <c r="H621" s="93" t="str">
        <f>VLOOKUP(A621,'Parameters Summary'!$B$2:$AB$826,10,FALSE)</f>
        <v>PHYSPROP</v>
      </c>
      <c r="I621" s="93">
        <f>VLOOKUP(A621,'Parameters Summary'!$B$2:$AB$826,24,FALSE)</f>
        <v>1860</v>
      </c>
      <c r="J621" s="97" t="str">
        <f>VLOOKUP(A621,'Parameters Summary'!$B$2:$AB$826,25,FALSE)</f>
        <v>PHYSPROP</v>
      </c>
      <c r="K621" s="97" t="str">
        <f>VLOOKUP(A621,'Tox Summary'!$O$3:$S$827,2,FALSE)</f>
        <v/>
      </c>
      <c r="L621" s="93">
        <f>VLOOKUP(A621,'Parameters Summary'!$B$2:$AB$826,7,FALSE)</f>
        <v>1.43E-9</v>
      </c>
      <c r="M621" s="93" t="str">
        <f>VLOOKUP(A621,'Parameters Summary'!$B$2:$AB$826,8,FALSE)</f>
        <v>EPI</v>
      </c>
      <c r="N621" s="91">
        <f>VLOOKUP(A621,'Parameters Summary'!$B$2:$AB$826,6,FALSE)</f>
        <v>5.8462999999999999E-8</v>
      </c>
      <c r="O621" s="91" t="str">
        <f t="shared" si="58"/>
        <v/>
      </c>
      <c r="P621" s="91">
        <f t="shared" si="61"/>
        <v>5.8462999999999999E-8</v>
      </c>
      <c r="Q621" s="91" t="str">
        <f t="shared" si="59"/>
        <v/>
      </c>
      <c r="R621" s="91">
        <f t="shared" si="62"/>
        <v>5.8462999999999999E-8</v>
      </c>
      <c r="S621" s="91" t="str">
        <f t="shared" si="63"/>
        <v/>
      </c>
      <c r="T621" s="93">
        <f>VLOOKUP(A621,'Parameters Summary'!$B$2:$AB$826,15,FALSE)</f>
        <v>2.57445E-2</v>
      </c>
      <c r="U621" s="93" t="str">
        <f>VLOOKUP(A621,'Parameters Summary'!$B$2:$AB$826,17,FALSE)</f>
        <v>WATER9 (U.S. EPA, 2001)</v>
      </c>
      <c r="V621" s="93">
        <f>VLOOKUP(A621,'Parameters Summary'!$B$2:$AB$826,16,FALSE)</f>
        <v>6.5826999999999997E-6</v>
      </c>
      <c r="W621" s="379" t="str">
        <f>VLOOKUP(A621,'Parameters Summary'!$B$2:$AB$826,17,FALSE)</f>
        <v>WATER9 (U.S. EPA, 2001)</v>
      </c>
      <c r="X621" s="347"/>
      <c r="Y621" s="96"/>
      <c r="Z621" s="96" t="s">
        <v>1653</v>
      </c>
      <c r="AA621" s="96"/>
      <c r="AB621" s="96" t="s">
        <v>1651</v>
      </c>
      <c r="AC621" s="96"/>
      <c r="AD621" s="93">
        <f>VLOOKUP(A621,'Parameters Summary'!$B$2:$AB$826,20,FALSE)</f>
        <v>59.95</v>
      </c>
      <c r="AE621" s="97" t="str">
        <f>VLOOKUP(A621,'Parameters Summary'!$B$2:$AB$826,21,FALSE)</f>
        <v>EPI</v>
      </c>
      <c r="AF621" s="97"/>
      <c r="AG621" s="94"/>
      <c r="AH621" s="92"/>
      <c r="AI621" s="96"/>
      <c r="AJ621" s="330"/>
      <c r="AL621" s="81"/>
    </row>
    <row r="622" spans="1:38" ht="12.75" customHeight="1">
      <c r="A622" s="96" t="s">
        <v>2432</v>
      </c>
      <c r="B622" s="389" t="s">
        <v>2431</v>
      </c>
      <c r="C622" s="96" t="s">
        <v>2433</v>
      </c>
      <c r="D622" s="96" t="s">
        <v>2434</v>
      </c>
      <c r="E622" s="97" t="s">
        <v>2416</v>
      </c>
      <c r="F622" s="97"/>
      <c r="G622" s="93">
        <f>VLOOKUP(A622,'Parameters Summary'!$B$2:$AB$826,9,FALSE)</f>
        <v>0.26</v>
      </c>
      <c r="H622" s="93" t="str">
        <f>VLOOKUP(A622,'Parameters Summary'!$B$2:$AB$826,10,FALSE)</f>
        <v>PHYSPROP</v>
      </c>
      <c r="I622" s="93">
        <f>VLOOKUP(A622,'Parameters Summary'!$B$2:$AB$826,24,FALSE)</f>
        <v>16600</v>
      </c>
      <c r="J622" s="97" t="str">
        <f>VLOOKUP(A622,'Parameters Summary'!$B$2:$AB$826,25,FALSE)</f>
        <v>PHYSPROP</v>
      </c>
      <c r="K622" s="97"/>
      <c r="L622" s="93">
        <f>VLOOKUP(A622,'Parameters Summary'!$B$2:$AB$826,7,FALSE)</f>
        <v>1.9800000000000001E-6</v>
      </c>
      <c r="M622" s="93" t="str">
        <f>VLOOKUP(A622,'Parameters Summary'!$B$2:$AB$826,8,FALSE)</f>
        <v>PHYSPROP</v>
      </c>
      <c r="N622" s="91">
        <f>VLOOKUP(A622,'Parameters Summary'!$B$2:$AB$826,6,FALSE)</f>
        <v>8.0900000000000001E-5</v>
      </c>
      <c r="O622" s="91"/>
      <c r="P622" s="91"/>
      <c r="Q622" s="91"/>
      <c r="R622" s="91"/>
      <c r="S622" s="91"/>
      <c r="T622" s="93">
        <f>VLOOKUP(A622,'Parameters Summary'!$B$2:$AB$826,15,FALSE)</f>
        <v>7.2397400000000001E-2</v>
      </c>
      <c r="U622" s="93" t="str">
        <f>VLOOKUP(A622,'Parameters Summary'!$B$2:$AB$826,17,FALSE)</f>
        <v>WATER9 (U.S. EPA, 2001)</v>
      </c>
      <c r="V622" s="93">
        <f>VLOOKUP(A622,'Parameters Summary'!$B$2:$AB$826,16,FALSE)</f>
        <v>9.1797999999999998E-6</v>
      </c>
      <c r="W622" s="379" t="str">
        <f>VLOOKUP(A622,'Parameters Summary'!$B$2:$AB$826,17,FALSE)</f>
        <v>WATER9 (U.S. EPA, 2001)</v>
      </c>
      <c r="X622" s="347"/>
      <c r="Y622" s="96"/>
      <c r="Z622" s="96"/>
      <c r="AA622" s="96"/>
      <c r="AB622" s="96"/>
      <c r="AC622" s="96"/>
      <c r="AD622" s="93">
        <f>VLOOKUP(A622,'Parameters Summary'!$B$2:$AB$826,20,FALSE)</f>
        <v>115</v>
      </c>
      <c r="AE622" s="97" t="str">
        <f>VLOOKUP(A622,'Parameters Summary'!$B$2:$AB$826,21,FALSE)</f>
        <v>EPI</v>
      </c>
      <c r="AF622" s="97"/>
      <c r="AG622" s="94"/>
      <c r="AH622" s="92"/>
      <c r="AI622" s="96"/>
      <c r="AJ622" s="330"/>
      <c r="AL622" s="81"/>
    </row>
    <row r="623" spans="1:38" ht="12.75" customHeight="1">
      <c r="A623" s="96" t="s">
        <v>226</v>
      </c>
      <c r="B623" s="96" t="s">
        <v>1310</v>
      </c>
      <c r="C623" s="96" t="str">
        <f t="shared" si="60"/>
        <v>No</v>
      </c>
      <c r="D623" s="96" t="str">
        <f>VLOOKUP(A623,'Tox Summary'!$O$3:$R$824,3,FALSE)</f>
        <v>Yes</v>
      </c>
      <c r="E623" s="97">
        <v>218.08</v>
      </c>
      <c r="F623" s="97" t="s">
        <v>1620</v>
      </c>
      <c r="G623" s="93">
        <f>VLOOKUP(A623,'Parameters Summary'!$B$2:$AB$826,9,FALSE)</f>
        <v>9.0800000000000003E-7</v>
      </c>
      <c r="H623" s="93" t="str">
        <f>VLOOKUP(A623,'Parameters Summary'!$B$2:$AB$826,10,FALSE)</f>
        <v>PHYSPROP</v>
      </c>
      <c r="I623" s="93">
        <f>VLOOKUP(A623,'Parameters Summary'!$B$2:$AB$826,24,FALSE)</f>
        <v>152</v>
      </c>
      <c r="J623" s="97" t="str">
        <f>VLOOKUP(A623,'Parameters Summary'!$B$2:$AB$826,25,FALSE)</f>
        <v>PHYSPROP</v>
      </c>
      <c r="K623" s="97" t="str">
        <f>VLOOKUP(A623,'Tox Summary'!$O$4:$P$824,2,FALSE)</f>
        <v/>
      </c>
      <c r="L623" s="93">
        <f>VLOOKUP(A623,'Parameters Summary'!$B$2:$AB$826,7,FALSE)</f>
        <v>1.7100000000000001E-9</v>
      </c>
      <c r="M623" s="93" t="str">
        <f>VLOOKUP(A623,'Parameters Summary'!$B$2:$AB$826,8,FALSE)</f>
        <v>EPI</v>
      </c>
      <c r="N623" s="91">
        <f>VLOOKUP(A623,'Parameters Summary'!$B$2:$AB$826,6,FALSE)</f>
        <v>6.9909999999999995E-8</v>
      </c>
      <c r="O623" s="91" t="str">
        <f t="shared" ref="O623:O652" si="64">IF(OR(L623="No Hc25",Z623="No Tcrit",AB623="No DHv,b"),"",N623*EXP((-(AB623*((1-(Tgw+273)/Z623)/(1-X623/Z623))^(IF(X623/Z623&lt;0.57,0.3,IF(X623/Z623&gt;0.71,0.41,0.74*(X623/Z623)-0.116))))/1.9872)*(1/(Tgw+273)-1/298)))</f>
        <v/>
      </c>
      <c r="P623" s="91">
        <f t="shared" ref="P623:P652" si="65">IF(O623="",N623,O623)</f>
        <v>6.9909999999999995E-8</v>
      </c>
      <c r="Q623" s="91" t="str">
        <f t="shared" si="59"/>
        <v/>
      </c>
      <c r="R623" s="91">
        <f t="shared" ref="R623:R652" si="66">IF(Q623="",P623,Q623)</f>
        <v>6.9909999999999995E-8</v>
      </c>
      <c r="S623" s="91" t="str">
        <f t="shared" si="63"/>
        <v/>
      </c>
      <c r="T623" s="93">
        <f>VLOOKUP(A623,'Parameters Summary'!$B$2:$AB$826,15,FALSE)</f>
        <v>2.6510800000000001E-2</v>
      </c>
      <c r="U623" s="93" t="str">
        <f>VLOOKUP(A623,'Parameters Summary'!$B$2:$AB$826,17,FALSE)</f>
        <v>WATER9 (U.S. EPA, 2001)</v>
      </c>
      <c r="V623" s="93">
        <f>VLOOKUP(A623,'Parameters Summary'!$B$2:$AB$826,16,FALSE)</f>
        <v>6.8588000000000003E-6</v>
      </c>
      <c r="W623" s="379" t="str">
        <f>VLOOKUP(A623,'Parameters Summary'!$B$2:$AB$826,17,FALSE)</f>
        <v>WATER9 (U.S. EPA, 2001)</v>
      </c>
      <c r="X623" s="290">
        <v>624.15</v>
      </c>
      <c r="Y623" s="96" t="s">
        <v>553</v>
      </c>
      <c r="Z623" s="96" t="s">
        <v>1653</v>
      </c>
      <c r="AA623" s="96"/>
      <c r="AB623" s="96" t="s">
        <v>1651</v>
      </c>
      <c r="AC623" s="96"/>
      <c r="AD623" s="93">
        <f>VLOOKUP(A623,'Parameters Summary'!$B$2:$AB$826,20,FALSE)</f>
        <v>175.9</v>
      </c>
      <c r="AE623" s="97" t="str">
        <f>VLOOKUP(A623,'Parameters Summary'!$B$2:$AB$826,21,FALSE)</f>
        <v>EPI</v>
      </c>
      <c r="AF623" s="97"/>
      <c r="AG623" s="94"/>
      <c r="AH623" s="92"/>
      <c r="AI623" s="96"/>
      <c r="AJ623" s="330"/>
      <c r="AL623" s="81"/>
    </row>
    <row r="624" spans="1:38" ht="12.75" customHeight="1">
      <c r="A624" s="96" t="s">
        <v>227</v>
      </c>
      <c r="B624" s="96" t="s">
        <v>1311</v>
      </c>
      <c r="C624" s="96" t="str">
        <f t="shared" si="60"/>
        <v>No</v>
      </c>
      <c r="D624" s="96" t="str">
        <f>VLOOKUP(A624,'Tox Summary'!$O$3:$R$824,3,FALSE)</f>
        <v>No</v>
      </c>
      <c r="E624" s="97">
        <v>350.48</v>
      </c>
      <c r="F624" s="97" t="s">
        <v>1620</v>
      </c>
      <c r="G624" s="93">
        <f>VLOOKUP(A624,'Parameters Summary'!$B$2:$AB$826,9,FALSE)</f>
        <v>2.9999999999999999E-7</v>
      </c>
      <c r="H624" s="93" t="str">
        <f>VLOOKUP(A624,'Parameters Summary'!$B$2:$AB$826,10,FALSE)</f>
        <v>PHYSPROP</v>
      </c>
      <c r="I624" s="93">
        <f>VLOOKUP(A624,'Parameters Summary'!$B$2:$AB$826,24,FALSE)</f>
        <v>0.215</v>
      </c>
      <c r="J624" s="97" t="str">
        <f>VLOOKUP(A624,'Parameters Summary'!$B$2:$AB$826,25,FALSE)</f>
        <v>PHYSPROP</v>
      </c>
      <c r="K624" s="97" t="str">
        <f>VLOOKUP(A624,'Tox Summary'!$O$4:$P$824,2,FALSE)</f>
        <v/>
      </c>
      <c r="L624" s="93">
        <f>VLOOKUP(A624,'Parameters Summary'!$B$2:$AB$826,7,FALSE)</f>
        <v>6.4000000000000001E-7</v>
      </c>
      <c r="M624" s="93" t="str">
        <f>VLOOKUP(A624,'Parameters Summary'!$B$2:$AB$826,8,FALSE)</f>
        <v>EPI</v>
      </c>
      <c r="N624" s="91">
        <f>VLOOKUP(A624,'Parameters Summary'!$B$2:$AB$826,6,FALSE)</f>
        <v>2.62E-5</v>
      </c>
      <c r="O624" s="91" t="str">
        <f t="shared" si="64"/>
        <v/>
      </c>
      <c r="P624" s="91">
        <f t="shared" si="65"/>
        <v>2.62E-5</v>
      </c>
      <c r="Q624" s="91" t="str">
        <f t="shared" si="59"/>
        <v/>
      </c>
      <c r="R624" s="91">
        <f t="shared" si="66"/>
        <v>2.62E-5</v>
      </c>
      <c r="S624" s="91" t="str">
        <f t="shared" si="63"/>
        <v/>
      </c>
      <c r="T624" s="93">
        <f>VLOOKUP(A624,'Parameters Summary'!$B$2:$AB$826,15,FALSE)</f>
        <v>1.94398E-2</v>
      </c>
      <c r="U624" s="93" t="str">
        <f>VLOOKUP(A624,'Parameters Summary'!$B$2:$AB$826,17,FALSE)</f>
        <v>WATER9 (U.S. EPA, 2001)</v>
      </c>
      <c r="V624" s="93">
        <f>VLOOKUP(A624,'Parameters Summary'!$B$2:$AB$826,16,FALSE)</f>
        <v>4.7786999999999997E-6</v>
      </c>
      <c r="W624" s="379" t="str">
        <f>VLOOKUP(A624,'Parameters Summary'!$B$2:$AB$826,17,FALSE)</f>
        <v>WATER9 (U.S. EPA, 2001)</v>
      </c>
      <c r="X624" s="347"/>
      <c r="Y624" s="96"/>
      <c r="Z624" s="96" t="s">
        <v>1653</v>
      </c>
      <c r="AA624" s="96"/>
      <c r="AB624" s="96" t="s">
        <v>1651</v>
      </c>
      <c r="AC624" s="96"/>
      <c r="AD624" s="93">
        <f>VLOOKUP(A624,'Parameters Summary'!$B$2:$AB$826,20,FALSE)</f>
        <v>36650</v>
      </c>
      <c r="AE624" s="97" t="str">
        <f>VLOOKUP(A624,'Parameters Summary'!$B$2:$AB$826,21,FALSE)</f>
        <v>EPI</v>
      </c>
      <c r="AF624" s="97"/>
      <c r="AG624" s="94"/>
      <c r="AH624" s="92"/>
      <c r="AI624" s="96"/>
      <c r="AJ624" s="330"/>
      <c r="AL624" s="81"/>
    </row>
    <row r="625" spans="1:38" ht="12.75" customHeight="1">
      <c r="A625" s="96" t="s">
        <v>228</v>
      </c>
      <c r="B625" s="96" t="s">
        <v>1312</v>
      </c>
      <c r="C625" s="96" t="str">
        <f t="shared" si="60"/>
        <v>Yes</v>
      </c>
      <c r="D625" s="96" t="str">
        <f>VLOOKUP(A625,'Tox Summary'!$O$3:$R$824,3,FALSE)</f>
        <v>No</v>
      </c>
      <c r="E625" s="97">
        <v>56.064999999999998</v>
      </c>
      <c r="F625" s="97" t="s">
        <v>1620</v>
      </c>
      <c r="G625" s="93">
        <f>VLOOKUP(A625,'Parameters Summary'!$B$2:$AB$826,9,FALSE)</f>
        <v>15.6</v>
      </c>
      <c r="H625" s="93" t="str">
        <f>VLOOKUP(A625,'Parameters Summary'!$B$2:$AB$826,10,FALSE)</f>
        <v>PHYSPROP</v>
      </c>
      <c r="I625" s="93">
        <f>VLOOKUP(A625,'Parameters Summary'!$B$2:$AB$826,24,FALSE)</f>
        <v>1000000</v>
      </c>
      <c r="J625" s="97" t="str">
        <f>VLOOKUP(A625,'Parameters Summary'!$B$2:$AB$826,25,FALSE)</f>
        <v>PHYSPROP</v>
      </c>
      <c r="K625" s="97" t="str">
        <f>VLOOKUP(A625,'Tox Summary'!$O$4:$P$824,2,FALSE)</f>
        <v/>
      </c>
      <c r="L625" s="93">
        <f>VLOOKUP(A625,'Parameters Summary'!$B$2:$AB$826,7,FALSE)</f>
        <v>1.15E-6</v>
      </c>
      <c r="M625" s="93" t="str">
        <f>VLOOKUP(A625,'Parameters Summary'!$B$2:$AB$826,8,FALSE)</f>
        <v>EPI</v>
      </c>
      <c r="N625" s="91">
        <f>VLOOKUP(A625,'Parameters Summary'!$B$2:$AB$826,6,FALSE)</f>
        <v>4.6999999999999997E-5</v>
      </c>
      <c r="O625" s="91" t="str">
        <f t="shared" si="64"/>
        <v/>
      </c>
      <c r="P625" s="91">
        <f t="shared" si="65"/>
        <v>4.6999999999999997E-5</v>
      </c>
      <c r="Q625" s="91" t="str">
        <f t="shared" si="59"/>
        <v/>
      </c>
      <c r="R625" s="91">
        <f t="shared" si="66"/>
        <v>4.6999999999999997E-5</v>
      </c>
      <c r="S625" s="91" t="str">
        <f t="shared" si="63"/>
        <v/>
      </c>
      <c r="T625" s="93">
        <f>VLOOKUP(A625,'Parameters Summary'!$B$2:$AB$826,15,FALSE)</f>
        <v>0.1173874</v>
      </c>
      <c r="U625" s="93" t="str">
        <f>VLOOKUP(A625,'Parameters Summary'!$B$2:$AB$826,17,FALSE)</f>
        <v>WATER9 (U.S. EPA, 2001)</v>
      </c>
      <c r="V625" s="93">
        <f>VLOOKUP(A625,'Parameters Summary'!$B$2:$AB$826,16,FALSE)</f>
        <v>1.31E-5</v>
      </c>
      <c r="W625" s="379" t="str">
        <f>VLOOKUP(A625,'Parameters Summary'!$B$2:$AB$826,17,FALSE)</f>
        <v>WATER9 (U.S. EPA, 2001)</v>
      </c>
      <c r="X625" s="290">
        <v>387.65</v>
      </c>
      <c r="Y625" s="96" t="s">
        <v>553</v>
      </c>
      <c r="Z625" s="96" t="s">
        <v>1653</v>
      </c>
      <c r="AA625" s="96" t="s">
        <v>2215</v>
      </c>
      <c r="AB625" s="96">
        <v>138623.32699999999</v>
      </c>
      <c r="AC625" s="96" t="s">
        <v>2214</v>
      </c>
      <c r="AD625" s="93">
        <f>VLOOKUP(A625,'Parameters Summary'!$B$2:$AB$826,20,FALSE)</f>
        <v>1.9039999999999999</v>
      </c>
      <c r="AE625" s="97" t="str">
        <f>VLOOKUP(A625,'Parameters Summary'!$B$2:$AB$826,21,FALSE)</f>
        <v>EPI</v>
      </c>
      <c r="AF625" s="97"/>
      <c r="AG625" s="94"/>
      <c r="AH625" s="92"/>
      <c r="AI625" s="96"/>
      <c r="AJ625" s="330"/>
      <c r="AL625" s="81"/>
    </row>
    <row r="626" spans="1:38" ht="12.75" customHeight="1">
      <c r="A626" s="96" t="s">
        <v>229</v>
      </c>
      <c r="B626" s="96" t="s">
        <v>1313</v>
      </c>
      <c r="C626" s="96" t="str">
        <f t="shared" si="60"/>
        <v>No</v>
      </c>
      <c r="D626" s="96" t="str">
        <f>VLOOKUP(A626,'Tox Summary'!$O$3:$R$824,3,FALSE)</f>
        <v>No</v>
      </c>
      <c r="E626" s="97">
        <v>229.71</v>
      </c>
      <c r="F626" s="97" t="s">
        <v>1620</v>
      </c>
      <c r="G626" s="93">
        <f>VLOOKUP(A626,'Parameters Summary'!$B$2:$AB$826,9,FALSE)</f>
        <v>1.31E-7</v>
      </c>
      <c r="H626" s="93" t="str">
        <f>VLOOKUP(A626,'Parameters Summary'!$B$2:$AB$826,10,FALSE)</f>
        <v>PHYSPROP</v>
      </c>
      <c r="I626" s="93">
        <f>VLOOKUP(A626,'Parameters Summary'!$B$2:$AB$826,24,FALSE)</f>
        <v>8.6</v>
      </c>
      <c r="J626" s="97" t="str">
        <f>VLOOKUP(A626,'Parameters Summary'!$B$2:$AB$826,25,FALSE)</f>
        <v>PHYSPROP</v>
      </c>
      <c r="K626" s="97" t="str">
        <f>VLOOKUP(A626,'Tox Summary'!$O$4:$P$824,2,FALSE)</f>
        <v/>
      </c>
      <c r="L626" s="93">
        <f>VLOOKUP(A626,'Parameters Summary'!$B$2:$AB$826,7,FALSE)</f>
        <v>4.5999999999999998E-9</v>
      </c>
      <c r="M626" s="93" t="str">
        <f>VLOOKUP(A626,'Parameters Summary'!$B$2:$AB$826,8,FALSE)</f>
        <v>EPI</v>
      </c>
      <c r="N626" s="91">
        <f>VLOOKUP(A626,'Parameters Summary'!$B$2:$AB$826,6,FALSE)</f>
        <v>1.8806E-7</v>
      </c>
      <c r="O626" s="91" t="str">
        <f t="shared" si="64"/>
        <v/>
      </c>
      <c r="P626" s="91">
        <f t="shared" si="65"/>
        <v>1.8806E-7</v>
      </c>
      <c r="Q626" s="91" t="str">
        <f t="shared" si="59"/>
        <v/>
      </c>
      <c r="R626" s="91">
        <f t="shared" si="66"/>
        <v>1.8806E-7</v>
      </c>
      <c r="S626" s="91" t="str">
        <f t="shared" si="63"/>
        <v/>
      </c>
      <c r="T626" s="93">
        <f>VLOOKUP(A626,'Parameters Summary'!$B$2:$AB$826,15,FALSE)</f>
        <v>2.49354E-2</v>
      </c>
      <c r="U626" s="93" t="str">
        <f>VLOOKUP(A626,'Parameters Summary'!$B$2:$AB$826,17,FALSE)</f>
        <v>WATER9 (U.S. EPA, 2001)</v>
      </c>
      <c r="V626" s="93">
        <f>VLOOKUP(A626,'Parameters Summary'!$B$2:$AB$826,16,FALSE)</f>
        <v>6.3633999999999999E-6</v>
      </c>
      <c r="W626" s="379" t="str">
        <f>VLOOKUP(A626,'Parameters Summary'!$B$2:$AB$826,17,FALSE)</f>
        <v>WATER9 (U.S. EPA, 2001)</v>
      </c>
      <c r="X626" s="347"/>
      <c r="Y626" s="96"/>
      <c r="Z626" s="96" t="s">
        <v>1653</v>
      </c>
      <c r="AA626" s="96"/>
      <c r="AB626" s="96" t="s">
        <v>1651</v>
      </c>
      <c r="AC626" s="96"/>
      <c r="AD626" s="93">
        <f>VLOOKUP(A626,'Parameters Summary'!$B$2:$AB$826,20,FALSE)</f>
        <v>344.1</v>
      </c>
      <c r="AE626" s="97" t="str">
        <f>VLOOKUP(A626,'Parameters Summary'!$B$2:$AB$826,21,FALSE)</f>
        <v>EPI</v>
      </c>
      <c r="AF626" s="97"/>
      <c r="AG626" s="94"/>
      <c r="AH626" s="92"/>
      <c r="AI626" s="96"/>
      <c r="AJ626" s="330"/>
      <c r="AL626" s="81"/>
    </row>
    <row r="627" spans="1:38" ht="12.75" customHeight="1">
      <c r="A627" s="96" t="s">
        <v>230</v>
      </c>
      <c r="B627" s="96" t="s">
        <v>1314</v>
      </c>
      <c r="C627" s="96" t="str">
        <f t="shared" si="60"/>
        <v>No</v>
      </c>
      <c r="D627" s="96" t="str">
        <f>VLOOKUP(A627,'Tox Summary'!$O$3:$R$824,3,FALSE)</f>
        <v>No</v>
      </c>
      <c r="E627" s="97">
        <v>179.22</v>
      </c>
      <c r="F627" s="97" t="s">
        <v>1620</v>
      </c>
      <c r="G627" s="93">
        <f>VLOOKUP(A627,'Parameters Summary'!$B$2:$AB$826,9,FALSE)</f>
        <v>1.3999999999999999E-4</v>
      </c>
      <c r="H627" s="93" t="str">
        <f>VLOOKUP(A627,'Parameters Summary'!$B$2:$AB$826,10,FALSE)</f>
        <v>PHYSPROP</v>
      </c>
      <c r="I627" s="93">
        <f>VLOOKUP(A627,'Parameters Summary'!$B$2:$AB$826,24,FALSE)</f>
        <v>179</v>
      </c>
      <c r="J627" s="97" t="str">
        <f>VLOOKUP(A627,'Parameters Summary'!$B$2:$AB$826,25,FALSE)</f>
        <v>PHYSPROP</v>
      </c>
      <c r="K627" s="97" t="str">
        <f>VLOOKUP(A627,'Tox Summary'!$O$4:$P$824,2,FALSE)</f>
        <v/>
      </c>
      <c r="L627" s="93">
        <f>VLOOKUP(A627,'Parameters Summary'!$B$2:$AB$826,7,FALSE)</f>
        <v>1.8400000000000001E-7</v>
      </c>
      <c r="M627" s="93" t="str">
        <f>VLOOKUP(A627,'Parameters Summary'!$B$2:$AB$826,8,FALSE)</f>
        <v>EPI</v>
      </c>
      <c r="N627" s="91">
        <f>VLOOKUP(A627,'Parameters Summary'!$B$2:$AB$826,6,FALSE)</f>
        <v>7.5225000000000004E-6</v>
      </c>
      <c r="O627" s="91" t="str">
        <f t="shared" si="64"/>
        <v/>
      </c>
      <c r="P627" s="91">
        <f t="shared" si="65"/>
        <v>7.5225000000000004E-6</v>
      </c>
      <c r="Q627" s="91" t="str">
        <f t="shared" si="59"/>
        <v/>
      </c>
      <c r="R627" s="91">
        <f t="shared" si="66"/>
        <v>7.5225000000000004E-6</v>
      </c>
      <c r="S627" s="91" t="str">
        <f t="shared" si="63"/>
        <v/>
      </c>
      <c r="T627" s="93">
        <f>VLOOKUP(A627,'Parameters Summary'!$B$2:$AB$826,15,FALSE)</f>
        <v>3.5749999999999997E-2</v>
      </c>
      <c r="U627" s="93" t="str">
        <f>VLOOKUP(A627,'Parameters Summary'!$B$2:$AB$826,17,FALSE)</f>
        <v>WATER9 (U.S. EPA, 2001)</v>
      </c>
      <c r="V627" s="93">
        <f>VLOOKUP(A627,'Parameters Summary'!$B$2:$AB$826,16,FALSE)</f>
        <v>7.1072000000000003E-6</v>
      </c>
      <c r="W627" s="379" t="str">
        <f>VLOOKUP(A627,'Parameters Summary'!$B$2:$AB$826,17,FALSE)</f>
        <v>WATER9 (U.S. EPA, 2001)</v>
      </c>
      <c r="X627" s="347"/>
      <c r="Y627" s="96"/>
      <c r="Z627" s="96" t="s">
        <v>1653</v>
      </c>
      <c r="AA627" s="96"/>
      <c r="AB627" s="96" t="s">
        <v>1651</v>
      </c>
      <c r="AC627" s="96"/>
      <c r="AD627" s="93">
        <f>VLOOKUP(A627,'Parameters Summary'!$B$2:$AB$826,20,FALSE)</f>
        <v>218.6</v>
      </c>
      <c r="AE627" s="97" t="str">
        <f>VLOOKUP(A627,'Parameters Summary'!$B$2:$AB$826,21,FALSE)</f>
        <v>EPI</v>
      </c>
      <c r="AF627" s="97"/>
      <c r="AG627" s="94"/>
      <c r="AH627" s="92"/>
      <c r="AI627" s="96"/>
      <c r="AJ627" s="330"/>
      <c r="AL627" s="81"/>
    </row>
    <row r="628" spans="1:38" ht="12.75" customHeight="1">
      <c r="A628" s="96" t="s">
        <v>231</v>
      </c>
      <c r="B628" s="96" t="s">
        <v>1315</v>
      </c>
      <c r="C628" s="96" t="str">
        <f t="shared" si="60"/>
        <v>No</v>
      </c>
      <c r="D628" s="96" t="str">
        <f>VLOOKUP(A628,'Tox Summary'!$O$3:$R$824,3,FALSE)</f>
        <v>No</v>
      </c>
      <c r="E628" s="97">
        <v>342.23</v>
      </c>
      <c r="F628" s="97" t="s">
        <v>1620</v>
      </c>
      <c r="G628" s="93">
        <f>VLOOKUP(A628,'Parameters Summary'!$B$2:$AB$826,9,FALSE)</f>
        <v>4.2E-7</v>
      </c>
      <c r="H628" s="93" t="str">
        <f>VLOOKUP(A628,'Parameters Summary'!$B$2:$AB$826,10,FALSE)</f>
        <v>PHYSPROP</v>
      </c>
      <c r="I628" s="93">
        <f>VLOOKUP(A628,'Parameters Summary'!$B$2:$AB$826,24,FALSE)</f>
        <v>110</v>
      </c>
      <c r="J628" s="97" t="str">
        <f>VLOOKUP(A628,'Parameters Summary'!$B$2:$AB$826,25,FALSE)</f>
        <v>PHYSPROP</v>
      </c>
      <c r="K628" s="97" t="str">
        <f>VLOOKUP(A628,'Tox Summary'!$O$4:$P$824,2,FALSE)</f>
        <v/>
      </c>
      <c r="L628" s="93">
        <f>VLOOKUP(A628,'Parameters Summary'!$B$2:$AB$826,7,FALSE)</f>
        <v>1.7200000000000001E-9</v>
      </c>
      <c r="M628" s="93" t="str">
        <f>VLOOKUP(A628,'Parameters Summary'!$B$2:$AB$826,8,FALSE)</f>
        <v>EPI</v>
      </c>
      <c r="N628" s="91">
        <f>VLOOKUP(A628,'Parameters Summary'!$B$2:$AB$826,6,FALSE)</f>
        <v>7.0318999999999996E-8</v>
      </c>
      <c r="O628" s="91" t="str">
        <f t="shared" si="64"/>
        <v/>
      </c>
      <c r="P628" s="91">
        <f t="shared" si="65"/>
        <v>7.0318999999999996E-8</v>
      </c>
      <c r="Q628" s="91" t="str">
        <f t="shared" si="59"/>
        <v/>
      </c>
      <c r="R628" s="91">
        <f t="shared" si="66"/>
        <v>7.0318999999999996E-8</v>
      </c>
      <c r="S628" s="91" t="str">
        <f t="shared" si="63"/>
        <v/>
      </c>
      <c r="T628" s="93">
        <f>VLOOKUP(A628,'Parameters Summary'!$B$2:$AB$826,15,FALSE)</f>
        <v>2.1110899999999998E-2</v>
      </c>
      <c r="U628" s="93" t="str">
        <f>VLOOKUP(A628,'Parameters Summary'!$B$2:$AB$826,17,FALSE)</f>
        <v>WATER9 (U.S. EPA, 2001)</v>
      </c>
      <c r="V628" s="93">
        <f>VLOOKUP(A628,'Parameters Summary'!$B$2:$AB$826,16,FALSE)</f>
        <v>5.2839999999999997E-6</v>
      </c>
      <c r="W628" s="379" t="str">
        <f>VLOOKUP(A628,'Parameters Summary'!$B$2:$AB$826,17,FALSE)</f>
        <v>WATER9 (U.S. EPA, 2001)</v>
      </c>
      <c r="X628" s="290">
        <f>273.15+250</f>
        <v>523.15</v>
      </c>
      <c r="Y628" s="96" t="s">
        <v>553</v>
      </c>
      <c r="Z628" s="96" t="s">
        <v>1653</v>
      </c>
      <c r="AA628" s="96"/>
      <c r="AB628" s="96" t="s">
        <v>1651</v>
      </c>
      <c r="AC628" s="96"/>
      <c r="AD628" s="93">
        <f>VLOOKUP(A628,'Parameters Summary'!$B$2:$AB$826,20,FALSE)</f>
        <v>1556</v>
      </c>
      <c r="AE628" s="97" t="str">
        <f>VLOOKUP(A628,'Parameters Summary'!$B$2:$AB$826,21,FALSE)</f>
        <v>EPI</v>
      </c>
      <c r="AF628" s="97"/>
      <c r="AG628" s="94"/>
      <c r="AH628" s="92"/>
      <c r="AI628" s="96"/>
      <c r="AJ628" s="330"/>
      <c r="AL628" s="81"/>
    </row>
    <row r="629" spans="1:38" ht="12.75" customHeight="1">
      <c r="A629" s="95" t="s">
        <v>232</v>
      </c>
      <c r="B629" s="96" t="s">
        <v>611</v>
      </c>
      <c r="C629" s="96" t="str">
        <f t="shared" si="60"/>
        <v>Yes</v>
      </c>
      <c r="D629" s="96" t="str">
        <f>VLOOKUP(A629,'Tox Summary'!$O$3:$R$824,3,FALSE)</f>
        <v>Yes</v>
      </c>
      <c r="E629" s="97">
        <v>58.081000000000003</v>
      </c>
      <c r="F629" s="97" t="s">
        <v>1620</v>
      </c>
      <c r="G629" s="93">
        <f>VLOOKUP(A629,'Parameters Summary'!$B$2:$AB$826,9,FALSE)</f>
        <v>316.8</v>
      </c>
      <c r="H629" s="93" t="str">
        <f>VLOOKUP(A629,'Parameters Summary'!$B$2:$AB$826,10,FALSE)</f>
        <v>PHYSPROP</v>
      </c>
      <c r="I629" s="93">
        <f>VLOOKUP(A629,'Parameters Summary'!$B$2:$AB$826,24,FALSE)</f>
        <v>306000</v>
      </c>
      <c r="J629" s="97" t="str">
        <f>VLOOKUP(A629,'Parameters Summary'!$B$2:$AB$826,25,FALSE)</f>
        <v>PHYSPROP</v>
      </c>
      <c r="K629" s="97" t="str">
        <f>VLOOKUP(A629,'Tox Summary'!$O$4:$P$824,2,FALSE)</f>
        <v/>
      </c>
      <c r="L629" s="93">
        <f>VLOOKUP(A629,'Parameters Summary'!$B$2:$AB$826,7,FALSE)</f>
        <v>7.3399999999999995E-5</v>
      </c>
      <c r="M629" s="93" t="str">
        <f>VLOOKUP(A629,'Parameters Summary'!$B$2:$AB$826,8,FALSE)</f>
        <v>PHYSPROP</v>
      </c>
      <c r="N629" s="91">
        <f>VLOOKUP(A629,'Parameters Summary'!$B$2:$AB$826,6,FALSE)</f>
        <v>3.0008000000000001E-3</v>
      </c>
      <c r="O629" s="91">
        <f t="shared" si="64"/>
        <v>3.0008000000000001E-3</v>
      </c>
      <c r="P629" s="91">
        <f t="shared" si="65"/>
        <v>3.0008000000000001E-3</v>
      </c>
      <c r="Q629" s="91">
        <f t="shared" si="59"/>
        <v>3.0008000000000001E-3</v>
      </c>
      <c r="R629" s="91">
        <f t="shared" si="66"/>
        <v>3.0008000000000001E-3</v>
      </c>
      <c r="S629" s="91">
        <f t="shared" si="63"/>
        <v>990084927.44654286</v>
      </c>
      <c r="T629" s="93">
        <f>VLOOKUP(A629,'Parameters Summary'!$B$2:$AB$826,15,FALSE)</f>
        <v>0.11037669999999999</v>
      </c>
      <c r="U629" s="93" t="str">
        <f>VLOOKUP(A629,'Parameters Summary'!$B$2:$AB$826,17,FALSE)</f>
        <v>WATER9 (U.S. EPA, 2001)</v>
      </c>
      <c r="V629" s="93">
        <f>VLOOKUP(A629,'Parameters Summary'!$B$2:$AB$826,16,FALSE)</f>
        <v>1.22E-5</v>
      </c>
      <c r="W629" s="379" t="str">
        <f>VLOOKUP(A629,'Parameters Summary'!$B$2:$AB$826,17,FALSE)</f>
        <v>WATER9 (U.S. EPA, 2001)</v>
      </c>
      <c r="X629" s="290">
        <v>321</v>
      </c>
      <c r="Y629" s="96" t="s">
        <v>2217</v>
      </c>
      <c r="Z629" s="96">
        <v>496</v>
      </c>
      <c r="AA629" s="96" t="s">
        <v>2215</v>
      </c>
      <c r="AB629" s="96">
        <v>7074.62</v>
      </c>
      <c r="AC629" s="96" t="s">
        <v>2218</v>
      </c>
      <c r="AD629" s="93">
        <f>VLOOKUP(A629,'Parameters Summary'!$B$2:$AB$826,20,FALSE)</f>
        <v>1</v>
      </c>
      <c r="AE629" s="97" t="str">
        <f>VLOOKUP(A629,'Parameters Summary'!$B$2:$AB$826,21,FALSE)</f>
        <v>EPI</v>
      </c>
      <c r="AF629" s="380"/>
      <c r="AG629" s="97"/>
      <c r="AH629" s="92"/>
      <c r="AI629" s="96"/>
      <c r="AJ629" s="330"/>
      <c r="AL629" s="81"/>
    </row>
    <row r="630" spans="1:38" ht="12.75" customHeight="1">
      <c r="A630" s="95" t="s">
        <v>233</v>
      </c>
      <c r="B630" s="96" t="s">
        <v>612</v>
      </c>
      <c r="C630" s="96" t="str">
        <f t="shared" si="60"/>
        <v>Yes</v>
      </c>
      <c r="D630" s="96" t="str">
        <f>VLOOKUP(A630,'Tox Summary'!$O$3:$R$824,3,FALSE)</f>
        <v>No</v>
      </c>
      <c r="E630" s="97">
        <v>120.2</v>
      </c>
      <c r="F630" s="97" t="s">
        <v>1620</v>
      </c>
      <c r="G630" s="93">
        <f>VLOOKUP(A630,'Parameters Summary'!$B$2:$AB$826,9,FALSE)</f>
        <v>3.42</v>
      </c>
      <c r="H630" s="93" t="str">
        <f>VLOOKUP(A630,'Parameters Summary'!$B$2:$AB$826,10,FALSE)</f>
        <v>PHYSPROP</v>
      </c>
      <c r="I630" s="93">
        <f>VLOOKUP(A630,'Parameters Summary'!$B$2:$AB$826,24,FALSE)</f>
        <v>52.2</v>
      </c>
      <c r="J630" s="97" t="str">
        <f>VLOOKUP(A630,'Parameters Summary'!$B$2:$AB$826,25,FALSE)</f>
        <v>PHYSPROP</v>
      </c>
      <c r="K630" s="97" t="str">
        <f>VLOOKUP(A630,'Tox Summary'!$O$4:$P$824,2,FALSE)</f>
        <v/>
      </c>
      <c r="L630" s="93">
        <f>VLOOKUP(A630,'Parameters Summary'!$B$2:$AB$826,7,FALSE)</f>
        <v>1.0500000000000001E-2</v>
      </c>
      <c r="M630" s="93" t="str">
        <f>VLOOKUP(A630,'Parameters Summary'!$B$2:$AB$826,8,FALSE)</f>
        <v>PHYSPROP</v>
      </c>
      <c r="N630" s="91">
        <f>VLOOKUP(A630,'Parameters Summary'!$B$2:$AB$826,6,FALSE)</f>
        <v>0.4292723</v>
      </c>
      <c r="O630" s="91">
        <f t="shared" si="64"/>
        <v>0.4292723</v>
      </c>
      <c r="P630" s="91">
        <f t="shared" si="65"/>
        <v>0.4292723</v>
      </c>
      <c r="Q630" s="91">
        <f t="shared" si="59"/>
        <v>0.4292723</v>
      </c>
      <c r="R630" s="91">
        <f t="shared" si="66"/>
        <v>0.4292723</v>
      </c>
      <c r="S630" s="91">
        <f t="shared" si="63"/>
        <v>22119930.838186935</v>
      </c>
      <c r="T630" s="93">
        <f>VLOOKUP(A630,'Parameters Summary'!$B$2:$AB$826,15,FALSE)</f>
        <v>6.0155800000000002E-2</v>
      </c>
      <c r="U630" s="93" t="str">
        <f>VLOOKUP(A630,'Parameters Summary'!$B$2:$AB$826,17,FALSE)</f>
        <v>WATER9 (U.S. EPA, 2001)</v>
      </c>
      <c r="V630" s="93">
        <f>VLOOKUP(A630,'Parameters Summary'!$B$2:$AB$826,16,FALSE)</f>
        <v>7.8310000000000001E-6</v>
      </c>
      <c r="W630" s="379" t="str">
        <f>VLOOKUP(A630,'Parameters Summary'!$B$2:$AB$826,17,FALSE)</f>
        <v>WATER9 (U.S. EPA, 2001)</v>
      </c>
      <c r="X630" s="290">
        <v>432.2</v>
      </c>
      <c r="Y630" s="96" t="s">
        <v>553</v>
      </c>
      <c r="Z630" s="96">
        <v>630</v>
      </c>
      <c r="AA630" s="96" t="s">
        <v>2221</v>
      </c>
      <c r="AB630" s="96">
        <v>9123</v>
      </c>
      <c r="AC630" s="96" t="s">
        <v>2225</v>
      </c>
      <c r="AD630" s="93">
        <f>VLOOKUP(A630,'Parameters Summary'!$B$2:$AB$826,20,FALSE)</f>
        <v>813.1</v>
      </c>
      <c r="AE630" s="97" t="str">
        <f>VLOOKUP(A630,'Parameters Summary'!$B$2:$AB$826,21,FALSE)</f>
        <v>EPI</v>
      </c>
      <c r="AF630" s="380">
        <v>0.8</v>
      </c>
      <c r="AG630" s="91" t="s">
        <v>522</v>
      </c>
      <c r="AH630" s="92"/>
      <c r="AI630" s="96"/>
      <c r="AJ630" s="330"/>
      <c r="AL630" s="81"/>
    </row>
    <row r="631" spans="1:38" ht="12.75" customHeight="1">
      <c r="A631" s="95" t="s">
        <v>234</v>
      </c>
      <c r="B631" s="96" t="s">
        <v>613</v>
      </c>
      <c r="C631" s="96" t="str">
        <f t="shared" si="60"/>
        <v>Yes</v>
      </c>
      <c r="D631" s="96" t="str">
        <f>VLOOKUP(A631,'Tox Summary'!$O$3:$R$824,3,FALSE)</f>
        <v>No</v>
      </c>
      <c r="E631" s="97">
        <v>42.081000000000003</v>
      </c>
      <c r="F631" s="97" t="s">
        <v>1620</v>
      </c>
      <c r="G631" s="93">
        <f>VLOOKUP(A631,'Parameters Summary'!$B$2:$AB$826,9,FALSE)</f>
        <v>8690</v>
      </c>
      <c r="H631" s="93" t="str">
        <f>VLOOKUP(A631,'Parameters Summary'!$B$2:$AB$826,10,FALSE)</f>
        <v>PHYSPROP</v>
      </c>
      <c r="I631" s="93">
        <f>VLOOKUP(A631,'Parameters Summary'!$B$2:$AB$826,24,FALSE)</f>
        <v>200</v>
      </c>
      <c r="J631" s="97" t="str">
        <f>VLOOKUP(A631,'Parameters Summary'!$B$2:$AB$826,25,FALSE)</f>
        <v>PHYSPROP</v>
      </c>
      <c r="K631" s="97" t="str">
        <f>VLOOKUP(A631,'Tox Summary'!$O$4:$P$824,2,FALSE)</f>
        <v/>
      </c>
      <c r="L631" s="93">
        <f>VLOOKUP(A631,'Parameters Summary'!$B$2:$AB$826,7,FALSE)</f>
        <v>0.19600000000000001</v>
      </c>
      <c r="M631" s="93" t="str">
        <f>VLOOKUP(A631,'Parameters Summary'!$B$2:$AB$826,8,FALSE)</f>
        <v>PHYSPROP</v>
      </c>
      <c r="N631" s="91">
        <f>VLOOKUP(A631,'Parameters Summary'!$B$2:$AB$826,6,FALSE)</f>
        <v>8.0130826000000006</v>
      </c>
      <c r="O631" s="91">
        <f t="shared" si="64"/>
        <v>8.0130826000000006</v>
      </c>
      <c r="P631" s="91">
        <f t="shared" si="65"/>
        <v>8.0130826000000006</v>
      </c>
      <c r="Q631" s="91">
        <f t="shared" si="59"/>
        <v>8.0130826000000006</v>
      </c>
      <c r="R631" s="91">
        <f t="shared" si="66"/>
        <v>8.0130826000000006</v>
      </c>
      <c r="S631" s="91">
        <f t="shared" si="63"/>
        <v>19677006050.92672</v>
      </c>
      <c r="T631" s="93">
        <f>VLOOKUP(A631,'Parameters Summary'!$B$2:$AB$826,15,FALSE)</f>
        <v>0.10969669999999999</v>
      </c>
      <c r="U631" s="93" t="str">
        <f>VLOOKUP(A631,'Parameters Summary'!$B$2:$AB$826,17,FALSE)</f>
        <v>WATER9 (U.S. EPA, 2001)</v>
      </c>
      <c r="V631" s="93">
        <f>VLOOKUP(A631,'Parameters Summary'!$B$2:$AB$826,16,FALSE)</f>
        <v>1.0699999999999999E-5</v>
      </c>
      <c r="W631" s="379" t="str">
        <f>VLOOKUP(A631,'Parameters Summary'!$B$2:$AB$826,17,FALSE)</f>
        <v>WATER9 (U.S. EPA, 2001)</v>
      </c>
      <c r="X631" s="290">
        <v>225.6</v>
      </c>
      <c r="Y631" s="96" t="s">
        <v>2213</v>
      </c>
      <c r="Z631" s="96">
        <v>364.95</v>
      </c>
      <c r="AA631" s="96" t="s">
        <v>2215</v>
      </c>
      <c r="AB631" s="96">
        <v>4402.41</v>
      </c>
      <c r="AC631" s="96" t="s">
        <v>2218</v>
      </c>
      <c r="AD631" s="93">
        <f>VLOOKUP(A631,'Parameters Summary'!$B$2:$AB$826,20,FALSE)</f>
        <v>21.73</v>
      </c>
      <c r="AE631" s="97" t="str">
        <f>VLOOKUP(A631,'Parameters Summary'!$B$2:$AB$826,21,FALSE)</f>
        <v>EPI</v>
      </c>
      <c r="AF631" s="380">
        <v>2</v>
      </c>
      <c r="AG631" s="91" t="s">
        <v>360</v>
      </c>
      <c r="AH631" s="92"/>
      <c r="AI631" s="96"/>
      <c r="AJ631" s="330"/>
      <c r="AL631" s="81"/>
    </row>
    <row r="632" spans="1:38" ht="12.75" customHeight="1">
      <c r="A632" s="96" t="s">
        <v>235</v>
      </c>
      <c r="B632" s="96" t="s">
        <v>1316</v>
      </c>
      <c r="C632" s="96" t="str">
        <f t="shared" si="60"/>
        <v>No</v>
      </c>
      <c r="D632" s="96" t="str">
        <f>VLOOKUP(A632,'Tox Summary'!$O$3:$R$824,3,FALSE)</f>
        <v>No</v>
      </c>
      <c r="E632" s="97">
        <v>76.096000000000004</v>
      </c>
      <c r="F632" s="97" t="s">
        <v>1620</v>
      </c>
      <c r="G632" s="93">
        <f>VLOOKUP(A632,'Parameters Summary'!$B$2:$AB$826,9,FALSE)</f>
        <v>0.129</v>
      </c>
      <c r="H632" s="93" t="str">
        <f>VLOOKUP(A632,'Parameters Summary'!$B$2:$AB$826,10,FALSE)</f>
        <v>PHYSPROP</v>
      </c>
      <c r="I632" s="93">
        <f>VLOOKUP(A632,'Parameters Summary'!$B$2:$AB$826,24,FALSE)</f>
        <v>1000000</v>
      </c>
      <c r="J632" s="97" t="str">
        <f>VLOOKUP(A632,'Parameters Summary'!$B$2:$AB$826,25,FALSE)</f>
        <v>PHYSPROP</v>
      </c>
      <c r="K632" s="97" t="str">
        <f>VLOOKUP(A632,'Tox Summary'!$O$4:$P$824,2,FALSE)</f>
        <v/>
      </c>
      <c r="L632" s="93">
        <f>VLOOKUP(A632,'Parameters Summary'!$B$2:$AB$826,7,FALSE)</f>
        <v>1.29E-8</v>
      </c>
      <c r="M632" s="93" t="str">
        <f>VLOOKUP(A632,'Parameters Summary'!$B$2:$AB$826,8,FALSE)</f>
        <v>EPI</v>
      </c>
      <c r="N632" s="91">
        <f>VLOOKUP(A632,'Parameters Summary'!$B$2:$AB$826,6,FALSE)</f>
        <v>5.2738999999999996E-7</v>
      </c>
      <c r="O632" s="91" t="str">
        <f t="shared" si="64"/>
        <v/>
      </c>
      <c r="P632" s="91">
        <f t="shared" si="65"/>
        <v>5.2738999999999996E-7</v>
      </c>
      <c r="Q632" s="91" t="str">
        <f t="shared" si="59"/>
        <v/>
      </c>
      <c r="R632" s="91">
        <f t="shared" si="66"/>
        <v>5.2738999999999996E-7</v>
      </c>
      <c r="S632" s="91" t="str">
        <f t="shared" si="63"/>
        <v/>
      </c>
      <c r="T632" s="93">
        <f>VLOOKUP(A632,'Parameters Summary'!$B$2:$AB$826,15,FALSE)</f>
        <v>9.8068600000000006E-2</v>
      </c>
      <c r="U632" s="93" t="str">
        <f>VLOOKUP(A632,'Parameters Summary'!$B$2:$AB$826,17,FALSE)</f>
        <v>WATER9 (U.S. EPA, 2001)</v>
      </c>
      <c r="V632" s="93">
        <f>VLOOKUP(A632,'Parameters Summary'!$B$2:$AB$826,16,FALSE)</f>
        <v>1.15E-5</v>
      </c>
      <c r="W632" s="379" t="str">
        <f>VLOOKUP(A632,'Parameters Summary'!$B$2:$AB$826,17,FALSE)</f>
        <v>WATER9 (U.S. EPA, 2001)</v>
      </c>
      <c r="X632" s="290">
        <v>460.75</v>
      </c>
      <c r="Y632" s="96" t="s">
        <v>553</v>
      </c>
      <c r="Z632" s="96" t="s">
        <v>1653</v>
      </c>
      <c r="AA632" s="96"/>
      <c r="AB632" s="96" t="s">
        <v>1651</v>
      </c>
      <c r="AC632" s="96"/>
      <c r="AD632" s="93">
        <f>VLOOKUP(A632,'Parameters Summary'!$B$2:$AB$826,20,FALSE)</f>
        <v>1</v>
      </c>
      <c r="AE632" s="97" t="str">
        <f>VLOOKUP(A632,'Parameters Summary'!$B$2:$AB$826,21,FALSE)</f>
        <v>EPI</v>
      </c>
      <c r="AF632" s="97"/>
      <c r="AG632" s="94"/>
      <c r="AH632" s="92"/>
      <c r="AI632" s="96"/>
      <c r="AJ632" s="330"/>
      <c r="AL632" s="81"/>
    </row>
    <row r="633" spans="1:38" ht="12.75" customHeight="1">
      <c r="A633" s="96" t="s">
        <v>236</v>
      </c>
      <c r="B633" s="96" t="s">
        <v>1317</v>
      </c>
      <c r="C633" s="96" t="str">
        <f t="shared" si="60"/>
        <v>No</v>
      </c>
      <c r="D633" s="96" t="str">
        <f>VLOOKUP(A633,'Tox Summary'!$O$3:$R$824,3,FALSE)</f>
        <v>Yes</v>
      </c>
      <c r="E633" s="97">
        <v>166.09</v>
      </c>
      <c r="F633" s="97" t="s">
        <v>1620</v>
      </c>
      <c r="G633" s="93">
        <f>VLOOKUP(A633,'Parameters Summary'!$B$2:$AB$826,9,FALSE)</f>
        <v>0.378</v>
      </c>
      <c r="H633" s="93" t="str">
        <f>VLOOKUP(A633,'Parameters Summary'!$B$2:$AB$826,10,FALSE)</f>
        <v>PHYSPROP</v>
      </c>
      <c r="I633" s="93">
        <f>VLOOKUP(A633,'Parameters Summary'!$B$2:$AB$826,24,FALSE)</f>
        <v>3261.9</v>
      </c>
      <c r="J633" s="97" t="str">
        <f>VLOOKUP(A633,'Parameters Summary'!$B$2:$AB$826,25,FALSE)</f>
        <v>EPI</v>
      </c>
      <c r="K633" s="97" t="str">
        <f>VLOOKUP(A633,'Tox Summary'!$O$4:$P$824,2,FALSE)</f>
        <v/>
      </c>
      <c r="L633" s="93">
        <f>VLOOKUP(A633,'Parameters Summary'!$B$2:$AB$826,7,FALSE)</f>
        <v>9.4200000000000004E-7</v>
      </c>
      <c r="M633" s="93" t="str">
        <f>VLOOKUP(A633,'Parameters Summary'!$B$2:$AB$826,8,FALSE)</f>
        <v>PHYSPROP</v>
      </c>
      <c r="N633" s="91">
        <f>VLOOKUP(A633,'Parameters Summary'!$B$2:$AB$826,6,FALSE)</f>
        <v>3.8500000000000001E-5</v>
      </c>
      <c r="O633" s="91" t="str">
        <f t="shared" si="64"/>
        <v/>
      </c>
      <c r="P633" s="91">
        <f t="shared" si="65"/>
        <v>3.8500000000000001E-5</v>
      </c>
      <c r="Q633" s="91" t="str">
        <f t="shared" si="59"/>
        <v/>
      </c>
      <c r="R633" s="91">
        <f t="shared" si="66"/>
        <v>3.8500000000000001E-5</v>
      </c>
      <c r="S633" s="91" t="str">
        <f t="shared" si="63"/>
        <v/>
      </c>
      <c r="T633" s="93">
        <f>VLOOKUP(A633,'Parameters Summary'!$B$2:$AB$826,15,FALSE)</f>
        <v>6.2881699999999999E-2</v>
      </c>
      <c r="U633" s="93" t="str">
        <f>VLOOKUP(A633,'Parameters Summary'!$B$2:$AB$826,17,FALSE)</f>
        <v>WATER9 (U.S. EPA, 2001)</v>
      </c>
      <c r="V633" s="93">
        <f>VLOOKUP(A633,'Parameters Summary'!$B$2:$AB$826,16,FALSE)</f>
        <v>7.3471999999999997E-6</v>
      </c>
      <c r="W633" s="379" t="str">
        <f>VLOOKUP(A633,'Parameters Summary'!$B$2:$AB$826,17,FALSE)</f>
        <v>WATER9 (U.S. EPA, 2001)</v>
      </c>
      <c r="X633" s="347"/>
      <c r="Y633" s="96"/>
      <c r="Z633" s="96" t="s">
        <v>1653</v>
      </c>
      <c r="AA633" s="96"/>
      <c r="AB633" s="96" t="s">
        <v>1651</v>
      </c>
      <c r="AC633" s="96"/>
      <c r="AD633" s="93">
        <f>VLOOKUP(A633,'Parameters Summary'!$B$2:$AB$826,20,FALSE)</f>
        <v>60.7</v>
      </c>
      <c r="AE633" s="97" t="str">
        <f>VLOOKUP(A633,'Parameters Summary'!$B$2:$AB$826,21,FALSE)</f>
        <v>EPI</v>
      </c>
      <c r="AF633" s="97"/>
      <c r="AG633" s="94"/>
      <c r="AH633" s="92"/>
      <c r="AI633" s="96"/>
      <c r="AJ633" s="330"/>
      <c r="AL633" s="81"/>
    </row>
    <row r="634" spans="1:38" ht="12.75" customHeight="1">
      <c r="A634" s="95" t="s">
        <v>237</v>
      </c>
      <c r="B634" s="96" t="s">
        <v>1318</v>
      </c>
      <c r="C634" s="96" t="str">
        <f t="shared" si="60"/>
        <v>Yes</v>
      </c>
      <c r="D634" s="96" t="str">
        <f>VLOOKUP(A634,'Tox Summary'!$O$3:$R$824,3,FALSE)</f>
        <v>No</v>
      </c>
      <c r="E634" s="97">
        <v>90.123000000000005</v>
      </c>
      <c r="F634" s="97" t="s">
        <v>1620</v>
      </c>
      <c r="G634" s="93">
        <f>VLOOKUP(A634,'Parameters Summary'!$B$2:$AB$826,9,FALSE)</f>
        <v>12.5</v>
      </c>
      <c r="H634" s="93" t="str">
        <f>VLOOKUP(A634,'Parameters Summary'!$B$2:$AB$826,10,FALSE)</f>
        <v>PHYSPROP</v>
      </c>
      <c r="I634" s="93">
        <f>VLOOKUP(A634,'Parameters Summary'!$B$2:$AB$826,24,FALSE)</f>
        <v>1000000</v>
      </c>
      <c r="J634" s="97" t="str">
        <f>VLOOKUP(A634,'Parameters Summary'!$B$2:$AB$826,25,FALSE)</f>
        <v>PHYSPROP</v>
      </c>
      <c r="K634" s="97" t="str">
        <f>VLOOKUP(A634,'Tox Summary'!$O$4:$P$824,2,FALSE)</f>
        <v/>
      </c>
      <c r="L634" s="93">
        <f>VLOOKUP(A634,'Parameters Summary'!$B$2:$AB$826,7,FALSE)</f>
        <v>9.1999999999999998E-7</v>
      </c>
      <c r="M634" s="93" t="str">
        <f>VLOOKUP(A634,'Parameters Summary'!$B$2:$AB$826,8,FALSE)</f>
        <v>PHYSPROP</v>
      </c>
      <c r="N634" s="91">
        <f>VLOOKUP(A634,'Parameters Summary'!$B$2:$AB$826,6,FALSE)</f>
        <v>3.7599999999999999E-5</v>
      </c>
      <c r="O634" s="91">
        <f t="shared" si="64"/>
        <v>3.7599999999999999E-5</v>
      </c>
      <c r="P634" s="91">
        <f t="shared" si="65"/>
        <v>3.7599999999999999E-5</v>
      </c>
      <c r="Q634" s="91">
        <f t="shared" si="59"/>
        <v>3.7599999999999999E-5</v>
      </c>
      <c r="R634" s="91">
        <f t="shared" si="66"/>
        <v>3.7599999999999999E-5</v>
      </c>
      <c r="S634" s="91">
        <f t="shared" si="63"/>
        <v>60617614.858822085</v>
      </c>
      <c r="T634" s="93">
        <f>VLOOKUP(A634,'Parameters Summary'!$B$2:$AB$826,15,FALSE)</f>
        <v>8.3144999999999997E-2</v>
      </c>
      <c r="U634" s="93" t="str">
        <f>VLOOKUP(A634,'Parameters Summary'!$B$2:$AB$826,17,FALSE)</f>
        <v>WATER9 (U.S. EPA, 2001)</v>
      </c>
      <c r="V634" s="93">
        <f>VLOOKUP(A634,'Parameters Summary'!$B$2:$AB$826,16,FALSE)</f>
        <v>9.9604000000000004E-6</v>
      </c>
      <c r="W634" s="379" t="str">
        <f>VLOOKUP(A634,'Parameters Summary'!$B$2:$AB$826,17,FALSE)</f>
        <v>WATER9 (U.S. EPA, 2001)</v>
      </c>
      <c r="X634" s="290">
        <f>119+273.15</f>
        <v>392.15</v>
      </c>
      <c r="Y634" s="96" t="s">
        <v>553</v>
      </c>
      <c r="Z634" s="96">
        <f>1.5*X634</f>
        <v>588.22499999999991</v>
      </c>
      <c r="AA634" s="96" t="s">
        <v>2220</v>
      </c>
      <c r="AB634" s="96">
        <f>32.64*238.846</f>
        <v>7795.9334400000007</v>
      </c>
      <c r="AC634" s="96" t="s">
        <v>2218</v>
      </c>
      <c r="AD634" s="93">
        <f>VLOOKUP(A634,'Parameters Summary'!$B$2:$AB$826,20,FALSE)</f>
        <v>1</v>
      </c>
      <c r="AE634" s="97" t="str">
        <f>VLOOKUP(A634,'Parameters Summary'!$B$2:$AB$826,21,FALSE)</f>
        <v>EPI</v>
      </c>
      <c r="AF634" s="380">
        <v>1.6</v>
      </c>
      <c r="AG634" s="97" t="s">
        <v>302</v>
      </c>
      <c r="AH634" s="92"/>
      <c r="AI634" s="96"/>
      <c r="AJ634" s="330"/>
      <c r="AL634" s="81"/>
    </row>
    <row r="635" spans="1:38" ht="12.75" customHeight="1">
      <c r="A635" s="95" t="s">
        <v>238</v>
      </c>
      <c r="B635" s="96" t="s">
        <v>1319</v>
      </c>
      <c r="C635" s="96" t="str">
        <f t="shared" si="60"/>
        <v>Yes</v>
      </c>
      <c r="D635" s="96" t="str">
        <f>VLOOKUP(A635,'Tox Summary'!$O$3:$R$824,3,FALSE)</f>
        <v>Yes</v>
      </c>
      <c r="E635" s="97">
        <v>58.081000000000003</v>
      </c>
      <c r="F635" s="97" t="s">
        <v>1620</v>
      </c>
      <c r="G635" s="93">
        <f>VLOOKUP(A635,'Parameters Summary'!$B$2:$AB$826,9,FALSE)</f>
        <v>538</v>
      </c>
      <c r="H635" s="93" t="str">
        <f>VLOOKUP(A635,'Parameters Summary'!$B$2:$AB$826,10,FALSE)</f>
        <v>PHYSPROP</v>
      </c>
      <c r="I635" s="93">
        <f>VLOOKUP(A635,'Parameters Summary'!$B$2:$AB$826,24,FALSE)</f>
        <v>590000</v>
      </c>
      <c r="J635" s="97" t="str">
        <f>VLOOKUP(A635,'Parameters Summary'!$B$2:$AB$826,25,FALSE)</f>
        <v>PHYSPROP</v>
      </c>
      <c r="K635" s="97" t="str">
        <f>VLOOKUP(A635,'Tox Summary'!$O$4:$P$824,2,FALSE)</f>
        <v/>
      </c>
      <c r="L635" s="93">
        <f>VLOOKUP(A635,'Parameters Summary'!$B$2:$AB$826,7,FALSE)</f>
        <v>6.9599999999999998E-5</v>
      </c>
      <c r="M635" s="93" t="str">
        <f>VLOOKUP(A635,'Parameters Summary'!$B$2:$AB$826,8,FALSE)</f>
        <v>EPI</v>
      </c>
      <c r="N635" s="91">
        <f>VLOOKUP(A635,'Parameters Summary'!$B$2:$AB$826,6,FALSE)</f>
        <v>2.8454999999999999E-3</v>
      </c>
      <c r="O635" s="91">
        <f t="shared" si="64"/>
        <v>2.8454999999999999E-3</v>
      </c>
      <c r="P635" s="91">
        <f t="shared" si="65"/>
        <v>2.8454999999999999E-3</v>
      </c>
      <c r="Q635" s="91">
        <f t="shared" si="59"/>
        <v>2.8454999999999999E-3</v>
      </c>
      <c r="R635" s="91">
        <f t="shared" si="66"/>
        <v>2.8454999999999999E-3</v>
      </c>
      <c r="S635" s="91">
        <f t="shared" si="63"/>
        <v>1681394226.5348485</v>
      </c>
      <c r="T635" s="93">
        <f>VLOOKUP(A635,'Parameters Summary'!$B$2:$AB$826,15,FALSE)</f>
        <v>0.1085105</v>
      </c>
      <c r="U635" s="93" t="str">
        <f>VLOOKUP(A635,'Parameters Summary'!$B$2:$AB$826,17,FALSE)</f>
        <v>WATER9 (U.S. EPA, 2001)</v>
      </c>
      <c r="V635" s="93">
        <f>VLOOKUP(A635,'Parameters Summary'!$B$2:$AB$826,16,FALSE)</f>
        <v>1.19E-5</v>
      </c>
      <c r="W635" s="379" t="str">
        <f>VLOOKUP(A635,'Parameters Summary'!$B$2:$AB$826,17,FALSE)</f>
        <v>WATER9 (U.S. EPA, 2001)</v>
      </c>
      <c r="X635" s="290">
        <v>308</v>
      </c>
      <c r="Y635" s="96" t="s">
        <v>2217</v>
      </c>
      <c r="Z635" s="96">
        <v>482.1</v>
      </c>
      <c r="AA635" s="96" t="s">
        <v>2218</v>
      </c>
      <c r="AB635" s="96">
        <v>6621.12</v>
      </c>
      <c r="AC635" s="96" t="s">
        <v>2218</v>
      </c>
      <c r="AD635" s="93">
        <f>VLOOKUP(A635,'Parameters Summary'!$B$2:$AB$826,20,FALSE)</f>
        <v>5.194</v>
      </c>
      <c r="AE635" s="97" t="str">
        <f>VLOOKUP(A635,'Parameters Summary'!$B$2:$AB$826,21,FALSE)</f>
        <v>EPI</v>
      </c>
      <c r="AF635" s="380"/>
      <c r="AG635" s="97"/>
      <c r="AH635" s="92"/>
      <c r="AI635" s="96"/>
      <c r="AJ635" s="330"/>
      <c r="AL635" s="81"/>
    </row>
    <row r="636" spans="1:38" ht="12.75" customHeight="1">
      <c r="A636" s="96" t="s">
        <v>36</v>
      </c>
      <c r="B636" s="96" t="s">
        <v>2317</v>
      </c>
      <c r="C636" s="96" t="str">
        <f t="shared" si="60"/>
        <v>No</v>
      </c>
      <c r="D636" s="96" t="str">
        <f>VLOOKUP(A636,'Tox Summary'!$O$3:$R$824,3,FALSE)</f>
        <v>Yes</v>
      </c>
      <c r="E636" s="97">
        <v>256.13</v>
      </c>
      <c r="F636" s="97" t="s">
        <v>1620</v>
      </c>
      <c r="G636" s="93">
        <f>VLOOKUP(A636,'Parameters Summary'!$B$2:$AB$826,9,FALSE)</f>
        <v>4.3500000000000002E-7</v>
      </c>
      <c r="H636" s="93" t="str">
        <f>VLOOKUP(A636,'Parameters Summary'!$B$2:$AB$826,10,FALSE)</f>
        <v>PHYSPROP</v>
      </c>
      <c r="I636" s="93">
        <f>VLOOKUP(A636,'Parameters Summary'!$B$2:$AB$826,24,FALSE)</f>
        <v>15</v>
      </c>
      <c r="J636" s="97" t="str">
        <f>VLOOKUP(A636,'Parameters Summary'!$B$2:$AB$826,25,FALSE)</f>
        <v>PHYSPROP</v>
      </c>
      <c r="K636" s="97" t="str">
        <f>VLOOKUP(A636,'Tox Summary'!$O$4:$P$824,2,FALSE)</f>
        <v/>
      </c>
      <c r="L636" s="93">
        <f>VLOOKUP(A636,'Parameters Summary'!$B$2:$AB$826,7,FALSE)</f>
        <v>9.7700000000000008E-9</v>
      </c>
      <c r="M636" s="93" t="str">
        <f>VLOOKUP(A636,'Parameters Summary'!$B$2:$AB$826,8,FALSE)</f>
        <v>EPI</v>
      </c>
      <c r="N636" s="91">
        <f>VLOOKUP(A636,'Parameters Summary'!$B$2:$AB$826,6,FALSE)</f>
        <v>3.9943000000000002E-7</v>
      </c>
      <c r="O636" s="91" t="str">
        <f t="shared" si="64"/>
        <v/>
      </c>
      <c r="P636" s="91">
        <f t="shared" si="65"/>
        <v>3.9943000000000002E-7</v>
      </c>
      <c r="Q636" s="91" t="str">
        <f t="shared" si="59"/>
        <v/>
      </c>
      <c r="R636" s="91">
        <f t="shared" si="66"/>
        <v>3.9943000000000002E-7</v>
      </c>
      <c r="S636" s="91" t="str">
        <f t="shared" si="63"/>
        <v/>
      </c>
      <c r="T636" s="93">
        <f>VLOOKUP(A636,'Parameters Summary'!$B$2:$AB$826,15,FALSE)</f>
        <v>4.7109999999999999E-2</v>
      </c>
      <c r="U636" s="93" t="str">
        <f>VLOOKUP(A636,'Parameters Summary'!$B$2:$AB$826,17,FALSE)</f>
        <v>WATER9 (U.S. EPA, 2001)</v>
      </c>
      <c r="V636" s="93">
        <f>VLOOKUP(A636,'Parameters Summary'!$B$2:$AB$826,16,FALSE)</f>
        <v>5.5044000000000002E-6</v>
      </c>
      <c r="W636" s="379" t="str">
        <f>VLOOKUP(A636,'Parameters Summary'!$B$2:$AB$826,17,FALSE)</f>
        <v>WATER9 (U.S. EPA, 2001)</v>
      </c>
      <c r="X636" s="347"/>
      <c r="Y636" s="96"/>
      <c r="Z636" s="96" t="s">
        <v>1653</v>
      </c>
      <c r="AA636" s="96"/>
      <c r="AB636" s="96" t="s">
        <v>1651</v>
      </c>
      <c r="AC636" s="96"/>
      <c r="AD636" s="93">
        <f>VLOOKUP(A636,'Parameters Summary'!$B$2:$AB$826,20,FALSE)</f>
        <v>404.9</v>
      </c>
      <c r="AE636" s="97" t="str">
        <f>VLOOKUP(A636,'Parameters Summary'!$B$2:$AB$826,21,FALSE)</f>
        <v>EPI</v>
      </c>
      <c r="AF636" s="97"/>
      <c r="AG636" s="94"/>
      <c r="AH636" s="92"/>
      <c r="AI636" s="96"/>
      <c r="AJ636" s="330"/>
      <c r="AL636" s="81"/>
    </row>
    <row r="637" spans="1:38" ht="12.75" customHeight="1">
      <c r="A637" s="95" t="s">
        <v>219</v>
      </c>
      <c r="B637" s="96" t="s">
        <v>2336</v>
      </c>
      <c r="C637" s="96" t="str">
        <f t="shared" si="60"/>
        <v>Yes</v>
      </c>
      <c r="D637" s="96" t="str">
        <f>VLOOKUP(A637,'Tox Summary'!$O$3:$R$824,3,FALSE)</f>
        <v>No</v>
      </c>
      <c r="E637" s="97">
        <v>202.26</v>
      </c>
      <c r="F637" s="97" t="s">
        <v>1620</v>
      </c>
      <c r="G637" s="93">
        <f>VLOOKUP(A637,'Parameters Summary'!$B$2:$AB$826,9,FALSE)</f>
        <v>4.5000000000000001E-6</v>
      </c>
      <c r="H637" s="93" t="str">
        <f>VLOOKUP(A637,'Parameters Summary'!$B$2:$AB$826,10,FALSE)</f>
        <v>PHYSPROP</v>
      </c>
      <c r="I637" s="93">
        <f>VLOOKUP(A637,'Parameters Summary'!$B$2:$AB$826,24,FALSE)</f>
        <v>0.13500000000000001</v>
      </c>
      <c r="J637" s="97" t="str">
        <f>VLOOKUP(A637,'Parameters Summary'!$B$2:$AB$826,25,FALSE)</f>
        <v>PHYSPROP</v>
      </c>
      <c r="K637" s="97" t="str">
        <f>VLOOKUP(A637,'Tox Summary'!$O$4:$P$824,2,FALSE)</f>
        <v/>
      </c>
      <c r="L637" s="93">
        <f>VLOOKUP(A637,'Parameters Summary'!$B$2:$AB$826,7,FALSE)</f>
        <v>1.19E-5</v>
      </c>
      <c r="M637" s="93" t="str">
        <f>VLOOKUP(A637,'Parameters Summary'!$B$2:$AB$826,8,FALSE)</f>
        <v>PHYSPROP</v>
      </c>
      <c r="N637" s="91">
        <f>VLOOKUP(A637,'Parameters Summary'!$B$2:$AB$826,6,FALSE)</f>
        <v>4.8650000000000001E-4</v>
      </c>
      <c r="O637" s="91">
        <f t="shared" si="64"/>
        <v>4.8650000000000001E-4</v>
      </c>
      <c r="P637" s="91">
        <f t="shared" si="65"/>
        <v>4.8650000000000001E-4</v>
      </c>
      <c r="Q637" s="91">
        <f t="shared" si="59"/>
        <v>4.8650000000000001E-4</v>
      </c>
      <c r="R637" s="91">
        <f t="shared" si="66"/>
        <v>4.8650000000000001E-4</v>
      </c>
      <c r="S637" s="91">
        <f t="shared" si="63"/>
        <v>48.975142430726081</v>
      </c>
      <c r="T637" s="93">
        <f>VLOOKUP(A637,'Parameters Summary'!$B$2:$AB$826,15,FALSE)</f>
        <v>2.7787300000000001E-2</v>
      </c>
      <c r="U637" s="93" t="str">
        <f>VLOOKUP(A637,'Parameters Summary'!$B$2:$AB$826,17,FALSE)</f>
        <v>WATER9 (U.S. EPA, 2001)</v>
      </c>
      <c r="V637" s="93">
        <f>VLOOKUP(A637,'Parameters Summary'!$B$2:$AB$826,16,FALSE)</f>
        <v>7.2478999999999997E-6</v>
      </c>
      <c r="W637" s="379" t="str">
        <f>VLOOKUP(A637,'Parameters Summary'!$B$2:$AB$826,17,FALSE)</f>
        <v>WATER9 (U.S. EPA, 2001)</v>
      </c>
      <c r="X637" s="290">
        <v>677</v>
      </c>
      <c r="Y637" s="96" t="s">
        <v>553</v>
      </c>
      <c r="Z637" s="96">
        <v>936</v>
      </c>
      <c r="AA637" s="96" t="s">
        <v>2227</v>
      </c>
      <c r="AB637" s="96">
        <v>14370</v>
      </c>
      <c r="AC637" s="96" t="s">
        <v>2227</v>
      </c>
      <c r="AD637" s="93">
        <f>VLOOKUP(A637,'Parameters Summary'!$B$2:$AB$826,20,FALSE)</f>
        <v>54340</v>
      </c>
      <c r="AE637" s="97" t="str">
        <f>VLOOKUP(A637,'Parameters Summary'!$B$2:$AB$826,21,FALSE)</f>
        <v>EPI</v>
      </c>
      <c r="AF637" s="380"/>
      <c r="AG637" s="97"/>
      <c r="AH637" s="92"/>
      <c r="AI637" s="96"/>
      <c r="AJ637" s="330"/>
      <c r="AL637" s="81"/>
    </row>
    <row r="638" spans="1:38" ht="12.75" customHeight="1">
      <c r="A638" s="95" t="s">
        <v>241</v>
      </c>
      <c r="B638" s="96" t="s">
        <v>1421</v>
      </c>
      <c r="C638" s="96" t="str">
        <f t="shared" si="60"/>
        <v>Yes</v>
      </c>
      <c r="D638" s="96" t="str">
        <f>VLOOKUP(A638,'Tox Summary'!$O$3:$R$824,3,FALSE)</f>
        <v>No</v>
      </c>
      <c r="E638" s="97">
        <v>79.102000000000004</v>
      </c>
      <c r="F638" s="97" t="s">
        <v>1620</v>
      </c>
      <c r="G638" s="93">
        <f>VLOOKUP(A638,'Parameters Summary'!$B$2:$AB$826,9,FALSE)</f>
        <v>20.8</v>
      </c>
      <c r="H638" s="93" t="str">
        <f>VLOOKUP(A638,'Parameters Summary'!$B$2:$AB$826,10,FALSE)</f>
        <v>PHYSPROP</v>
      </c>
      <c r="I638" s="93">
        <f>VLOOKUP(A638,'Parameters Summary'!$B$2:$AB$826,24,FALSE)</f>
        <v>1000000</v>
      </c>
      <c r="J638" s="97" t="str">
        <f>VLOOKUP(A638,'Parameters Summary'!$B$2:$AB$826,25,FALSE)</f>
        <v>PHYSPROP</v>
      </c>
      <c r="K638" s="97" t="str">
        <f>VLOOKUP(A638,'Tox Summary'!$O$4:$P$824,2,FALSE)</f>
        <v/>
      </c>
      <c r="L638" s="93">
        <f>VLOOKUP(A638,'Parameters Summary'!$B$2:$AB$826,7,FALSE)</f>
        <v>1.1E-5</v>
      </c>
      <c r="M638" s="93" t="str">
        <f>VLOOKUP(A638,'Parameters Summary'!$B$2:$AB$826,8,FALSE)</f>
        <v>PHYSPROP</v>
      </c>
      <c r="N638" s="91">
        <f>VLOOKUP(A638,'Parameters Summary'!$B$2:$AB$826,6,FALSE)</f>
        <v>4.4969999999999998E-4</v>
      </c>
      <c r="O638" s="91">
        <f t="shared" si="64"/>
        <v>4.4969999999999998E-4</v>
      </c>
      <c r="P638" s="91">
        <f t="shared" si="65"/>
        <v>4.4969999999999998E-4</v>
      </c>
      <c r="Q638" s="91">
        <f t="shared" si="59"/>
        <v>4.4969999999999998E-4</v>
      </c>
      <c r="R638" s="91">
        <f t="shared" si="66"/>
        <v>4.4969999999999998E-4</v>
      </c>
      <c r="S638" s="91">
        <f t="shared" si="63"/>
        <v>88532757.291879699</v>
      </c>
      <c r="T638" s="93">
        <f>VLOOKUP(A638,'Parameters Summary'!$B$2:$AB$826,15,FALSE)</f>
        <v>9.3088299999999999E-2</v>
      </c>
      <c r="U638" s="93" t="str">
        <f>VLOOKUP(A638,'Parameters Summary'!$B$2:$AB$826,17,FALSE)</f>
        <v>WATER9 (U.S. EPA, 2001)</v>
      </c>
      <c r="V638" s="93">
        <f>VLOOKUP(A638,'Parameters Summary'!$B$2:$AB$826,16,FALSE)</f>
        <v>1.0900000000000001E-5</v>
      </c>
      <c r="W638" s="379" t="str">
        <f>VLOOKUP(A638,'Parameters Summary'!$B$2:$AB$826,17,FALSE)</f>
        <v>WATER9 (U.S. EPA, 2001)</v>
      </c>
      <c r="X638" s="290">
        <v>388.2</v>
      </c>
      <c r="Y638" s="96" t="s">
        <v>553</v>
      </c>
      <c r="Z638" s="96">
        <v>617.20000000000005</v>
      </c>
      <c r="AA638" s="96" t="s">
        <v>0</v>
      </c>
      <c r="AB638" s="96">
        <v>35.1</v>
      </c>
      <c r="AC638" s="96" t="s">
        <v>2213</v>
      </c>
      <c r="AD638" s="93">
        <f>VLOOKUP(A638,'Parameters Summary'!$B$2:$AB$826,20,FALSE)</f>
        <v>71.72</v>
      </c>
      <c r="AE638" s="97" t="str">
        <f>VLOOKUP(A638,'Parameters Summary'!$B$2:$AB$826,21,FALSE)</f>
        <v>EPI</v>
      </c>
      <c r="AF638" s="380">
        <v>1.8</v>
      </c>
      <c r="AG638" s="97" t="s">
        <v>302</v>
      </c>
      <c r="AH638" s="92"/>
      <c r="AI638" s="96"/>
      <c r="AJ638" s="330"/>
      <c r="AL638" s="81"/>
    </row>
    <row r="639" spans="1:38" ht="12.75" customHeight="1">
      <c r="A639" s="96" t="s">
        <v>242</v>
      </c>
      <c r="B639" s="96" t="s">
        <v>1320</v>
      </c>
      <c r="C639" s="96" t="str">
        <f t="shared" si="60"/>
        <v>No</v>
      </c>
      <c r="D639" s="96" t="str">
        <f>VLOOKUP(A639,'Tox Summary'!$O$3:$R$824,3,FALSE)</f>
        <v>Yes</v>
      </c>
      <c r="E639" s="97">
        <v>298.3</v>
      </c>
      <c r="F639" s="97" t="s">
        <v>1620</v>
      </c>
      <c r="G639" s="93">
        <f>VLOOKUP(A639,'Parameters Summary'!$B$2:$AB$826,9,FALSE)</f>
        <v>2.6000000000000001E-6</v>
      </c>
      <c r="H639" s="93" t="str">
        <f>VLOOKUP(A639,'Parameters Summary'!$B$2:$AB$826,10,FALSE)</f>
        <v>PHYSPROP</v>
      </c>
      <c r="I639" s="93">
        <f>VLOOKUP(A639,'Parameters Summary'!$B$2:$AB$826,24,FALSE)</f>
        <v>22</v>
      </c>
      <c r="J639" s="97" t="str">
        <f>VLOOKUP(A639,'Parameters Summary'!$B$2:$AB$826,25,FALSE)</f>
        <v>PHYSPROP</v>
      </c>
      <c r="K639" s="97" t="str">
        <f>VLOOKUP(A639,'Tox Summary'!$O$4:$P$824,2,FALSE)</f>
        <v/>
      </c>
      <c r="L639" s="93">
        <f>VLOOKUP(A639,'Parameters Summary'!$B$2:$AB$826,7,FALSE)</f>
        <v>4.6399999999999999E-8</v>
      </c>
      <c r="M639" s="93" t="str">
        <f>VLOOKUP(A639,'Parameters Summary'!$B$2:$AB$826,8,FALSE)</f>
        <v>EPI</v>
      </c>
      <c r="N639" s="91">
        <f>VLOOKUP(A639,'Parameters Summary'!$B$2:$AB$826,6,FALSE)</f>
        <v>1.897E-6</v>
      </c>
      <c r="O639" s="91" t="str">
        <f t="shared" si="64"/>
        <v/>
      </c>
      <c r="P639" s="91">
        <f t="shared" si="65"/>
        <v>1.897E-6</v>
      </c>
      <c r="Q639" s="91" t="str">
        <f t="shared" si="59"/>
        <v/>
      </c>
      <c r="R639" s="91">
        <f t="shared" si="66"/>
        <v>1.897E-6</v>
      </c>
      <c r="S639" s="91" t="str">
        <f t="shared" si="63"/>
        <v/>
      </c>
      <c r="T639" s="93">
        <f>VLOOKUP(A639,'Parameters Summary'!$B$2:$AB$826,15,FALSE)</f>
        <v>4.25583E-2</v>
      </c>
      <c r="U639" s="93" t="str">
        <f>VLOOKUP(A639,'Parameters Summary'!$B$2:$AB$826,17,FALSE)</f>
        <v>WATER9 (U.S. EPA, 2001)</v>
      </c>
      <c r="V639" s="93">
        <f>VLOOKUP(A639,'Parameters Summary'!$B$2:$AB$826,16,FALSE)</f>
        <v>4.9725999999999996E-6</v>
      </c>
      <c r="W639" s="379" t="str">
        <f>VLOOKUP(A639,'Parameters Summary'!$B$2:$AB$826,17,FALSE)</f>
        <v>WATER9 (U.S. EPA, 2001)</v>
      </c>
      <c r="X639" s="290">
        <v>415.15</v>
      </c>
      <c r="Y639" s="96" t="s">
        <v>553</v>
      </c>
      <c r="Z639" s="96" t="s">
        <v>1653</v>
      </c>
      <c r="AA639" s="96"/>
      <c r="AB639" s="96" t="s">
        <v>1651</v>
      </c>
      <c r="AC639" s="96"/>
      <c r="AD639" s="93">
        <f>VLOOKUP(A639,'Parameters Summary'!$B$2:$AB$826,20,FALSE)</f>
        <v>4185</v>
      </c>
      <c r="AE639" s="97" t="str">
        <f>VLOOKUP(A639,'Parameters Summary'!$B$2:$AB$826,21,FALSE)</f>
        <v>EPI</v>
      </c>
      <c r="AF639" s="97"/>
      <c r="AG639" s="94"/>
      <c r="AH639" s="92"/>
      <c r="AI639" s="96"/>
      <c r="AJ639" s="330"/>
      <c r="AL639" s="81"/>
    </row>
    <row r="640" spans="1:38" ht="12.75" customHeight="1">
      <c r="A640" s="96" t="s">
        <v>243</v>
      </c>
      <c r="B640" s="96" t="s">
        <v>1321</v>
      </c>
      <c r="C640" s="96" t="str">
        <f t="shared" si="60"/>
        <v>No</v>
      </c>
      <c r="D640" s="96" t="str">
        <f>VLOOKUP(A640,'Tox Summary'!$O$3:$R$824,3,FALSE)</f>
        <v>No</v>
      </c>
      <c r="E640" s="97">
        <v>129.16</v>
      </c>
      <c r="F640" s="97" t="s">
        <v>1620</v>
      </c>
      <c r="G640" s="93">
        <f>VLOOKUP(A640,'Parameters Summary'!$B$2:$AB$826,9,FALSE)</f>
        <v>0.06</v>
      </c>
      <c r="H640" s="93" t="str">
        <f>VLOOKUP(A640,'Parameters Summary'!$B$2:$AB$826,10,FALSE)</f>
        <v>PHYSPROP</v>
      </c>
      <c r="I640" s="93">
        <f>VLOOKUP(A640,'Parameters Summary'!$B$2:$AB$826,24,FALSE)</f>
        <v>6110</v>
      </c>
      <c r="J640" s="97" t="str">
        <f>VLOOKUP(A640,'Parameters Summary'!$B$2:$AB$826,25,FALSE)</f>
        <v>PHYSPROP</v>
      </c>
      <c r="K640" s="97" t="str">
        <f>VLOOKUP(A640,'Tox Summary'!$O$4:$P$824,2,FALSE)</f>
        <v/>
      </c>
      <c r="L640" s="93">
        <f>VLOOKUP(A640,'Parameters Summary'!$B$2:$AB$826,7,FALSE)</f>
        <v>1.6700000000000001E-6</v>
      </c>
      <c r="M640" s="93" t="str">
        <f>VLOOKUP(A640,'Parameters Summary'!$B$2:$AB$826,8,FALSE)</f>
        <v>EPI</v>
      </c>
      <c r="N640" s="91">
        <f>VLOOKUP(A640,'Parameters Summary'!$B$2:$AB$826,6,FALSE)</f>
        <v>6.8300000000000007E-5</v>
      </c>
      <c r="O640" s="91" t="str">
        <f t="shared" si="64"/>
        <v/>
      </c>
      <c r="P640" s="91">
        <f t="shared" si="65"/>
        <v>6.8300000000000007E-5</v>
      </c>
      <c r="Q640" s="91" t="str">
        <f t="shared" si="59"/>
        <v/>
      </c>
      <c r="R640" s="91">
        <f t="shared" si="66"/>
        <v>6.8300000000000007E-5</v>
      </c>
      <c r="S640" s="91" t="str">
        <f t="shared" si="63"/>
        <v/>
      </c>
      <c r="T640" s="93">
        <f>VLOOKUP(A640,'Parameters Summary'!$B$2:$AB$826,15,FALSE)</f>
        <v>6.1800399999999998E-2</v>
      </c>
      <c r="U640" s="93" t="str">
        <f>VLOOKUP(A640,'Parameters Summary'!$B$2:$AB$826,17,FALSE)</f>
        <v>WATER9 (U.S. EPA, 2001)</v>
      </c>
      <c r="V640" s="93">
        <f>VLOOKUP(A640,'Parameters Summary'!$B$2:$AB$826,16,FALSE)</f>
        <v>8.6873000000000007E-6</v>
      </c>
      <c r="W640" s="379" t="str">
        <f>VLOOKUP(A640,'Parameters Summary'!$B$2:$AB$826,17,FALSE)</f>
        <v>WATER9 (U.S. EPA, 2001)</v>
      </c>
      <c r="X640" s="290">
        <v>510.25</v>
      </c>
      <c r="Y640" s="96" t="s">
        <v>553</v>
      </c>
      <c r="Z640" s="96" t="s">
        <v>1653</v>
      </c>
      <c r="AA640" s="96"/>
      <c r="AB640" s="96" t="s">
        <v>1651</v>
      </c>
      <c r="AC640" s="96"/>
      <c r="AD640" s="93">
        <f>VLOOKUP(A640,'Parameters Summary'!$B$2:$AB$826,20,FALSE)</f>
        <v>1544</v>
      </c>
      <c r="AE640" s="97" t="str">
        <f>VLOOKUP(A640,'Parameters Summary'!$B$2:$AB$826,21,FALSE)</f>
        <v>EPI</v>
      </c>
      <c r="AF640" s="97"/>
      <c r="AG640" s="94"/>
      <c r="AH640" s="92"/>
      <c r="AI640" s="96"/>
      <c r="AJ640" s="330"/>
      <c r="AL640" s="81"/>
    </row>
    <row r="641" spans="1:38" ht="12.75" customHeight="1">
      <c r="A641" s="96" t="s">
        <v>672</v>
      </c>
      <c r="B641" s="96" t="s">
        <v>2318</v>
      </c>
      <c r="C641" s="96" t="str">
        <f t="shared" si="60"/>
        <v>No</v>
      </c>
      <c r="D641" s="96" t="str">
        <f>VLOOKUP(A641,'Tox Summary'!$O$3:$R$824,3,FALSE)</f>
        <v>No</v>
      </c>
      <c r="E641" s="97">
        <v>372.81</v>
      </c>
      <c r="F641" s="97" t="s">
        <v>1620</v>
      </c>
      <c r="G641" s="93">
        <f>VLOOKUP(A641,'Parameters Summary'!$B$2:$AB$826,9,FALSE)</f>
        <v>6.4899999999999997E-9</v>
      </c>
      <c r="H641" s="93" t="str">
        <f>VLOOKUP(A641,'Parameters Summary'!$B$2:$AB$826,10,FALSE)</f>
        <v>PHYSPROP</v>
      </c>
      <c r="I641" s="93">
        <f>VLOOKUP(A641,'Parameters Summary'!$B$2:$AB$826,24,FALSE)</f>
        <v>0.3</v>
      </c>
      <c r="J641" s="97" t="str">
        <f>VLOOKUP(A641,'Parameters Summary'!$B$2:$AB$826,25,FALSE)</f>
        <v>PHYSPROP</v>
      </c>
      <c r="K641" s="97" t="str">
        <f>VLOOKUP(A641,'Tox Summary'!$O$4:$P$824,2,FALSE)</f>
        <v/>
      </c>
      <c r="L641" s="93">
        <f>VLOOKUP(A641,'Parameters Summary'!$B$2:$AB$826,7,FALSE)</f>
        <v>1.0600000000000001E-8</v>
      </c>
      <c r="M641" s="93" t="str">
        <f>VLOOKUP(A641,'Parameters Summary'!$B$2:$AB$826,8,FALSE)</f>
        <v>EPI</v>
      </c>
      <c r="N641" s="91">
        <f>VLOOKUP(A641,'Parameters Summary'!$B$2:$AB$826,6,FALSE)</f>
        <v>4.3336000000000001E-7</v>
      </c>
      <c r="O641" s="91" t="str">
        <f t="shared" si="64"/>
        <v/>
      </c>
      <c r="P641" s="91">
        <f t="shared" si="65"/>
        <v>4.3336000000000001E-7</v>
      </c>
      <c r="Q641" s="91" t="str">
        <f t="shared" si="59"/>
        <v/>
      </c>
      <c r="R641" s="91">
        <f t="shared" si="66"/>
        <v>4.3336000000000001E-7</v>
      </c>
      <c r="S641" s="91" t="str">
        <f t="shared" si="63"/>
        <v/>
      </c>
      <c r="T641" s="93">
        <f>VLOOKUP(A641,'Parameters Summary'!$B$2:$AB$826,15,FALSE)</f>
        <v>3.6679900000000001E-2</v>
      </c>
      <c r="U641" s="93" t="str">
        <f>VLOOKUP(A641,'Parameters Summary'!$B$2:$AB$826,17,FALSE)</f>
        <v>WATER9 (U.S. EPA, 2001)</v>
      </c>
      <c r="V641" s="93">
        <f>VLOOKUP(A641,'Parameters Summary'!$B$2:$AB$826,16,FALSE)</f>
        <v>4.2857999999999997E-6</v>
      </c>
      <c r="W641" s="379" t="str">
        <f>VLOOKUP(A641,'Parameters Summary'!$B$2:$AB$826,17,FALSE)</f>
        <v>WATER9 (U.S. EPA, 2001)</v>
      </c>
      <c r="X641" s="290">
        <v>493.15</v>
      </c>
      <c r="Y641" s="96" t="s">
        <v>553</v>
      </c>
      <c r="Z641" s="96">
        <f>1.5*X641</f>
        <v>739.72499999999991</v>
      </c>
      <c r="AA641" s="96" t="s">
        <v>2220</v>
      </c>
      <c r="AB641" s="96" t="s">
        <v>1651</v>
      </c>
      <c r="AC641" s="96"/>
      <c r="AD641" s="93">
        <f>VLOOKUP(A641,'Parameters Summary'!$B$2:$AB$826,20,FALSE)</f>
        <v>7736</v>
      </c>
      <c r="AE641" s="97" t="str">
        <f>VLOOKUP(A641,'Parameters Summary'!$B$2:$AB$826,21,FALSE)</f>
        <v>EPI</v>
      </c>
      <c r="AF641" s="97"/>
      <c r="AG641" s="94"/>
      <c r="AH641" s="92"/>
      <c r="AI641" s="96"/>
      <c r="AJ641" s="330"/>
      <c r="AL641" s="81"/>
    </row>
    <row r="642" spans="1:38" ht="12.75" customHeight="1">
      <c r="A642" s="96" t="s">
        <v>2173</v>
      </c>
      <c r="B642" s="96" t="s">
        <v>1322</v>
      </c>
      <c r="C642" s="96" t="str">
        <f t="shared" si="60"/>
        <v>No</v>
      </c>
      <c r="D642" s="96" t="s">
        <v>2434</v>
      </c>
      <c r="E642" s="97" t="s">
        <v>2416</v>
      </c>
      <c r="F642" s="97" t="s">
        <v>1413</v>
      </c>
      <c r="G642" s="93" t="s">
        <v>2439</v>
      </c>
      <c r="H642" s="93" t="str">
        <f>VLOOKUP(A642,'Parameters Summary'!$B$2:$AB$826,10,FALSE)</f>
        <v/>
      </c>
      <c r="I642" s="93" t="s">
        <v>2440</v>
      </c>
      <c r="J642" s="97" t="str">
        <f>VLOOKUP(A642,'Parameters Summary'!$B$2:$AB$826,25,FALSE)</f>
        <v/>
      </c>
      <c r="K642" s="97" t="str">
        <f>VLOOKUP(A642,'Tox Summary'!$O$4:$P$824,2,FALSE)</f>
        <v/>
      </c>
      <c r="L642" s="93" t="s">
        <v>2298</v>
      </c>
      <c r="M642" s="93" t="str">
        <f>VLOOKUP(A642,'Parameters Summary'!$B$2:$AB$826,8,FALSE)</f>
        <v/>
      </c>
      <c r="N642" s="91" t="str">
        <f>VLOOKUP(A642,'Parameters Summary'!$B$2:$AB$826,6,FALSE)</f>
        <v xml:space="preserve"> </v>
      </c>
      <c r="O642" s="91" t="str">
        <f t="shared" si="64"/>
        <v/>
      </c>
      <c r="P642" s="91" t="str">
        <f t="shared" si="65"/>
        <v xml:space="preserve"> </v>
      </c>
      <c r="Q642" s="91" t="str">
        <f t="shared" si="59"/>
        <v/>
      </c>
      <c r="R642" s="91" t="str">
        <f t="shared" si="66"/>
        <v xml:space="preserve"> </v>
      </c>
      <c r="S642" s="91" t="str">
        <f t="shared" si="63"/>
        <v/>
      </c>
      <c r="T642" s="93" t="str">
        <f>VLOOKUP(A642,'Parameters Summary'!$B$2:$AB$826,15,FALSE)</f>
        <v xml:space="preserve"> </v>
      </c>
      <c r="U642" s="93" t="str">
        <f>VLOOKUP(A642,'Parameters Summary'!$B$2:$AB$826,17,FALSE)</f>
        <v/>
      </c>
      <c r="V642" s="93" t="str">
        <f>VLOOKUP(A642,'Parameters Summary'!$B$2:$AB$826,16,FALSE)</f>
        <v xml:space="preserve"> </v>
      </c>
      <c r="W642" s="379" t="str">
        <f>VLOOKUP(A642,'Parameters Summary'!$B$2:$AB$826,17,FALSE)</f>
        <v/>
      </c>
      <c r="X642" s="347"/>
      <c r="Y642" s="96"/>
      <c r="Z642" s="96" t="s">
        <v>1653</v>
      </c>
      <c r="AA642" s="96"/>
      <c r="AB642" s="96" t="s">
        <v>1651</v>
      </c>
      <c r="AC642" s="96"/>
      <c r="AD642" s="93" t="str">
        <f>VLOOKUP(A642,'Parameters Summary'!$B$2:$AB$826,20,FALSE)</f>
        <v xml:space="preserve"> </v>
      </c>
      <c r="AE642" s="97" t="str">
        <f>VLOOKUP(A642,'Parameters Summary'!$B$2:$AB$826,21,FALSE)</f>
        <v/>
      </c>
      <c r="AF642" s="97"/>
      <c r="AG642" s="94"/>
      <c r="AH642" s="92"/>
      <c r="AI642" s="96"/>
      <c r="AJ642" s="330"/>
      <c r="AL642" s="81"/>
    </row>
    <row r="643" spans="1:38" ht="12.75" customHeight="1">
      <c r="A643" s="96" t="s">
        <v>244</v>
      </c>
      <c r="B643" s="96" t="s">
        <v>1323</v>
      </c>
      <c r="C643" s="96" t="str">
        <f t="shared" si="60"/>
        <v>No</v>
      </c>
      <c r="D643" s="96" t="str">
        <f>VLOOKUP(A643,'Tox Summary'!$O$3:$R$824,3,FALSE)</f>
        <v>No</v>
      </c>
      <c r="E643" s="97">
        <v>338.45</v>
      </c>
      <c r="F643" s="97" t="s">
        <v>1620</v>
      </c>
      <c r="G643" s="93">
        <f>VLOOKUP(A643,'Parameters Summary'!$B$2:$AB$826,9,FALSE)</f>
        <v>1.13E-8</v>
      </c>
      <c r="H643" s="93" t="str">
        <f>VLOOKUP(A643,'Parameters Summary'!$B$2:$AB$826,10,FALSE)</f>
        <v>PHYSPROP</v>
      </c>
      <c r="I643" s="93">
        <f>VLOOKUP(A643,'Parameters Summary'!$B$2:$AB$826,24,FALSE)</f>
        <v>3.7900000000000003E-2</v>
      </c>
      <c r="J643" s="97" t="str">
        <f>VLOOKUP(A643,'Parameters Summary'!$B$2:$AB$826,25,FALSE)</f>
        <v>PHYSPROP</v>
      </c>
      <c r="K643" s="97" t="str">
        <f>VLOOKUP(A643,'Tox Summary'!$O$4:$P$824,2,FALSE)</f>
        <v/>
      </c>
      <c r="L643" s="93">
        <f>VLOOKUP(A643,'Parameters Summary'!$B$2:$AB$826,7,FALSE)</f>
        <v>1.3300000000000001E-7</v>
      </c>
      <c r="M643" s="93" t="str">
        <f>VLOOKUP(A643,'Parameters Summary'!$B$2:$AB$826,8,FALSE)</f>
        <v>EPI</v>
      </c>
      <c r="N643" s="91">
        <f>VLOOKUP(A643,'Parameters Summary'!$B$2:$AB$826,6,FALSE)</f>
        <v>5.4373999999999998E-6</v>
      </c>
      <c r="O643" s="91" t="str">
        <f t="shared" si="64"/>
        <v/>
      </c>
      <c r="P643" s="91">
        <f t="shared" si="65"/>
        <v>5.4373999999999998E-6</v>
      </c>
      <c r="Q643" s="91" t="str">
        <f t="shared" si="59"/>
        <v/>
      </c>
      <c r="R643" s="91">
        <f t="shared" si="66"/>
        <v>5.4373999999999998E-6</v>
      </c>
      <c r="S643" s="91" t="str">
        <f t="shared" si="63"/>
        <v/>
      </c>
      <c r="T643" s="93">
        <f>VLOOKUP(A643,'Parameters Summary'!$B$2:$AB$826,15,FALSE)</f>
        <v>3.9122299999999999E-2</v>
      </c>
      <c r="U643" s="93" t="str">
        <f>VLOOKUP(A643,'Parameters Summary'!$B$2:$AB$826,17,FALSE)</f>
        <v>WATER9 (U.S. EPA, 2001)</v>
      </c>
      <c r="V643" s="93">
        <f>VLOOKUP(A643,'Parameters Summary'!$B$2:$AB$826,16,FALSE)</f>
        <v>4.5711000000000002E-6</v>
      </c>
      <c r="W643" s="379" t="str">
        <f>VLOOKUP(A643,'Parameters Summary'!$B$2:$AB$826,17,FALSE)</f>
        <v>WATER9 (U.S. EPA, 2001)</v>
      </c>
      <c r="X643" s="290">
        <v>453.15</v>
      </c>
      <c r="Y643" s="96" t="s">
        <v>553</v>
      </c>
      <c r="Z643" s="96" t="s">
        <v>1653</v>
      </c>
      <c r="AA643" s="96"/>
      <c r="AB643" s="96" t="s">
        <v>1651</v>
      </c>
      <c r="AC643" s="96"/>
      <c r="AD643" s="93">
        <f>VLOOKUP(A643,'Parameters Summary'!$B$2:$AB$826,20,FALSE)</f>
        <v>311400</v>
      </c>
      <c r="AE643" s="97" t="str">
        <f>VLOOKUP(A643,'Parameters Summary'!$B$2:$AB$826,21,FALSE)</f>
        <v>EPI</v>
      </c>
      <c r="AF643" s="97"/>
      <c r="AG643" s="94"/>
      <c r="AH643" s="92"/>
      <c r="AI643" s="96"/>
      <c r="AJ643" s="330"/>
      <c r="AL643" s="81"/>
    </row>
    <row r="644" spans="1:38" ht="12.75" customHeight="1">
      <c r="A644" s="96" t="s">
        <v>245</v>
      </c>
      <c r="B644" s="96" t="s">
        <v>1324</v>
      </c>
      <c r="C644" s="96" t="str">
        <f t="shared" si="60"/>
        <v>Yes</v>
      </c>
      <c r="D644" s="96" t="str">
        <f>VLOOKUP(A644,'Tox Summary'!$O$3:$R$824,3,FALSE)</f>
        <v>Yes</v>
      </c>
      <c r="E644" s="97">
        <v>321.55</v>
      </c>
      <c r="F644" s="97" t="s">
        <v>1620</v>
      </c>
      <c r="G644" s="93">
        <f>VLOOKUP(A644,'Parameters Summary'!$B$2:$AB$826,9,FALSE)</f>
        <v>7.4999999999999993E-5</v>
      </c>
      <c r="H644" s="93" t="str">
        <f>VLOOKUP(A644,'Parameters Summary'!$B$2:$AB$826,10,FALSE)</f>
        <v>PHYSPROP</v>
      </c>
      <c r="I644" s="93">
        <f>VLOOKUP(A644,'Parameters Summary'!$B$2:$AB$826,24,FALSE)</f>
        <v>1</v>
      </c>
      <c r="J644" s="97" t="str">
        <f>VLOOKUP(A644,'Parameters Summary'!$B$2:$AB$826,25,FALSE)</f>
        <v>PHYSPROP</v>
      </c>
      <c r="K644" s="97" t="str">
        <f>VLOOKUP(A644,'Tox Summary'!$O$4:$P$824,2,FALSE)</f>
        <v/>
      </c>
      <c r="L644" s="93">
        <f>VLOOKUP(A644,'Parameters Summary'!$B$2:$AB$826,7,FALSE)</f>
        <v>3.1999999999999999E-5</v>
      </c>
      <c r="M644" s="93" t="str">
        <f>VLOOKUP(A644,'Parameters Summary'!$B$2:$AB$826,8,FALSE)</f>
        <v>EPI</v>
      </c>
      <c r="N644" s="91">
        <f>VLOOKUP(A644,'Parameters Summary'!$B$2:$AB$826,6,FALSE)</f>
        <v>1.3083000000000001E-3</v>
      </c>
      <c r="O644" s="91" t="str">
        <f t="shared" si="64"/>
        <v/>
      </c>
      <c r="P644" s="91">
        <f t="shared" si="65"/>
        <v>1.3083000000000001E-3</v>
      </c>
      <c r="Q644" s="91" t="str">
        <f t="shared" si="59"/>
        <v/>
      </c>
      <c r="R644" s="91">
        <f t="shared" si="66"/>
        <v>1.3083000000000001E-3</v>
      </c>
      <c r="S644" s="91" t="str">
        <f t="shared" si="63"/>
        <v/>
      </c>
      <c r="T644" s="93">
        <f>VLOOKUP(A644,'Parameters Summary'!$B$2:$AB$826,15,FALSE)</f>
        <v>2.31577E-2</v>
      </c>
      <c r="U644" s="93" t="str">
        <f>VLOOKUP(A644,'Parameters Summary'!$B$2:$AB$826,17,FALSE)</f>
        <v>WATER9 (U.S. EPA, 2001)</v>
      </c>
      <c r="V644" s="93">
        <f>VLOOKUP(A644,'Parameters Summary'!$B$2:$AB$826,16,FALSE)</f>
        <v>5.9147999999999997E-6</v>
      </c>
      <c r="W644" s="379" t="str">
        <f>VLOOKUP(A644,'Parameters Summary'!$B$2:$AB$826,17,FALSE)</f>
        <v>WATER9 (U.S. EPA, 2001)</v>
      </c>
      <c r="X644" s="290">
        <f>273.15+152.5</f>
        <v>425.65</v>
      </c>
      <c r="Y644" s="96" t="s">
        <v>553</v>
      </c>
      <c r="Z644" s="96" t="s">
        <v>1653</v>
      </c>
      <c r="AA644" s="96"/>
      <c r="AB644" s="96" t="s">
        <v>1651</v>
      </c>
      <c r="AC644" s="96"/>
      <c r="AD644" s="93">
        <f>VLOOKUP(A644,'Parameters Summary'!$B$2:$AB$826,20,FALSE)</f>
        <v>4457</v>
      </c>
      <c r="AE644" s="97" t="str">
        <f>VLOOKUP(A644,'Parameters Summary'!$B$2:$AB$826,21,FALSE)</f>
        <v>EPI</v>
      </c>
      <c r="AF644" s="97"/>
      <c r="AG644" s="94"/>
      <c r="AH644" s="92"/>
      <c r="AI644" s="96"/>
      <c r="AJ644" s="330"/>
      <c r="AL644" s="81"/>
    </row>
    <row r="645" spans="1:38" ht="12.75" customHeight="1">
      <c r="A645" s="96" t="s">
        <v>246</v>
      </c>
      <c r="B645" s="96" t="s">
        <v>1325</v>
      </c>
      <c r="C645" s="96" t="str">
        <f t="shared" si="60"/>
        <v>No</v>
      </c>
      <c r="D645" s="96" t="str">
        <f>VLOOKUP(A645,'Tox Summary'!$O$3:$R$824,3,FALSE)</f>
        <v>No</v>
      </c>
      <c r="E645" s="97">
        <v>394.43</v>
      </c>
      <c r="F645" s="97" t="s">
        <v>1620</v>
      </c>
      <c r="G645" s="93">
        <f>VLOOKUP(A645,'Parameters Summary'!$B$2:$AB$826,9,FALSE)</f>
        <v>6.9399999999999998E-10</v>
      </c>
      <c r="H645" s="93" t="str">
        <f>VLOOKUP(A645,'Parameters Summary'!$B$2:$AB$826,10,FALSE)</f>
        <v>PHYSPROP</v>
      </c>
      <c r="I645" s="93">
        <f>VLOOKUP(A645,'Parameters Summary'!$B$2:$AB$826,24,FALSE)</f>
        <v>0.2</v>
      </c>
      <c r="J645" s="97" t="str">
        <f>VLOOKUP(A645,'Parameters Summary'!$B$2:$AB$826,25,FALSE)</f>
        <v>PHYSPROP</v>
      </c>
      <c r="K645" s="97" t="str">
        <f>VLOOKUP(A645,'Tox Summary'!$O$4:$P$824,2,FALSE)</f>
        <v/>
      </c>
      <c r="L645" s="93">
        <f>VLOOKUP(A645,'Parameters Summary'!$B$2:$AB$826,7,FALSE)</f>
        <v>1.12E-13</v>
      </c>
      <c r="M645" s="93" t="str">
        <f>VLOOKUP(A645,'Parameters Summary'!$B$2:$AB$826,8,FALSE)</f>
        <v>PHYSPROP</v>
      </c>
      <c r="N645" s="91">
        <f>VLOOKUP(A645,'Parameters Summary'!$B$2:$AB$826,6,FALSE)</f>
        <v>4.5789999999999998E-12</v>
      </c>
      <c r="O645" s="91" t="str">
        <f t="shared" si="64"/>
        <v/>
      </c>
      <c r="P645" s="91">
        <f t="shared" si="65"/>
        <v>4.5789999999999998E-12</v>
      </c>
      <c r="Q645" s="91" t="str">
        <f t="shared" si="59"/>
        <v/>
      </c>
      <c r="R645" s="91">
        <f t="shared" si="66"/>
        <v>4.5789999999999998E-12</v>
      </c>
      <c r="S645" s="91" t="str">
        <f t="shared" si="63"/>
        <v/>
      </c>
      <c r="T645" s="93">
        <f>VLOOKUP(A645,'Parameters Summary'!$B$2:$AB$826,15,FALSE)</f>
        <v>3.5326999999999997E-2</v>
      </c>
      <c r="U645" s="93" t="str">
        <f>VLOOKUP(A645,'Parameters Summary'!$B$2:$AB$826,17,FALSE)</f>
        <v>WATER9 (U.S. EPA, 2001)</v>
      </c>
      <c r="V645" s="93">
        <f>VLOOKUP(A645,'Parameters Summary'!$B$2:$AB$826,16,FALSE)</f>
        <v>4.1277000000000003E-6</v>
      </c>
      <c r="W645" s="379" t="str">
        <f>VLOOKUP(A645,'Parameters Summary'!$B$2:$AB$826,17,FALSE)</f>
        <v>WATER9 (U.S. EPA, 2001)</v>
      </c>
      <c r="X645" s="290">
        <f>273.15+215</f>
        <v>488.15</v>
      </c>
      <c r="Y645" s="96" t="s">
        <v>553</v>
      </c>
      <c r="Z645" s="96" t="s">
        <v>1653</v>
      </c>
      <c r="AA645" s="96"/>
      <c r="AB645" s="96" t="s">
        <v>1651</v>
      </c>
      <c r="AC645" s="96"/>
      <c r="AD645" s="93">
        <f>VLOOKUP(A645,'Parameters Summary'!$B$2:$AB$826,20,FALSE)</f>
        <v>261100</v>
      </c>
      <c r="AE645" s="97" t="str">
        <f>VLOOKUP(A645,'Parameters Summary'!$B$2:$AB$826,21,FALSE)</f>
        <v>EPI</v>
      </c>
      <c r="AF645" s="97"/>
      <c r="AG645" s="94"/>
      <c r="AH645" s="92"/>
      <c r="AI645" s="96"/>
      <c r="AJ645" s="330"/>
      <c r="AL645" s="81"/>
    </row>
    <row r="646" spans="1:38" ht="12.75" customHeight="1">
      <c r="A646" s="95" t="s">
        <v>247</v>
      </c>
      <c r="B646" s="96" t="s">
        <v>614</v>
      </c>
      <c r="C646" s="96" t="str">
        <f t="shared" si="60"/>
        <v>No</v>
      </c>
      <c r="D646" s="96" t="str">
        <f>VLOOKUP(A646,'Tox Summary'!$O$3:$R$824,3,FALSE)</f>
        <v>Yes</v>
      </c>
      <c r="E646" s="97">
        <v>162.19</v>
      </c>
      <c r="F646" s="97" t="s">
        <v>1620</v>
      </c>
      <c r="G646" s="93">
        <f>VLOOKUP(A646,'Parameters Summary'!$B$2:$AB$826,9,FALSE)</f>
        <v>6.1800000000000001E-2</v>
      </c>
      <c r="H646" s="93" t="str">
        <f>VLOOKUP(A646,'Parameters Summary'!$B$2:$AB$826,10,FALSE)</f>
        <v>PHYSPROP</v>
      </c>
      <c r="I646" s="93">
        <f>VLOOKUP(A646,'Parameters Summary'!$B$2:$AB$826,24,FALSE)</f>
        <v>121</v>
      </c>
      <c r="J646" s="97" t="str">
        <f>VLOOKUP(A646,'Parameters Summary'!$B$2:$AB$826,25,FALSE)</f>
        <v>PHYSPROP</v>
      </c>
      <c r="K646" s="97" t="str">
        <f>VLOOKUP(A646,'Tox Summary'!$O$4:$P$824,2,FALSE)</f>
        <v/>
      </c>
      <c r="L646" s="93">
        <f>VLOOKUP(A646,'Parameters Summary'!$B$2:$AB$826,7,FALSE)</f>
        <v>9.0699999999999996E-6</v>
      </c>
      <c r="M646" s="93" t="str">
        <f>VLOOKUP(A646,'Parameters Summary'!$B$2:$AB$826,8,FALSE)</f>
        <v>PHYSPROP</v>
      </c>
      <c r="N646" s="91">
        <f>VLOOKUP(A646,'Parameters Summary'!$B$2:$AB$826,6,FALSE)</f>
        <v>3.7080000000000001E-4</v>
      </c>
      <c r="O646" s="91" t="str">
        <f t="shared" si="64"/>
        <v/>
      </c>
      <c r="P646" s="91">
        <f t="shared" si="65"/>
        <v>3.7080000000000001E-4</v>
      </c>
      <c r="Q646" s="91" t="str">
        <f t="shared" si="59"/>
        <v/>
      </c>
      <c r="R646" s="91">
        <f t="shared" si="66"/>
        <v>3.7080000000000001E-4</v>
      </c>
      <c r="S646" s="91" t="str">
        <f t="shared" si="63"/>
        <v/>
      </c>
      <c r="T646" s="93">
        <f>VLOOKUP(A646,'Parameters Summary'!$B$2:$AB$826,15,FALSE)</f>
        <v>4.4227200000000001E-2</v>
      </c>
      <c r="U646" s="93" t="str">
        <f>VLOOKUP(A646,'Parameters Summary'!$B$2:$AB$826,17,FALSE)</f>
        <v>WATER9 (U.S. EPA, 2001)</v>
      </c>
      <c r="V646" s="93">
        <f>VLOOKUP(A646,'Parameters Summary'!$B$2:$AB$826,16,FALSE)</f>
        <v>7.5874000000000004E-6</v>
      </c>
      <c r="W646" s="379" t="str">
        <f>VLOOKUP(A646,'Parameters Summary'!$B$2:$AB$826,17,FALSE)</f>
        <v>WATER9 (U.S. EPA, 2001)</v>
      </c>
      <c r="X646" s="290">
        <f>234.5+273.15</f>
        <v>507.65</v>
      </c>
      <c r="Y646" s="96" t="s">
        <v>553</v>
      </c>
      <c r="Z646" s="96">
        <f>1.5*X646</f>
        <v>761.47499999999991</v>
      </c>
      <c r="AA646" s="96" t="s">
        <v>2220</v>
      </c>
      <c r="AB646" s="96" t="s">
        <v>1651</v>
      </c>
      <c r="AC646" s="96"/>
      <c r="AD646" s="93">
        <f>VLOOKUP(A646,'Parameters Summary'!$B$2:$AB$826,20,FALSE)</f>
        <v>207.2</v>
      </c>
      <c r="AE646" s="97" t="str">
        <f>VLOOKUP(A646,'Parameters Summary'!$B$2:$AB$826,21,FALSE)</f>
        <v>EPI</v>
      </c>
      <c r="AF646" s="380"/>
      <c r="AG646" s="97"/>
      <c r="AH646" s="92"/>
      <c r="AI646" s="96"/>
      <c r="AJ646" s="330"/>
      <c r="AL646" s="81"/>
    </row>
    <row r="647" spans="1:38" ht="12.75" customHeight="1">
      <c r="A647" s="96" t="s">
        <v>249</v>
      </c>
      <c r="B647" s="96" t="s">
        <v>1326</v>
      </c>
      <c r="C647" s="96" t="str">
        <f t="shared" si="60"/>
        <v>No</v>
      </c>
      <c r="D647" s="96" t="str">
        <f>VLOOKUP(A647,'Tox Summary'!$O$3:$R$824,3,FALSE)</f>
        <v>No</v>
      </c>
      <c r="E647" s="97">
        <v>128.97</v>
      </c>
      <c r="F647" s="97" t="s">
        <v>1620</v>
      </c>
      <c r="G647" s="93" t="s">
        <v>2439</v>
      </c>
      <c r="H647" s="93" t="str">
        <f>VLOOKUP(A647,'Parameters Summary'!$B$2:$AB$826,10,FALSE)</f>
        <v/>
      </c>
      <c r="I647" s="93">
        <f>VLOOKUP(A647,'Parameters Summary'!$B$2:$AB$826,24,FALSE)</f>
        <v>900000</v>
      </c>
      <c r="J647" s="97" t="str">
        <f>VLOOKUP(A647,'Parameters Summary'!$B$2:$AB$826,25,FALSE)</f>
        <v>PERRY</v>
      </c>
      <c r="K647" s="97" t="str">
        <f>VLOOKUP(A647,'Tox Summary'!$O$4:$P$824,2,FALSE)</f>
        <v/>
      </c>
      <c r="L647" s="93" t="s">
        <v>2298</v>
      </c>
      <c r="M647" s="93" t="str">
        <f>VLOOKUP(A647,'Parameters Summary'!$B$2:$AB$826,8,FALSE)</f>
        <v/>
      </c>
      <c r="N647" s="91" t="str">
        <f>VLOOKUP(A647,'Parameters Summary'!$B$2:$AB$826,6,FALSE)</f>
        <v xml:space="preserve"> </v>
      </c>
      <c r="O647" s="91" t="str">
        <f t="shared" si="64"/>
        <v/>
      </c>
      <c r="P647" s="91" t="str">
        <f t="shared" si="65"/>
        <v xml:space="preserve"> </v>
      </c>
      <c r="Q647" s="91" t="str">
        <f t="shared" si="59"/>
        <v/>
      </c>
      <c r="R647" s="91" t="str">
        <f t="shared" si="66"/>
        <v xml:space="preserve"> </v>
      </c>
      <c r="S647" s="91" t="str">
        <f t="shared" si="63"/>
        <v/>
      </c>
      <c r="T647" s="93" t="str">
        <f>VLOOKUP(A647,'Parameters Summary'!$B$2:$AB$826,15,FALSE)</f>
        <v xml:space="preserve"> </v>
      </c>
      <c r="U647" s="93" t="str">
        <f>VLOOKUP(A647,'Parameters Summary'!$B$2:$AB$826,17,FALSE)</f>
        <v/>
      </c>
      <c r="V647" s="93" t="str">
        <f>VLOOKUP(A647,'Parameters Summary'!$B$2:$AB$826,16,FALSE)</f>
        <v xml:space="preserve"> </v>
      </c>
      <c r="W647" s="379" t="str">
        <f>VLOOKUP(A647,'Parameters Summary'!$B$2:$AB$826,17,FALSE)</f>
        <v/>
      </c>
      <c r="X647" s="347"/>
      <c r="Y647" s="96"/>
      <c r="Z647" s="96" t="s">
        <v>1653</v>
      </c>
      <c r="AA647" s="96"/>
      <c r="AB647" s="96" t="s">
        <v>1651</v>
      </c>
      <c r="AC647" s="96"/>
      <c r="AD647" s="93" t="str">
        <f>VLOOKUP(A647,'Parameters Summary'!$B$2:$AB$826,20,FALSE)</f>
        <v xml:space="preserve"> </v>
      </c>
      <c r="AE647" s="97" t="str">
        <f>VLOOKUP(A647,'Parameters Summary'!$B$2:$AB$826,21,FALSE)</f>
        <v/>
      </c>
      <c r="AF647" s="97"/>
      <c r="AG647" s="94"/>
      <c r="AH647" s="92"/>
      <c r="AI647" s="96"/>
      <c r="AJ647" s="330"/>
      <c r="AL647" s="81"/>
    </row>
    <row r="648" spans="1:38" ht="12.75" customHeight="1">
      <c r="A648" s="95" t="s">
        <v>250</v>
      </c>
      <c r="B648" s="96" t="s">
        <v>1327</v>
      </c>
      <c r="C648" s="96" t="str">
        <f t="shared" si="60"/>
        <v>No</v>
      </c>
      <c r="D648" s="96" t="str">
        <f>VLOOKUP(A648,'Tox Summary'!$O$3:$R$824,3,FALSE)</f>
        <v>No</v>
      </c>
      <c r="E648" s="97">
        <v>78.959999999999994</v>
      </c>
      <c r="F648" s="97" t="s">
        <v>1620</v>
      </c>
      <c r="G648" s="93">
        <f>VLOOKUP(A648,'Parameters Summary'!$B$2:$AB$826,9,FALSE)</f>
        <v>1.42E-10</v>
      </c>
      <c r="H648" s="93" t="str">
        <f>VLOOKUP(A648,'Parameters Summary'!$B$2:$AB$826,10,FALSE)</f>
        <v>EPI</v>
      </c>
      <c r="I648" s="93" t="s">
        <v>2440</v>
      </c>
      <c r="J648" s="97" t="str">
        <f>VLOOKUP(A648,'Parameters Summary'!$B$2:$AB$826,25,FALSE)</f>
        <v/>
      </c>
      <c r="K648" s="97">
        <f>VLOOKUP(A648,'Tox Summary'!$O$4:$P$824,2,FALSE)</f>
        <v>50</v>
      </c>
      <c r="L648" s="93" t="str">
        <f>VLOOKUP(A648,'Parameters Summary'!$B$2:$AB$826,7,FALSE)</f>
        <v xml:space="preserve"> </v>
      </c>
      <c r="M648" s="93" t="str">
        <f>VLOOKUP(A648,'Parameters Summary'!$B$2:$AB$826,8,FALSE)</f>
        <v/>
      </c>
      <c r="N648" s="91" t="str">
        <f>VLOOKUP(A648,'Parameters Summary'!$B$2:$AB$826,6,FALSE)</f>
        <v xml:space="preserve"> </v>
      </c>
      <c r="O648" s="91"/>
      <c r="P648" s="91"/>
      <c r="Q648" s="91"/>
      <c r="R648" s="91"/>
      <c r="S648" s="91"/>
      <c r="T648" s="93" t="str">
        <f>VLOOKUP(A648,'Parameters Summary'!$B$2:$AB$826,15,FALSE)</f>
        <v xml:space="preserve"> </v>
      </c>
      <c r="U648" s="93" t="str">
        <f>VLOOKUP(A648,'Parameters Summary'!$B$2:$AB$826,17,FALSE)</f>
        <v/>
      </c>
      <c r="V648" s="93" t="str">
        <f>VLOOKUP(A648,'Parameters Summary'!$B$2:$AB$826,16,FALSE)</f>
        <v xml:space="preserve"> </v>
      </c>
      <c r="W648" s="379" t="str">
        <f>VLOOKUP(A648,'Parameters Summary'!$B$2:$AB$826,17,FALSE)</f>
        <v/>
      </c>
      <c r="X648" s="290">
        <f>-41.3+273.15</f>
        <v>231.84999999999997</v>
      </c>
      <c r="Y648" s="96" t="s">
        <v>553</v>
      </c>
      <c r="Z648" s="96">
        <v>1766</v>
      </c>
      <c r="AA648" s="96" t="s">
        <v>2215</v>
      </c>
      <c r="AB648" s="96">
        <f>59.7*238.846</f>
        <v>14259.1062</v>
      </c>
      <c r="AC648" s="96" t="s">
        <v>2218</v>
      </c>
      <c r="AD648" s="93" t="str">
        <f>VLOOKUP(A648,'Parameters Summary'!$B$2:$AB$826,20,FALSE)</f>
        <v xml:space="preserve"> </v>
      </c>
      <c r="AE648" s="97" t="str">
        <f>VLOOKUP(A648,'Parameters Summary'!$B$2:$AB$826,21,FALSE)</f>
        <v/>
      </c>
      <c r="AF648" s="380"/>
      <c r="AG648" s="97"/>
      <c r="AH648" s="92"/>
      <c r="AI648" s="96"/>
      <c r="AJ648" s="330"/>
      <c r="AL648" s="81"/>
    </row>
    <row r="649" spans="1:38" ht="12.75" customHeight="1">
      <c r="A649" s="96" t="s">
        <v>251</v>
      </c>
      <c r="B649" s="96" t="s">
        <v>615</v>
      </c>
      <c r="C649" s="96" t="str">
        <f t="shared" si="60"/>
        <v>No</v>
      </c>
      <c r="D649" s="96" t="str">
        <f>VLOOKUP(A649,'Tox Summary'!$O$3:$R$824,3,FALSE)</f>
        <v>No</v>
      </c>
      <c r="E649" s="97">
        <v>111.02</v>
      </c>
      <c r="F649" s="97" t="s">
        <v>553</v>
      </c>
      <c r="G649" s="93" t="s">
        <v>2439</v>
      </c>
      <c r="H649" s="93" t="str">
        <f>VLOOKUP(A649,'Parameters Summary'!$B$2:$AB$826,10,FALSE)</f>
        <v/>
      </c>
      <c r="I649" s="93" t="s">
        <v>2440</v>
      </c>
      <c r="J649" s="97" t="str">
        <f>VLOOKUP(A649,'Parameters Summary'!$B$2:$AB$826,25,FALSE)</f>
        <v/>
      </c>
      <c r="K649" s="97" t="str">
        <f>VLOOKUP(A649,'Tox Summary'!$O$4:$P$824,2,FALSE)</f>
        <v/>
      </c>
      <c r="L649" s="93" t="s">
        <v>2298</v>
      </c>
      <c r="M649" s="93" t="str">
        <f>VLOOKUP(A649,'Parameters Summary'!$B$2:$AB$826,8,FALSE)</f>
        <v/>
      </c>
      <c r="N649" s="91" t="str">
        <f>VLOOKUP(A649,'Parameters Summary'!$B$2:$AB$826,6,FALSE)</f>
        <v xml:space="preserve"> </v>
      </c>
      <c r="O649" s="91" t="str">
        <f t="shared" si="64"/>
        <v/>
      </c>
      <c r="P649" s="91" t="str">
        <f t="shared" si="65"/>
        <v xml:space="preserve"> </v>
      </c>
      <c r="Q649" s="91" t="str">
        <f t="shared" si="59"/>
        <v/>
      </c>
      <c r="R649" s="91" t="str">
        <f t="shared" si="66"/>
        <v xml:space="preserve"> </v>
      </c>
      <c r="S649" s="91" t="str">
        <f t="shared" si="63"/>
        <v/>
      </c>
      <c r="T649" s="93" t="str">
        <f>VLOOKUP(A649,'Parameters Summary'!$B$2:$AB$826,15,FALSE)</f>
        <v xml:space="preserve"> </v>
      </c>
      <c r="U649" s="93" t="str">
        <f>VLOOKUP(A649,'Parameters Summary'!$B$2:$AB$826,17,FALSE)</f>
        <v/>
      </c>
      <c r="V649" s="93" t="str">
        <f>VLOOKUP(A649,'Parameters Summary'!$B$2:$AB$826,16,FALSE)</f>
        <v xml:space="preserve"> </v>
      </c>
      <c r="W649" s="379" t="str">
        <f>VLOOKUP(A649,'Parameters Summary'!$B$2:$AB$826,17,FALSE)</f>
        <v/>
      </c>
      <c r="X649" s="347"/>
      <c r="Y649" s="96"/>
      <c r="Z649" s="96" t="s">
        <v>1653</v>
      </c>
      <c r="AA649" s="96"/>
      <c r="AB649" s="96" t="s">
        <v>1651</v>
      </c>
      <c r="AC649" s="96"/>
      <c r="AD649" s="93" t="str">
        <f>VLOOKUP(A649,'Parameters Summary'!$B$2:$AB$826,20,FALSE)</f>
        <v xml:space="preserve"> </v>
      </c>
      <c r="AE649" s="97" t="str">
        <f>VLOOKUP(A649,'Parameters Summary'!$B$2:$AB$826,21,FALSE)</f>
        <v/>
      </c>
      <c r="AF649" s="97"/>
      <c r="AG649" s="94"/>
      <c r="AH649" s="92"/>
      <c r="AI649" s="96"/>
      <c r="AJ649" s="330"/>
      <c r="AL649" s="81"/>
    </row>
    <row r="650" spans="1:38" ht="12.75" customHeight="1">
      <c r="A650" s="96" t="s">
        <v>252</v>
      </c>
      <c r="B650" s="96" t="s">
        <v>1328</v>
      </c>
      <c r="C650" s="96" t="str">
        <f t="shared" si="60"/>
        <v>No</v>
      </c>
      <c r="D650" s="96" t="str">
        <f>VLOOKUP(A650,'Tox Summary'!$O$3:$R$824,3,FALSE)</f>
        <v>No</v>
      </c>
      <c r="E650" s="97">
        <v>327.49</v>
      </c>
      <c r="F650" s="97" t="s">
        <v>1620</v>
      </c>
      <c r="G650" s="93">
        <f>VLOOKUP(A650,'Parameters Summary'!$B$2:$AB$826,9,FALSE)</f>
        <v>1.6E-7</v>
      </c>
      <c r="H650" s="93" t="str">
        <f>VLOOKUP(A650,'Parameters Summary'!$B$2:$AB$826,10,FALSE)</f>
        <v>PHYSPROP</v>
      </c>
      <c r="I650" s="93">
        <f>VLOOKUP(A650,'Parameters Summary'!$B$2:$AB$826,24,FALSE)</f>
        <v>25</v>
      </c>
      <c r="J650" s="97" t="str">
        <f>VLOOKUP(A650,'Parameters Summary'!$B$2:$AB$826,25,FALSE)</f>
        <v>PHYSPROP</v>
      </c>
      <c r="K650" s="97" t="str">
        <f>VLOOKUP(A650,'Tox Summary'!$O$4:$P$824,2,FALSE)</f>
        <v/>
      </c>
      <c r="L650" s="93">
        <f>VLOOKUP(A650,'Parameters Summary'!$B$2:$AB$826,7,FALSE)</f>
        <v>2.1599999999999998E-11</v>
      </c>
      <c r="M650" s="93" t="str">
        <f>VLOOKUP(A650,'Parameters Summary'!$B$2:$AB$826,8,FALSE)</f>
        <v>PHYSPROP</v>
      </c>
      <c r="N650" s="91">
        <f>VLOOKUP(A650,'Parameters Summary'!$B$2:$AB$826,6,FALSE)</f>
        <v>8.8309999999999998E-10</v>
      </c>
      <c r="O650" s="91" t="str">
        <f t="shared" si="64"/>
        <v/>
      </c>
      <c r="P650" s="91">
        <f t="shared" si="65"/>
        <v>8.8309999999999998E-10</v>
      </c>
      <c r="Q650" s="91" t="str">
        <f t="shared" si="59"/>
        <v/>
      </c>
      <c r="R650" s="91">
        <f t="shared" si="66"/>
        <v>8.8309999999999998E-10</v>
      </c>
      <c r="S650" s="91" t="str">
        <f t="shared" si="63"/>
        <v/>
      </c>
      <c r="T650" s="93">
        <f>VLOOKUP(A650,'Parameters Summary'!$B$2:$AB$826,15,FALSE)</f>
        <v>1.9632899999999998E-2</v>
      </c>
      <c r="U650" s="93" t="str">
        <f>VLOOKUP(A650,'Parameters Summary'!$B$2:$AB$826,17,FALSE)</f>
        <v>WATER9 (U.S. EPA, 2001)</v>
      </c>
      <c r="V650" s="93">
        <f>VLOOKUP(A650,'Parameters Summary'!$B$2:$AB$826,16,FALSE)</f>
        <v>4.8207999999999997E-6</v>
      </c>
      <c r="W650" s="379" t="str">
        <f>VLOOKUP(A650,'Parameters Summary'!$B$2:$AB$826,17,FALSE)</f>
        <v>WATER9 (U.S. EPA, 2001)</v>
      </c>
      <c r="X650" s="347"/>
      <c r="Y650" s="96"/>
      <c r="Z650" s="96" t="s">
        <v>1653</v>
      </c>
      <c r="AA650" s="96"/>
      <c r="AB650" s="96" t="s">
        <v>1651</v>
      </c>
      <c r="AC650" s="96"/>
      <c r="AD650" s="93">
        <f>VLOOKUP(A650,'Parameters Summary'!$B$2:$AB$826,20,FALSE)</f>
        <v>4374</v>
      </c>
      <c r="AE650" s="97" t="str">
        <f>VLOOKUP(A650,'Parameters Summary'!$B$2:$AB$826,21,FALSE)</f>
        <v>EPI</v>
      </c>
      <c r="AF650" s="97"/>
      <c r="AG650" s="94"/>
      <c r="AH650" s="92"/>
      <c r="AI650" s="96"/>
      <c r="AJ650" s="330"/>
      <c r="AL650" s="81"/>
    </row>
    <row r="651" spans="1:38" ht="12.75" customHeight="1">
      <c r="A651" s="96" t="s">
        <v>253</v>
      </c>
      <c r="B651" s="96" t="s">
        <v>616</v>
      </c>
      <c r="C651" s="96" t="str">
        <f t="shared" si="60"/>
        <v>No</v>
      </c>
      <c r="D651" s="96" t="str">
        <f>VLOOKUP(A651,'Tox Summary'!$O$3:$R$824,3,FALSE)</f>
        <v>No</v>
      </c>
      <c r="E651" s="97">
        <v>60.08</v>
      </c>
      <c r="F651" s="97" t="s">
        <v>553</v>
      </c>
      <c r="G651" s="93" t="s">
        <v>2439</v>
      </c>
      <c r="H651" s="93" t="str">
        <f>VLOOKUP(A651,'Parameters Summary'!$B$2:$AB$826,10,FALSE)</f>
        <v/>
      </c>
      <c r="I651" s="93" t="s">
        <v>2440</v>
      </c>
      <c r="J651" s="97" t="str">
        <f>VLOOKUP(A651,'Parameters Summary'!$B$2:$AB$826,25,FALSE)</f>
        <v/>
      </c>
      <c r="K651" s="97" t="str">
        <f>VLOOKUP(A651,'Tox Summary'!$O$4:$P$824,2,FALSE)</f>
        <v/>
      </c>
      <c r="L651" s="93" t="s">
        <v>2298</v>
      </c>
      <c r="M651" s="93" t="str">
        <f>VLOOKUP(A651,'Parameters Summary'!$B$2:$AB$826,8,FALSE)</f>
        <v/>
      </c>
      <c r="N651" s="91" t="str">
        <f>VLOOKUP(A651,'Parameters Summary'!$B$2:$AB$826,6,FALSE)</f>
        <v xml:space="preserve"> </v>
      </c>
      <c r="O651" s="91" t="str">
        <f t="shared" si="64"/>
        <v/>
      </c>
      <c r="P651" s="91" t="str">
        <f t="shared" si="65"/>
        <v xml:space="preserve"> </v>
      </c>
      <c r="Q651" s="91" t="str">
        <f t="shared" si="59"/>
        <v/>
      </c>
      <c r="R651" s="91" t="str">
        <f t="shared" si="66"/>
        <v xml:space="preserve"> </v>
      </c>
      <c r="S651" s="91" t="str">
        <f t="shared" si="63"/>
        <v/>
      </c>
      <c r="T651" s="93" t="str">
        <f>VLOOKUP(A651,'Parameters Summary'!$B$2:$AB$826,15,FALSE)</f>
        <v xml:space="preserve"> </v>
      </c>
      <c r="U651" s="93" t="str">
        <f>VLOOKUP(A651,'Parameters Summary'!$B$2:$AB$826,17,FALSE)</f>
        <v/>
      </c>
      <c r="V651" s="93" t="str">
        <f>VLOOKUP(A651,'Parameters Summary'!$B$2:$AB$826,16,FALSE)</f>
        <v xml:space="preserve"> </v>
      </c>
      <c r="W651" s="379" t="str">
        <f>VLOOKUP(A651,'Parameters Summary'!$B$2:$AB$826,17,FALSE)</f>
        <v/>
      </c>
      <c r="X651" s="347"/>
      <c r="Y651" s="96"/>
      <c r="Z651" s="96" t="s">
        <v>1653</v>
      </c>
      <c r="AA651" s="96"/>
      <c r="AB651" s="96" t="s">
        <v>1651</v>
      </c>
      <c r="AC651" s="96"/>
      <c r="AD651" s="93" t="str">
        <f>VLOOKUP(A651,'Parameters Summary'!$B$2:$AB$826,20,FALSE)</f>
        <v xml:space="preserve"> </v>
      </c>
      <c r="AE651" s="97" t="str">
        <f>VLOOKUP(A651,'Parameters Summary'!$B$2:$AB$826,21,FALSE)</f>
        <v/>
      </c>
      <c r="AF651" s="97"/>
      <c r="AG651" s="94"/>
      <c r="AH651" s="92"/>
      <c r="AI651" s="96"/>
      <c r="AJ651" s="330"/>
      <c r="AL651" s="81"/>
    </row>
    <row r="652" spans="1:38" ht="12.75" customHeight="1">
      <c r="A652" s="96" t="s">
        <v>254</v>
      </c>
      <c r="B652" s="96" t="s">
        <v>1329</v>
      </c>
      <c r="C652" s="96" t="str">
        <f t="shared" si="60"/>
        <v>No</v>
      </c>
      <c r="D652" s="96" t="str">
        <f>VLOOKUP(A652,'Tox Summary'!$O$3:$R$824,3,FALSE)</f>
        <v>Yes</v>
      </c>
      <c r="E652" s="97">
        <v>107.87</v>
      </c>
      <c r="F652" s="97" t="s">
        <v>1620</v>
      </c>
      <c r="G652" s="93">
        <f>VLOOKUP(A652,'Parameters Summary'!$B$2:$AB$826,9,FALSE)</f>
        <v>0</v>
      </c>
      <c r="H652" s="93" t="str">
        <f>VLOOKUP(A652,'Parameters Summary'!$B$2:$AB$826,10,FALSE)</f>
        <v>NIOSH</v>
      </c>
      <c r="I652" s="93" t="s">
        <v>2440</v>
      </c>
      <c r="J652" s="97" t="str">
        <f>VLOOKUP(A652,'Parameters Summary'!$B$2:$AB$826,25,FALSE)</f>
        <v/>
      </c>
      <c r="K652" s="97" t="str">
        <f>VLOOKUP(A652,'Tox Summary'!$O$4:$P$824,2,FALSE)</f>
        <v/>
      </c>
      <c r="L652" s="93" t="str">
        <f>VLOOKUP(A652,'Parameters Summary'!$B$2:$AB$826,7,FALSE)</f>
        <v xml:space="preserve"> </v>
      </c>
      <c r="M652" s="93" t="str">
        <f>VLOOKUP(A652,'Parameters Summary'!$B$2:$AB$826,8,FALSE)</f>
        <v/>
      </c>
      <c r="N652" s="91" t="str">
        <f>VLOOKUP(A652,'Parameters Summary'!$B$2:$AB$826,6,FALSE)</f>
        <v xml:space="preserve"> </v>
      </c>
      <c r="O652" s="91" t="str">
        <f t="shared" si="64"/>
        <v/>
      </c>
      <c r="P652" s="91" t="str">
        <f t="shared" si="65"/>
        <v xml:space="preserve"> </v>
      </c>
      <c r="Q652" s="91" t="str">
        <f t="shared" ref="Q652:Q712" si="67">IF(OR(L652="No Hc25",Z652="No Tcrit",AB652="No DHv,b"),"",N652*EXP((-(AB652*((1-(Tgw_GW+273)/Z652)/(1-X652/Z652))^(IF(X652/Z652&lt;0.57,0.3,IF(X652/Z652&gt;0.71,0.41,0.74*(X652/Z652)-0.116))))/1.9872)*(1/(Tgw_GW+273)-1/298)))</f>
        <v/>
      </c>
      <c r="R652" s="91" t="str">
        <f t="shared" si="66"/>
        <v xml:space="preserve"> </v>
      </c>
      <c r="S652" s="91" t="str">
        <f t="shared" si="63"/>
        <v/>
      </c>
      <c r="T652" s="93" t="str">
        <f>VLOOKUP(A652,'Parameters Summary'!$B$2:$AB$826,15,FALSE)</f>
        <v xml:space="preserve"> </v>
      </c>
      <c r="U652" s="93" t="str">
        <f>VLOOKUP(A652,'Parameters Summary'!$B$2:$AB$826,17,FALSE)</f>
        <v/>
      </c>
      <c r="V652" s="93" t="str">
        <f>VLOOKUP(A652,'Parameters Summary'!$B$2:$AB$826,16,FALSE)</f>
        <v xml:space="preserve"> </v>
      </c>
      <c r="W652" s="379" t="str">
        <f>VLOOKUP(A652,'Parameters Summary'!$B$2:$AB$826,17,FALSE)</f>
        <v/>
      </c>
      <c r="X652" s="290">
        <v>2273.15</v>
      </c>
      <c r="Y652" s="96" t="s">
        <v>553</v>
      </c>
      <c r="Z652" s="96">
        <f>1.5*X652</f>
        <v>3409.7250000000004</v>
      </c>
      <c r="AA652" s="96" t="s">
        <v>2220</v>
      </c>
      <c r="AB652" s="96" t="s">
        <v>1651</v>
      </c>
      <c r="AC652" s="96"/>
      <c r="AD652" s="93" t="str">
        <f>VLOOKUP(A652,'Parameters Summary'!$B$2:$AB$826,20,FALSE)</f>
        <v xml:space="preserve"> </v>
      </c>
      <c r="AE652" s="97" t="str">
        <f>VLOOKUP(A652,'Parameters Summary'!$B$2:$AB$826,21,FALSE)</f>
        <v/>
      </c>
      <c r="AF652" s="97"/>
      <c r="AG652" s="94"/>
      <c r="AH652" s="92"/>
      <c r="AI652" s="96"/>
      <c r="AJ652" s="330"/>
      <c r="AL652" s="81"/>
    </row>
    <row r="653" spans="1:38" ht="12.75" customHeight="1">
      <c r="A653" s="96" t="s">
        <v>797</v>
      </c>
      <c r="B653" s="96" t="s">
        <v>2367</v>
      </c>
      <c r="C653" s="96" t="str">
        <f t="shared" si="60"/>
        <v>No</v>
      </c>
      <c r="D653" s="96" t="str">
        <f>VLOOKUP(A653,'Tox Summary'!$O$3:$R$824,3,FALSE)</f>
        <v>No</v>
      </c>
      <c r="E653" s="97">
        <v>133.88999999999999</v>
      </c>
      <c r="F653" s="97" t="s">
        <v>1620</v>
      </c>
      <c r="G653" s="93" t="s">
        <v>2439</v>
      </c>
      <c r="H653" s="93" t="str">
        <f>VLOOKUP(A653,'Parameters Summary'!$B$2:$AB$826,10,FALSE)</f>
        <v/>
      </c>
      <c r="I653" s="93">
        <f>VLOOKUP(A653,'Parameters Summary'!$B$2:$AB$826,24,FALSE)</f>
        <v>23</v>
      </c>
      <c r="J653" s="97" t="str">
        <f>VLOOKUP(A653,'Parameters Summary'!$B$2:$AB$826,25,FALSE)</f>
        <v>PHYSPROP</v>
      </c>
      <c r="K653" s="97" t="str">
        <f>VLOOKUP(A653,'Tox Summary'!$O$4:$P$824,2,FALSE)</f>
        <v/>
      </c>
      <c r="L653" s="93" t="s">
        <v>2298</v>
      </c>
      <c r="M653" s="93" t="str">
        <f>VLOOKUP(A653,'Parameters Summary'!$B$2:$AB$826,8,FALSE)</f>
        <v/>
      </c>
      <c r="N653" s="91" t="str">
        <f>VLOOKUP(A653,'Parameters Summary'!$B$2:$AB$826,6,FALSE)</f>
        <v xml:space="preserve"> </v>
      </c>
      <c r="O653" s="91" t="str">
        <f t="shared" ref="O653:O713" si="68">IF(OR(L653="No Hc25",Z653="No Tcrit",AB653="No DHv,b"),"",N653*EXP((-(AB653*((1-(Tgw+273)/Z653)/(1-X653/Z653))^(IF(X653/Z653&lt;0.57,0.3,IF(X653/Z653&gt;0.71,0.41,0.74*(X653/Z653)-0.116))))/1.9872)*(1/(Tgw+273)-1/298)))</f>
        <v/>
      </c>
      <c r="P653" s="91" t="str">
        <f t="shared" ref="P653:P713" si="69">IF(O653="",N653,O653)</f>
        <v xml:space="preserve"> </v>
      </c>
      <c r="Q653" s="91" t="str">
        <f t="shared" si="67"/>
        <v/>
      </c>
      <c r="R653" s="91" t="str">
        <f t="shared" ref="R653:R713" si="70">IF(Q653="",P653,Q653)</f>
        <v xml:space="preserve"> </v>
      </c>
      <c r="S653" s="91" t="str">
        <f t="shared" si="63"/>
        <v/>
      </c>
      <c r="T653" s="93" t="str">
        <f>VLOOKUP(A653,'Parameters Summary'!$B$2:$AB$826,15,FALSE)</f>
        <v xml:space="preserve"> </v>
      </c>
      <c r="U653" s="93" t="str">
        <f>VLOOKUP(A653,'Parameters Summary'!$B$2:$AB$826,17,FALSE)</f>
        <v/>
      </c>
      <c r="V653" s="93" t="str">
        <f>VLOOKUP(A653,'Parameters Summary'!$B$2:$AB$826,16,FALSE)</f>
        <v xml:space="preserve"> </v>
      </c>
      <c r="W653" s="379" t="str">
        <f>VLOOKUP(A653,'Parameters Summary'!$B$2:$AB$826,17,FALSE)</f>
        <v/>
      </c>
      <c r="X653" s="347"/>
      <c r="Y653" s="96"/>
      <c r="Z653" s="96" t="s">
        <v>1653</v>
      </c>
      <c r="AA653" s="96"/>
      <c r="AB653" s="96" t="s">
        <v>1651</v>
      </c>
      <c r="AC653" s="96"/>
      <c r="AD653" s="93" t="str">
        <f>VLOOKUP(A653,'Parameters Summary'!$B$2:$AB$826,20,FALSE)</f>
        <v xml:space="preserve"> </v>
      </c>
      <c r="AE653" s="97" t="str">
        <f>VLOOKUP(A653,'Parameters Summary'!$B$2:$AB$826,21,FALSE)</f>
        <v/>
      </c>
      <c r="AF653" s="97"/>
      <c r="AG653" s="94"/>
      <c r="AH653" s="92"/>
      <c r="AI653" s="96"/>
      <c r="AJ653" s="330"/>
      <c r="AL653" s="81"/>
    </row>
    <row r="654" spans="1:38" ht="12.75" customHeight="1">
      <c r="A654" s="96" t="s">
        <v>255</v>
      </c>
      <c r="B654" s="96" t="s">
        <v>1330</v>
      </c>
      <c r="C654" s="96" t="str">
        <f t="shared" ref="C654:C714" si="71">IF((COUNTIF(G654,"&gt;1")+COUNTIF(L654,"&gt;1E-5"))&gt;0,"Yes","No")</f>
        <v>No</v>
      </c>
      <c r="D654" s="96" t="str">
        <f>VLOOKUP(A654,'Tox Summary'!$O$3:$R$824,3,FALSE)</f>
        <v>No</v>
      </c>
      <c r="E654" s="97">
        <v>201.66</v>
      </c>
      <c r="F654" s="97" t="s">
        <v>1620</v>
      </c>
      <c r="G654" s="93">
        <f>VLOOKUP(A654,'Parameters Summary'!$B$2:$AB$826,9,FALSE)</f>
        <v>2.2099999999999999E-8</v>
      </c>
      <c r="H654" s="93" t="str">
        <f>VLOOKUP(A654,'Parameters Summary'!$B$2:$AB$826,10,FALSE)</f>
        <v>PHYSPROP</v>
      </c>
      <c r="I654" s="93">
        <f>VLOOKUP(A654,'Parameters Summary'!$B$2:$AB$826,24,FALSE)</f>
        <v>6.2</v>
      </c>
      <c r="J654" s="97" t="str">
        <f>VLOOKUP(A654,'Parameters Summary'!$B$2:$AB$826,25,FALSE)</f>
        <v>PHYSPROP</v>
      </c>
      <c r="K654" s="97">
        <f>VLOOKUP(A654,'Tox Summary'!$O$4:$P$824,2,FALSE)</f>
        <v>4</v>
      </c>
      <c r="L654" s="93">
        <f>VLOOKUP(A654,'Parameters Summary'!$B$2:$AB$826,7,FALSE)</f>
        <v>9.4200000000000006E-10</v>
      </c>
      <c r="M654" s="93" t="str">
        <f>VLOOKUP(A654,'Parameters Summary'!$B$2:$AB$826,8,FALSE)</f>
        <v>EPI</v>
      </c>
      <c r="N654" s="91">
        <f>VLOOKUP(A654,'Parameters Summary'!$B$2:$AB$826,6,FALSE)</f>
        <v>3.8512000000000001E-8</v>
      </c>
      <c r="O654" s="91" t="str">
        <f t="shared" si="68"/>
        <v/>
      </c>
      <c r="P654" s="91">
        <f t="shared" si="69"/>
        <v>3.8512000000000001E-8</v>
      </c>
      <c r="Q654" s="91" t="str">
        <f t="shared" si="67"/>
        <v/>
      </c>
      <c r="R654" s="91">
        <f t="shared" si="70"/>
        <v>3.8512000000000001E-8</v>
      </c>
      <c r="S654" s="91" t="str">
        <f t="shared" si="63"/>
        <v/>
      </c>
      <c r="T654" s="93">
        <f>VLOOKUP(A654,'Parameters Summary'!$B$2:$AB$826,15,FALSE)</f>
        <v>2.8139399999999998E-2</v>
      </c>
      <c r="U654" s="93" t="str">
        <f>VLOOKUP(A654,'Parameters Summary'!$B$2:$AB$826,17,FALSE)</f>
        <v>WATER9 (U.S. EPA, 2001)</v>
      </c>
      <c r="V654" s="93">
        <f>VLOOKUP(A654,'Parameters Summary'!$B$2:$AB$826,16,FALSE)</f>
        <v>7.3665999999999999E-6</v>
      </c>
      <c r="W654" s="379" t="str">
        <f>VLOOKUP(A654,'Parameters Summary'!$B$2:$AB$826,17,FALSE)</f>
        <v>WATER9 (U.S. EPA, 2001)</v>
      </c>
      <c r="X654" s="347"/>
      <c r="Y654" s="96"/>
      <c r="Z654" s="96" t="s">
        <v>1653</v>
      </c>
      <c r="AA654" s="96"/>
      <c r="AB654" s="96" t="s">
        <v>1651</v>
      </c>
      <c r="AC654" s="96"/>
      <c r="AD654" s="93">
        <f>VLOOKUP(A654,'Parameters Summary'!$B$2:$AB$826,20,FALSE)</f>
        <v>146.5</v>
      </c>
      <c r="AE654" s="97" t="str">
        <f>VLOOKUP(A654,'Parameters Summary'!$B$2:$AB$826,21,FALSE)</f>
        <v>EPI</v>
      </c>
      <c r="AF654" s="97"/>
      <c r="AG654" s="94"/>
      <c r="AH654" s="92"/>
      <c r="AI654" s="96"/>
      <c r="AJ654" s="330"/>
      <c r="AL654" s="81"/>
    </row>
    <row r="655" spans="1:38" ht="12.75" customHeight="1">
      <c r="A655" s="96" t="s">
        <v>1597</v>
      </c>
      <c r="B655" s="96" t="s">
        <v>2396</v>
      </c>
      <c r="C655" s="96" t="str">
        <f t="shared" si="71"/>
        <v>No</v>
      </c>
      <c r="D655" s="96" t="str">
        <f>VLOOKUP(A655,'Tox Summary'!$O$3:$R$824,3,FALSE)</f>
        <v>No</v>
      </c>
      <c r="E655" s="97">
        <v>221.94</v>
      </c>
      <c r="F655" s="97" t="s">
        <v>553</v>
      </c>
      <c r="G655" s="93" t="s">
        <v>2439</v>
      </c>
      <c r="H655" s="93" t="str">
        <f>VLOOKUP(A655,'Parameters Summary'!$B$2:$AB$826,10,FALSE)</f>
        <v/>
      </c>
      <c r="I655" s="93" t="s">
        <v>2440</v>
      </c>
      <c r="J655" s="97" t="str">
        <f>VLOOKUP(A655,'Parameters Summary'!$B$2:$AB$826,25,FALSE)</f>
        <v/>
      </c>
      <c r="K655" s="97" t="str">
        <f>VLOOKUP(A655,'Tox Summary'!$O$4:$P$824,2,FALSE)</f>
        <v/>
      </c>
      <c r="L655" s="93" t="s">
        <v>2298</v>
      </c>
      <c r="M655" s="93" t="str">
        <f>VLOOKUP(A655,'Parameters Summary'!$B$2:$AB$826,8,FALSE)</f>
        <v/>
      </c>
      <c r="N655" s="91" t="str">
        <f>VLOOKUP(A655,'Parameters Summary'!$B$2:$AB$826,6,FALSE)</f>
        <v xml:space="preserve"> </v>
      </c>
      <c r="O655" s="91" t="str">
        <f t="shared" si="68"/>
        <v/>
      </c>
      <c r="P655" s="91" t="str">
        <f t="shared" si="69"/>
        <v xml:space="preserve"> </v>
      </c>
      <c r="Q655" s="91" t="str">
        <f t="shared" si="67"/>
        <v/>
      </c>
      <c r="R655" s="91" t="str">
        <f t="shared" si="70"/>
        <v xml:space="preserve"> </v>
      </c>
      <c r="S655" s="91" t="str">
        <f t="shared" si="63"/>
        <v/>
      </c>
      <c r="T655" s="93" t="str">
        <f>VLOOKUP(A655,'Parameters Summary'!$B$2:$AB$826,15,FALSE)</f>
        <v xml:space="preserve"> </v>
      </c>
      <c r="U655" s="93" t="str">
        <f>VLOOKUP(A655,'Parameters Summary'!$B$2:$AB$826,17,FALSE)</f>
        <v/>
      </c>
      <c r="V655" s="93" t="str">
        <f>VLOOKUP(A655,'Parameters Summary'!$B$2:$AB$826,16,FALSE)</f>
        <v xml:space="preserve"> </v>
      </c>
      <c r="W655" s="379" t="str">
        <f>VLOOKUP(A655,'Parameters Summary'!$B$2:$AB$826,17,FALSE)</f>
        <v/>
      </c>
      <c r="X655" s="347"/>
      <c r="Y655" s="96"/>
      <c r="Z655" s="96" t="s">
        <v>1653</v>
      </c>
      <c r="AA655" s="96"/>
      <c r="AB655" s="96" t="s">
        <v>1651</v>
      </c>
      <c r="AC655" s="96"/>
      <c r="AD655" s="93" t="str">
        <f>VLOOKUP(A655,'Parameters Summary'!$B$2:$AB$826,20,FALSE)</f>
        <v xml:space="preserve"> </v>
      </c>
      <c r="AE655" s="97" t="str">
        <f>VLOOKUP(A655,'Parameters Summary'!$B$2:$AB$826,21,FALSE)</f>
        <v/>
      </c>
      <c r="AF655" s="97"/>
      <c r="AG655" s="94"/>
      <c r="AH655" s="92"/>
      <c r="AI655" s="96"/>
      <c r="AJ655" s="330"/>
      <c r="AL655" s="81"/>
    </row>
    <row r="656" spans="1:38" ht="12.75" customHeight="1">
      <c r="A656" s="96" t="s">
        <v>256</v>
      </c>
      <c r="B656" s="96" t="s">
        <v>1331</v>
      </c>
      <c r="C656" s="96" t="str">
        <f t="shared" si="71"/>
        <v>No</v>
      </c>
      <c r="D656" s="96" t="str">
        <f>VLOOKUP(A656,'Tox Summary'!$O$3:$R$824,3,FALSE)</f>
        <v>No</v>
      </c>
      <c r="E656" s="97">
        <v>383.65</v>
      </c>
      <c r="F656" s="97" t="s">
        <v>1620</v>
      </c>
      <c r="G656" s="93">
        <f>VLOOKUP(A656,'Parameters Summary'!$B$2:$AB$826,9,FALSE)</f>
        <v>9.7499999999999996E-9</v>
      </c>
      <c r="H656" s="93" t="str">
        <f>VLOOKUP(A656,'Parameters Summary'!$B$2:$AB$826,10,FALSE)</f>
        <v>EPI</v>
      </c>
      <c r="I656" s="93">
        <f>VLOOKUP(A656,'Parameters Summary'!$B$2:$AB$826,24,FALSE)</f>
        <v>250000</v>
      </c>
      <c r="J656" s="97" t="str">
        <f>VLOOKUP(A656,'Parameters Summary'!$B$2:$AB$826,25,FALSE)</f>
        <v>PHYSPROP</v>
      </c>
      <c r="K656" s="97" t="str">
        <f>VLOOKUP(A656,'Tox Summary'!$O$4:$P$824,2,FALSE)</f>
        <v/>
      </c>
      <c r="L656" s="93">
        <f>VLOOKUP(A656,'Parameters Summary'!$B$2:$AB$826,7,FALSE)</f>
        <v>6.0499999999999998E-11</v>
      </c>
      <c r="M656" s="93" t="str">
        <f>VLOOKUP(A656,'Parameters Summary'!$B$2:$AB$826,8,FALSE)</f>
        <v>PHYSPROP</v>
      </c>
      <c r="N656" s="91">
        <f>VLOOKUP(A656,'Parameters Summary'!$B$2:$AB$826,6,FALSE)</f>
        <v>2.4734000000000002E-9</v>
      </c>
      <c r="O656" s="91" t="str">
        <f t="shared" si="68"/>
        <v/>
      </c>
      <c r="P656" s="91">
        <f t="shared" si="69"/>
        <v>2.4734000000000002E-9</v>
      </c>
      <c r="Q656" s="91" t="str">
        <f t="shared" si="67"/>
        <v/>
      </c>
      <c r="R656" s="91">
        <f t="shared" si="70"/>
        <v>2.4734000000000002E-9</v>
      </c>
      <c r="S656" s="91" t="str">
        <f t="shared" ref="S656:S716" si="72">IF(OR(G656="No VP",Z656="No Tcrit",AB656="No DHv,b",L656="No Hc25"),"",G656*E656*53808.7856452378*O656/N656)</f>
        <v/>
      </c>
      <c r="T656" s="93">
        <f>VLOOKUP(A656,'Parameters Summary'!$B$2:$AB$826,15,FALSE)</f>
        <v>3.5985700000000002E-2</v>
      </c>
      <c r="U656" s="93" t="str">
        <f>VLOOKUP(A656,'Parameters Summary'!$B$2:$AB$826,17,FALSE)</f>
        <v>WATER9 (U.S. EPA, 2001)</v>
      </c>
      <c r="V656" s="93">
        <f>VLOOKUP(A656,'Parameters Summary'!$B$2:$AB$826,16,FALSE)</f>
        <v>4.2046000000000004E-6</v>
      </c>
      <c r="W656" s="379" t="str">
        <f>VLOOKUP(A656,'Parameters Summary'!$B$2:$AB$826,17,FALSE)</f>
        <v>WATER9 (U.S. EPA, 2001)</v>
      </c>
      <c r="X656" s="347"/>
      <c r="Y656" s="96"/>
      <c r="Z656" s="96" t="s">
        <v>1653</v>
      </c>
      <c r="AA656" s="96"/>
      <c r="AB656" s="96" t="s">
        <v>1651</v>
      </c>
      <c r="AC656" s="96"/>
      <c r="AD656" s="93">
        <f>VLOOKUP(A656,'Parameters Summary'!$B$2:$AB$826,20,FALSE)</f>
        <v>3880</v>
      </c>
      <c r="AE656" s="97" t="str">
        <f>VLOOKUP(A656,'Parameters Summary'!$B$2:$AB$826,21,FALSE)</f>
        <v>EPI</v>
      </c>
      <c r="AF656" s="97"/>
      <c r="AG656" s="94"/>
      <c r="AH656" s="92"/>
      <c r="AI656" s="96"/>
      <c r="AJ656" s="330"/>
      <c r="AL656" s="81"/>
    </row>
    <row r="657" spans="1:38" ht="12.75" customHeight="1">
      <c r="A657" s="96" t="s">
        <v>1598</v>
      </c>
      <c r="B657" s="96" t="s">
        <v>2397</v>
      </c>
      <c r="C657" s="96" t="str">
        <f t="shared" si="71"/>
        <v>No</v>
      </c>
      <c r="D657" s="96" t="str">
        <f>VLOOKUP(A657,'Tox Summary'!$O$3:$R$824,3,FALSE)</f>
        <v>No</v>
      </c>
      <c r="E657" s="97">
        <v>144.94266999999999</v>
      </c>
      <c r="F657" s="97" t="s">
        <v>2200</v>
      </c>
      <c r="G657" s="93" t="s">
        <v>2439</v>
      </c>
      <c r="H657" s="93" t="str">
        <f>VLOOKUP(A657,'Parameters Summary'!$B$2:$AB$826,10,FALSE)</f>
        <v/>
      </c>
      <c r="I657" s="93" t="s">
        <v>2440</v>
      </c>
      <c r="J657" s="97" t="str">
        <f>VLOOKUP(A657,'Parameters Summary'!$B$2:$AB$826,25,FALSE)</f>
        <v/>
      </c>
      <c r="K657" s="97" t="str">
        <f>VLOOKUP(A657,'Tox Summary'!$O$4:$P$824,2,FALSE)</f>
        <v/>
      </c>
      <c r="L657" s="93" t="s">
        <v>2298</v>
      </c>
      <c r="M657" s="93" t="str">
        <f>VLOOKUP(A657,'Parameters Summary'!$B$2:$AB$826,8,FALSE)</f>
        <v/>
      </c>
      <c r="N657" s="91" t="str">
        <f>VLOOKUP(A657,'Parameters Summary'!$B$2:$AB$826,6,FALSE)</f>
        <v xml:space="preserve"> </v>
      </c>
      <c r="O657" s="91" t="str">
        <f t="shared" si="68"/>
        <v/>
      </c>
      <c r="P657" s="91" t="str">
        <f t="shared" si="69"/>
        <v xml:space="preserve"> </v>
      </c>
      <c r="Q657" s="91" t="str">
        <f t="shared" si="67"/>
        <v/>
      </c>
      <c r="R657" s="91" t="str">
        <f t="shared" si="70"/>
        <v xml:space="preserve"> </v>
      </c>
      <c r="S657" s="91" t="str">
        <f t="shared" si="72"/>
        <v/>
      </c>
      <c r="T657" s="93" t="str">
        <f>VLOOKUP(A657,'Parameters Summary'!$B$2:$AB$826,15,FALSE)</f>
        <v xml:space="preserve"> </v>
      </c>
      <c r="U657" s="93" t="str">
        <f>VLOOKUP(A657,'Parameters Summary'!$B$2:$AB$826,17,FALSE)</f>
        <v/>
      </c>
      <c r="V657" s="93" t="str">
        <f>VLOOKUP(A657,'Parameters Summary'!$B$2:$AB$826,16,FALSE)</f>
        <v xml:space="preserve"> </v>
      </c>
      <c r="W657" s="379" t="str">
        <f>VLOOKUP(A657,'Parameters Summary'!$B$2:$AB$826,17,FALSE)</f>
        <v/>
      </c>
      <c r="X657" s="347"/>
      <c r="Y657" s="96"/>
      <c r="Z657" s="96" t="s">
        <v>1653</v>
      </c>
      <c r="AA657" s="96"/>
      <c r="AB657" s="96" t="s">
        <v>1651</v>
      </c>
      <c r="AC657" s="96"/>
      <c r="AD657" s="93" t="str">
        <f>VLOOKUP(A657,'Parameters Summary'!$B$2:$AB$826,20,FALSE)</f>
        <v xml:space="preserve"> </v>
      </c>
      <c r="AE657" s="97" t="str">
        <f>VLOOKUP(A657,'Parameters Summary'!$B$2:$AB$826,21,FALSE)</f>
        <v/>
      </c>
      <c r="AF657" s="97"/>
      <c r="AG657" s="94"/>
      <c r="AH657" s="92"/>
      <c r="AI657" s="96"/>
      <c r="AJ657" s="330"/>
      <c r="AL657" s="81"/>
    </row>
    <row r="658" spans="1:38" ht="12.75" customHeight="1">
      <c r="A658" s="96" t="s">
        <v>1599</v>
      </c>
      <c r="B658" s="96" t="s">
        <v>2398</v>
      </c>
      <c r="C658" s="96" t="str">
        <f t="shared" si="71"/>
        <v>No</v>
      </c>
      <c r="D658" s="96" t="str">
        <f>VLOOKUP(A658,'Tox Summary'!$O$3:$R$824,3,FALSE)</f>
        <v>No</v>
      </c>
      <c r="E658" s="97" t="s">
        <v>2416</v>
      </c>
      <c r="F658" s="97" t="s">
        <v>1413</v>
      </c>
      <c r="G658" s="93" t="s">
        <v>2439</v>
      </c>
      <c r="H658" s="93" t="str">
        <f>VLOOKUP(A658,'Parameters Summary'!$B$2:$AB$826,10,FALSE)</f>
        <v/>
      </c>
      <c r="I658" s="93" t="s">
        <v>2440</v>
      </c>
      <c r="J658" s="97" t="str">
        <f>VLOOKUP(A658,'Parameters Summary'!$B$2:$AB$826,25,FALSE)</f>
        <v/>
      </c>
      <c r="K658" s="97" t="str">
        <f>VLOOKUP(A658,'Tox Summary'!$O$4:$P$824,2,FALSE)</f>
        <v/>
      </c>
      <c r="L658" s="93" t="s">
        <v>2298</v>
      </c>
      <c r="M658" s="93" t="str">
        <f>VLOOKUP(A658,'Parameters Summary'!$B$2:$AB$826,8,FALSE)</f>
        <v/>
      </c>
      <c r="N658" s="91" t="str">
        <f>VLOOKUP(A658,'Parameters Summary'!$B$2:$AB$826,6,FALSE)</f>
        <v xml:space="preserve"> </v>
      </c>
      <c r="O658" s="91" t="str">
        <f t="shared" si="68"/>
        <v/>
      </c>
      <c r="P658" s="91" t="str">
        <f t="shared" si="69"/>
        <v xml:space="preserve"> </v>
      </c>
      <c r="Q658" s="91" t="str">
        <f t="shared" si="67"/>
        <v/>
      </c>
      <c r="R658" s="91" t="str">
        <f t="shared" si="70"/>
        <v xml:space="preserve"> </v>
      </c>
      <c r="S658" s="91" t="str">
        <f t="shared" si="72"/>
        <v/>
      </c>
      <c r="T658" s="93" t="str">
        <f>VLOOKUP(A658,'Parameters Summary'!$B$2:$AB$826,15,FALSE)</f>
        <v xml:space="preserve"> </v>
      </c>
      <c r="U658" s="93" t="str">
        <f>VLOOKUP(A658,'Parameters Summary'!$B$2:$AB$826,17,FALSE)</f>
        <v/>
      </c>
      <c r="V658" s="93" t="str">
        <f>VLOOKUP(A658,'Parameters Summary'!$B$2:$AB$826,16,FALSE)</f>
        <v xml:space="preserve"> </v>
      </c>
      <c r="W658" s="379" t="str">
        <f>VLOOKUP(A658,'Parameters Summary'!$B$2:$AB$826,17,FALSE)</f>
        <v/>
      </c>
      <c r="X658" s="347"/>
      <c r="Y658" s="96"/>
      <c r="Z658" s="96" t="s">
        <v>1653</v>
      </c>
      <c r="AA658" s="96"/>
      <c r="AB658" s="96" t="s">
        <v>1651</v>
      </c>
      <c r="AC658" s="96"/>
      <c r="AD658" s="93" t="str">
        <f>VLOOKUP(A658,'Parameters Summary'!$B$2:$AB$826,20,FALSE)</f>
        <v xml:space="preserve"> </v>
      </c>
      <c r="AE658" s="97" t="str">
        <f>VLOOKUP(A658,'Parameters Summary'!$B$2:$AB$826,21,FALSE)</f>
        <v/>
      </c>
      <c r="AF658" s="97"/>
      <c r="AG658" s="94"/>
      <c r="AH658" s="92"/>
      <c r="AI658" s="96"/>
      <c r="AJ658" s="330"/>
      <c r="AL658" s="81"/>
    </row>
    <row r="659" spans="1:38" ht="12.75" customHeight="1">
      <c r="A659" s="96" t="s">
        <v>1600</v>
      </c>
      <c r="B659" s="96" t="s">
        <v>2399</v>
      </c>
      <c r="C659" s="96" t="str">
        <f t="shared" si="71"/>
        <v>No</v>
      </c>
      <c r="D659" s="96" t="str">
        <f>VLOOKUP(A659,'Tox Summary'!$O$3:$R$824,3,FALSE)</f>
        <v>Yes</v>
      </c>
      <c r="E659" s="97">
        <v>949.88</v>
      </c>
      <c r="F659" s="97" t="s">
        <v>2200</v>
      </c>
      <c r="G659" s="93" t="s">
        <v>2439</v>
      </c>
      <c r="H659" s="93" t="str">
        <f>VLOOKUP(A659,'Parameters Summary'!$B$2:$AB$826,10,FALSE)</f>
        <v/>
      </c>
      <c r="I659" s="93" t="s">
        <v>2440</v>
      </c>
      <c r="J659" s="97" t="str">
        <f>VLOOKUP(A659,'Parameters Summary'!$B$2:$AB$826,25,FALSE)</f>
        <v/>
      </c>
      <c r="K659" s="97" t="str">
        <f>VLOOKUP(A659,'Tox Summary'!$O$4:$P$824,2,FALSE)</f>
        <v/>
      </c>
      <c r="L659" s="93" t="s">
        <v>2298</v>
      </c>
      <c r="M659" s="93" t="str">
        <f>VLOOKUP(A659,'Parameters Summary'!$B$2:$AB$826,8,FALSE)</f>
        <v/>
      </c>
      <c r="N659" s="91" t="str">
        <f>VLOOKUP(A659,'Parameters Summary'!$B$2:$AB$826,6,FALSE)</f>
        <v xml:space="preserve"> </v>
      </c>
      <c r="O659" s="91" t="str">
        <f t="shared" si="68"/>
        <v/>
      </c>
      <c r="P659" s="91" t="str">
        <f t="shared" si="69"/>
        <v xml:space="preserve"> </v>
      </c>
      <c r="Q659" s="91" t="str">
        <f t="shared" si="67"/>
        <v/>
      </c>
      <c r="R659" s="91" t="str">
        <f t="shared" si="70"/>
        <v xml:space="preserve"> </v>
      </c>
      <c r="S659" s="91" t="str">
        <f t="shared" si="72"/>
        <v/>
      </c>
      <c r="T659" s="93" t="str">
        <f>VLOOKUP(A659,'Parameters Summary'!$B$2:$AB$826,15,FALSE)</f>
        <v xml:space="preserve"> </v>
      </c>
      <c r="U659" s="93" t="str">
        <f>VLOOKUP(A659,'Parameters Summary'!$B$2:$AB$826,17,FALSE)</f>
        <v/>
      </c>
      <c r="V659" s="93" t="str">
        <f>VLOOKUP(A659,'Parameters Summary'!$B$2:$AB$826,16,FALSE)</f>
        <v xml:space="preserve"> </v>
      </c>
      <c r="W659" s="379" t="str">
        <f>VLOOKUP(A659,'Parameters Summary'!$B$2:$AB$826,17,FALSE)</f>
        <v/>
      </c>
      <c r="X659" s="347"/>
      <c r="Y659" s="96"/>
      <c r="Z659" s="96" t="s">
        <v>1653</v>
      </c>
      <c r="AA659" s="96"/>
      <c r="AB659" s="96" t="s">
        <v>1651</v>
      </c>
      <c r="AC659" s="96"/>
      <c r="AD659" s="93" t="str">
        <f>VLOOKUP(A659,'Parameters Summary'!$B$2:$AB$826,20,FALSE)</f>
        <v xml:space="preserve"> </v>
      </c>
      <c r="AE659" s="97" t="str">
        <f>VLOOKUP(A659,'Parameters Summary'!$B$2:$AB$826,21,FALSE)</f>
        <v/>
      </c>
      <c r="AF659" s="97"/>
      <c r="AG659" s="94"/>
      <c r="AH659" s="92"/>
      <c r="AI659" s="96"/>
      <c r="AJ659" s="330"/>
      <c r="AL659" s="81"/>
    </row>
    <row r="660" spans="1:38" ht="12.75" customHeight="1">
      <c r="A660" s="96" t="s">
        <v>257</v>
      </c>
      <c r="B660" s="96" t="s">
        <v>1332</v>
      </c>
      <c r="C660" s="96" t="str">
        <f t="shared" si="71"/>
        <v>No</v>
      </c>
      <c r="D660" s="96" t="str">
        <f>VLOOKUP(A660,'Tox Summary'!$O$3:$R$824,3,FALSE)</f>
        <v>Yes</v>
      </c>
      <c r="E660" s="97">
        <v>65.010000000000005</v>
      </c>
      <c r="F660" s="97" t="s">
        <v>553</v>
      </c>
      <c r="G660" s="93" t="s">
        <v>2439</v>
      </c>
      <c r="H660" s="93" t="str">
        <f>VLOOKUP(A660,'Parameters Summary'!$B$2:$AB$826,10,FALSE)</f>
        <v/>
      </c>
      <c r="I660" s="93">
        <f>VLOOKUP(A660,'Parameters Summary'!$B$2:$AB$826,24,FALSE)</f>
        <v>408000</v>
      </c>
      <c r="J660" s="97" t="str">
        <f>VLOOKUP(A660,'Parameters Summary'!$B$2:$AB$826,25,FALSE)</f>
        <v>CRC89</v>
      </c>
      <c r="K660" s="97" t="str">
        <f>VLOOKUP(A660,'Tox Summary'!$O$4:$P$824,2,FALSE)</f>
        <v/>
      </c>
      <c r="L660" s="93" t="s">
        <v>2298</v>
      </c>
      <c r="M660" s="93" t="str">
        <f>VLOOKUP(A660,'Parameters Summary'!$B$2:$AB$826,8,FALSE)</f>
        <v/>
      </c>
      <c r="N660" s="91" t="str">
        <f>VLOOKUP(A660,'Parameters Summary'!$B$2:$AB$826,6,FALSE)</f>
        <v xml:space="preserve"> </v>
      </c>
      <c r="O660" s="91" t="str">
        <f t="shared" si="68"/>
        <v/>
      </c>
      <c r="P660" s="91" t="str">
        <f t="shared" si="69"/>
        <v xml:space="preserve"> </v>
      </c>
      <c r="Q660" s="91" t="str">
        <f t="shared" si="67"/>
        <v/>
      </c>
      <c r="R660" s="91" t="str">
        <f t="shared" si="70"/>
        <v xml:space="preserve"> </v>
      </c>
      <c r="S660" s="91" t="str">
        <f t="shared" si="72"/>
        <v/>
      </c>
      <c r="T660" s="93" t="str">
        <f>VLOOKUP(A660,'Parameters Summary'!$B$2:$AB$826,15,FALSE)</f>
        <v xml:space="preserve"> </v>
      </c>
      <c r="U660" s="93" t="str">
        <f>VLOOKUP(A660,'Parameters Summary'!$B$2:$AB$826,17,FALSE)</f>
        <v/>
      </c>
      <c r="V660" s="93" t="str">
        <f>VLOOKUP(A660,'Parameters Summary'!$B$2:$AB$826,16,FALSE)</f>
        <v xml:space="preserve"> </v>
      </c>
      <c r="W660" s="379" t="str">
        <f>VLOOKUP(A660,'Parameters Summary'!$B$2:$AB$826,17,FALSE)</f>
        <v/>
      </c>
      <c r="X660" s="347"/>
      <c r="Y660" s="96"/>
      <c r="Z660" s="96" t="s">
        <v>1653</v>
      </c>
      <c r="AA660" s="96"/>
      <c r="AB660" s="96" t="s">
        <v>1651</v>
      </c>
      <c r="AC660" s="96"/>
      <c r="AD660" s="93" t="str">
        <f>VLOOKUP(A660,'Parameters Summary'!$B$2:$AB$826,20,FALSE)</f>
        <v xml:space="preserve"> </v>
      </c>
      <c r="AE660" s="97" t="str">
        <f>VLOOKUP(A660,'Parameters Summary'!$B$2:$AB$826,21,FALSE)</f>
        <v/>
      </c>
      <c r="AF660" s="97"/>
      <c r="AG660" s="94"/>
      <c r="AH660" s="92"/>
      <c r="AI660" s="96"/>
      <c r="AJ660" s="330"/>
      <c r="AL660" s="81"/>
    </row>
    <row r="661" spans="1:38" ht="12.75" customHeight="1">
      <c r="A661" s="96" t="s">
        <v>798</v>
      </c>
      <c r="B661" s="96" t="s">
        <v>2368</v>
      </c>
      <c r="C661" s="96" t="str">
        <f t="shared" si="71"/>
        <v>No</v>
      </c>
      <c r="D661" s="96" t="str">
        <f>VLOOKUP(A661,'Tox Summary'!$O$3:$R$824,3,FALSE)</f>
        <v>No</v>
      </c>
      <c r="E661" s="97">
        <v>49.008000000000003</v>
      </c>
      <c r="F661" s="97" t="s">
        <v>1620</v>
      </c>
      <c r="G661" s="93">
        <f>VLOOKUP(A661,'Parameters Summary'!$B$2:$AB$826,9,FALSE)</f>
        <v>0</v>
      </c>
      <c r="H661" s="93" t="str">
        <f>VLOOKUP(A661,'Parameters Summary'!$B$2:$AB$826,10,FALSE)</f>
        <v>NIOSH</v>
      </c>
      <c r="I661" s="93">
        <f>VLOOKUP(A661,'Parameters Summary'!$B$2:$AB$826,24,FALSE)</f>
        <v>582000</v>
      </c>
      <c r="J661" s="97" t="str">
        <f>VLOOKUP(A661,'Parameters Summary'!$B$2:$AB$826,25,FALSE)</f>
        <v>CRC89</v>
      </c>
      <c r="K661" s="97">
        <f>VLOOKUP(A661,'Tox Summary'!$O$4:$P$824,2,FALSE)</f>
        <v>200</v>
      </c>
      <c r="L661" s="93" t="str">
        <f>VLOOKUP(A661,'Parameters Summary'!$B$2:$AB$826,7,FALSE)</f>
        <v xml:space="preserve"> </v>
      </c>
      <c r="M661" s="93" t="str">
        <f>VLOOKUP(A661,'Parameters Summary'!$B$2:$AB$826,8,FALSE)</f>
        <v/>
      </c>
      <c r="N661" s="91" t="str">
        <f>VLOOKUP(A661,'Parameters Summary'!$B$2:$AB$826,6,FALSE)</f>
        <v xml:space="preserve"> </v>
      </c>
      <c r="O661" s="91" t="str">
        <f t="shared" si="68"/>
        <v/>
      </c>
      <c r="P661" s="91" t="str">
        <f t="shared" si="69"/>
        <v xml:space="preserve"> </v>
      </c>
      <c r="Q661" s="91" t="str">
        <f t="shared" si="67"/>
        <v/>
      </c>
      <c r="R661" s="91" t="str">
        <f t="shared" si="70"/>
        <v xml:space="preserve"> </v>
      </c>
      <c r="S661" s="91" t="str">
        <f t="shared" si="72"/>
        <v/>
      </c>
      <c r="T661" s="93" t="str">
        <f>VLOOKUP(A661,'Parameters Summary'!$B$2:$AB$826,15,FALSE)</f>
        <v xml:space="preserve"> </v>
      </c>
      <c r="U661" s="93" t="str">
        <f>VLOOKUP(A661,'Parameters Summary'!$B$2:$AB$826,17,FALSE)</f>
        <v/>
      </c>
      <c r="V661" s="93" t="str">
        <f>VLOOKUP(A661,'Parameters Summary'!$B$2:$AB$826,16,FALSE)</f>
        <v xml:space="preserve"> </v>
      </c>
      <c r="W661" s="379" t="str">
        <f>VLOOKUP(A661,'Parameters Summary'!$B$2:$AB$826,17,FALSE)</f>
        <v/>
      </c>
      <c r="X661" s="347"/>
      <c r="Y661" s="96"/>
      <c r="Z661" s="96" t="s">
        <v>1653</v>
      </c>
      <c r="AA661" s="96"/>
      <c r="AB661" s="96" t="s">
        <v>1651</v>
      </c>
      <c r="AC661" s="96"/>
      <c r="AD661" s="93" t="str">
        <f>VLOOKUP(A661,'Parameters Summary'!$B$2:$AB$826,20,FALSE)</f>
        <v xml:space="preserve"> </v>
      </c>
      <c r="AE661" s="97" t="str">
        <f>VLOOKUP(A661,'Parameters Summary'!$B$2:$AB$826,21,FALSE)</f>
        <v/>
      </c>
      <c r="AF661" s="97"/>
      <c r="AG661" s="94"/>
      <c r="AH661" s="92"/>
      <c r="AI661" s="96"/>
      <c r="AJ661" s="330"/>
      <c r="AL661" s="81"/>
    </row>
    <row r="662" spans="1:38" ht="12.75" customHeight="1">
      <c r="A662" s="96" t="s">
        <v>258</v>
      </c>
      <c r="B662" s="96" t="s">
        <v>1333</v>
      </c>
      <c r="C662" s="96" t="str">
        <f t="shared" si="71"/>
        <v>No</v>
      </c>
      <c r="D662" s="96" t="str">
        <f>VLOOKUP(A662,'Tox Summary'!$O$3:$R$824,3,FALSE)</f>
        <v>No</v>
      </c>
      <c r="E662" s="97">
        <v>172.27</v>
      </c>
      <c r="F662" s="97" t="s">
        <v>1620</v>
      </c>
      <c r="G662" s="93">
        <f>VLOOKUP(A662,'Parameters Summary'!$B$2:$AB$826,9,FALSE)</f>
        <v>8.1499999999999998E-10</v>
      </c>
      <c r="H662" s="93" t="str">
        <f>VLOOKUP(A662,'Parameters Summary'!$B$2:$AB$826,10,FALSE)</f>
        <v>PHYSPROP</v>
      </c>
      <c r="I662" s="93">
        <f>VLOOKUP(A662,'Parameters Summary'!$B$2:$AB$826,24,FALSE)</f>
        <v>364100</v>
      </c>
      <c r="J662" s="97" t="str">
        <f>VLOOKUP(A662,'Parameters Summary'!$B$2:$AB$826,25,FALSE)</f>
        <v>PHYSPROP</v>
      </c>
      <c r="K662" s="97" t="str">
        <f>VLOOKUP(A662,'Tox Summary'!$O$4:$P$824,2,FALSE)</f>
        <v/>
      </c>
      <c r="L662" s="93" t="str">
        <f>VLOOKUP(A662,'Parameters Summary'!$B$2:$AB$826,7,FALSE)</f>
        <v xml:space="preserve"> </v>
      </c>
      <c r="M662" s="93" t="str">
        <f>VLOOKUP(A662,'Parameters Summary'!$B$2:$AB$826,8,FALSE)</f>
        <v/>
      </c>
      <c r="N662" s="91" t="str">
        <f>VLOOKUP(A662,'Parameters Summary'!$B$2:$AB$826,6,FALSE)</f>
        <v xml:space="preserve"> </v>
      </c>
      <c r="O662" s="91" t="str">
        <f t="shared" si="68"/>
        <v/>
      </c>
      <c r="P662" s="91" t="str">
        <f t="shared" si="69"/>
        <v xml:space="preserve"> </v>
      </c>
      <c r="Q662" s="91" t="str">
        <f t="shared" si="67"/>
        <v/>
      </c>
      <c r="R662" s="91" t="str">
        <f t="shared" si="70"/>
        <v xml:space="preserve"> </v>
      </c>
      <c r="S662" s="91" t="str">
        <f t="shared" si="72"/>
        <v/>
      </c>
      <c r="T662" s="93">
        <f>VLOOKUP(A662,'Parameters Summary'!$B$2:$AB$826,15,FALSE)</f>
        <v>6.1368699999999998E-2</v>
      </c>
      <c r="U662" s="93" t="str">
        <f>VLOOKUP(A662,'Parameters Summary'!$B$2:$AB$826,17,FALSE)</f>
        <v>WATER9 (U.S. EPA, 2001)</v>
      </c>
      <c r="V662" s="93">
        <f>VLOOKUP(A662,'Parameters Summary'!$B$2:$AB$826,16,FALSE)</f>
        <v>7.1705000000000002E-6</v>
      </c>
      <c r="W662" s="379" t="str">
        <f>VLOOKUP(A662,'Parameters Summary'!$B$2:$AB$826,17,FALSE)</f>
        <v>WATER9 (U.S. EPA, 2001)</v>
      </c>
      <c r="X662" s="347"/>
      <c r="Y662" s="96"/>
      <c r="Z662" s="96" t="s">
        <v>1653</v>
      </c>
      <c r="AA662" s="96"/>
      <c r="AB662" s="96" t="s">
        <v>1651</v>
      </c>
      <c r="AC662" s="96"/>
      <c r="AD662" s="93">
        <f>VLOOKUP(A662,'Parameters Summary'!$B$2:$AB$826,20,FALSE)</f>
        <v>204.5</v>
      </c>
      <c r="AE662" s="97" t="str">
        <f>VLOOKUP(A662,'Parameters Summary'!$B$2:$AB$826,21,FALSE)</f>
        <v>EPI</v>
      </c>
      <c r="AF662" s="97"/>
      <c r="AG662" s="94"/>
      <c r="AH662" s="92"/>
      <c r="AI662" s="96"/>
      <c r="AJ662" s="330"/>
      <c r="AL662" s="81"/>
    </row>
    <row r="663" spans="1:38" ht="12.75" customHeight="1">
      <c r="A663" s="96" t="s">
        <v>259</v>
      </c>
      <c r="B663" s="96" t="s">
        <v>617</v>
      </c>
      <c r="C663" s="96" t="str">
        <f t="shared" si="71"/>
        <v>No</v>
      </c>
      <c r="D663" s="96" t="str">
        <f>VLOOKUP(A663,'Tox Summary'!$O$3:$R$824,3,FALSE)</f>
        <v>Yes</v>
      </c>
      <c r="E663" s="97">
        <v>41.988</v>
      </c>
      <c r="F663" s="97" t="s">
        <v>1620</v>
      </c>
      <c r="G663" s="93">
        <f>VLOOKUP(A663,'Parameters Summary'!$B$2:$AB$826,9,FALSE)</f>
        <v>0</v>
      </c>
      <c r="H663" s="93" t="str">
        <f>VLOOKUP(A663,'Parameters Summary'!$B$2:$AB$826,10,FALSE)</f>
        <v>NIOSH</v>
      </c>
      <c r="I663" s="93">
        <f>VLOOKUP(A663,'Parameters Summary'!$B$2:$AB$826,24,FALSE)</f>
        <v>42200</v>
      </c>
      <c r="J663" s="97" t="str">
        <f>VLOOKUP(A663,'Parameters Summary'!$B$2:$AB$826,25,FALSE)</f>
        <v>PHYSPROP</v>
      </c>
      <c r="K663" s="97" t="str">
        <f>VLOOKUP(A663,'Tox Summary'!$O$4:$P$824,2,FALSE)</f>
        <v/>
      </c>
      <c r="L663" s="93" t="str">
        <f>VLOOKUP(A663,'Parameters Summary'!$B$2:$AB$826,7,FALSE)</f>
        <v xml:space="preserve"> </v>
      </c>
      <c r="M663" s="93" t="str">
        <f>VLOOKUP(A663,'Parameters Summary'!$B$2:$AB$826,8,FALSE)</f>
        <v/>
      </c>
      <c r="N663" s="91" t="str">
        <f>VLOOKUP(A663,'Parameters Summary'!$B$2:$AB$826,6,FALSE)</f>
        <v xml:space="preserve"> </v>
      </c>
      <c r="O663" s="91" t="str">
        <f t="shared" si="68"/>
        <v/>
      </c>
      <c r="P663" s="91" t="str">
        <f t="shared" si="69"/>
        <v xml:space="preserve"> </v>
      </c>
      <c r="Q663" s="91" t="str">
        <f t="shared" si="67"/>
        <v/>
      </c>
      <c r="R663" s="91" t="str">
        <f t="shared" si="70"/>
        <v xml:space="preserve"> </v>
      </c>
      <c r="S663" s="91" t="str">
        <f t="shared" si="72"/>
        <v/>
      </c>
      <c r="T663" s="93" t="str">
        <f>VLOOKUP(A663,'Parameters Summary'!$B$2:$AB$826,15,FALSE)</f>
        <v xml:space="preserve"> </v>
      </c>
      <c r="U663" s="93" t="str">
        <f>VLOOKUP(A663,'Parameters Summary'!$B$2:$AB$826,17,FALSE)</f>
        <v/>
      </c>
      <c r="V663" s="93" t="str">
        <f>VLOOKUP(A663,'Parameters Summary'!$B$2:$AB$826,16,FALSE)</f>
        <v xml:space="preserve"> </v>
      </c>
      <c r="W663" s="379" t="str">
        <f>VLOOKUP(A663,'Parameters Summary'!$B$2:$AB$826,17,FALSE)</f>
        <v/>
      </c>
      <c r="X663" s="290">
        <v>1977.15</v>
      </c>
      <c r="Y663" s="96" t="s">
        <v>553</v>
      </c>
      <c r="Z663" s="96">
        <f>1.5*X663</f>
        <v>2965.7250000000004</v>
      </c>
      <c r="AA663" s="96" t="s">
        <v>2220</v>
      </c>
      <c r="AB663" s="96" t="s">
        <v>1651</v>
      </c>
      <c r="AC663" s="96"/>
      <c r="AD663" s="93" t="str">
        <f>VLOOKUP(A663,'Parameters Summary'!$B$2:$AB$826,20,FALSE)</f>
        <v xml:space="preserve"> </v>
      </c>
      <c r="AE663" s="97" t="str">
        <f>VLOOKUP(A663,'Parameters Summary'!$B$2:$AB$826,21,FALSE)</f>
        <v/>
      </c>
      <c r="AF663" s="97"/>
      <c r="AG663" s="94"/>
      <c r="AH663" s="92"/>
      <c r="AI663" s="96"/>
      <c r="AJ663" s="330"/>
      <c r="AL663" s="81"/>
    </row>
    <row r="664" spans="1:38" ht="12.75" customHeight="1">
      <c r="A664" s="96" t="s">
        <v>260</v>
      </c>
      <c r="B664" s="96" t="s">
        <v>1334</v>
      </c>
      <c r="C664" s="96" t="str">
        <f t="shared" si="71"/>
        <v>No</v>
      </c>
      <c r="D664" s="96" t="str">
        <f>VLOOKUP(A664,'Tox Summary'!$O$3:$R$824,3,FALSE)</f>
        <v>No</v>
      </c>
      <c r="E664" s="97">
        <v>100.03</v>
      </c>
      <c r="F664" s="97" t="s">
        <v>1620</v>
      </c>
      <c r="G664" s="93">
        <f>VLOOKUP(A664,'Parameters Summary'!$B$2:$AB$826,9,FALSE)</f>
        <v>6.5400000000000001E-7</v>
      </c>
      <c r="H664" s="93" t="str">
        <f>VLOOKUP(A664,'Parameters Summary'!$B$2:$AB$826,10,FALSE)</f>
        <v>PHYSPROP</v>
      </c>
      <c r="I664" s="93">
        <f>VLOOKUP(A664,'Parameters Summary'!$B$2:$AB$826,24,FALSE)</f>
        <v>1110000</v>
      </c>
      <c r="J664" s="97" t="str">
        <f>VLOOKUP(A664,'Parameters Summary'!$B$2:$AB$826,25,FALSE)</f>
        <v>PHYSPROP</v>
      </c>
      <c r="K664" s="97" t="str">
        <f>VLOOKUP(A664,'Tox Summary'!$O$4:$P$824,2,FALSE)</f>
        <v/>
      </c>
      <c r="L664" s="93">
        <f>VLOOKUP(A664,'Parameters Summary'!$B$2:$AB$826,7,FALSE)</f>
        <v>1.0899999999999999E-6</v>
      </c>
      <c r="M664" s="93" t="str">
        <f>VLOOKUP(A664,'Parameters Summary'!$B$2:$AB$826,8,FALSE)</f>
        <v>PHYSPROP</v>
      </c>
      <c r="N664" s="91">
        <f>VLOOKUP(A664,'Parameters Summary'!$B$2:$AB$826,6,FALSE)</f>
        <v>4.46E-5</v>
      </c>
      <c r="O664" s="91" t="str">
        <f t="shared" si="68"/>
        <v/>
      </c>
      <c r="P664" s="91">
        <f t="shared" si="69"/>
        <v>4.46E-5</v>
      </c>
      <c r="Q664" s="91" t="str">
        <f t="shared" si="67"/>
        <v/>
      </c>
      <c r="R664" s="91">
        <f t="shared" si="70"/>
        <v>4.46E-5</v>
      </c>
      <c r="S664" s="91" t="str">
        <f t="shared" si="72"/>
        <v/>
      </c>
      <c r="T664" s="93">
        <f>VLOOKUP(A664,'Parameters Summary'!$B$2:$AB$826,15,FALSE)</f>
        <v>8.8172600000000004E-2</v>
      </c>
      <c r="U664" s="93" t="str">
        <f>VLOOKUP(A664,'Parameters Summary'!$B$2:$AB$826,17,FALSE)</f>
        <v>WATER9 (U.S. EPA, 2001)</v>
      </c>
      <c r="V664" s="93">
        <f>VLOOKUP(A664,'Parameters Summary'!$B$2:$AB$826,16,FALSE)</f>
        <v>1.03E-5</v>
      </c>
      <c r="W664" s="379" t="str">
        <f>VLOOKUP(A664,'Parameters Summary'!$B$2:$AB$826,17,FALSE)</f>
        <v>WATER9 (U.S. EPA, 2001)</v>
      </c>
      <c r="X664" s="347"/>
      <c r="Y664" s="96"/>
      <c r="Z664" s="96" t="s">
        <v>1653</v>
      </c>
      <c r="AA664" s="96"/>
      <c r="AB664" s="96" t="s">
        <v>1651</v>
      </c>
      <c r="AC664" s="96"/>
      <c r="AD664" s="93">
        <f>VLOOKUP(A664,'Parameters Summary'!$B$2:$AB$826,20,FALSE)</f>
        <v>1.44</v>
      </c>
      <c r="AE664" s="97" t="str">
        <f>VLOOKUP(A664,'Parameters Summary'!$B$2:$AB$826,21,FALSE)</f>
        <v>EPI</v>
      </c>
      <c r="AF664" s="97"/>
      <c r="AG664" s="94"/>
      <c r="AH664" s="92"/>
      <c r="AI664" s="96"/>
      <c r="AJ664" s="330"/>
      <c r="AL664" s="81"/>
    </row>
    <row r="665" spans="1:38" ht="12.75" customHeight="1">
      <c r="A665" s="96" t="s">
        <v>1601</v>
      </c>
      <c r="B665" s="96" t="s">
        <v>2400</v>
      </c>
      <c r="C665" s="96" t="str">
        <f t="shared" si="71"/>
        <v>No</v>
      </c>
      <c r="D665" s="96" t="str">
        <f>VLOOKUP(A665,'Tox Summary'!$O$3:$R$824,3,FALSE)</f>
        <v>Yes</v>
      </c>
      <c r="E665" s="97">
        <v>611.16999999999996</v>
      </c>
      <c r="F665" s="97" t="s">
        <v>1618</v>
      </c>
      <c r="G665" s="93" t="s">
        <v>2439</v>
      </c>
      <c r="H665" s="93" t="str">
        <f>VLOOKUP(A665,'Parameters Summary'!$B$2:$AB$826,10,FALSE)</f>
        <v/>
      </c>
      <c r="I665" s="93" t="s">
        <v>2440</v>
      </c>
      <c r="J665" s="97" t="str">
        <f>VLOOKUP(A665,'Parameters Summary'!$B$2:$AB$826,25,FALSE)</f>
        <v/>
      </c>
      <c r="K665" s="97" t="str">
        <f>VLOOKUP(A665,'Tox Summary'!$O$4:$P$824,2,FALSE)</f>
        <v/>
      </c>
      <c r="L665" s="93" t="s">
        <v>2298</v>
      </c>
      <c r="M665" s="93" t="str">
        <f>VLOOKUP(A665,'Parameters Summary'!$B$2:$AB$826,8,FALSE)</f>
        <v/>
      </c>
      <c r="N665" s="91" t="str">
        <f>VLOOKUP(A665,'Parameters Summary'!$B$2:$AB$826,6,FALSE)</f>
        <v xml:space="preserve"> </v>
      </c>
      <c r="O665" s="91" t="str">
        <f t="shared" si="68"/>
        <v/>
      </c>
      <c r="P665" s="91" t="str">
        <f t="shared" si="69"/>
        <v xml:space="preserve"> </v>
      </c>
      <c r="Q665" s="91" t="str">
        <f t="shared" si="67"/>
        <v/>
      </c>
      <c r="R665" s="91" t="str">
        <f t="shared" si="70"/>
        <v xml:space="preserve"> </v>
      </c>
      <c r="S665" s="91" t="str">
        <f t="shared" si="72"/>
        <v/>
      </c>
      <c r="T665" s="93" t="str">
        <f>VLOOKUP(A665,'Parameters Summary'!$B$2:$AB$826,15,FALSE)</f>
        <v xml:space="preserve"> </v>
      </c>
      <c r="U665" s="93" t="str">
        <f>VLOOKUP(A665,'Parameters Summary'!$B$2:$AB$826,17,FALSE)</f>
        <v/>
      </c>
      <c r="V665" s="93" t="str">
        <f>VLOOKUP(A665,'Parameters Summary'!$B$2:$AB$826,16,FALSE)</f>
        <v xml:space="preserve"> </v>
      </c>
      <c r="W665" s="379" t="str">
        <f>VLOOKUP(A665,'Parameters Summary'!$B$2:$AB$826,17,FALSE)</f>
        <v/>
      </c>
      <c r="X665" s="347"/>
      <c r="Y665" s="96"/>
      <c r="Z665" s="96" t="s">
        <v>1653</v>
      </c>
      <c r="AA665" s="96"/>
      <c r="AB665" s="96" t="s">
        <v>1651</v>
      </c>
      <c r="AC665" s="96"/>
      <c r="AD665" s="93" t="str">
        <f>VLOOKUP(A665,'Parameters Summary'!$B$2:$AB$826,20,FALSE)</f>
        <v xml:space="preserve"> </v>
      </c>
      <c r="AE665" s="97" t="str">
        <f>VLOOKUP(A665,'Parameters Summary'!$B$2:$AB$826,21,FALSE)</f>
        <v/>
      </c>
      <c r="AF665" s="97"/>
      <c r="AG665" s="94"/>
      <c r="AH665" s="92"/>
      <c r="AI665" s="96"/>
      <c r="AJ665" s="330"/>
      <c r="AL665" s="81"/>
    </row>
    <row r="666" spans="1:38" ht="12.75" customHeight="1">
      <c r="A666" s="96" t="s">
        <v>261</v>
      </c>
      <c r="B666" s="96" t="s">
        <v>1335</v>
      </c>
      <c r="C666" s="96" t="str">
        <f t="shared" si="71"/>
        <v>No</v>
      </c>
      <c r="D666" s="96" t="str">
        <f>VLOOKUP(A666,'Tox Summary'!$O$3:$R$824,3,FALSE)</f>
        <v>Yes</v>
      </c>
      <c r="E666" s="97">
        <v>121.93</v>
      </c>
      <c r="F666" s="97" t="s">
        <v>1618</v>
      </c>
      <c r="G666" s="93" t="s">
        <v>2439</v>
      </c>
      <c r="H666" s="93" t="str">
        <f>VLOOKUP(A666,'Parameters Summary'!$B$2:$AB$826,10,FALSE)</f>
        <v/>
      </c>
      <c r="I666" s="93">
        <f>VLOOKUP(A666,'Parameters Summary'!$B$2:$AB$826,24,FALSE)</f>
        <v>210000</v>
      </c>
      <c r="J666" s="97" t="str">
        <f>VLOOKUP(A666,'Parameters Summary'!$B$2:$AB$826,25,FALSE)</f>
        <v>CRC89</v>
      </c>
      <c r="K666" s="97" t="str">
        <f>VLOOKUP(A666,'Tox Summary'!$O$4:$P$824,2,FALSE)</f>
        <v/>
      </c>
      <c r="L666" s="93" t="s">
        <v>2298</v>
      </c>
      <c r="M666" s="93" t="str">
        <f>VLOOKUP(A666,'Parameters Summary'!$B$2:$AB$826,8,FALSE)</f>
        <v/>
      </c>
      <c r="N666" s="91" t="str">
        <f>VLOOKUP(A666,'Parameters Summary'!$B$2:$AB$826,6,FALSE)</f>
        <v xml:space="preserve"> </v>
      </c>
      <c r="O666" s="91" t="str">
        <f t="shared" si="68"/>
        <v/>
      </c>
      <c r="P666" s="91" t="str">
        <f t="shared" si="69"/>
        <v xml:space="preserve"> </v>
      </c>
      <c r="Q666" s="91" t="str">
        <f t="shared" si="67"/>
        <v/>
      </c>
      <c r="R666" s="91" t="str">
        <f t="shared" si="70"/>
        <v xml:space="preserve"> </v>
      </c>
      <c r="S666" s="91" t="str">
        <f t="shared" si="72"/>
        <v/>
      </c>
      <c r="T666" s="93" t="str">
        <f>VLOOKUP(A666,'Parameters Summary'!$B$2:$AB$826,15,FALSE)</f>
        <v xml:space="preserve"> </v>
      </c>
      <c r="U666" s="93" t="str">
        <f>VLOOKUP(A666,'Parameters Summary'!$B$2:$AB$826,17,FALSE)</f>
        <v/>
      </c>
      <c r="V666" s="93" t="str">
        <f>VLOOKUP(A666,'Parameters Summary'!$B$2:$AB$826,16,FALSE)</f>
        <v xml:space="preserve"> </v>
      </c>
      <c r="W666" s="379" t="str">
        <f>VLOOKUP(A666,'Parameters Summary'!$B$2:$AB$826,17,FALSE)</f>
        <v/>
      </c>
      <c r="X666" s="347"/>
      <c r="Y666" s="96"/>
      <c r="Z666" s="96" t="s">
        <v>1653</v>
      </c>
      <c r="AA666" s="96"/>
      <c r="AB666" s="96" t="s">
        <v>1651</v>
      </c>
      <c r="AC666" s="96"/>
      <c r="AD666" s="93" t="str">
        <f>VLOOKUP(A666,'Parameters Summary'!$B$2:$AB$826,20,FALSE)</f>
        <v xml:space="preserve"> </v>
      </c>
      <c r="AE666" s="97" t="str">
        <f>VLOOKUP(A666,'Parameters Summary'!$B$2:$AB$826,21,FALSE)</f>
        <v/>
      </c>
      <c r="AF666" s="97"/>
      <c r="AG666" s="94"/>
      <c r="AH666" s="92"/>
      <c r="AI666" s="96"/>
      <c r="AJ666" s="330"/>
      <c r="AL666" s="81"/>
    </row>
    <row r="667" spans="1:38" ht="12.75" customHeight="1">
      <c r="A667" s="96" t="s">
        <v>262</v>
      </c>
      <c r="B667" s="96" t="s">
        <v>2380</v>
      </c>
      <c r="C667" s="96" t="str">
        <f t="shared" si="71"/>
        <v>No</v>
      </c>
      <c r="D667" s="96" t="str">
        <f>VLOOKUP(A667,'Tox Summary'!$O$3:$R$824,3,FALSE)</f>
        <v>No</v>
      </c>
      <c r="E667" s="97">
        <v>122.44</v>
      </c>
      <c r="F667" s="97" t="s">
        <v>1620</v>
      </c>
      <c r="G667" s="93" t="s">
        <v>2439</v>
      </c>
      <c r="H667" s="93" t="str">
        <f>VLOOKUP(A667,'Parameters Summary'!$B$2:$AB$826,10,FALSE)</f>
        <v/>
      </c>
      <c r="I667" s="93">
        <f>VLOOKUP(A667,'Parameters Summary'!$B$2:$AB$826,24,FALSE)</f>
        <v>2100000</v>
      </c>
      <c r="J667" s="97" t="str">
        <f>VLOOKUP(A667,'Parameters Summary'!$B$2:$AB$826,25,FALSE)</f>
        <v>PHYSPROP</v>
      </c>
      <c r="K667" s="97" t="str">
        <f>VLOOKUP(A667,'Tox Summary'!$O$4:$P$824,2,FALSE)</f>
        <v/>
      </c>
      <c r="L667" s="93" t="s">
        <v>2298</v>
      </c>
      <c r="M667" s="93" t="str">
        <f>VLOOKUP(A667,'Parameters Summary'!$B$2:$AB$826,8,FALSE)</f>
        <v/>
      </c>
      <c r="N667" s="91" t="str">
        <f>VLOOKUP(A667,'Parameters Summary'!$B$2:$AB$826,6,FALSE)</f>
        <v xml:space="preserve"> </v>
      </c>
      <c r="O667" s="91" t="str">
        <f t="shared" si="68"/>
        <v/>
      </c>
      <c r="P667" s="91" t="str">
        <f t="shared" si="69"/>
        <v xml:space="preserve"> </v>
      </c>
      <c r="Q667" s="91" t="str">
        <f t="shared" si="67"/>
        <v/>
      </c>
      <c r="R667" s="91" t="str">
        <f t="shared" si="70"/>
        <v xml:space="preserve"> </v>
      </c>
      <c r="S667" s="91" t="str">
        <f t="shared" si="72"/>
        <v/>
      </c>
      <c r="T667" s="93" t="str">
        <f>VLOOKUP(A667,'Parameters Summary'!$B$2:$AB$826,15,FALSE)</f>
        <v xml:space="preserve"> </v>
      </c>
      <c r="U667" s="93" t="str">
        <f>VLOOKUP(A667,'Parameters Summary'!$B$2:$AB$826,17,FALSE)</f>
        <v/>
      </c>
      <c r="V667" s="93" t="str">
        <f>VLOOKUP(A667,'Parameters Summary'!$B$2:$AB$826,16,FALSE)</f>
        <v xml:space="preserve"> </v>
      </c>
      <c r="W667" s="379" t="str">
        <f>VLOOKUP(A667,'Parameters Summary'!$B$2:$AB$826,17,FALSE)</f>
        <v/>
      </c>
      <c r="X667" s="347"/>
      <c r="Y667" s="96"/>
      <c r="Z667" s="96" t="s">
        <v>1653</v>
      </c>
      <c r="AA667" s="96"/>
      <c r="AB667" s="96" t="s">
        <v>1651</v>
      </c>
      <c r="AC667" s="96"/>
      <c r="AD667" s="93" t="str">
        <f>VLOOKUP(A667,'Parameters Summary'!$B$2:$AB$826,20,FALSE)</f>
        <v xml:space="preserve"> </v>
      </c>
      <c r="AE667" s="97" t="str">
        <f>VLOOKUP(A667,'Parameters Summary'!$B$2:$AB$826,21,FALSE)</f>
        <v/>
      </c>
      <c r="AF667" s="97"/>
      <c r="AG667" s="94"/>
      <c r="AH667" s="92"/>
      <c r="AI667" s="96"/>
      <c r="AJ667" s="330"/>
      <c r="AL667" s="81"/>
    </row>
    <row r="668" spans="1:38" ht="12.75" customHeight="1">
      <c r="A668" s="96" t="s">
        <v>1602</v>
      </c>
      <c r="B668" s="96" t="s">
        <v>2401</v>
      </c>
      <c r="C668" s="96" t="str">
        <f t="shared" si="71"/>
        <v>No</v>
      </c>
      <c r="D668" s="96" t="str">
        <f>VLOOKUP(A668,'Tox Summary'!$O$3:$R$824,3,FALSE)</f>
        <v>No</v>
      </c>
      <c r="E668" s="97">
        <v>359.92</v>
      </c>
      <c r="F668" s="97" t="s">
        <v>553</v>
      </c>
      <c r="G668" s="93" t="s">
        <v>2439</v>
      </c>
      <c r="H668" s="93" t="str">
        <f>VLOOKUP(A668,'Parameters Summary'!$B$2:$AB$826,10,FALSE)</f>
        <v/>
      </c>
      <c r="I668" s="93" t="s">
        <v>2440</v>
      </c>
      <c r="J668" s="97" t="str">
        <f>VLOOKUP(A668,'Parameters Summary'!$B$2:$AB$826,25,FALSE)</f>
        <v/>
      </c>
      <c r="K668" s="97" t="str">
        <f>VLOOKUP(A668,'Tox Summary'!$O$4:$P$824,2,FALSE)</f>
        <v/>
      </c>
      <c r="L668" s="93" t="s">
        <v>2298</v>
      </c>
      <c r="M668" s="93" t="str">
        <f>VLOOKUP(A668,'Parameters Summary'!$B$2:$AB$826,8,FALSE)</f>
        <v/>
      </c>
      <c r="N668" s="91" t="str">
        <f>VLOOKUP(A668,'Parameters Summary'!$B$2:$AB$826,6,FALSE)</f>
        <v xml:space="preserve"> </v>
      </c>
      <c r="O668" s="91" t="str">
        <f t="shared" si="68"/>
        <v/>
      </c>
      <c r="P668" s="91" t="str">
        <f t="shared" si="69"/>
        <v xml:space="preserve"> </v>
      </c>
      <c r="Q668" s="91" t="str">
        <f t="shared" si="67"/>
        <v/>
      </c>
      <c r="R668" s="91" t="str">
        <f t="shared" si="70"/>
        <v xml:space="preserve"> </v>
      </c>
      <c r="S668" s="91" t="str">
        <f t="shared" si="72"/>
        <v/>
      </c>
      <c r="T668" s="93" t="str">
        <f>VLOOKUP(A668,'Parameters Summary'!$B$2:$AB$826,15,FALSE)</f>
        <v xml:space="preserve"> </v>
      </c>
      <c r="U668" s="93" t="str">
        <f>VLOOKUP(A668,'Parameters Summary'!$B$2:$AB$826,17,FALSE)</f>
        <v/>
      </c>
      <c r="V668" s="93" t="str">
        <f>VLOOKUP(A668,'Parameters Summary'!$B$2:$AB$826,16,FALSE)</f>
        <v xml:space="preserve"> </v>
      </c>
      <c r="W668" s="379" t="str">
        <f>VLOOKUP(A668,'Parameters Summary'!$B$2:$AB$826,17,FALSE)</f>
        <v/>
      </c>
      <c r="X668" s="347"/>
      <c r="Y668" s="96"/>
      <c r="Z668" s="96" t="s">
        <v>1653</v>
      </c>
      <c r="AA668" s="96"/>
      <c r="AB668" s="96" t="s">
        <v>1651</v>
      </c>
      <c r="AC668" s="96"/>
      <c r="AD668" s="93" t="str">
        <f>VLOOKUP(A668,'Parameters Summary'!$B$2:$AB$826,20,FALSE)</f>
        <v xml:space="preserve"> </v>
      </c>
      <c r="AE668" s="97" t="str">
        <f>VLOOKUP(A668,'Parameters Summary'!$B$2:$AB$826,21,FALSE)</f>
        <v/>
      </c>
      <c r="AF668" s="97"/>
      <c r="AG668" s="94"/>
      <c r="AH668" s="92"/>
      <c r="AI668" s="96"/>
      <c r="AJ668" s="330"/>
      <c r="AL668" s="81"/>
    </row>
    <row r="669" spans="1:38" ht="12.75" customHeight="1">
      <c r="A669" s="96" t="s">
        <v>1603</v>
      </c>
      <c r="B669" s="96" t="s">
        <v>2402</v>
      </c>
      <c r="C669" s="96" t="str">
        <f t="shared" si="71"/>
        <v>No</v>
      </c>
      <c r="D669" s="96" t="str">
        <f>VLOOKUP(A669,'Tox Summary'!$O$3:$R$824,3,FALSE)</f>
        <v>No</v>
      </c>
      <c r="E669" s="97">
        <v>305.89</v>
      </c>
      <c r="F669" s="97" t="s">
        <v>553</v>
      </c>
      <c r="G669" s="93" t="s">
        <v>2439</v>
      </c>
      <c r="H669" s="93" t="str">
        <f>VLOOKUP(A669,'Parameters Summary'!$B$2:$AB$826,10,FALSE)</f>
        <v/>
      </c>
      <c r="I669" s="93" t="s">
        <v>2440</v>
      </c>
      <c r="J669" s="97" t="str">
        <f>VLOOKUP(A669,'Parameters Summary'!$B$2:$AB$826,25,FALSE)</f>
        <v/>
      </c>
      <c r="K669" s="97" t="str">
        <f>VLOOKUP(A669,'Tox Summary'!$O$4:$P$824,2,FALSE)</f>
        <v/>
      </c>
      <c r="L669" s="93" t="s">
        <v>2298</v>
      </c>
      <c r="M669" s="93" t="str">
        <f>VLOOKUP(A669,'Parameters Summary'!$B$2:$AB$826,8,FALSE)</f>
        <v/>
      </c>
      <c r="N669" s="91" t="str">
        <f>VLOOKUP(A669,'Parameters Summary'!$B$2:$AB$826,6,FALSE)</f>
        <v xml:space="preserve"> </v>
      </c>
      <c r="O669" s="91" t="str">
        <f t="shared" si="68"/>
        <v/>
      </c>
      <c r="P669" s="91" t="str">
        <f t="shared" si="69"/>
        <v xml:space="preserve"> </v>
      </c>
      <c r="Q669" s="91" t="str">
        <f t="shared" si="67"/>
        <v/>
      </c>
      <c r="R669" s="91" t="str">
        <f t="shared" si="70"/>
        <v xml:space="preserve"> </v>
      </c>
      <c r="S669" s="91" t="str">
        <f t="shared" si="72"/>
        <v/>
      </c>
      <c r="T669" s="93" t="str">
        <f>VLOOKUP(A669,'Parameters Summary'!$B$2:$AB$826,15,FALSE)</f>
        <v xml:space="preserve"> </v>
      </c>
      <c r="U669" s="93" t="str">
        <f>VLOOKUP(A669,'Parameters Summary'!$B$2:$AB$826,17,FALSE)</f>
        <v/>
      </c>
      <c r="V669" s="93" t="str">
        <f>VLOOKUP(A669,'Parameters Summary'!$B$2:$AB$826,16,FALSE)</f>
        <v xml:space="preserve"> </v>
      </c>
      <c r="W669" s="379" t="str">
        <f>VLOOKUP(A669,'Parameters Summary'!$B$2:$AB$826,17,FALSE)</f>
        <v/>
      </c>
      <c r="X669" s="347"/>
      <c r="Y669" s="96"/>
      <c r="Z669" s="96" t="s">
        <v>1653</v>
      </c>
      <c r="AA669" s="96"/>
      <c r="AB669" s="96" t="s">
        <v>1651</v>
      </c>
      <c r="AC669" s="96"/>
      <c r="AD669" s="93" t="str">
        <f>VLOOKUP(A669,'Parameters Summary'!$B$2:$AB$826,20,FALSE)</f>
        <v xml:space="preserve"> </v>
      </c>
      <c r="AE669" s="97" t="str">
        <f>VLOOKUP(A669,'Parameters Summary'!$B$2:$AB$826,21,FALSE)</f>
        <v/>
      </c>
      <c r="AF669" s="97"/>
      <c r="AG669" s="94"/>
      <c r="AH669" s="92"/>
      <c r="AI669" s="96"/>
      <c r="AJ669" s="330"/>
      <c r="AL669" s="81"/>
    </row>
    <row r="670" spans="1:38" ht="12.75" customHeight="1">
      <c r="A670" s="96" t="s">
        <v>1604</v>
      </c>
      <c r="B670" s="96" t="s">
        <v>2403</v>
      </c>
      <c r="C670" s="96" t="str">
        <f t="shared" si="71"/>
        <v>No</v>
      </c>
      <c r="D670" s="96" t="str">
        <f>VLOOKUP(A670,'Tox Summary'!$O$3:$R$824,3,FALSE)</f>
        <v>Yes</v>
      </c>
      <c r="E670" s="97">
        <v>367.86</v>
      </c>
      <c r="F670" s="97" t="s">
        <v>553</v>
      </c>
      <c r="G670" s="93" t="s">
        <v>2439</v>
      </c>
      <c r="H670" s="93" t="str">
        <f>VLOOKUP(A670,'Parameters Summary'!$B$2:$AB$826,10,FALSE)</f>
        <v/>
      </c>
      <c r="I670" s="93" t="s">
        <v>2440</v>
      </c>
      <c r="J670" s="97" t="str">
        <f>VLOOKUP(A670,'Parameters Summary'!$B$2:$AB$826,25,FALSE)</f>
        <v/>
      </c>
      <c r="K670" s="97" t="str">
        <f>VLOOKUP(A670,'Tox Summary'!$O$4:$P$824,2,FALSE)</f>
        <v/>
      </c>
      <c r="L670" s="93" t="s">
        <v>2298</v>
      </c>
      <c r="M670" s="93" t="str">
        <f>VLOOKUP(A670,'Parameters Summary'!$B$2:$AB$826,8,FALSE)</f>
        <v/>
      </c>
      <c r="N670" s="91" t="str">
        <f>VLOOKUP(A670,'Parameters Summary'!$B$2:$AB$826,6,FALSE)</f>
        <v xml:space="preserve"> </v>
      </c>
      <c r="O670" s="91" t="str">
        <f t="shared" si="68"/>
        <v/>
      </c>
      <c r="P670" s="91" t="str">
        <f t="shared" si="69"/>
        <v xml:space="preserve"> </v>
      </c>
      <c r="Q670" s="91" t="str">
        <f t="shared" si="67"/>
        <v/>
      </c>
      <c r="R670" s="91" t="str">
        <f t="shared" si="70"/>
        <v xml:space="preserve"> </v>
      </c>
      <c r="S670" s="91" t="str">
        <f t="shared" si="72"/>
        <v/>
      </c>
      <c r="T670" s="93" t="str">
        <f>VLOOKUP(A670,'Parameters Summary'!$B$2:$AB$826,15,FALSE)</f>
        <v xml:space="preserve"> </v>
      </c>
      <c r="U670" s="93" t="str">
        <f>VLOOKUP(A670,'Parameters Summary'!$B$2:$AB$826,17,FALSE)</f>
        <v/>
      </c>
      <c r="V670" s="93" t="str">
        <f>VLOOKUP(A670,'Parameters Summary'!$B$2:$AB$826,16,FALSE)</f>
        <v xml:space="preserve"> </v>
      </c>
      <c r="W670" s="379" t="str">
        <f>VLOOKUP(A670,'Parameters Summary'!$B$2:$AB$826,17,FALSE)</f>
        <v/>
      </c>
      <c r="X670" s="347"/>
      <c r="Y670" s="96"/>
      <c r="Z670" s="96" t="s">
        <v>1653</v>
      </c>
      <c r="AA670" s="96"/>
      <c r="AB670" s="96" t="s">
        <v>1651</v>
      </c>
      <c r="AC670" s="96"/>
      <c r="AD670" s="93" t="str">
        <f>VLOOKUP(A670,'Parameters Summary'!$B$2:$AB$826,20,FALSE)</f>
        <v xml:space="preserve"> </v>
      </c>
      <c r="AE670" s="97" t="str">
        <f>VLOOKUP(A670,'Parameters Summary'!$B$2:$AB$826,21,FALSE)</f>
        <v/>
      </c>
      <c r="AF670" s="97"/>
      <c r="AG670" s="94"/>
      <c r="AH670" s="92"/>
      <c r="AI670" s="96"/>
      <c r="AJ670" s="330"/>
      <c r="AL670" s="81"/>
    </row>
    <row r="671" spans="1:38" ht="12.75" customHeight="1">
      <c r="A671" s="96" t="s">
        <v>2287</v>
      </c>
      <c r="B671" s="96" t="s">
        <v>2289</v>
      </c>
      <c r="C671" s="96" t="str">
        <f t="shared" si="71"/>
        <v>No</v>
      </c>
      <c r="D671" s="96" t="str">
        <f>VLOOKUP(A671,'Tox Summary'!$O$3:$R$824,3,FALSE)</f>
        <v>Yes</v>
      </c>
      <c r="E671" s="97">
        <v>293.82</v>
      </c>
      <c r="F671" s="97" t="s">
        <v>1618</v>
      </c>
      <c r="G671" s="93" t="s">
        <v>2439</v>
      </c>
      <c r="H671" s="93" t="str">
        <f>VLOOKUP(A671,'Parameters Summary'!$B$2:$AB$826,10,FALSE)</f>
        <v/>
      </c>
      <c r="I671" s="93">
        <f>VLOOKUP(A671,'Parameters Summary'!$B$2:$AB$826,24,FALSE)</f>
        <v>742000</v>
      </c>
      <c r="J671" s="97" t="str">
        <f>VLOOKUP(A671,'Parameters Summary'!$B$2:$AB$826,25,FALSE)</f>
        <v>CRC89</v>
      </c>
      <c r="K671" s="97" t="str">
        <f>VLOOKUP(A671,'Tox Summary'!$O$4:$P$824,2,FALSE)</f>
        <v/>
      </c>
      <c r="L671" s="93" t="s">
        <v>2298</v>
      </c>
      <c r="M671" s="93" t="str">
        <f>VLOOKUP(A671,'Parameters Summary'!$B$2:$AB$826,8,FALSE)</f>
        <v/>
      </c>
      <c r="N671" s="91" t="str">
        <f>VLOOKUP(A671,'Parameters Summary'!$B$2:$AB$826,6,FALSE)</f>
        <v xml:space="preserve"> </v>
      </c>
      <c r="O671" s="91" t="str">
        <f t="shared" si="68"/>
        <v/>
      </c>
      <c r="P671" s="91" t="str">
        <f t="shared" si="69"/>
        <v xml:space="preserve"> </v>
      </c>
      <c r="Q671" s="91" t="str">
        <f t="shared" si="67"/>
        <v/>
      </c>
      <c r="R671" s="91" t="str">
        <f t="shared" si="70"/>
        <v xml:space="preserve"> </v>
      </c>
      <c r="S671" s="91" t="str">
        <f t="shared" si="72"/>
        <v/>
      </c>
      <c r="T671" s="93" t="str">
        <f>VLOOKUP(A671,'Parameters Summary'!$B$2:$AB$826,15,FALSE)</f>
        <v xml:space="preserve"> </v>
      </c>
      <c r="U671" s="93" t="str">
        <f>VLOOKUP(A671,'Parameters Summary'!$B$2:$AB$826,17,FALSE)</f>
        <v/>
      </c>
      <c r="V671" s="93" t="str">
        <f>VLOOKUP(A671,'Parameters Summary'!$B$2:$AB$826,16,FALSE)</f>
        <v xml:space="preserve"> </v>
      </c>
      <c r="W671" s="379" t="str">
        <f>VLOOKUP(A671,'Parameters Summary'!$B$2:$AB$826,17,FALSE)</f>
        <v/>
      </c>
      <c r="X671" s="347"/>
      <c r="Y671" s="96"/>
      <c r="Z671" s="96" t="s">
        <v>1653</v>
      </c>
      <c r="AA671" s="96"/>
      <c r="AB671" s="96" t="s">
        <v>1651</v>
      </c>
      <c r="AC671" s="96"/>
      <c r="AD671" s="93" t="str">
        <f>VLOOKUP(A671,'Parameters Summary'!$B$2:$AB$826,20,FALSE)</f>
        <v xml:space="preserve"> </v>
      </c>
      <c r="AE671" s="97" t="str">
        <f>VLOOKUP(A671,'Parameters Summary'!$B$2:$AB$826,21,FALSE)</f>
        <v/>
      </c>
      <c r="AF671" s="97"/>
      <c r="AG671" s="94"/>
      <c r="AH671" s="92"/>
      <c r="AI671" s="96"/>
      <c r="AJ671" s="330"/>
      <c r="AL671" s="81"/>
    </row>
    <row r="672" spans="1:38" ht="12.75" customHeight="1">
      <c r="A672" s="96" t="s">
        <v>2288</v>
      </c>
      <c r="B672" s="96" t="s">
        <v>2290</v>
      </c>
      <c r="C672" s="96" t="str">
        <f t="shared" si="71"/>
        <v>No</v>
      </c>
      <c r="D672" s="96" t="str">
        <f>VLOOKUP(A672,'Tox Summary'!$O$3:$R$824,3,FALSE)</f>
        <v>Yes</v>
      </c>
      <c r="E672" s="97">
        <v>329.85</v>
      </c>
      <c r="F672" s="97" t="s">
        <v>1618</v>
      </c>
      <c r="G672" s="93" t="s">
        <v>2439</v>
      </c>
      <c r="H672" s="93" t="str">
        <f>VLOOKUP(A672,'Parameters Summary'!$B$2:$AB$826,10,FALSE)</f>
        <v/>
      </c>
      <c r="I672" s="93">
        <f>VLOOKUP(A672,'Parameters Summary'!$B$2:$AB$826,24,FALSE)</f>
        <v>742000</v>
      </c>
      <c r="J672" s="97" t="str">
        <f>VLOOKUP(A672,'Parameters Summary'!$B$2:$AB$826,25,FALSE)</f>
        <v>CRC89</v>
      </c>
      <c r="K672" s="97" t="str">
        <f>VLOOKUP(A672,'Tox Summary'!$O$4:$P$824,2,FALSE)</f>
        <v/>
      </c>
      <c r="L672" s="93" t="s">
        <v>2298</v>
      </c>
      <c r="M672" s="93" t="str">
        <f>VLOOKUP(A672,'Parameters Summary'!$B$2:$AB$826,8,FALSE)</f>
        <v/>
      </c>
      <c r="N672" s="91" t="str">
        <f>VLOOKUP(A672,'Parameters Summary'!$B$2:$AB$826,6,FALSE)</f>
        <v xml:space="preserve"> </v>
      </c>
      <c r="O672" s="91" t="str">
        <f t="shared" si="68"/>
        <v/>
      </c>
      <c r="P672" s="91" t="str">
        <f t="shared" si="69"/>
        <v xml:space="preserve"> </v>
      </c>
      <c r="Q672" s="91" t="str">
        <f t="shared" si="67"/>
        <v/>
      </c>
      <c r="R672" s="91" t="str">
        <f t="shared" si="70"/>
        <v xml:space="preserve"> </v>
      </c>
      <c r="S672" s="91" t="str">
        <f t="shared" si="72"/>
        <v/>
      </c>
      <c r="T672" s="93" t="str">
        <f>VLOOKUP(A672,'Parameters Summary'!$B$2:$AB$826,15,FALSE)</f>
        <v xml:space="preserve"> </v>
      </c>
      <c r="U672" s="93" t="str">
        <f>VLOOKUP(A672,'Parameters Summary'!$B$2:$AB$826,17,FALSE)</f>
        <v/>
      </c>
      <c r="V672" s="93" t="str">
        <f>VLOOKUP(A672,'Parameters Summary'!$B$2:$AB$826,16,FALSE)</f>
        <v xml:space="preserve"> </v>
      </c>
      <c r="W672" s="379" t="str">
        <f>VLOOKUP(A672,'Parameters Summary'!$B$2:$AB$826,17,FALSE)</f>
        <v/>
      </c>
      <c r="X672" s="347"/>
      <c r="Y672" s="96"/>
      <c r="Z672" s="96" t="s">
        <v>1653</v>
      </c>
      <c r="AA672" s="96"/>
      <c r="AB672" s="96" t="s">
        <v>1651</v>
      </c>
      <c r="AC672" s="96"/>
      <c r="AD672" s="93" t="str">
        <f>VLOOKUP(A672,'Parameters Summary'!$B$2:$AB$826,20,FALSE)</f>
        <v xml:space="preserve"> </v>
      </c>
      <c r="AE672" s="97" t="str">
        <f>VLOOKUP(A672,'Parameters Summary'!$B$2:$AB$826,21,FALSE)</f>
        <v/>
      </c>
      <c r="AF672" s="97"/>
      <c r="AG672" s="94"/>
      <c r="AH672" s="92"/>
      <c r="AI672" s="96"/>
      <c r="AJ672" s="330"/>
      <c r="AL672" s="81"/>
    </row>
    <row r="673" spans="1:38" ht="12.75" customHeight="1">
      <c r="A673" s="96" t="s">
        <v>263</v>
      </c>
      <c r="B673" s="96" t="s">
        <v>1336</v>
      </c>
      <c r="C673" s="96" t="str">
        <f t="shared" si="71"/>
        <v>No</v>
      </c>
      <c r="D673" s="96" t="str">
        <f>VLOOKUP(A673,'Tox Summary'!$O$3:$R$824,3,FALSE)</f>
        <v>No</v>
      </c>
      <c r="E673" s="97">
        <v>365.97</v>
      </c>
      <c r="F673" s="97" t="s">
        <v>1620</v>
      </c>
      <c r="G673" s="93">
        <f>VLOOKUP(A673,'Parameters Summary'!$B$2:$AB$826,9,FALSE)</f>
        <v>4.1999999999999999E-8</v>
      </c>
      <c r="H673" s="93" t="str">
        <f>VLOOKUP(A673,'Parameters Summary'!$B$2:$AB$826,10,FALSE)</f>
        <v>PHYSPROP</v>
      </c>
      <c r="I673" s="93">
        <f>VLOOKUP(A673,'Parameters Summary'!$B$2:$AB$826,24,FALSE)</f>
        <v>11</v>
      </c>
      <c r="J673" s="97" t="str">
        <f>VLOOKUP(A673,'Parameters Summary'!$B$2:$AB$826,25,FALSE)</f>
        <v>PHYSPROP</v>
      </c>
      <c r="K673" s="97" t="str">
        <f>VLOOKUP(A673,'Tox Summary'!$O$4:$P$824,2,FALSE)</f>
        <v/>
      </c>
      <c r="L673" s="93">
        <f>VLOOKUP(A673,'Parameters Summary'!$B$2:$AB$826,7,FALSE)</f>
        <v>1.8400000000000001E-9</v>
      </c>
      <c r="M673" s="93" t="str">
        <f>VLOOKUP(A673,'Parameters Summary'!$B$2:$AB$826,8,FALSE)</f>
        <v>EPI</v>
      </c>
      <c r="N673" s="91">
        <f>VLOOKUP(A673,'Parameters Summary'!$B$2:$AB$826,6,FALSE)</f>
        <v>7.5225E-8</v>
      </c>
      <c r="O673" s="91" t="str">
        <f t="shared" si="68"/>
        <v/>
      </c>
      <c r="P673" s="91">
        <f t="shared" si="69"/>
        <v>7.5225E-8</v>
      </c>
      <c r="Q673" s="91" t="str">
        <f t="shared" si="67"/>
        <v/>
      </c>
      <c r="R673" s="91">
        <f t="shared" si="70"/>
        <v>7.5225E-8</v>
      </c>
      <c r="S673" s="91" t="str">
        <f t="shared" si="72"/>
        <v/>
      </c>
      <c r="T673" s="93">
        <f>VLOOKUP(A673,'Parameters Summary'!$B$2:$AB$826,15,FALSE)</f>
        <v>3.7135599999999998E-2</v>
      </c>
      <c r="U673" s="93" t="str">
        <f>VLOOKUP(A673,'Parameters Summary'!$B$2:$AB$826,17,FALSE)</f>
        <v>WATER9 (U.S. EPA, 2001)</v>
      </c>
      <c r="V673" s="93">
        <f>VLOOKUP(A673,'Parameters Summary'!$B$2:$AB$826,16,FALSE)</f>
        <v>4.3390000000000003E-6</v>
      </c>
      <c r="W673" s="379" t="str">
        <f>VLOOKUP(A673,'Parameters Summary'!$B$2:$AB$826,17,FALSE)</f>
        <v>WATER9 (U.S. EPA, 2001)</v>
      </c>
      <c r="X673" s="347"/>
      <c r="Y673" s="96"/>
      <c r="Z673" s="96" t="s">
        <v>1653</v>
      </c>
      <c r="AA673" s="96"/>
      <c r="AB673" s="96" t="s">
        <v>1651</v>
      </c>
      <c r="AC673" s="96"/>
      <c r="AD673" s="93">
        <f>VLOOKUP(A673,'Parameters Summary'!$B$2:$AB$826,20,FALSE)</f>
        <v>1375</v>
      </c>
      <c r="AE673" s="97" t="str">
        <f>VLOOKUP(A673,'Parameters Summary'!$B$2:$AB$826,21,FALSE)</f>
        <v>EPI</v>
      </c>
      <c r="AF673" s="97"/>
      <c r="AG673" s="94"/>
      <c r="AH673" s="92"/>
      <c r="AI673" s="96"/>
      <c r="AJ673" s="330"/>
      <c r="AL673" s="81"/>
    </row>
    <row r="674" spans="1:38" ht="12.75" customHeight="1">
      <c r="A674" s="96" t="s">
        <v>264</v>
      </c>
      <c r="B674" s="96" t="s">
        <v>1337</v>
      </c>
      <c r="C674" s="96" t="str">
        <f t="shared" si="71"/>
        <v>No</v>
      </c>
      <c r="D674" s="96" t="str">
        <f>VLOOKUP(A674,'Tox Summary'!$O$3:$R$824,3,FALSE)</f>
        <v>No</v>
      </c>
      <c r="E674" s="97">
        <v>87.62</v>
      </c>
      <c r="F674" s="97" t="s">
        <v>1620</v>
      </c>
      <c r="G674" s="93" t="s">
        <v>2439</v>
      </c>
      <c r="H674" s="93" t="str">
        <f>VLOOKUP(A674,'Parameters Summary'!$B$2:$AB$826,10,FALSE)</f>
        <v/>
      </c>
      <c r="I674" s="93" t="s">
        <v>2440</v>
      </c>
      <c r="J674" s="97" t="str">
        <f>VLOOKUP(A674,'Parameters Summary'!$B$2:$AB$826,25,FALSE)</f>
        <v/>
      </c>
      <c r="K674" s="97" t="str">
        <f>VLOOKUP(A674,'Tox Summary'!$O$4:$P$824,2,FALSE)</f>
        <v/>
      </c>
      <c r="L674" s="93" t="s">
        <v>2298</v>
      </c>
      <c r="M674" s="93" t="str">
        <f>VLOOKUP(A674,'Parameters Summary'!$B$2:$AB$826,8,FALSE)</f>
        <v/>
      </c>
      <c r="N674" s="91" t="str">
        <f>VLOOKUP(A674,'Parameters Summary'!$B$2:$AB$826,6,FALSE)</f>
        <v xml:space="preserve"> </v>
      </c>
      <c r="O674" s="91" t="str">
        <f t="shared" si="68"/>
        <v/>
      </c>
      <c r="P674" s="91" t="str">
        <f t="shared" si="69"/>
        <v xml:space="preserve"> </v>
      </c>
      <c r="Q674" s="91" t="str">
        <f t="shared" si="67"/>
        <v/>
      </c>
      <c r="R674" s="91" t="str">
        <f t="shared" si="70"/>
        <v xml:space="preserve"> </v>
      </c>
      <c r="S674" s="91" t="str">
        <f t="shared" si="72"/>
        <v/>
      </c>
      <c r="T674" s="93" t="str">
        <f>VLOOKUP(A674,'Parameters Summary'!$B$2:$AB$826,15,FALSE)</f>
        <v xml:space="preserve"> </v>
      </c>
      <c r="U674" s="93" t="str">
        <f>VLOOKUP(A674,'Parameters Summary'!$B$2:$AB$826,17,FALSE)</f>
        <v/>
      </c>
      <c r="V674" s="93" t="str">
        <f>VLOOKUP(A674,'Parameters Summary'!$B$2:$AB$826,16,FALSE)</f>
        <v xml:space="preserve"> </v>
      </c>
      <c r="W674" s="379" t="str">
        <f>VLOOKUP(A674,'Parameters Summary'!$B$2:$AB$826,17,FALSE)</f>
        <v/>
      </c>
      <c r="X674" s="290">
        <v>1655.15</v>
      </c>
      <c r="Y674" s="96" t="s">
        <v>553</v>
      </c>
      <c r="Z674" s="96">
        <f>1.5*X674</f>
        <v>2482.7250000000004</v>
      </c>
      <c r="AA674" s="96" t="s">
        <v>2220</v>
      </c>
      <c r="AB674" s="96" t="s">
        <v>1651</v>
      </c>
      <c r="AC674" s="96"/>
      <c r="AD674" s="93" t="str">
        <f>VLOOKUP(A674,'Parameters Summary'!$B$2:$AB$826,20,FALSE)</f>
        <v xml:space="preserve"> </v>
      </c>
      <c r="AE674" s="97" t="str">
        <f>VLOOKUP(A674,'Parameters Summary'!$B$2:$AB$826,21,FALSE)</f>
        <v/>
      </c>
      <c r="AF674" s="97"/>
      <c r="AG674" s="94"/>
      <c r="AH674" s="92"/>
      <c r="AI674" s="96"/>
      <c r="AJ674" s="330"/>
      <c r="AL674" s="81"/>
    </row>
    <row r="675" spans="1:38" ht="12.75" customHeight="1">
      <c r="A675" s="96" t="s">
        <v>265</v>
      </c>
      <c r="B675" s="96" t="s">
        <v>1338</v>
      </c>
      <c r="C675" s="96" t="str">
        <f t="shared" si="71"/>
        <v>No</v>
      </c>
      <c r="D675" s="96" t="str">
        <f>VLOOKUP(A675,'Tox Summary'!$O$3:$R$824,3,FALSE)</f>
        <v>No</v>
      </c>
      <c r="E675" s="97">
        <v>334.42</v>
      </c>
      <c r="F675" s="97" t="s">
        <v>1620</v>
      </c>
      <c r="G675" s="93">
        <f>VLOOKUP(A675,'Parameters Summary'!$B$2:$AB$826,9,FALSE)</f>
        <v>2.93E-9</v>
      </c>
      <c r="H675" s="93" t="str">
        <f>VLOOKUP(A675,'Parameters Summary'!$B$2:$AB$826,10,FALSE)</f>
        <v>PHYSPROP</v>
      </c>
      <c r="I675" s="93">
        <f>VLOOKUP(A675,'Parameters Summary'!$B$2:$AB$826,24,FALSE)</f>
        <v>160</v>
      </c>
      <c r="J675" s="97" t="str">
        <f>VLOOKUP(A675,'Parameters Summary'!$B$2:$AB$826,25,FALSE)</f>
        <v>PHYSPROP</v>
      </c>
      <c r="K675" s="97" t="str">
        <f>VLOOKUP(A675,'Tox Summary'!$O$4:$P$824,2,FALSE)</f>
        <v/>
      </c>
      <c r="L675" s="93">
        <f>VLOOKUP(A675,'Parameters Summary'!$B$2:$AB$826,7,FALSE)</f>
        <v>7.5600000000000001E-14</v>
      </c>
      <c r="M675" s="93" t="str">
        <f>VLOOKUP(A675,'Parameters Summary'!$B$2:$AB$826,8,FALSE)</f>
        <v>PHYSPROP</v>
      </c>
      <c r="N675" s="91">
        <f>VLOOKUP(A675,'Parameters Summary'!$B$2:$AB$826,6,FALSE)</f>
        <v>3.0910000000000001E-12</v>
      </c>
      <c r="O675" s="91" t="str">
        <f t="shared" si="68"/>
        <v/>
      </c>
      <c r="P675" s="91">
        <f t="shared" si="69"/>
        <v>3.0910000000000001E-12</v>
      </c>
      <c r="Q675" s="91" t="str">
        <f t="shared" si="67"/>
        <v/>
      </c>
      <c r="R675" s="91">
        <f t="shared" si="70"/>
        <v>3.0910000000000001E-12</v>
      </c>
      <c r="S675" s="91" t="str">
        <f t="shared" si="72"/>
        <v/>
      </c>
      <c r="T675" s="93">
        <f>VLOOKUP(A675,'Parameters Summary'!$B$2:$AB$826,15,FALSE)</f>
        <v>2.2081699999999999E-2</v>
      </c>
      <c r="U675" s="93" t="str">
        <f>VLOOKUP(A675,'Parameters Summary'!$B$2:$AB$826,17,FALSE)</f>
        <v>WATER9 (U.S. EPA, 2001)</v>
      </c>
      <c r="V675" s="93">
        <f>VLOOKUP(A675,'Parameters Summary'!$B$2:$AB$826,16,FALSE)</f>
        <v>5.5824000000000001E-6</v>
      </c>
      <c r="W675" s="379" t="str">
        <f>VLOOKUP(A675,'Parameters Summary'!$B$2:$AB$826,17,FALSE)</f>
        <v>WATER9 (U.S. EPA, 2001)</v>
      </c>
      <c r="X675" s="347"/>
      <c r="Y675" s="96"/>
      <c r="Z675" s="96" t="s">
        <v>1653</v>
      </c>
      <c r="AA675" s="96"/>
      <c r="AB675" s="96" t="s">
        <v>1651</v>
      </c>
      <c r="AC675" s="96"/>
      <c r="AD675" s="93">
        <f>VLOOKUP(A675,'Parameters Summary'!$B$2:$AB$826,20,FALSE)</f>
        <v>5403</v>
      </c>
      <c r="AE675" s="97" t="str">
        <f>VLOOKUP(A675,'Parameters Summary'!$B$2:$AB$826,21,FALSE)</f>
        <v>EPI</v>
      </c>
      <c r="AF675" s="97"/>
      <c r="AG675" s="94"/>
      <c r="AH675" s="92"/>
      <c r="AI675" s="96"/>
      <c r="AJ675" s="330"/>
      <c r="AL675" s="81"/>
    </row>
    <row r="676" spans="1:38" ht="12.75" customHeight="1">
      <c r="A676" s="95" t="s">
        <v>266</v>
      </c>
      <c r="B676" s="96" t="s">
        <v>396</v>
      </c>
      <c r="C676" s="96" t="str">
        <f t="shared" si="71"/>
        <v>Yes</v>
      </c>
      <c r="D676" s="96" t="str">
        <f>VLOOKUP(A676,'Tox Summary'!$O$3:$R$824,3,FALSE)</f>
        <v>No</v>
      </c>
      <c r="E676" s="97">
        <v>104.15</v>
      </c>
      <c r="F676" s="97" t="s">
        <v>1620</v>
      </c>
      <c r="G676" s="93">
        <f>VLOOKUP(A676,'Parameters Summary'!$B$2:$AB$826,9,FALSE)</f>
        <v>6.4</v>
      </c>
      <c r="H676" s="93" t="str">
        <f>VLOOKUP(A676,'Parameters Summary'!$B$2:$AB$826,10,FALSE)</f>
        <v>PHYSPROP</v>
      </c>
      <c r="I676" s="93">
        <f>VLOOKUP(A676,'Parameters Summary'!$B$2:$AB$826,24,FALSE)</f>
        <v>310</v>
      </c>
      <c r="J676" s="97" t="str">
        <f>VLOOKUP(A676,'Parameters Summary'!$B$2:$AB$826,25,FALSE)</f>
        <v>PHYSPROP</v>
      </c>
      <c r="K676" s="97">
        <f>VLOOKUP(A676,'Tox Summary'!$O$4:$P$824,2,FALSE)</f>
        <v>100</v>
      </c>
      <c r="L676" s="93">
        <f>VLOOKUP(A676,'Parameters Summary'!$B$2:$AB$826,7,FALSE)</f>
        <v>2.7499999999999998E-3</v>
      </c>
      <c r="M676" s="93" t="str">
        <f>VLOOKUP(A676,'Parameters Summary'!$B$2:$AB$826,8,FALSE)</f>
        <v>PHYSPROP</v>
      </c>
      <c r="N676" s="91">
        <f>VLOOKUP(A676,'Parameters Summary'!$B$2:$AB$826,6,FALSE)</f>
        <v>0.1124285</v>
      </c>
      <c r="O676" s="91">
        <f t="shared" si="68"/>
        <v>0.1124285</v>
      </c>
      <c r="P676" s="91">
        <f t="shared" si="69"/>
        <v>0.1124285</v>
      </c>
      <c r="Q676" s="91">
        <f t="shared" si="67"/>
        <v>0.1124285</v>
      </c>
      <c r="R676" s="91">
        <f t="shared" si="70"/>
        <v>0.1124285</v>
      </c>
      <c r="S676" s="91">
        <f t="shared" si="72"/>
        <v>35866784.15968971</v>
      </c>
      <c r="T676" s="93">
        <f>VLOOKUP(A676,'Parameters Summary'!$B$2:$AB$826,15,FALSE)</f>
        <v>7.1113999999999997E-2</v>
      </c>
      <c r="U676" s="93" t="str">
        <f>VLOOKUP(A676,'Parameters Summary'!$B$2:$AB$826,17,FALSE)</f>
        <v>WATER9 (U.S. EPA, 2001)</v>
      </c>
      <c r="V676" s="93">
        <f>VLOOKUP(A676,'Parameters Summary'!$B$2:$AB$826,16,FALSE)</f>
        <v>8.7838000000000005E-6</v>
      </c>
      <c r="W676" s="379" t="str">
        <f>VLOOKUP(A676,'Parameters Summary'!$B$2:$AB$826,17,FALSE)</f>
        <v>WATER9 (U.S. EPA, 2001)</v>
      </c>
      <c r="X676" s="290">
        <v>418</v>
      </c>
      <c r="Y676" s="96" t="s">
        <v>553</v>
      </c>
      <c r="Z676" s="96">
        <v>636</v>
      </c>
      <c r="AA676" s="96" t="s">
        <v>2227</v>
      </c>
      <c r="AB676" s="96">
        <v>8737</v>
      </c>
      <c r="AC676" s="96" t="s">
        <v>2227</v>
      </c>
      <c r="AD676" s="93">
        <f>VLOOKUP(A676,'Parameters Summary'!$B$2:$AB$826,20,FALSE)</f>
        <v>446.1</v>
      </c>
      <c r="AE676" s="97" t="str">
        <f>VLOOKUP(A676,'Parameters Summary'!$B$2:$AB$826,21,FALSE)</f>
        <v>EPI</v>
      </c>
      <c r="AF676" s="380">
        <v>1.1000000000000001</v>
      </c>
      <c r="AG676" s="97" t="s">
        <v>360</v>
      </c>
      <c r="AH676" s="92"/>
      <c r="AI676" s="96"/>
      <c r="AJ676" s="330"/>
      <c r="AL676" s="81"/>
    </row>
    <row r="677" spans="1:38" ht="12.75" customHeight="1">
      <c r="A677" s="96" t="s">
        <v>1835</v>
      </c>
      <c r="B677" s="96" t="s">
        <v>1834</v>
      </c>
      <c r="C677" s="96" t="str">
        <f t="shared" si="71"/>
        <v>No</v>
      </c>
      <c r="D677" s="96" t="str">
        <f>VLOOKUP(A677,'Tox Summary'!$O$3:$R$824,3,FALSE)</f>
        <v>No</v>
      </c>
      <c r="E677" s="97">
        <v>120.17</v>
      </c>
      <c r="F677" s="97" t="s">
        <v>1620</v>
      </c>
      <c r="G677" s="93">
        <f>VLOOKUP(A677,'Parameters Summary'!$B$2:$AB$826,9,FALSE)</f>
        <v>4.0899999999999999E-3</v>
      </c>
      <c r="H677" s="93" t="str">
        <f>VLOOKUP(A677,'Parameters Summary'!$B$2:$AB$826,10,FALSE)</f>
        <v>EPI</v>
      </c>
      <c r="I677" s="93">
        <f>VLOOKUP(A677,'Parameters Summary'!$B$2:$AB$826,24,FALSE)</f>
        <v>1000000</v>
      </c>
      <c r="J677" s="97" t="str">
        <f>VLOOKUP(A677,'Parameters Summary'!$B$2:$AB$826,25,FALSE)</f>
        <v>PHYSPROP</v>
      </c>
      <c r="K677" s="97" t="str">
        <f>VLOOKUP(A677,'Tox Summary'!$O$4:$P$824,2,FALSE)</f>
        <v/>
      </c>
      <c r="L677" s="93">
        <f>VLOOKUP(A677,'Parameters Summary'!$B$2:$AB$826,7,FALSE)</f>
        <v>4.8500000000000002E-6</v>
      </c>
      <c r="M677" s="93" t="str">
        <f>VLOOKUP(A677,'Parameters Summary'!$B$2:$AB$826,8,FALSE)</f>
        <v>PHYSPROP</v>
      </c>
      <c r="N677" s="91">
        <f>VLOOKUP(A677,'Parameters Summary'!$B$2:$AB$826,6,FALSE)</f>
        <v>1.983E-4</v>
      </c>
      <c r="O677" s="91" t="str">
        <f t="shared" si="68"/>
        <v/>
      </c>
      <c r="P677" s="91">
        <f t="shared" si="69"/>
        <v>1.983E-4</v>
      </c>
      <c r="Q677" s="91" t="str">
        <f t="shared" si="67"/>
        <v/>
      </c>
      <c r="R677" s="91">
        <f t="shared" si="70"/>
        <v>1.983E-4</v>
      </c>
      <c r="S677" s="91" t="str">
        <f t="shared" si="72"/>
        <v/>
      </c>
      <c r="T677" s="93">
        <f>VLOOKUP(A677,'Parameters Summary'!$B$2:$AB$826,15,FALSE)</f>
        <v>7.1599800000000005E-2</v>
      </c>
      <c r="U677" s="93" t="str">
        <f>VLOOKUP(A677,'Parameters Summary'!$B$2:$AB$826,17,FALSE)</f>
        <v>WATER9 (U.S. EPA, 2001)</v>
      </c>
      <c r="V677" s="93">
        <f>VLOOKUP(A677,'Parameters Summary'!$B$2:$AB$826,16,FALSE)</f>
        <v>9.9117000000000003E-6</v>
      </c>
      <c r="W677" s="379" t="str">
        <f>VLOOKUP(A677,'Parameters Summary'!$B$2:$AB$826,17,FALSE)</f>
        <v>WATER9 (U.S. EPA, 2001)</v>
      </c>
      <c r="X677" s="290">
        <v>558.15</v>
      </c>
      <c r="Y677" s="96" t="s">
        <v>553</v>
      </c>
      <c r="Z677" s="96" t="s">
        <v>1653</v>
      </c>
      <c r="AA677" s="96"/>
      <c r="AB677" s="96" t="s">
        <v>1651</v>
      </c>
      <c r="AC677" s="96"/>
      <c r="AD677" s="93">
        <f>VLOOKUP(A677,'Parameters Summary'!$B$2:$AB$826,20,FALSE)</f>
        <v>9.0790000000000006</v>
      </c>
      <c r="AE677" s="97" t="str">
        <f>VLOOKUP(A677,'Parameters Summary'!$B$2:$AB$826,21,FALSE)</f>
        <v>EPI</v>
      </c>
      <c r="AF677" s="97"/>
      <c r="AG677" s="94"/>
      <c r="AH677" s="92"/>
      <c r="AI677" s="96"/>
      <c r="AJ677" s="330"/>
      <c r="AL677" s="81"/>
    </row>
    <row r="678" spans="1:38" ht="12.75" customHeight="1">
      <c r="A678" s="96" t="s">
        <v>267</v>
      </c>
      <c r="B678" s="96" t="s">
        <v>542</v>
      </c>
      <c r="C678" s="96" t="str">
        <f t="shared" si="71"/>
        <v>No</v>
      </c>
      <c r="D678" s="96" t="str">
        <f>VLOOKUP(A678,'Tox Summary'!$O$3:$R$824,3,FALSE)</f>
        <v>No</v>
      </c>
      <c r="E678" s="97">
        <v>287.17</v>
      </c>
      <c r="F678" s="97" t="s">
        <v>1620</v>
      </c>
      <c r="G678" s="93">
        <f>VLOOKUP(A678,'Parameters Summary'!$B$2:$AB$826,9,FALSE)</f>
        <v>8.09E-7</v>
      </c>
      <c r="H678" s="93" t="str">
        <f>VLOOKUP(A678,'Parameters Summary'!$B$2:$AB$826,10,FALSE)</f>
        <v>PHYSPROP</v>
      </c>
      <c r="I678" s="93">
        <f>VLOOKUP(A678,'Parameters Summary'!$B$2:$AB$826,24,FALSE)</f>
        <v>2.391</v>
      </c>
      <c r="J678" s="97" t="str">
        <f>VLOOKUP(A678,'Parameters Summary'!$B$2:$AB$826,25,FALSE)</f>
        <v>PHYSPROP</v>
      </c>
      <c r="K678" s="97" t="str">
        <f>VLOOKUP(A678,'Tox Summary'!$O$4:$P$824,2,FALSE)</f>
        <v/>
      </c>
      <c r="L678" s="93">
        <f>VLOOKUP(A678,'Parameters Summary'!$B$2:$AB$826,7,FALSE)</f>
        <v>1.37E-7</v>
      </c>
      <c r="M678" s="93" t="str">
        <f>VLOOKUP(A678,'Parameters Summary'!$B$2:$AB$826,8,FALSE)</f>
        <v>PHYSPROP</v>
      </c>
      <c r="N678" s="91">
        <f>VLOOKUP(A678,'Parameters Summary'!$B$2:$AB$826,6,FALSE)</f>
        <v>5.6010000000000002E-6</v>
      </c>
      <c r="O678" s="91" t="str">
        <f t="shared" si="68"/>
        <v/>
      </c>
      <c r="P678" s="91">
        <f t="shared" si="69"/>
        <v>5.6010000000000002E-6</v>
      </c>
      <c r="Q678" s="91" t="str">
        <f t="shared" si="67"/>
        <v/>
      </c>
      <c r="R678" s="91">
        <f t="shared" si="70"/>
        <v>5.6010000000000002E-6</v>
      </c>
      <c r="S678" s="91" t="str">
        <f t="shared" si="72"/>
        <v/>
      </c>
      <c r="T678" s="93">
        <f>VLOOKUP(A678,'Parameters Summary'!$B$2:$AB$826,15,FALSE)</f>
        <v>4.3651000000000002E-2</v>
      </c>
      <c r="U678" s="93" t="str">
        <f>VLOOKUP(A678,'Parameters Summary'!$B$2:$AB$826,17,FALSE)</f>
        <v>WATER9 (U.S. EPA, 2001)</v>
      </c>
      <c r="V678" s="93">
        <f>VLOOKUP(A678,'Parameters Summary'!$B$2:$AB$826,16,FALSE)</f>
        <v>5.1003000000000001E-6</v>
      </c>
      <c r="W678" s="379" t="str">
        <f>VLOOKUP(A678,'Parameters Summary'!$B$2:$AB$826,17,FALSE)</f>
        <v>WATER9 (U.S. EPA, 2001)</v>
      </c>
      <c r="X678" s="347"/>
      <c r="Y678" s="96"/>
      <c r="Z678" s="96" t="s">
        <v>1653</v>
      </c>
      <c r="AA678" s="96"/>
      <c r="AB678" s="96" t="s">
        <v>1651</v>
      </c>
      <c r="AC678" s="96"/>
      <c r="AD678" s="93">
        <f>VLOOKUP(A678,'Parameters Summary'!$B$2:$AB$826,20,FALSE)</f>
        <v>2855</v>
      </c>
      <c r="AE678" s="97" t="str">
        <f>VLOOKUP(A678,'Parameters Summary'!$B$2:$AB$826,21,FALSE)</f>
        <v>EPI</v>
      </c>
      <c r="AF678" s="97"/>
      <c r="AG678" s="94"/>
      <c r="AH678" s="92"/>
      <c r="AI678" s="96"/>
      <c r="AJ678" s="330"/>
      <c r="AL678" s="81"/>
    </row>
    <row r="679" spans="1:38" ht="12.75" customHeight="1">
      <c r="A679" s="359" t="s">
        <v>2271</v>
      </c>
      <c r="B679" s="96" t="s">
        <v>2130</v>
      </c>
      <c r="C679" s="96" t="str">
        <f t="shared" si="71"/>
        <v>Yes</v>
      </c>
      <c r="D679" s="96" t="str">
        <f>VLOOKUP(A679,'Tox Summary'!$O$3:$R$824,3,FALSE)</f>
        <v>No</v>
      </c>
      <c r="E679" s="97">
        <v>80.061999999999998</v>
      </c>
      <c r="F679" s="97" t="s">
        <v>1620</v>
      </c>
      <c r="G679" s="93">
        <f>VLOOKUP(A679,'Parameters Summary'!$B$2:$AB$826,9,FALSE)</f>
        <v>263.10000000000002</v>
      </c>
      <c r="H679" s="93" t="str">
        <f>VLOOKUP(A679,'Parameters Summary'!$B$2:$AB$826,10,FALSE)</f>
        <v>PHYSPROP</v>
      </c>
      <c r="I679" s="93" t="s">
        <v>2440</v>
      </c>
      <c r="J679" s="97" t="str">
        <f>VLOOKUP(A679,'Parameters Summary'!$B$2:$AB$826,25,FALSE)</f>
        <v/>
      </c>
      <c r="K679" s="97" t="str">
        <f>VLOOKUP(A679,'Tox Summary'!$O$4:$P$824,2,FALSE)</f>
        <v/>
      </c>
      <c r="L679" s="93" t="str">
        <f>VLOOKUP(A679,'Parameters Summary'!$B$2:$AB$826,7,FALSE)</f>
        <v xml:space="preserve"> </v>
      </c>
      <c r="M679" s="93" t="str">
        <f>VLOOKUP(A679,'Parameters Summary'!$B$2:$AB$826,8,FALSE)</f>
        <v/>
      </c>
      <c r="N679" s="91" t="str">
        <f>VLOOKUP(A679,'Parameters Summary'!$B$2:$AB$826,6,FALSE)</f>
        <v xml:space="preserve"> </v>
      </c>
      <c r="O679" s="91" t="str">
        <f t="shared" si="68"/>
        <v/>
      </c>
      <c r="P679" s="91" t="str">
        <f t="shared" si="69"/>
        <v xml:space="preserve"> </v>
      </c>
      <c r="Q679" s="91" t="str">
        <f t="shared" si="67"/>
        <v/>
      </c>
      <c r="R679" s="91" t="str">
        <f t="shared" si="70"/>
        <v xml:space="preserve"> </v>
      </c>
      <c r="S679" s="91" t="str">
        <f t="shared" si="72"/>
        <v/>
      </c>
      <c r="T679" s="93">
        <f>VLOOKUP(A679,'Parameters Summary'!$B$2:$AB$826,15,FALSE)</f>
        <v>0.12078220000000001</v>
      </c>
      <c r="U679" s="93" t="str">
        <f>VLOOKUP(A679,'Parameters Summary'!$B$2:$AB$826,17,FALSE)</f>
        <v>WATER9 (U.S. EPA, 2001)</v>
      </c>
      <c r="V679" s="93">
        <f>VLOOKUP(A679,'Parameters Summary'!$B$2:$AB$826,16,FALSE)</f>
        <v>1.6099999999999998E-5</v>
      </c>
      <c r="W679" s="379" t="str">
        <f>VLOOKUP(A679,'Parameters Summary'!$B$2:$AB$826,17,FALSE)</f>
        <v>WATER9 (U.S. EPA, 2001)</v>
      </c>
      <c r="X679" s="347"/>
      <c r="Y679" s="96"/>
      <c r="Z679" s="96" t="s">
        <v>1653</v>
      </c>
      <c r="AA679" s="96"/>
      <c r="AB679" s="96" t="s">
        <v>1651</v>
      </c>
      <c r="AC679" s="96"/>
      <c r="AD679" s="93" t="str">
        <f>VLOOKUP(A679,'Parameters Summary'!$B$2:$AB$826,20,FALSE)</f>
        <v xml:space="preserve"> </v>
      </c>
      <c r="AE679" s="97" t="str">
        <f>VLOOKUP(A679,'Parameters Summary'!$B$2:$AB$826,21,FALSE)</f>
        <v/>
      </c>
      <c r="AF679" s="97"/>
      <c r="AG679" s="94"/>
      <c r="AH679" s="92"/>
      <c r="AI679" s="96"/>
      <c r="AJ679" s="330"/>
      <c r="AL679" s="81"/>
    </row>
    <row r="680" spans="1:38" ht="12.75" customHeight="1">
      <c r="A680" s="96" t="s">
        <v>268</v>
      </c>
      <c r="B680" s="96" t="s">
        <v>618</v>
      </c>
      <c r="C680" s="96" t="str">
        <f t="shared" si="71"/>
        <v>No</v>
      </c>
      <c r="D680" s="96" t="str">
        <f>VLOOKUP(A680,'Tox Summary'!$O$3:$R$824,3,FALSE)</f>
        <v>Yes</v>
      </c>
      <c r="E680" s="97">
        <v>98.078000000000003</v>
      </c>
      <c r="F680" s="97" t="s">
        <v>1620</v>
      </c>
      <c r="G680" s="93">
        <f>VLOOKUP(A680,'Parameters Summary'!$B$2:$AB$826,9,FALSE)</f>
        <v>5.9299999999999998E-5</v>
      </c>
      <c r="H680" s="93" t="str">
        <f>VLOOKUP(A680,'Parameters Summary'!$B$2:$AB$826,10,FALSE)</f>
        <v>PHYSPROP</v>
      </c>
      <c r="I680" s="93">
        <f>VLOOKUP(A680,'Parameters Summary'!$B$2:$AB$826,24,FALSE)</f>
        <v>1000000</v>
      </c>
      <c r="J680" s="97" t="str">
        <f>VLOOKUP(A680,'Parameters Summary'!$B$2:$AB$826,25,FALSE)</f>
        <v>PHYSPROP</v>
      </c>
      <c r="K680" s="97" t="str">
        <f>VLOOKUP(A680,'Tox Summary'!$O$4:$P$824,2,FALSE)</f>
        <v/>
      </c>
      <c r="L680" s="93" t="str">
        <f>VLOOKUP(A680,'Parameters Summary'!$B$2:$AB$826,7,FALSE)</f>
        <v xml:space="preserve"> </v>
      </c>
      <c r="M680" s="93" t="str">
        <f>VLOOKUP(A680,'Parameters Summary'!$B$2:$AB$826,8,FALSE)</f>
        <v/>
      </c>
      <c r="N680" s="91" t="str">
        <f>VLOOKUP(A680,'Parameters Summary'!$B$2:$AB$826,6,FALSE)</f>
        <v xml:space="preserve"> </v>
      </c>
      <c r="O680" s="91" t="str">
        <f t="shared" si="68"/>
        <v/>
      </c>
      <c r="P680" s="91" t="str">
        <f t="shared" si="69"/>
        <v xml:space="preserve"> </v>
      </c>
      <c r="Q680" s="91" t="str">
        <f t="shared" si="67"/>
        <v/>
      </c>
      <c r="R680" s="91" t="str">
        <f t="shared" si="70"/>
        <v xml:space="preserve"> </v>
      </c>
      <c r="S680" s="91" t="str">
        <f t="shared" si="72"/>
        <v/>
      </c>
      <c r="T680" s="93" t="str">
        <f>VLOOKUP(A680,'Parameters Summary'!$B$2:$AB$826,15,FALSE)</f>
        <v xml:space="preserve"> </v>
      </c>
      <c r="U680" s="93" t="str">
        <f>VLOOKUP(A680,'Parameters Summary'!$B$2:$AB$826,17,FALSE)</f>
        <v/>
      </c>
      <c r="V680" s="93" t="str">
        <f>VLOOKUP(A680,'Parameters Summary'!$B$2:$AB$826,16,FALSE)</f>
        <v xml:space="preserve"> </v>
      </c>
      <c r="W680" s="379" t="str">
        <f>VLOOKUP(A680,'Parameters Summary'!$B$2:$AB$826,17,FALSE)</f>
        <v/>
      </c>
      <c r="X680" s="290">
        <f>273.15+290</f>
        <v>563.15</v>
      </c>
      <c r="Y680" s="96" t="s">
        <v>553</v>
      </c>
      <c r="Z680" s="96">
        <f>1.5*X680</f>
        <v>844.72499999999991</v>
      </c>
      <c r="AA680" s="96" t="s">
        <v>2220</v>
      </c>
      <c r="AB680" s="96" t="s">
        <v>1651</v>
      </c>
      <c r="AC680" s="96"/>
      <c r="AD680" s="93" t="str">
        <f>VLOOKUP(A680,'Parameters Summary'!$B$2:$AB$826,20,FALSE)</f>
        <v xml:space="preserve"> </v>
      </c>
      <c r="AE680" s="97" t="str">
        <f>VLOOKUP(A680,'Parameters Summary'!$B$2:$AB$826,21,FALSE)</f>
        <v/>
      </c>
      <c r="AF680" s="97"/>
      <c r="AG680" s="94"/>
      <c r="AH680" s="92"/>
      <c r="AI680" s="96"/>
      <c r="AJ680" s="330"/>
      <c r="AL680" s="81"/>
    </row>
    <row r="681" spans="1:38" ht="12.75" customHeight="1">
      <c r="A681" s="96" t="s">
        <v>669</v>
      </c>
      <c r="B681" s="96" t="s">
        <v>2319</v>
      </c>
      <c r="C681" s="96" t="str">
        <f t="shared" si="71"/>
        <v>No</v>
      </c>
      <c r="D681" s="96" t="str">
        <f>VLOOKUP(A681,'Tox Summary'!$O$3:$R$824,3,FALSE)</f>
        <v>Yes</v>
      </c>
      <c r="E681" s="97">
        <v>334.87</v>
      </c>
      <c r="F681" s="97" t="s">
        <v>1620</v>
      </c>
      <c r="G681" s="93">
        <f>VLOOKUP(A681,'Parameters Summary'!$B$2:$AB$826,9,FALSE)</f>
        <v>2.1799999999999999E-7</v>
      </c>
      <c r="H681" s="93" t="str">
        <f>VLOOKUP(A681,'Parameters Summary'!$B$2:$AB$826,10,FALSE)</f>
        <v>PHYSPROP</v>
      </c>
      <c r="I681" s="93">
        <f>VLOOKUP(A681,'Parameters Summary'!$B$2:$AB$826,24,FALSE)</f>
        <v>0.59019999999999995</v>
      </c>
      <c r="J681" s="97" t="str">
        <f>VLOOKUP(A681,'Parameters Summary'!$B$2:$AB$826,25,FALSE)</f>
        <v>PHYSPROP</v>
      </c>
      <c r="K681" s="97" t="str">
        <f>VLOOKUP(A681,'Tox Summary'!$O$4:$P$824,2,FALSE)</f>
        <v/>
      </c>
      <c r="L681" s="93">
        <f>VLOOKUP(A681,'Parameters Summary'!$B$2:$AB$826,7,FALSE)</f>
        <v>1.9000000000000001E-7</v>
      </c>
      <c r="M681" s="93" t="str">
        <f>VLOOKUP(A681,'Parameters Summary'!$B$2:$AB$826,8,FALSE)</f>
        <v>PHYSPROP</v>
      </c>
      <c r="N681" s="91">
        <f>VLOOKUP(A681,'Parameters Summary'!$B$2:$AB$826,6,FALSE)</f>
        <v>7.7678000000000004E-6</v>
      </c>
      <c r="O681" s="91" t="str">
        <f t="shared" si="68"/>
        <v/>
      </c>
      <c r="P681" s="91">
        <f t="shared" si="69"/>
        <v>7.7678000000000004E-6</v>
      </c>
      <c r="Q681" s="91" t="str">
        <f t="shared" si="67"/>
        <v/>
      </c>
      <c r="R681" s="91">
        <f t="shared" si="70"/>
        <v>7.7678000000000004E-6</v>
      </c>
      <c r="S681" s="91" t="str">
        <f t="shared" si="72"/>
        <v/>
      </c>
      <c r="T681" s="93">
        <f>VLOOKUP(A681,'Parameters Summary'!$B$2:$AB$826,15,FALSE)</f>
        <v>2.0289700000000001E-2</v>
      </c>
      <c r="U681" s="93" t="str">
        <f>VLOOKUP(A681,'Parameters Summary'!$B$2:$AB$826,17,FALSE)</f>
        <v>WATER9 (U.S. EPA, 2001)</v>
      </c>
      <c r="V681" s="93">
        <f>VLOOKUP(A681,'Parameters Summary'!$B$2:$AB$826,16,FALSE)</f>
        <v>5.0254000000000002E-6</v>
      </c>
      <c r="W681" s="379" t="str">
        <f>VLOOKUP(A681,'Parameters Summary'!$B$2:$AB$826,17,FALSE)</f>
        <v>WATER9 (U.S. EPA, 2001)</v>
      </c>
      <c r="X681" s="290">
        <v>448.15</v>
      </c>
      <c r="Y681" s="96" t="s">
        <v>553</v>
      </c>
      <c r="Z681" s="96">
        <f>1.5*X681</f>
        <v>672.22499999999991</v>
      </c>
      <c r="AA681" s="96" t="s">
        <v>2220</v>
      </c>
      <c r="AB681" s="96" t="s">
        <v>1651</v>
      </c>
      <c r="AC681" s="96"/>
      <c r="AD681" s="93">
        <f>VLOOKUP(A681,'Parameters Summary'!$B$2:$AB$826,20,FALSE)</f>
        <v>5550</v>
      </c>
      <c r="AE681" s="97" t="str">
        <f>VLOOKUP(A681,'Parameters Summary'!$B$2:$AB$826,21,FALSE)</f>
        <v>EPI</v>
      </c>
      <c r="AF681" s="97"/>
      <c r="AG681" s="94"/>
      <c r="AH681" s="92"/>
      <c r="AI681" s="96"/>
      <c r="AJ681" s="330"/>
      <c r="AL681" s="81"/>
    </row>
    <row r="682" spans="1:38">
      <c r="A682" s="95" t="s">
        <v>891</v>
      </c>
      <c r="B682" s="96" t="s">
        <v>2250</v>
      </c>
      <c r="C682" s="96" t="str">
        <f t="shared" si="71"/>
        <v>Yes</v>
      </c>
      <c r="D682" s="96" t="str">
        <f>VLOOKUP(A682,'Tox Summary'!$O$3:$R$824,3,FALSE)</f>
        <v>No</v>
      </c>
      <c r="E682" s="97">
        <v>321.98</v>
      </c>
      <c r="F682" s="97" t="s">
        <v>1620</v>
      </c>
      <c r="G682" s="93">
        <f>VLOOKUP(A682,'Parameters Summary'!$B$2:$AB$826,9,FALSE)</f>
        <v>1.5E-9</v>
      </c>
      <c r="H682" s="93" t="str">
        <f>VLOOKUP(A682,'Parameters Summary'!$B$2:$AB$826,10,FALSE)</f>
        <v>PHYSPROP</v>
      </c>
      <c r="I682" s="93">
        <f>VLOOKUP(A682,'Parameters Summary'!$B$2:$AB$826,24,FALSE)</f>
        <v>2.0000000000000001E-4</v>
      </c>
      <c r="J682" s="97" t="str">
        <f>VLOOKUP(A682,'Parameters Summary'!$B$2:$AB$826,25,FALSE)</f>
        <v>PHYSPROP</v>
      </c>
      <c r="K682" s="97">
        <f>VLOOKUP(A682,'Tox Summary'!$O$4:$P$824,2,FALSE)</f>
        <v>3.0000000000000001E-5</v>
      </c>
      <c r="L682" s="93">
        <f>VLOOKUP(A682,'Parameters Summary'!$B$2:$AB$826,7,FALSE)</f>
        <v>5.0000000000000002E-5</v>
      </c>
      <c r="M682" s="93" t="str">
        <f>VLOOKUP(A682,'Parameters Summary'!$B$2:$AB$826,8,FALSE)</f>
        <v>EPI</v>
      </c>
      <c r="N682" s="91">
        <f>VLOOKUP(A682,'Parameters Summary'!$B$2:$AB$826,6,FALSE)</f>
        <v>2.0441999999999999E-3</v>
      </c>
      <c r="O682" s="91" t="str">
        <f t="shared" si="68"/>
        <v/>
      </c>
      <c r="P682" s="91">
        <f t="shared" si="69"/>
        <v>2.0441999999999999E-3</v>
      </c>
      <c r="Q682" s="91" t="str">
        <f t="shared" si="67"/>
        <v/>
      </c>
      <c r="R682" s="91">
        <f t="shared" si="70"/>
        <v>2.0441999999999999E-3</v>
      </c>
      <c r="S682" s="91" t="str">
        <f t="shared" si="72"/>
        <v/>
      </c>
      <c r="T682" s="93">
        <f>VLOOKUP(A682,'Parameters Summary'!$B$2:$AB$826,15,FALSE)</f>
        <v>4.7027800000000002E-2</v>
      </c>
      <c r="U682" s="93" t="str">
        <f>VLOOKUP(A682,'Parameters Summary'!$B$2:$AB$826,17,FALSE)</f>
        <v>WATER9 (U.S. EPA, 2001)</v>
      </c>
      <c r="V682" s="93">
        <f>VLOOKUP(A682,'Parameters Summary'!$B$2:$AB$826,16,FALSE)</f>
        <v>6.7568000000000003E-6</v>
      </c>
      <c r="W682" s="379" t="str">
        <f>VLOOKUP(A682,'Parameters Summary'!$B$2:$AB$826,17,FALSE)</f>
        <v>WATER9 (U.S. EPA, 2001)</v>
      </c>
      <c r="X682" s="290">
        <f>379.17+273.15</f>
        <v>652.31999999999994</v>
      </c>
      <c r="Y682" s="96" t="s">
        <v>553</v>
      </c>
      <c r="Z682" s="96">
        <f>1.5*X682</f>
        <v>978.4799999999999</v>
      </c>
      <c r="AA682" s="96" t="s">
        <v>2220</v>
      </c>
      <c r="AB682" s="96" t="s">
        <v>1651</v>
      </c>
      <c r="AC682" s="96"/>
      <c r="AD682" s="93">
        <f>VLOOKUP(A682,'Parameters Summary'!$B$2:$AB$826,20,FALSE)</f>
        <v>249100</v>
      </c>
      <c r="AE682" s="97" t="str">
        <f>VLOOKUP(A682,'Parameters Summary'!$B$2:$AB$826,21,FALSE)</f>
        <v>EPI</v>
      </c>
      <c r="AF682" s="380"/>
      <c r="AG682" s="97"/>
      <c r="AH682" s="92"/>
      <c r="AI682" s="96"/>
      <c r="AJ682" s="330"/>
      <c r="AL682" s="81"/>
    </row>
    <row r="683" spans="1:38" ht="12.75" customHeight="1">
      <c r="A683" s="96" t="s">
        <v>270</v>
      </c>
      <c r="B683" s="96" t="s">
        <v>1339</v>
      </c>
      <c r="C683" s="96" t="str">
        <f t="shared" si="71"/>
        <v>No</v>
      </c>
      <c r="D683" s="96" t="str">
        <f>VLOOKUP(A683,'Tox Summary'!$O$3:$R$824,3,FALSE)</f>
        <v>Yes</v>
      </c>
      <c r="E683" s="97">
        <v>238.35</v>
      </c>
      <c r="F683" s="97" t="s">
        <v>1620</v>
      </c>
      <c r="G683" s="93">
        <f>VLOOKUP(A683,'Parameters Summary'!$B$2:$AB$826,9,FALSE)</f>
        <v>3.1199999999999999E-7</v>
      </c>
      <c r="H683" s="93" t="str">
        <f>VLOOKUP(A683,'Parameters Summary'!$B$2:$AB$826,10,FALSE)</f>
        <v>PHYSPROP</v>
      </c>
      <c r="I683" s="93">
        <f>VLOOKUP(A683,'Parameters Summary'!$B$2:$AB$826,24,FALSE)</f>
        <v>125</v>
      </c>
      <c r="J683" s="97" t="str">
        <f>VLOOKUP(A683,'Parameters Summary'!$B$2:$AB$826,25,FALSE)</f>
        <v>PHYSPROP</v>
      </c>
      <c r="K683" s="97" t="str">
        <f>VLOOKUP(A683,'Tox Summary'!$O$4:$P$824,2,FALSE)</f>
        <v/>
      </c>
      <c r="L683" s="93">
        <f>VLOOKUP(A683,'Parameters Summary'!$B$2:$AB$826,7,FALSE)</f>
        <v>6.49E-12</v>
      </c>
      <c r="M683" s="93" t="str">
        <f>VLOOKUP(A683,'Parameters Summary'!$B$2:$AB$826,8,FALSE)</f>
        <v>PHYSPROP</v>
      </c>
      <c r="N683" s="91">
        <f>VLOOKUP(A683,'Parameters Summary'!$B$2:$AB$826,6,FALSE)</f>
        <v>2.653E-10</v>
      </c>
      <c r="O683" s="91" t="str">
        <f t="shared" si="68"/>
        <v/>
      </c>
      <c r="P683" s="91">
        <f t="shared" si="69"/>
        <v>2.653E-10</v>
      </c>
      <c r="Q683" s="91" t="str">
        <f t="shared" si="67"/>
        <v/>
      </c>
      <c r="R683" s="91">
        <f t="shared" si="70"/>
        <v>2.653E-10</v>
      </c>
      <c r="S683" s="91" t="str">
        <f t="shared" si="72"/>
        <v/>
      </c>
      <c r="T683" s="93">
        <f>VLOOKUP(A683,'Parameters Summary'!$B$2:$AB$826,15,FALSE)</f>
        <v>4.9424599999999999E-2</v>
      </c>
      <c r="U683" s="93" t="str">
        <f>VLOOKUP(A683,'Parameters Summary'!$B$2:$AB$826,17,FALSE)</f>
        <v>WATER9 (U.S. EPA, 2001)</v>
      </c>
      <c r="V683" s="93">
        <f>VLOOKUP(A683,'Parameters Summary'!$B$2:$AB$826,16,FALSE)</f>
        <v>5.7749000000000004E-6</v>
      </c>
      <c r="W683" s="379" t="str">
        <f>VLOOKUP(A683,'Parameters Summary'!$B$2:$AB$826,17,FALSE)</f>
        <v>WATER9 (U.S. EPA, 2001)</v>
      </c>
      <c r="X683" s="347"/>
      <c r="Y683" s="96"/>
      <c r="Z683" s="96" t="s">
        <v>1653</v>
      </c>
      <c r="AA683" s="96"/>
      <c r="AB683" s="96" t="s">
        <v>1651</v>
      </c>
      <c r="AC683" s="96"/>
      <c r="AD683" s="93">
        <f>VLOOKUP(A683,'Parameters Summary'!$B$2:$AB$826,20,FALSE)</f>
        <v>3374</v>
      </c>
      <c r="AE683" s="97" t="str">
        <f>VLOOKUP(A683,'Parameters Summary'!$B$2:$AB$826,21,FALSE)</f>
        <v>EPI</v>
      </c>
      <c r="AF683" s="97"/>
      <c r="AG683" s="94"/>
      <c r="AH683" s="92"/>
      <c r="AI683" s="96"/>
      <c r="AJ683" s="330"/>
      <c r="AL683" s="81"/>
    </row>
    <row r="684" spans="1:38" ht="12.75" customHeight="1">
      <c r="A684" s="96" t="s">
        <v>271</v>
      </c>
      <c r="B684" s="96" t="s">
        <v>1340</v>
      </c>
      <c r="C684" s="96" t="str">
        <f t="shared" si="71"/>
        <v>No</v>
      </c>
      <c r="D684" s="96" t="str">
        <f>VLOOKUP(A684,'Tox Summary'!$O$3:$R$824,3,FALSE)</f>
        <v>No</v>
      </c>
      <c r="E684" s="97">
        <v>228.32</v>
      </c>
      <c r="F684" s="97" t="s">
        <v>1620</v>
      </c>
      <c r="G684" s="93">
        <f>VLOOKUP(A684,'Parameters Summary'!$B$2:$AB$826,9,FALSE)</f>
        <v>2.9999999999999999E-7</v>
      </c>
      <c r="H684" s="93" t="str">
        <f>VLOOKUP(A684,'Parameters Summary'!$B$2:$AB$826,10,FALSE)</f>
        <v>PHYSPROP</v>
      </c>
      <c r="I684" s="93">
        <f>VLOOKUP(A684,'Parameters Summary'!$B$2:$AB$826,24,FALSE)</f>
        <v>2500</v>
      </c>
      <c r="J684" s="97" t="str">
        <f>VLOOKUP(A684,'Parameters Summary'!$B$2:$AB$826,25,FALSE)</f>
        <v>PHYSPROP</v>
      </c>
      <c r="K684" s="97" t="str">
        <f>VLOOKUP(A684,'Tox Summary'!$O$4:$P$824,2,FALSE)</f>
        <v/>
      </c>
      <c r="L684" s="93">
        <f>VLOOKUP(A684,'Parameters Summary'!$B$2:$AB$826,7,FALSE)</f>
        <v>1.2E-10</v>
      </c>
      <c r="M684" s="93" t="str">
        <f>VLOOKUP(A684,'Parameters Summary'!$B$2:$AB$826,8,FALSE)</f>
        <v>PHYSPROP</v>
      </c>
      <c r="N684" s="91">
        <f>VLOOKUP(A684,'Parameters Summary'!$B$2:$AB$826,6,FALSE)</f>
        <v>4.9060000000000002E-9</v>
      </c>
      <c r="O684" s="91" t="str">
        <f t="shared" si="68"/>
        <v/>
      </c>
      <c r="P684" s="91">
        <f t="shared" si="69"/>
        <v>4.9060000000000002E-9</v>
      </c>
      <c r="Q684" s="91" t="str">
        <f t="shared" si="67"/>
        <v/>
      </c>
      <c r="R684" s="91">
        <f t="shared" si="70"/>
        <v>4.9060000000000002E-9</v>
      </c>
      <c r="S684" s="91" t="str">
        <f t="shared" si="72"/>
        <v/>
      </c>
      <c r="T684" s="93">
        <f>VLOOKUP(A684,'Parameters Summary'!$B$2:$AB$826,15,FALSE)</f>
        <v>5.0861700000000003E-2</v>
      </c>
      <c r="U684" s="93" t="str">
        <f>VLOOKUP(A684,'Parameters Summary'!$B$2:$AB$826,17,FALSE)</f>
        <v>WATER9 (U.S. EPA, 2001)</v>
      </c>
      <c r="V684" s="93">
        <f>VLOOKUP(A684,'Parameters Summary'!$B$2:$AB$826,16,FALSE)</f>
        <v>5.9428000000000001E-6</v>
      </c>
      <c r="W684" s="379" t="str">
        <f>VLOOKUP(A684,'Parameters Summary'!$B$2:$AB$826,17,FALSE)</f>
        <v>WATER9 (U.S. EPA, 2001)</v>
      </c>
      <c r="X684" s="347"/>
      <c r="Y684" s="96"/>
      <c r="Z684" s="96" t="s">
        <v>1653</v>
      </c>
      <c r="AA684" s="96"/>
      <c r="AB684" s="96" t="s">
        <v>1651</v>
      </c>
      <c r="AC684" s="96"/>
      <c r="AD684" s="93">
        <f>VLOOKUP(A684,'Parameters Summary'!$B$2:$AB$826,20,FALSE)</f>
        <v>42.35</v>
      </c>
      <c r="AE684" s="97" t="str">
        <f>VLOOKUP(A684,'Parameters Summary'!$B$2:$AB$826,21,FALSE)</f>
        <v>EPI</v>
      </c>
      <c r="AF684" s="97"/>
      <c r="AG684" s="94"/>
      <c r="AH684" s="92"/>
      <c r="AI684" s="96"/>
      <c r="AJ684" s="330"/>
      <c r="AL684" s="81"/>
    </row>
    <row r="685" spans="1:38" ht="12.75" customHeight="1">
      <c r="A685" s="96" t="s">
        <v>272</v>
      </c>
      <c r="B685" s="96" t="s">
        <v>1341</v>
      </c>
      <c r="C685" s="96" t="str">
        <f t="shared" si="71"/>
        <v>No</v>
      </c>
      <c r="D685" s="96" t="str">
        <f>VLOOKUP(A685,'Tox Summary'!$O$3:$R$824,3,FALSE)</f>
        <v>No</v>
      </c>
      <c r="E685" s="97">
        <v>466.47</v>
      </c>
      <c r="F685" s="97" t="s">
        <v>1620</v>
      </c>
      <c r="G685" s="93">
        <f>VLOOKUP(A685,'Parameters Summary'!$B$2:$AB$826,9,FALSE)</f>
        <v>7.91E-8</v>
      </c>
      <c r="H685" s="93" t="str">
        <f>VLOOKUP(A685,'Parameters Summary'!$B$2:$AB$826,10,FALSE)</f>
        <v>PHYSPROP</v>
      </c>
      <c r="I685" s="93">
        <f>VLOOKUP(A685,'Parameters Summary'!$B$2:$AB$826,24,FALSE)</f>
        <v>0.27</v>
      </c>
      <c r="J685" s="97" t="str">
        <f>VLOOKUP(A685,'Parameters Summary'!$B$2:$AB$826,25,FALSE)</f>
        <v>PHYSPROP</v>
      </c>
      <c r="K685" s="97" t="str">
        <f>VLOOKUP(A685,'Tox Summary'!$O$4:$P$824,2,FALSE)</f>
        <v/>
      </c>
      <c r="L685" s="93">
        <f>VLOOKUP(A685,'Parameters Summary'!$B$2:$AB$826,7,FALSE)</f>
        <v>1.9599999999999998E-9</v>
      </c>
      <c r="M685" s="93" t="str">
        <f>VLOOKUP(A685,'Parameters Summary'!$B$2:$AB$826,8,FALSE)</f>
        <v>PHYSPROP</v>
      </c>
      <c r="N685" s="91">
        <f>VLOOKUP(A685,'Parameters Summary'!$B$2:$AB$826,6,FALSE)</f>
        <v>8.0131000000000005E-8</v>
      </c>
      <c r="O685" s="91" t="str">
        <f t="shared" si="68"/>
        <v/>
      </c>
      <c r="P685" s="91">
        <f t="shared" si="69"/>
        <v>8.0131000000000005E-8</v>
      </c>
      <c r="Q685" s="91" t="str">
        <f t="shared" si="67"/>
        <v/>
      </c>
      <c r="R685" s="91">
        <f t="shared" si="70"/>
        <v>8.0131000000000005E-8</v>
      </c>
      <c r="S685" s="91" t="str">
        <f t="shared" si="72"/>
        <v/>
      </c>
      <c r="T685" s="93">
        <f>VLOOKUP(A685,'Parameters Summary'!$B$2:$AB$826,15,FALSE)</f>
        <v>1.8294299999999999E-2</v>
      </c>
      <c r="U685" s="93" t="str">
        <f>VLOOKUP(A685,'Parameters Summary'!$B$2:$AB$826,17,FALSE)</f>
        <v>WATER9 (U.S. EPA, 2001)</v>
      </c>
      <c r="V685" s="93">
        <f>VLOOKUP(A685,'Parameters Summary'!$B$2:$AB$826,16,FALSE)</f>
        <v>4.4908000000000003E-6</v>
      </c>
      <c r="W685" s="379" t="str">
        <f>VLOOKUP(A685,'Parameters Summary'!$B$2:$AB$826,17,FALSE)</f>
        <v>WATER9 (U.S. EPA, 2001)</v>
      </c>
      <c r="X685" s="347"/>
      <c r="Y685" s="96"/>
      <c r="Z685" s="96" t="s">
        <v>1653</v>
      </c>
      <c r="AA685" s="96"/>
      <c r="AB685" s="96" t="s">
        <v>1651</v>
      </c>
      <c r="AC685" s="96"/>
      <c r="AD685" s="93">
        <f>VLOOKUP(A685,'Parameters Summary'!$B$2:$AB$826,20,FALSE)</f>
        <v>95060</v>
      </c>
      <c r="AE685" s="97" t="str">
        <f>VLOOKUP(A685,'Parameters Summary'!$B$2:$AB$826,21,FALSE)</f>
        <v>EPI</v>
      </c>
      <c r="AF685" s="97"/>
      <c r="AG685" s="94"/>
      <c r="AH685" s="92"/>
      <c r="AI685" s="96"/>
      <c r="AJ685" s="330"/>
      <c r="AL685" s="81"/>
    </row>
    <row r="686" spans="1:38" ht="12.75" customHeight="1">
      <c r="A686" s="96" t="s">
        <v>273</v>
      </c>
      <c r="B686" s="96" t="s">
        <v>1342</v>
      </c>
      <c r="C686" s="96" t="str">
        <f t="shared" si="71"/>
        <v>No</v>
      </c>
      <c r="D686" s="96" t="str">
        <f>VLOOKUP(A686,'Tox Summary'!$O$3:$R$824,3,FALSE)</f>
        <v>No</v>
      </c>
      <c r="E686" s="97">
        <v>216.67</v>
      </c>
      <c r="F686" s="97" t="s">
        <v>1620</v>
      </c>
      <c r="G686" s="93">
        <f>VLOOKUP(A686,'Parameters Summary'!$B$2:$AB$826,9,FALSE)</f>
        <v>4.7E-7</v>
      </c>
      <c r="H686" s="93" t="str">
        <f>VLOOKUP(A686,'Parameters Summary'!$B$2:$AB$826,10,FALSE)</f>
        <v>PHYSPROP</v>
      </c>
      <c r="I686" s="93">
        <f>VLOOKUP(A686,'Parameters Summary'!$B$2:$AB$826,24,FALSE)</f>
        <v>710</v>
      </c>
      <c r="J686" s="97" t="str">
        <f>VLOOKUP(A686,'Parameters Summary'!$B$2:$AB$826,25,FALSE)</f>
        <v>PHYSPROP</v>
      </c>
      <c r="K686" s="97" t="str">
        <f>VLOOKUP(A686,'Tox Summary'!$O$4:$P$824,2,FALSE)</f>
        <v/>
      </c>
      <c r="L686" s="93">
        <f>VLOOKUP(A686,'Parameters Summary'!$B$2:$AB$826,7,FALSE)</f>
        <v>1.2E-10</v>
      </c>
      <c r="M686" s="93" t="str">
        <f>VLOOKUP(A686,'Parameters Summary'!$B$2:$AB$826,8,FALSE)</f>
        <v>EPI</v>
      </c>
      <c r="N686" s="91">
        <f>VLOOKUP(A686,'Parameters Summary'!$B$2:$AB$826,6,FALSE)</f>
        <v>4.9060000000000002E-9</v>
      </c>
      <c r="O686" s="91" t="str">
        <f t="shared" si="68"/>
        <v/>
      </c>
      <c r="P686" s="91">
        <f t="shared" si="69"/>
        <v>4.9060000000000002E-9</v>
      </c>
      <c r="Q686" s="91" t="str">
        <f t="shared" si="67"/>
        <v/>
      </c>
      <c r="R686" s="91">
        <f t="shared" si="70"/>
        <v>4.9060000000000002E-9</v>
      </c>
      <c r="S686" s="91" t="str">
        <f t="shared" si="72"/>
        <v/>
      </c>
      <c r="T686" s="93">
        <f>VLOOKUP(A686,'Parameters Summary'!$B$2:$AB$826,15,FALSE)</f>
        <v>2.7467700000000001E-2</v>
      </c>
      <c r="U686" s="93" t="str">
        <f>VLOOKUP(A686,'Parameters Summary'!$B$2:$AB$826,17,FALSE)</f>
        <v>WATER9 (U.S. EPA, 2001)</v>
      </c>
      <c r="V686" s="93">
        <f>VLOOKUP(A686,'Parameters Summary'!$B$2:$AB$826,16,FALSE)</f>
        <v>7.1789E-6</v>
      </c>
      <c r="W686" s="379" t="str">
        <f>VLOOKUP(A686,'Parameters Summary'!$B$2:$AB$826,17,FALSE)</f>
        <v>WATER9 (U.S. EPA, 2001)</v>
      </c>
      <c r="X686" s="347"/>
      <c r="Y686" s="96"/>
      <c r="Z686" s="96" t="s">
        <v>1653</v>
      </c>
      <c r="AA686" s="96"/>
      <c r="AB686" s="96" t="s">
        <v>1651</v>
      </c>
      <c r="AC686" s="96"/>
      <c r="AD686" s="93">
        <f>VLOOKUP(A686,'Parameters Summary'!$B$2:$AB$826,20,FALSE)</f>
        <v>50.1</v>
      </c>
      <c r="AE686" s="97" t="str">
        <f>VLOOKUP(A686,'Parameters Summary'!$B$2:$AB$826,21,FALSE)</f>
        <v>EPI</v>
      </c>
      <c r="AF686" s="97"/>
      <c r="AG686" s="94"/>
      <c r="AH686" s="92"/>
      <c r="AI686" s="96"/>
      <c r="AJ686" s="330"/>
      <c r="AL686" s="81"/>
    </row>
    <row r="687" spans="1:38" ht="12.75" customHeight="1">
      <c r="A687" s="96" t="s">
        <v>274</v>
      </c>
      <c r="B687" s="96" t="s">
        <v>1343</v>
      </c>
      <c r="C687" s="96" t="str">
        <f t="shared" si="71"/>
        <v>Yes</v>
      </c>
      <c r="D687" s="96" t="str">
        <f>VLOOKUP(A687,'Tox Summary'!$O$3:$R$824,3,FALSE)</f>
        <v>Yes</v>
      </c>
      <c r="E687" s="97">
        <v>288.43</v>
      </c>
      <c r="F687" s="97" t="s">
        <v>1620</v>
      </c>
      <c r="G687" s="93">
        <f>VLOOKUP(A687,'Parameters Summary'!$B$2:$AB$826,9,FALSE)</f>
        <v>3.2000000000000003E-4</v>
      </c>
      <c r="H687" s="93" t="str">
        <f>VLOOKUP(A687,'Parameters Summary'!$B$2:$AB$826,10,FALSE)</f>
        <v>PHYSPROP</v>
      </c>
      <c r="I687" s="93">
        <f>VLOOKUP(A687,'Parameters Summary'!$B$2:$AB$826,24,FALSE)</f>
        <v>5.07</v>
      </c>
      <c r="J687" s="97" t="str">
        <f>VLOOKUP(A687,'Parameters Summary'!$B$2:$AB$826,25,FALSE)</f>
        <v>PHYSPROP</v>
      </c>
      <c r="K687" s="97" t="str">
        <f>VLOOKUP(A687,'Tox Summary'!$O$4:$P$824,2,FALSE)</f>
        <v/>
      </c>
      <c r="L687" s="93">
        <f>VLOOKUP(A687,'Parameters Summary'!$B$2:$AB$826,7,FALSE)</f>
        <v>2.4000000000000001E-5</v>
      </c>
      <c r="M687" s="93" t="str">
        <f>VLOOKUP(A687,'Parameters Summary'!$B$2:$AB$826,8,FALSE)</f>
        <v>EPI</v>
      </c>
      <c r="N687" s="91">
        <f>VLOOKUP(A687,'Parameters Summary'!$B$2:$AB$826,6,FALSE)</f>
        <v>9.812E-4</v>
      </c>
      <c r="O687" s="91" t="str">
        <f t="shared" si="68"/>
        <v/>
      </c>
      <c r="P687" s="91">
        <f t="shared" si="69"/>
        <v>9.812E-4</v>
      </c>
      <c r="Q687" s="91" t="str">
        <f t="shared" si="67"/>
        <v/>
      </c>
      <c r="R687" s="91">
        <f t="shared" si="70"/>
        <v>9.812E-4</v>
      </c>
      <c r="S687" s="91" t="str">
        <f t="shared" si="72"/>
        <v/>
      </c>
      <c r="T687" s="93">
        <f>VLOOKUP(A687,'Parameters Summary'!$B$2:$AB$826,15,FALSE)</f>
        <v>2.15955E-2</v>
      </c>
      <c r="U687" s="93" t="str">
        <f>VLOOKUP(A687,'Parameters Summary'!$B$2:$AB$826,17,FALSE)</f>
        <v>WATER9 (U.S. EPA, 2001)</v>
      </c>
      <c r="V687" s="93">
        <f>VLOOKUP(A687,'Parameters Summary'!$B$2:$AB$826,16,FALSE)</f>
        <v>5.3859999999999998E-6</v>
      </c>
      <c r="W687" s="379" t="str">
        <f>VLOOKUP(A687,'Parameters Summary'!$B$2:$AB$826,17,FALSE)</f>
        <v>WATER9 (U.S. EPA, 2001)</v>
      </c>
      <c r="X687" s="290">
        <v>342.15</v>
      </c>
      <c r="Y687" s="96" t="s">
        <v>553</v>
      </c>
      <c r="Z687" s="96" t="s">
        <v>1653</v>
      </c>
      <c r="AA687" s="96"/>
      <c r="AB687" s="96" t="s">
        <v>1651</v>
      </c>
      <c r="AC687" s="96"/>
      <c r="AD687" s="93">
        <f>VLOOKUP(A687,'Parameters Summary'!$B$2:$AB$826,20,FALSE)</f>
        <v>998.9</v>
      </c>
      <c r="AE687" s="97" t="str">
        <f>VLOOKUP(A687,'Parameters Summary'!$B$2:$AB$826,21,FALSE)</f>
        <v>EPI</v>
      </c>
      <c r="AF687" s="97"/>
      <c r="AG687" s="94"/>
      <c r="AH687" s="92"/>
      <c r="AI687" s="96"/>
      <c r="AJ687" s="330"/>
      <c r="AL687" s="81"/>
    </row>
    <row r="688" spans="1:38" ht="12.75" customHeight="1">
      <c r="A688" s="96" t="s">
        <v>275</v>
      </c>
      <c r="B688" s="96" t="s">
        <v>1344</v>
      </c>
      <c r="C688" s="96" t="str">
        <f t="shared" si="71"/>
        <v>No</v>
      </c>
      <c r="D688" s="96" t="str">
        <f>VLOOKUP(A688,'Tox Summary'!$O$3:$R$824,3,FALSE)</f>
        <v>No</v>
      </c>
      <c r="E688" s="97">
        <v>241.36</v>
      </c>
      <c r="F688" s="97" t="s">
        <v>1620</v>
      </c>
      <c r="G688" s="93">
        <f>VLOOKUP(A688,'Parameters Summary'!$B$2:$AB$826,9,FALSE)</f>
        <v>1.6899999999999999E-6</v>
      </c>
      <c r="H688" s="93" t="str">
        <f>VLOOKUP(A688,'Parameters Summary'!$B$2:$AB$826,10,FALSE)</f>
        <v>PHYSPROP</v>
      </c>
      <c r="I688" s="93">
        <f>VLOOKUP(A688,'Parameters Summary'!$B$2:$AB$826,24,FALSE)</f>
        <v>25</v>
      </c>
      <c r="J688" s="97" t="str">
        <f>VLOOKUP(A688,'Parameters Summary'!$B$2:$AB$826,25,FALSE)</f>
        <v>PHYSPROP</v>
      </c>
      <c r="K688" s="97" t="str">
        <f>VLOOKUP(A688,'Tox Summary'!$O$4:$P$824,2,FALSE)</f>
        <v/>
      </c>
      <c r="L688" s="93">
        <f>VLOOKUP(A688,'Parameters Summary'!$B$2:$AB$826,7,FALSE)</f>
        <v>2.1500000000000001E-8</v>
      </c>
      <c r="M688" s="93" t="str">
        <f>VLOOKUP(A688,'Parameters Summary'!$B$2:$AB$826,8,FALSE)</f>
        <v>EPI</v>
      </c>
      <c r="N688" s="91">
        <f>VLOOKUP(A688,'Parameters Summary'!$B$2:$AB$826,6,FALSE)</f>
        <v>8.7899000000000001E-7</v>
      </c>
      <c r="O688" s="91" t="str">
        <f t="shared" si="68"/>
        <v/>
      </c>
      <c r="P688" s="91">
        <f t="shared" si="69"/>
        <v>8.7899000000000001E-7</v>
      </c>
      <c r="Q688" s="91" t="str">
        <f t="shared" si="67"/>
        <v/>
      </c>
      <c r="R688" s="91">
        <f t="shared" si="70"/>
        <v>8.7899000000000001E-7</v>
      </c>
      <c r="S688" s="91" t="str">
        <f t="shared" si="72"/>
        <v/>
      </c>
      <c r="T688" s="93">
        <f>VLOOKUP(A688,'Parameters Summary'!$B$2:$AB$826,15,FALSE)</f>
        <v>2.3826199999999999E-2</v>
      </c>
      <c r="U688" s="93" t="str">
        <f>VLOOKUP(A688,'Parameters Summary'!$B$2:$AB$826,17,FALSE)</f>
        <v>WATER9 (U.S. EPA, 2001)</v>
      </c>
      <c r="V688" s="93">
        <f>VLOOKUP(A688,'Parameters Summary'!$B$2:$AB$826,16,FALSE)</f>
        <v>6.0260999999999998E-6</v>
      </c>
      <c r="W688" s="379" t="str">
        <f>VLOOKUP(A688,'Parameters Summary'!$B$2:$AB$826,17,FALSE)</f>
        <v>WATER9 (U.S. EPA, 2001)</v>
      </c>
      <c r="X688" s="290">
        <v>430.15</v>
      </c>
      <c r="Y688" s="96" t="s">
        <v>553</v>
      </c>
      <c r="Z688" s="96" t="s">
        <v>1653</v>
      </c>
      <c r="AA688" s="96"/>
      <c r="AB688" s="96" t="s">
        <v>1651</v>
      </c>
      <c r="AC688" s="96"/>
      <c r="AD688" s="93">
        <f>VLOOKUP(A688,'Parameters Summary'!$B$2:$AB$826,20,FALSE)</f>
        <v>607</v>
      </c>
      <c r="AE688" s="97" t="str">
        <f>VLOOKUP(A688,'Parameters Summary'!$B$2:$AB$826,21,FALSE)</f>
        <v>EPI</v>
      </c>
      <c r="AF688" s="97"/>
      <c r="AG688" s="94"/>
      <c r="AH688" s="92"/>
      <c r="AI688" s="96"/>
      <c r="AJ688" s="330"/>
      <c r="AL688" s="81"/>
    </row>
    <row r="689" spans="1:38" ht="12.75" customHeight="1">
      <c r="A689" s="96" t="s">
        <v>276</v>
      </c>
      <c r="B689" s="96" t="s">
        <v>549</v>
      </c>
      <c r="C689" s="96" t="str">
        <f t="shared" si="71"/>
        <v>No</v>
      </c>
      <c r="D689" s="96" t="str">
        <f>VLOOKUP(A689,'Tox Summary'!$O$3:$R$824,3,FALSE)</f>
        <v>No</v>
      </c>
      <c r="E689" s="97">
        <v>485.8</v>
      </c>
      <c r="F689" s="97" t="s">
        <v>1620</v>
      </c>
      <c r="G689" s="93">
        <f>VLOOKUP(A689,'Parameters Summary'!$B$2:$AB$826,9,FALSE)</f>
        <v>7.0000000000000005E-8</v>
      </c>
      <c r="H689" s="93" t="str">
        <f>VLOOKUP(A689,'Parameters Summary'!$B$2:$AB$826,10,FALSE)</f>
        <v>EPI</v>
      </c>
      <c r="I689" s="93">
        <f>VLOOKUP(A689,'Parameters Summary'!$B$2:$AB$826,24,FALSE)</f>
        <v>1.4610000000000001E-3</v>
      </c>
      <c r="J689" s="97" t="str">
        <f>VLOOKUP(A689,'Parameters Summary'!$B$2:$AB$826,25,FALSE)</f>
        <v>PHYSPROP</v>
      </c>
      <c r="K689" s="97" t="str">
        <f>VLOOKUP(A689,'Tox Summary'!$O$4:$P$824,2,FALSE)</f>
        <v/>
      </c>
      <c r="L689" s="93">
        <f>VLOOKUP(A689,'Parameters Summary'!$B$2:$AB$826,7,FALSE)</f>
        <v>2.9699999999999999E-6</v>
      </c>
      <c r="M689" s="93" t="str">
        <f>VLOOKUP(A689,'Parameters Summary'!$B$2:$AB$826,8,FALSE)</f>
        <v>PHYSPROP</v>
      </c>
      <c r="N689" s="91">
        <f>VLOOKUP(A689,'Parameters Summary'!$B$2:$AB$826,6,FALSE)</f>
        <v>1.214E-4</v>
      </c>
      <c r="O689" s="91" t="str">
        <f t="shared" si="68"/>
        <v/>
      </c>
      <c r="P689" s="91">
        <f t="shared" si="69"/>
        <v>1.214E-4</v>
      </c>
      <c r="Q689" s="91" t="str">
        <f t="shared" si="67"/>
        <v/>
      </c>
      <c r="R689" s="91">
        <f t="shared" si="70"/>
        <v>1.214E-4</v>
      </c>
      <c r="S689" s="91" t="str">
        <f t="shared" si="72"/>
        <v/>
      </c>
      <c r="T689" s="93">
        <f>VLOOKUP(A689,'Parameters Summary'!$B$2:$AB$826,15,FALSE)</f>
        <v>3.0745499999999999E-2</v>
      </c>
      <c r="U689" s="93" t="str">
        <f>VLOOKUP(A689,'Parameters Summary'!$B$2:$AB$826,17,FALSE)</f>
        <v>WATER9 (U.S. EPA, 2001)</v>
      </c>
      <c r="V689" s="93">
        <f>VLOOKUP(A689,'Parameters Summary'!$B$2:$AB$826,16,FALSE)</f>
        <v>3.5924000000000001E-6</v>
      </c>
      <c r="W689" s="379" t="str">
        <f>VLOOKUP(A689,'Parameters Summary'!$B$2:$AB$826,17,FALSE)</f>
        <v>WATER9 (U.S. EPA, 2001)</v>
      </c>
      <c r="X689" s="347"/>
      <c r="Y689" s="96"/>
      <c r="Z689" s="96" t="s">
        <v>1653</v>
      </c>
      <c r="AA689" s="96"/>
      <c r="AB689" s="96" t="s">
        <v>1651</v>
      </c>
      <c r="AC689" s="96"/>
      <c r="AD689" s="93">
        <f>VLOOKUP(A689,'Parameters Summary'!$B$2:$AB$826,20,FALSE)</f>
        <v>13230</v>
      </c>
      <c r="AE689" s="97" t="str">
        <f>VLOOKUP(A689,'Parameters Summary'!$B$2:$AB$826,21,FALSE)</f>
        <v>EPI</v>
      </c>
      <c r="AF689" s="97"/>
      <c r="AG689" s="94"/>
      <c r="AH689" s="92"/>
      <c r="AI689" s="96"/>
      <c r="AJ689" s="330"/>
      <c r="AL689" s="81"/>
    </row>
    <row r="690" spans="1:38" ht="12.75" customHeight="1">
      <c r="A690" s="96" t="s">
        <v>277</v>
      </c>
      <c r="B690" s="96" t="s">
        <v>1345</v>
      </c>
      <c r="C690" s="96" t="str">
        <f t="shared" si="71"/>
        <v>Yes</v>
      </c>
      <c r="D690" s="96" t="str">
        <f>VLOOKUP(A690,'Tox Summary'!$O$3:$R$824,3,FALSE)</f>
        <v>No</v>
      </c>
      <c r="E690" s="97">
        <v>215.89</v>
      </c>
      <c r="F690" s="97" t="s">
        <v>1620</v>
      </c>
      <c r="G690" s="93">
        <f>VLOOKUP(A690,'Parameters Summary'!$B$2:$AB$826,9,FALSE)</f>
        <v>5.4000000000000003E-3</v>
      </c>
      <c r="H690" s="93" t="str">
        <f>VLOOKUP(A690,'Parameters Summary'!$B$2:$AB$826,10,FALSE)</f>
        <v>EPI</v>
      </c>
      <c r="I690" s="93">
        <f>VLOOKUP(A690,'Parameters Summary'!$B$2:$AB$826,24,FALSE)</f>
        <v>0.59499999999999997</v>
      </c>
      <c r="J690" s="97" t="str">
        <f>VLOOKUP(A690,'Parameters Summary'!$B$2:$AB$826,25,FALSE)</f>
        <v>PHYSPROP</v>
      </c>
      <c r="K690" s="97" t="str">
        <f>VLOOKUP(A690,'Tox Summary'!$O$4:$P$824,2,FALSE)</f>
        <v/>
      </c>
      <c r="L690" s="93">
        <f>VLOOKUP(A690,'Parameters Summary'!$B$2:$AB$826,7,FALSE)</f>
        <v>1E-3</v>
      </c>
      <c r="M690" s="93" t="str">
        <f>VLOOKUP(A690,'Parameters Summary'!$B$2:$AB$826,8,FALSE)</f>
        <v>PHYSPROP</v>
      </c>
      <c r="N690" s="91">
        <f>VLOOKUP(A690,'Parameters Summary'!$B$2:$AB$826,6,FALSE)</f>
        <v>4.0883099999999999E-2</v>
      </c>
      <c r="O690" s="91" t="str">
        <f t="shared" si="68"/>
        <v/>
      </c>
      <c r="P690" s="91">
        <f t="shared" si="69"/>
        <v>4.0883099999999999E-2</v>
      </c>
      <c r="Q690" s="91" t="str">
        <f t="shared" si="67"/>
        <v/>
      </c>
      <c r="R690" s="91">
        <f t="shared" si="70"/>
        <v>4.0883099999999999E-2</v>
      </c>
      <c r="S690" s="91" t="str">
        <f t="shared" si="72"/>
        <v/>
      </c>
      <c r="T690" s="93">
        <f>VLOOKUP(A690,'Parameters Summary'!$B$2:$AB$826,15,FALSE)</f>
        <v>3.1895800000000002E-2</v>
      </c>
      <c r="U690" s="93" t="str">
        <f>VLOOKUP(A690,'Parameters Summary'!$B$2:$AB$826,17,FALSE)</f>
        <v>WATER9 (U.S. EPA, 2001)</v>
      </c>
      <c r="V690" s="93">
        <f>VLOOKUP(A690,'Parameters Summary'!$B$2:$AB$826,16,FALSE)</f>
        <v>8.7530999999999993E-6</v>
      </c>
      <c r="W690" s="379" t="str">
        <f>VLOOKUP(A690,'Parameters Summary'!$B$2:$AB$826,17,FALSE)</f>
        <v>WATER9 (U.S. EPA, 2001)</v>
      </c>
      <c r="X690" s="290">
        <v>517.65</v>
      </c>
      <c r="Y690" s="96" t="s">
        <v>553</v>
      </c>
      <c r="Z690" s="96">
        <f>1.5*X690</f>
        <v>776.47499999999991</v>
      </c>
      <c r="AA690" s="96" t="s">
        <v>2220</v>
      </c>
      <c r="AB690" s="96" t="s">
        <v>1651</v>
      </c>
      <c r="AC690" s="96"/>
      <c r="AD690" s="93">
        <f>VLOOKUP(A690,'Parameters Summary'!$B$2:$AB$826,20,FALSE)</f>
        <v>2220</v>
      </c>
      <c r="AE690" s="97" t="str">
        <f>VLOOKUP(A690,'Parameters Summary'!$B$2:$AB$826,21,FALSE)</f>
        <v>EPI</v>
      </c>
      <c r="AF690" s="97"/>
      <c r="AG690" s="94"/>
      <c r="AH690" s="92"/>
      <c r="AI690" s="96"/>
      <c r="AJ690" s="330"/>
      <c r="AL690" s="81"/>
    </row>
    <row r="691" spans="1:38" ht="12.75" customHeight="1">
      <c r="A691" s="95" t="s">
        <v>198</v>
      </c>
      <c r="B691" s="96" t="s">
        <v>2324</v>
      </c>
      <c r="C691" s="96" t="str">
        <f t="shared" si="71"/>
        <v>No</v>
      </c>
      <c r="D691" s="96" t="str">
        <f>VLOOKUP(A691,'Tox Summary'!$O$3:$R$824,3,FALSE)</f>
        <v>Yes</v>
      </c>
      <c r="E691" s="97">
        <v>291.99</v>
      </c>
      <c r="F691" s="97" t="s">
        <v>1620</v>
      </c>
      <c r="G691" s="93">
        <f>VLOOKUP(A691,'Parameters Summary'!$B$2:$AB$826,9,FALSE)</f>
        <v>1.6399999999999999E-5</v>
      </c>
      <c r="H691" s="93" t="str">
        <f>VLOOKUP(A691,'Parameters Summary'!$B$2:$AB$826,10,FALSE)</f>
        <v>PHYSPROP</v>
      </c>
      <c r="I691" s="93">
        <f>VLOOKUP(A691,'Parameters Summary'!$B$2:$AB$826,24,FALSE)</f>
        <v>5.6899999999999995E-4</v>
      </c>
      <c r="J691" s="97" t="str">
        <f>VLOOKUP(A691,'Parameters Summary'!$B$2:$AB$826,25,FALSE)</f>
        <v>PHYSPROP</v>
      </c>
      <c r="K691" s="97" t="str">
        <f>VLOOKUP(A691,'Tox Summary'!$O$4:$P$824,2,FALSE)</f>
        <v/>
      </c>
      <c r="L691" s="93">
        <f>VLOOKUP(A691,'Parameters Summary'!$B$2:$AB$826,7,FALSE)</f>
        <v>9.3999999999999998E-6</v>
      </c>
      <c r="M691" s="93" t="str">
        <f>VLOOKUP(A691,'Parameters Summary'!$B$2:$AB$826,8,FALSE)</f>
        <v>PHYSPROP</v>
      </c>
      <c r="N691" s="91">
        <f>VLOOKUP(A691,'Parameters Summary'!$B$2:$AB$826,6,FALSE)</f>
        <v>3.8430000000000002E-4</v>
      </c>
      <c r="O691" s="91" t="str">
        <f t="shared" si="68"/>
        <v/>
      </c>
      <c r="P691" s="91">
        <f t="shared" si="69"/>
        <v>3.8430000000000002E-4</v>
      </c>
      <c r="Q691" s="91" t="str">
        <f t="shared" si="67"/>
        <v/>
      </c>
      <c r="R691" s="91">
        <f t="shared" si="70"/>
        <v>3.8430000000000002E-4</v>
      </c>
      <c r="S691" s="91" t="str">
        <f t="shared" si="72"/>
        <v/>
      </c>
      <c r="T691" s="93">
        <f>VLOOKUP(A691,'Parameters Summary'!$B$2:$AB$826,15,FALSE)</f>
        <v>4.9383900000000001E-2</v>
      </c>
      <c r="U691" s="93" t="str">
        <f>VLOOKUP(A691,'Parameters Summary'!$B$2:$AB$826,17,FALSE)</f>
        <v>WATER9 (U.S. EPA, 2001)</v>
      </c>
      <c r="V691" s="93">
        <f>VLOOKUP(A691,'Parameters Summary'!$B$2:$AB$826,16,FALSE)</f>
        <v>5.0440000000000003E-6</v>
      </c>
      <c r="W691" s="379" t="str">
        <f>VLOOKUP(A691,'Parameters Summary'!$B$2:$AB$826,17,FALSE)</f>
        <v>WATER9 (U.S. EPA, 2001)</v>
      </c>
      <c r="X691" s="290">
        <f>359.51+273.15</f>
        <v>632.66</v>
      </c>
      <c r="Y691" s="96" t="s">
        <v>553</v>
      </c>
      <c r="Z691" s="96">
        <f>1.5*X691</f>
        <v>948.99</v>
      </c>
      <c r="AA691" s="96" t="s">
        <v>2220</v>
      </c>
      <c r="AB691" s="96" t="s">
        <v>1651</v>
      </c>
      <c r="AC691" s="96"/>
      <c r="AD691" s="93">
        <f>VLOOKUP(A691,'Parameters Summary'!$B$2:$AB$826,20,FALSE)</f>
        <v>78100</v>
      </c>
      <c r="AE691" s="97" t="str">
        <f>VLOOKUP(A691,'Parameters Summary'!$B$2:$AB$826,21,FALSE)</f>
        <v>EPI</v>
      </c>
      <c r="AF691" s="380"/>
      <c r="AG691" s="97"/>
      <c r="AH691" s="92"/>
      <c r="AI691" s="96"/>
      <c r="AJ691" s="330"/>
      <c r="AL691" s="81"/>
    </row>
    <row r="692" spans="1:38" ht="12.75" customHeight="1">
      <c r="A692" s="95" t="s">
        <v>199</v>
      </c>
      <c r="B692" s="96" t="s">
        <v>2251</v>
      </c>
      <c r="C692" s="96" t="str">
        <f t="shared" si="71"/>
        <v>Yes</v>
      </c>
      <c r="D692" s="96" t="str">
        <f>VLOOKUP(A692,'Tox Summary'!$O$3:$R$824,3,FALSE)</f>
        <v>Yes</v>
      </c>
      <c r="E692" s="97">
        <v>291.99</v>
      </c>
      <c r="F692" s="97" t="s">
        <v>553</v>
      </c>
      <c r="G692" s="93">
        <f>VLOOKUP(A692,'Parameters Summary'!$B$2:$AB$826,9,FALSE)</f>
        <v>8.4500000000000004E-6</v>
      </c>
      <c r="H692" s="93" t="str">
        <f>VLOOKUP(A692,'Parameters Summary'!$B$2:$AB$826,10,FALSE)</f>
        <v>EPI</v>
      </c>
      <c r="I692" s="93">
        <f>VLOOKUP(A692,'Parameters Summary'!$B$2:$AB$826,24,FALSE)</f>
        <v>3.2245000000000003E-2</v>
      </c>
      <c r="J692" s="97" t="str">
        <f>VLOOKUP(A692,'Parameters Summary'!$B$2:$AB$826,25,FALSE)</f>
        <v>EPI</v>
      </c>
      <c r="K692" s="97" t="str">
        <f>VLOOKUP(A692,'Tox Summary'!$O$4:$P$824,2,FALSE)</f>
        <v/>
      </c>
      <c r="L692" s="93">
        <f>VLOOKUP(A692,'Parameters Summary'!$B$2:$AB$826,7,FALSE)</f>
        <v>2.23E-4</v>
      </c>
      <c r="M692" s="93" t="str">
        <f>VLOOKUP(A692,'Parameters Summary'!$B$2:$AB$826,8,FALSE)</f>
        <v>EPI</v>
      </c>
      <c r="N692" s="91">
        <f>VLOOKUP(A692,'Parameters Summary'!$B$2:$AB$826,6,FALSE)</f>
        <v>9.1169000000000007E-3</v>
      </c>
      <c r="O692" s="91" t="str">
        <f t="shared" si="68"/>
        <v/>
      </c>
      <c r="P692" s="91">
        <f t="shared" si="69"/>
        <v>9.1169000000000007E-3</v>
      </c>
      <c r="Q692" s="91" t="str">
        <f t="shared" si="67"/>
        <v/>
      </c>
      <c r="R692" s="91">
        <f t="shared" si="70"/>
        <v>9.1169000000000007E-3</v>
      </c>
      <c r="S692" s="91" t="str">
        <f t="shared" si="72"/>
        <v/>
      </c>
      <c r="T692" s="93">
        <f>VLOOKUP(A692,'Parameters Summary'!$B$2:$AB$826,15,FALSE)</f>
        <v>4.9383900000000001E-2</v>
      </c>
      <c r="U692" s="93" t="str">
        <f>VLOOKUP(A692,'Parameters Summary'!$B$2:$AB$826,17,FALSE)</f>
        <v>WATER9 (U.S. EPA, 2001)</v>
      </c>
      <c r="V692" s="93">
        <f>VLOOKUP(A692,'Parameters Summary'!$B$2:$AB$826,16,FALSE)</f>
        <v>6.2697000000000003E-6</v>
      </c>
      <c r="W692" s="379" t="str">
        <f>VLOOKUP(A692,'Parameters Summary'!$B$2:$AB$826,17,FALSE)</f>
        <v>WATER9 (U.S. EPA, 2001)</v>
      </c>
      <c r="X692" s="290">
        <f>359.51+273.15</f>
        <v>632.66</v>
      </c>
      <c r="Y692" s="96" t="s">
        <v>553</v>
      </c>
      <c r="Z692" s="96">
        <f>1.5*X692</f>
        <v>948.99</v>
      </c>
      <c r="AA692" s="96" t="s">
        <v>2220</v>
      </c>
      <c r="AB692" s="96" t="s">
        <v>1651</v>
      </c>
      <c r="AC692" s="96"/>
      <c r="AD692" s="93">
        <f>VLOOKUP(A692,'Parameters Summary'!$B$2:$AB$826,20,FALSE)</f>
        <v>78100</v>
      </c>
      <c r="AE692" s="97" t="str">
        <f>VLOOKUP(A692,'Parameters Summary'!$B$2:$AB$826,21,FALSE)</f>
        <v>EPI</v>
      </c>
      <c r="AF692" s="380"/>
      <c r="AG692" s="97"/>
      <c r="AH692" s="92"/>
      <c r="AI692" s="96"/>
      <c r="AJ692" s="330"/>
      <c r="AL692" s="81"/>
    </row>
    <row r="693" spans="1:38">
      <c r="A693" s="95" t="s">
        <v>278</v>
      </c>
      <c r="B693" s="96" t="s">
        <v>441</v>
      </c>
      <c r="C693" s="96" t="str">
        <f t="shared" si="71"/>
        <v>Yes</v>
      </c>
      <c r="D693" s="96" t="str">
        <f>VLOOKUP(A693,'Tox Summary'!$O$3:$R$824,3,FALSE)</f>
        <v>No</v>
      </c>
      <c r="E693" s="97">
        <v>167.85</v>
      </c>
      <c r="F693" s="97" t="s">
        <v>1620</v>
      </c>
      <c r="G693" s="93">
        <f>VLOOKUP(A693,'Parameters Summary'!$B$2:$AB$826,9,FALSE)</f>
        <v>12</v>
      </c>
      <c r="H693" s="93" t="str">
        <f>VLOOKUP(A693,'Parameters Summary'!$B$2:$AB$826,10,FALSE)</f>
        <v>PHYSPROP</v>
      </c>
      <c r="I693" s="93">
        <f>VLOOKUP(A693,'Parameters Summary'!$B$2:$AB$826,24,FALSE)</f>
        <v>1070</v>
      </c>
      <c r="J693" s="97" t="str">
        <f>VLOOKUP(A693,'Parameters Summary'!$B$2:$AB$826,25,FALSE)</f>
        <v>PHYSPROP</v>
      </c>
      <c r="K693" s="97" t="str">
        <f>VLOOKUP(A693,'Tox Summary'!$O$4:$P$824,2,FALSE)</f>
        <v/>
      </c>
      <c r="L693" s="93">
        <f>VLOOKUP(A693,'Parameters Summary'!$B$2:$AB$826,7,FALSE)</f>
        <v>2.5000000000000001E-3</v>
      </c>
      <c r="M693" s="93" t="str">
        <f>VLOOKUP(A693,'Parameters Summary'!$B$2:$AB$826,8,FALSE)</f>
        <v>PHYSPROP</v>
      </c>
      <c r="N693" s="91">
        <f>VLOOKUP(A693,'Parameters Summary'!$B$2:$AB$826,6,FALSE)</f>
        <v>0.1022077</v>
      </c>
      <c r="O693" s="91">
        <f t="shared" si="68"/>
        <v>0.1022077</v>
      </c>
      <c r="P693" s="91">
        <f t="shared" si="69"/>
        <v>0.1022077</v>
      </c>
      <c r="Q693" s="91">
        <f t="shared" si="67"/>
        <v>0.1022077</v>
      </c>
      <c r="R693" s="91">
        <f t="shared" si="70"/>
        <v>0.1022077</v>
      </c>
      <c r="S693" s="91">
        <f t="shared" si="72"/>
        <v>108381656.04663794</v>
      </c>
      <c r="T693" s="93">
        <f>VLOOKUP(A693,'Parameters Summary'!$B$2:$AB$826,15,FALSE)</f>
        <v>4.8176099999999999E-2</v>
      </c>
      <c r="U693" s="93" t="str">
        <f>VLOOKUP(A693,'Parameters Summary'!$B$2:$AB$826,17,FALSE)</f>
        <v>WATER9 (U.S. EPA, 2001)</v>
      </c>
      <c r="V693" s="93">
        <f>VLOOKUP(A693,'Parameters Summary'!$B$2:$AB$826,16,FALSE)</f>
        <v>9.0976999999999993E-6</v>
      </c>
      <c r="W693" s="379" t="str">
        <f>VLOOKUP(A693,'Parameters Summary'!$B$2:$AB$826,17,FALSE)</f>
        <v>WATER9 (U.S. EPA, 2001)</v>
      </c>
      <c r="X693" s="290">
        <v>403.5</v>
      </c>
      <c r="Y693" s="96" t="s">
        <v>553</v>
      </c>
      <c r="Z693" s="96">
        <v>624</v>
      </c>
      <c r="AA693" s="96" t="s">
        <v>2215</v>
      </c>
      <c r="AB693" s="96">
        <v>9768.2825249999987</v>
      </c>
      <c r="AC693" s="96" t="s">
        <v>2215</v>
      </c>
      <c r="AD693" s="93">
        <f>VLOOKUP(A693,'Parameters Summary'!$B$2:$AB$826,20,FALSE)</f>
        <v>86.03</v>
      </c>
      <c r="AE693" s="97" t="str">
        <f>VLOOKUP(A693,'Parameters Summary'!$B$2:$AB$826,21,FALSE)</f>
        <v>EPI</v>
      </c>
      <c r="AF693" s="380"/>
      <c r="AG693" s="97"/>
      <c r="AH693" s="92"/>
      <c r="AI693" s="96"/>
      <c r="AJ693" s="330"/>
      <c r="AL693" s="81"/>
    </row>
    <row r="694" spans="1:38" ht="12.75" customHeight="1">
      <c r="A694" s="95" t="s">
        <v>279</v>
      </c>
      <c r="B694" s="96" t="s">
        <v>443</v>
      </c>
      <c r="C694" s="96" t="str">
        <f t="shared" si="71"/>
        <v>Yes</v>
      </c>
      <c r="D694" s="96" t="str">
        <f>VLOOKUP(A694,'Tox Summary'!$O$3:$R$824,3,FALSE)</f>
        <v>No</v>
      </c>
      <c r="E694" s="97">
        <v>167.85</v>
      </c>
      <c r="F694" s="97" t="s">
        <v>1620</v>
      </c>
      <c r="G694" s="93">
        <f>VLOOKUP(A694,'Parameters Summary'!$B$2:$AB$826,9,FALSE)</f>
        <v>4.62</v>
      </c>
      <c r="H694" s="93" t="str">
        <f>VLOOKUP(A694,'Parameters Summary'!$B$2:$AB$826,10,FALSE)</f>
        <v>PHYSPROP</v>
      </c>
      <c r="I694" s="93">
        <f>VLOOKUP(A694,'Parameters Summary'!$B$2:$AB$826,24,FALSE)</f>
        <v>2830</v>
      </c>
      <c r="J694" s="97" t="str">
        <f>VLOOKUP(A694,'Parameters Summary'!$B$2:$AB$826,25,FALSE)</f>
        <v>PHYSPROP</v>
      </c>
      <c r="K694" s="97" t="str">
        <f>VLOOKUP(A694,'Tox Summary'!$O$4:$P$824,2,FALSE)</f>
        <v/>
      </c>
      <c r="L694" s="93">
        <f>VLOOKUP(A694,'Parameters Summary'!$B$2:$AB$826,7,FALSE)</f>
        <v>3.6699999999999998E-4</v>
      </c>
      <c r="M694" s="93" t="str">
        <f>VLOOKUP(A694,'Parameters Summary'!$B$2:$AB$826,8,FALSE)</f>
        <v>PHYSPROP</v>
      </c>
      <c r="N694" s="91">
        <f>VLOOKUP(A694,'Parameters Summary'!$B$2:$AB$826,6,FALSE)</f>
        <v>1.5004099999999999E-2</v>
      </c>
      <c r="O694" s="91">
        <f t="shared" si="68"/>
        <v>1.5004099999999999E-2</v>
      </c>
      <c r="P694" s="91">
        <f t="shared" si="69"/>
        <v>1.5004099999999999E-2</v>
      </c>
      <c r="Q694" s="91">
        <f t="shared" si="67"/>
        <v>1.5004099999999999E-2</v>
      </c>
      <c r="R694" s="91">
        <f t="shared" si="70"/>
        <v>1.5004099999999999E-2</v>
      </c>
      <c r="S694" s="91">
        <f t="shared" si="72"/>
        <v>41726937.577955619</v>
      </c>
      <c r="T694" s="93">
        <f>VLOOKUP(A694,'Parameters Summary'!$B$2:$AB$826,15,FALSE)</f>
        <v>4.8920600000000002E-2</v>
      </c>
      <c r="U694" s="93" t="str">
        <f>VLOOKUP(A694,'Parameters Summary'!$B$2:$AB$826,17,FALSE)</f>
        <v>WATER9 (U.S. EPA, 2001)</v>
      </c>
      <c r="V694" s="93">
        <f>VLOOKUP(A694,'Parameters Summary'!$B$2:$AB$826,16,FALSE)</f>
        <v>9.2901999999999996E-6</v>
      </c>
      <c r="W694" s="379" t="str">
        <f>VLOOKUP(A694,'Parameters Summary'!$B$2:$AB$826,17,FALSE)</f>
        <v>WATER9 (U.S. EPA, 2001)</v>
      </c>
      <c r="X694" s="290">
        <v>419.5</v>
      </c>
      <c r="Y694" s="96" t="s">
        <v>553</v>
      </c>
      <c r="Z694" s="96">
        <v>661.15</v>
      </c>
      <c r="AA694" s="96" t="s">
        <v>2227</v>
      </c>
      <c r="AB694" s="96">
        <v>8996</v>
      </c>
      <c r="AC694" s="96" t="s">
        <v>2227</v>
      </c>
      <c r="AD694" s="93">
        <f>VLOOKUP(A694,'Parameters Summary'!$B$2:$AB$826,20,FALSE)</f>
        <v>94.94</v>
      </c>
      <c r="AE694" s="97" t="str">
        <f>VLOOKUP(A694,'Parameters Summary'!$B$2:$AB$826,21,FALSE)</f>
        <v>EPI</v>
      </c>
      <c r="AF694" s="380"/>
      <c r="AG694" s="97"/>
      <c r="AH694" s="92"/>
      <c r="AI694" s="96"/>
      <c r="AJ694" s="330"/>
      <c r="AL694" s="81"/>
    </row>
    <row r="695" spans="1:38" ht="12.75" customHeight="1">
      <c r="A695" s="95" t="s">
        <v>280</v>
      </c>
      <c r="B695" s="96" t="s">
        <v>397</v>
      </c>
      <c r="C695" s="96" t="str">
        <f t="shared" si="71"/>
        <v>Yes</v>
      </c>
      <c r="D695" s="96" t="str">
        <f>VLOOKUP(A695,'Tox Summary'!$O$3:$R$824,3,FALSE)</f>
        <v>No</v>
      </c>
      <c r="E695" s="97">
        <v>165.83</v>
      </c>
      <c r="F695" s="97" t="s">
        <v>1620</v>
      </c>
      <c r="G695" s="93">
        <f>VLOOKUP(A695,'Parameters Summary'!$B$2:$AB$826,9,FALSE)</f>
        <v>18.5</v>
      </c>
      <c r="H695" s="93" t="str">
        <f>VLOOKUP(A695,'Parameters Summary'!$B$2:$AB$826,10,FALSE)</f>
        <v>PHYSPROP</v>
      </c>
      <c r="I695" s="93">
        <f>VLOOKUP(A695,'Parameters Summary'!$B$2:$AB$826,24,FALSE)</f>
        <v>206</v>
      </c>
      <c r="J695" s="97" t="str">
        <f>VLOOKUP(A695,'Parameters Summary'!$B$2:$AB$826,25,FALSE)</f>
        <v>PHYSPROP</v>
      </c>
      <c r="K695" s="97">
        <f>VLOOKUP(A695,'Tox Summary'!$O$4:$P$824,2,FALSE)</f>
        <v>5</v>
      </c>
      <c r="L695" s="93">
        <f>VLOOKUP(A695,'Parameters Summary'!$B$2:$AB$826,7,FALSE)</f>
        <v>1.77E-2</v>
      </c>
      <c r="M695" s="93" t="str">
        <f>VLOOKUP(A695,'Parameters Summary'!$B$2:$AB$826,8,FALSE)</f>
        <v>PHYSPROP</v>
      </c>
      <c r="N695" s="91">
        <f>VLOOKUP(A695,'Parameters Summary'!$B$2:$AB$826,6,FALSE)</f>
        <v>0.72363040000000001</v>
      </c>
      <c r="O695" s="91">
        <f t="shared" si="68"/>
        <v>0.72363040000000001</v>
      </c>
      <c r="P695" s="91">
        <f t="shared" si="69"/>
        <v>0.72363040000000001</v>
      </c>
      <c r="Q695" s="91">
        <f t="shared" si="67"/>
        <v>0.72363040000000001</v>
      </c>
      <c r="R695" s="91">
        <f t="shared" si="70"/>
        <v>0.72363040000000001</v>
      </c>
      <c r="S695" s="91">
        <f t="shared" si="72"/>
        <v>165077552.08567101</v>
      </c>
      <c r="T695" s="93">
        <f>VLOOKUP(A695,'Parameters Summary'!$B$2:$AB$826,15,FALSE)</f>
        <v>5.0466400000000002E-2</v>
      </c>
      <c r="U695" s="93" t="str">
        <f>VLOOKUP(A695,'Parameters Summary'!$B$2:$AB$826,17,FALSE)</f>
        <v>WATER9 (U.S. EPA, 2001)</v>
      </c>
      <c r="V695" s="93">
        <f>VLOOKUP(A695,'Parameters Summary'!$B$2:$AB$826,16,FALSE)</f>
        <v>9.4551000000000003E-6</v>
      </c>
      <c r="W695" s="379" t="str">
        <f>VLOOKUP(A695,'Parameters Summary'!$B$2:$AB$826,17,FALSE)</f>
        <v>WATER9 (U.S. EPA, 2001)</v>
      </c>
      <c r="X695" s="290">
        <v>394.3</v>
      </c>
      <c r="Y695" s="96" t="s">
        <v>553</v>
      </c>
      <c r="Z695" s="96">
        <v>620.20000000000005</v>
      </c>
      <c r="AA695" s="96" t="s">
        <v>2227</v>
      </c>
      <c r="AB695" s="96">
        <v>8288</v>
      </c>
      <c r="AC695" s="96" t="s">
        <v>2227</v>
      </c>
      <c r="AD695" s="93">
        <f>VLOOKUP(A695,'Parameters Summary'!$B$2:$AB$826,20,FALSE)</f>
        <v>94.94</v>
      </c>
      <c r="AE695" s="97" t="str">
        <f>VLOOKUP(A695,'Parameters Summary'!$B$2:$AB$826,21,FALSE)</f>
        <v>EPI</v>
      </c>
      <c r="AF695" s="380"/>
      <c r="AG695" s="97"/>
      <c r="AH695" s="92"/>
      <c r="AI695" s="96"/>
      <c r="AJ695" s="330"/>
      <c r="AL695" s="81"/>
    </row>
    <row r="696" spans="1:38" ht="12.75" customHeight="1">
      <c r="A696" s="96" t="s">
        <v>281</v>
      </c>
      <c r="B696" s="96" t="s">
        <v>1346</v>
      </c>
      <c r="C696" s="96" t="str">
        <f t="shared" si="71"/>
        <v>No</v>
      </c>
      <c r="D696" s="96" t="str">
        <f>VLOOKUP(A696,'Tox Summary'!$O$3:$R$824,3,FALSE)</f>
        <v>No</v>
      </c>
      <c r="E696" s="97">
        <v>231.89</v>
      </c>
      <c r="F696" s="97" t="s">
        <v>1620</v>
      </c>
      <c r="G696" s="93">
        <f>VLOOKUP(A696,'Parameters Summary'!$B$2:$AB$826,9,FALSE)</f>
        <v>6.6600000000000003E-4</v>
      </c>
      <c r="H696" s="93" t="str">
        <f>VLOOKUP(A696,'Parameters Summary'!$B$2:$AB$826,10,FALSE)</f>
        <v>EPI</v>
      </c>
      <c r="I696" s="93">
        <f>VLOOKUP(A696,'Parameters Summary'!$B$2:$AB$826,24,FALSE)</f>
        <v>23</v>
      </c>
      <c r="J696" s="97" t="str">
        <f>VLOOKUP(A696,'Parameters Summary'!$B$2:$AB$826,25,FALSE)</f>
        <v>PHYSPROP</v>
      </c>
      <c r="K696" s="97" t="str">
        <f>VLOOKUP(A696,'Tox Summary'!$O$4:$P$824,2,FALSE)</f>
        <v/>
      </c>
      <c r="L696" s="93">
        <f>VLOOKUP(A696,'Parameters Summary'!$B$2:$AB$826,7,FALSE)</f>
        <v>8.8400000000000001E-6</v>
      </c>
      <c r="M696" s="93" t="str">
        <f>VLOOKUP(A696,'Parameters Summary'!$B$2:$AB$826,8,FALSE)</f>
        <v>EPI</v>
      </c>
      <c r="N696" s="91">
        <f>VLOOKUP(A696,'Parameters Summary'!$B$2:$AB$826,6,FALSE)</f>
        <v>3.614E-4</v>
      </c>
      <c r="O696" s="91" t="str">
        <f t="shared" si="68"/>
        <v/>
      </c>
      <c r="P696" s="91">
        <f t="shared" si="69"/>
        <v>3.614E-4</v>
      </c>
      <c r="Q696" s="91" t="str">
        <f t="shared" si="67"/>
        <v/>
      </c>
      <c r="R696" s="91">
        <f t="shared" si="70"/>
        <v>3.614E-4</v>
      </c>
      <c r="S696" s="91" t="str">
        <f t="shared" si="72"/>
        <v/>
      </c>
      <c r="T696" s="93">
        <f>VLOOKUP(A696,'Parameters Summary'!$B$2:$AB$826,15,FALSE)</f>
        <v>5.0338300000000002E-2</v>
      </c>
      <c r="U696" s="93" t="str">
        <f>VLOOKUP(A696,'Parameters Summary'!$B$2:$AB$826,17,FALSE)</f>
        <v>WATER9 (U.S. EPA, 2001)</v>
      </c>
      <c r="V696" s="93">
        <f>VLOOKUP(A696,'Parameters Summary'!$B$2:$AB$826,16,FALSE)</f>
        <v>5.8815999999999997E-6</v>
      </c>
      <c r="W696" s="379" t="str">
        <f>VLOOKUP(A696,'Parameters Summary'!$B$2:$AB$826,17,FALSE)</f>
        <v>WATER9 (U.S. EPA, 2001)</v>
      </c>
      <c r="X696" s="290">
        <v>423.15</v>
      </c>
      <c r="Y696" s="96" t="s">
        <v>553</v>
      </c>
      <c r="Z696" s="96">
        <f>1.5*X696</f>
        <v>634.72499999999991</v>
      </c>
      <c r="AA696" s="96" t="s">
        <v>2220</v>
      </c>
      <c r="AB696" s="96" t="s">
        <v>1651</v>
      </c>
      <c r="AC696" s="96"/>
      <c r="AD696" s="93">
        <f>VLOOKUP(A696,'Parameters Summary'!$B$2:$AB$826,20,FALSE)</f>
        <v>280</v>
      </c>
      <c r="AE696" s="97" t="str">
        <f>VLOOKUP(A696,'Parameters Summary'!$B$2:$AB$826,21,FALSE)</f>
        <v>SSL</v>
      </c>
      <c r="AF696" s="97"/>
      <c r="AG696" s="94"/>
      <c r="AH696" s="92"/>
      <c r="AI696" s="96"/>
      <c r="AJ696" s="330"/>
      <c r="AL696" s="81"/>
    </row>
    <row r="697" spans="1:38" ht="12.75" customHeight="1">
      <c r="A697" s="96" t="s">
        <v>282</v>
      </c>
      <c r="B697" s="96" t="s">
        <v>1347</v>
      </c>
      <c r="C697" s="96" t="str">
        <f t="shared" si="71"/>
        <v>Yes</v>
      </c>
      <c r="D697" s="96" t="str">
        <f>VLOOKUP(A697,'Tox Summary'!$O$3:$R$824,3,FALSE)</f>
        <v>No</v>
      </c>
      <c r="E697" s="97">
        <v>229.92</v>
      </c>
      <c r="F697" s="97" t="s">
        <v>1620</v>
      </c>
      <c r="G697" s="93">
        <f>VLOOKUP(A697,'Parameters Summary'!$B$2:$AB$826,9,FALSE)</f>
        <v>3.8300000000000001E-2</v>
      </c>
      <c r="H697" s="93" t="str">
        <f>VLOOKUP(A697,'Parameters Summary'!$B$2:$AB$826,10,FALSE)</f>
        <v>PHYSPROP</v>
      </c>
      <c r="I697" s="93">
        <f>VLOOKUP(A697,'Parameters Summary'!$B$2:$AB$826,24,FALSE)</f>
        <v>4.0389999999999997</v>
      </c>
      <c r="J697" s="97" t="str">
        <f>VLOOKUP(A697,'Parameters Summary'!$B$2:$AB$826,25,FALSE)</f>
        <v>PHYSPROP</v>
      </c>
      <c r="K697" s="97" t="str">
        <f>VLOOKUP(A697,'Tox Summary'!$O$4:$P$824,2,FALSE)</f>
        <v/>
      </c>
      <c r="L697" s="93">
        <f>VLOOKUP(A697,'Parameters Summary'!$B$2:$AB$826,7,FALSE)</f>
        <v>1.93E-4</v>
      </c>
      <c r="M697" s="93" t="str">
        <f>VLOOKUP(A697,'Parameters Summary'!$B$2:$AB$826,8,FALSE)</f>
        <v>PHYSPROP</v>
      </c>
      <c r="N697" s="91">
        <f>VLOOKUP(A697,'Parameters Summary'!$B$2:$AB$826,6,FALSE)</f>
        <v>7.8904000000000005E-3</v>
      </c>
      <c r="O697" s="91" t="str">
        <f t="shared" si="68"/>
        <v/>
      </c>
      <c r="P697" s="91">
        <f t="shared" si="69"/>
        <v>7.8904000000000005E-3</v>
      </c>
      <c r="Q697" s="91" t="str">
        <f t="shared" si="67"/>
        <v/>
      </c>
      <c r="R697" s="91">
        <f t="shared" si="70"/>
        <v>7.8904000000000005E-3</v>
      </c>
      <c r="S697" s="91" t="str">
        <f t="shared" si="72"/>
        <v/>
      </c>
      <c r="T697" s="93">
        <f>VLOOKUP(A697,'Parameters Summary'!$B$2:$AB$826,15,FALSE)</f>
        <v>2.7587299999999999E-2</v>
      </c>
      <c r="U697" s="93" t="str">
        <f>VLOOKUP(A697,'Parameters Summary'!$B$2:$AB$826,17,FALSE)</f>
        <v>WATER9 (U.S. EPA, 2001)</v>
      </c>
      <c r="V697" s="93">
        <f>VLOOKUP(A697,'Parameters Summary'!$B$2:$AB$826,16,FALSE)</f>
        <v>7.2524000000000002E-6</v>
      </c>
      <c r="W697" s="379" t="str">
        <f>VLOOKUP(A697,'Parameters Summary'!$B$2:$AB$826,17,FALSE)</f>
        <v>WATER9 (U.S. EPA, 2001)</v>
      </c>
      <c r="X697" s="290">
        <v>518.15</v>
      </c>
      <c r="Y697" s="96" t="s">
        <v>553</v>
      </c>
      <c r="Z697" s="96">
        <f>1.5*X697</f>
        <v>777.22499999999991</v>
      </c>
      <c r="AA697" s="96" t="s">
        <v>2220</v>
      </c>
      <c r="AB697" s="96" t="s">
        <v>1651</v>
      </c>
      <c r="AC697" s="96"/>
      <c r="AD697" s="93">
        <f>VLOOKUP(A697,'Parameters Summary'!$B$2:$AB$826,20,FALSE)</f>
        <v>1606</v>
      </c>
      <c r="AE697" s="97" t="str">
        <f>VLOOKUP(A697,'Parameters Summary'!$B$2:$AB$826,21,FALSE)</f>
        <v>EPI</v>
      </c>
      <c r="AF697" s="97"/>
      <c r="AG697" s="94"/>
      <c r="AH697" s="92"/>
      <c r="AI697" s="96"/>
      <c r="AJ697" s="330"/>
      <c r="AL697" s="81"/>
    </row>
    <row r="698" spans="1:38" ht="12.75" customHeight="1">
      <c r="A698" s="96" t="s">
        <v>283</v>
      </c>
      <c r="B698" s="96" t="s">
        <v>1348</v>
      </c>
      <c r="C698" s="96" t="str">
        <f t="shared" si="71"/>
        <v>No</v>
      </c>
      <c r="D698" s="96" t="str">
        <f>VLOOKUP(A698,'Tox Summary'!$O$3:$R$824,3,FALSE)</f>
        <v>No</v>
      </c>
      <c r="E698" s="97">
        <v>322.32</v>
      </c>
      <c r="F698" s="97" t="s">
        <v>1620</v>
      </c>
      <c r="G698" s="93">
        <f>VLOOKUP(A698,'Parameters Summary'!$B$2:$AB$826,9,FALSE)</f>
        <v>1.05E-4</v>
      </c>
      <c r="H698" s="93" t="str">
        <f>VLOOKUP(A698,'Parameters Summary'!$B$2:$AB$826,10,FALSE)</f>
        <v>PHYSPROP</v>
      </c>
      <c r="I698" s="93">
        <f>VLOOKUP(A698,'Parameters Summary'!$B$2:$AB$826,24,FALSE)</f>
        <v>30</v>
      </c>
      <c r="J698" s="97" t="str">
        <f>VLOOKUP(A698,'Parameters Summary'!$B$2:$AB$826,25,FALSE)</f>
        <v>PHYSPROP</v>
      </c>
      <c r="K698" s="97" t="str">
        <f>VLOOKUP(A698,'Tox Summary'!$O$4:$P$824,2,FALSE)</f>
        <v/>
      </c>
      <c r="L698" s="93">
        <f>VLOOKUP(A698,'Parameters Summary'!$B$2:$AB$826,7,FALSE)</f>
        <v>4.4499999999999997E-6</v>
      </c>
      <c r="M698" s="93" t="str">
        <f>VLOOKUP(A698,'Parameters Summary'!$B$2:$AB$826,8,FALSE)</f>
        <v>EPI</v>
      </c>
      <c r="N698" s="91">
        <f>VLOOKUP(A698,'Parameters Summary'!$B$2:$AB$826,6,FALSE)</f>
        <v>1.819E-4</v>
      </c>
      <c r="O698" s="91" t="str">
        <f t="shared" si="68"/>
        <v/>
      </c>
      <c r="P698" s="91">
        <f t="shared" si="69"/>
        <v>1.819E-4</v>
      </c>
      <c r="Q698" s="91" t="str">
        <f t="shared" si="67"/>
        <v/>
      </c>
      <c r="R698" s="91">
        <f t="shared" si="70"/>
        <v>1.819E-4</v>
      </c>
      <c r="S698" s="91" t="str">
        <f t="shared" si="72"/>
        <v/>
      </c>
      <c r="T698" s="93">
        <f>VLOOKUP(A698,'Parameters Summary'!$B$2:$AB$826,15,FALSE)</f>
        <v>2.11615E-2</v>
      </c>
      <c r="U698" s="93" t="str">
        <f>VLOOKUP(A698,'Parameters Summary'!$B$2:$AB$826,17,FALSE)</f>
        <v>WATER9 (U.S. EPA, 2001)</v>
      </c>
      <c r="V698" s="93">
        <f>VLOOKUP(A698,'Parameters Summary'!$B$2:$AB$826,16,FALSE)</f>
        <v>5.2836999999999999E-6</v>
      </c>
      <c r="W698" s="379" t="str">
        <f>VLOOKUP(A698,'Parameters Summary'!$B$2:$AB$826,17,FALSE)</f>
        <v>WATER9 (U.S. EPA, 2001)</v>
      </c>
      <c r="X698" s="290">
        <v>410.65</v>
      </c>
      <c r="Y698" s="96" t="s">
        <v>553</v>
      </c>
      <c r="Z698" s="96">
        <f>1.5*X698</f>
        <v>615.97499999999991</v>
      </c>
      <c r="AA698" s="96" t="s">
        <v>2220</v>
      </c>
      <c r="AB698" s="96" t="s">
        <v>1651</v>
      </c>
      <c r="AC698" s="96"/>
      <c r="AD698" s="93">
        <f>VLOOKUP(A698,'Parameters Summary'!$B$2:$AB$826,20,FALSE)</f>
        <v>265.60000000000002</v>
      </c>
      <c r="AE698" s="97" t="str">
        <f>VLOOKUP(A698,'Parameters Summary'!$B$2:$AB$826,21,FALSE)</f>
        <v>EPI</v>
      </c>
      <c r="AF698" s="97"/>
      <c r="AG698" s="94"/>
      <c r="AH698" s="92"/>
      <c r="AI698" s="96"/>
      <c r="AJ698" s="330"/>
      <c r="AL698" s="81"/>
    </row>
    <row r="699" spans="1:38" ht="12.75" customHeight="1">
      <c r="A699" s="96" t="s">
        <v>41</v>
      </c>
      <c r="B699" s="96" t="s">
        <v>2338</v>
      </c>
      <c r="C699" s="96" t="str">
        <f t="shared" si="71"/>
        <v>Yes</v>
      </c>
      <c r="D699" s="96" t="str">
        <f>VLOOKUP(A699,'Tox Summary'!$O$3:$R$824,3,FALSE)</f>
        <v>No</v>
      </c>
      <c r="E699" s="97">
        <v>323.44</v>
      </c>
      <c r="F699" s="97" t="s">
        <v>1620</v>
      </c>
      <c r="G699" s="93">
        <f>VLOOKUP(A699,'Parameters Summary'!$B$2:$AB$826,9,FALSE)</f>
        <v>0.26</v>
      </c>
      <c r="H699" s="93" t="str">
        <f>VLOOKUP(A699,'Parameters Summary'!$B$2:$AB$826,10,FALSE)</f>
        <v>PHYSPROP</v>
      </c>
      <c r="I699" s="93">
        <f>VLOOKUP(A699,'Parameters Summary'!$B$2:$AB$826,24,FALSE)</f>
        <v>0.28999999999999998</v>
      </c>
      <c r="J699" s="97" t="str">
        <f>VLOOKUP(A699,'Parameters Summary'!$B$2:$AB$826,25,FALSE)</f>
        <v>PHYSPROP</v>
      </c>
      <c r="K699" s="97" t="str">
        <f>VLOOKUP(A699,'Tox Summary'!$O$4:$P$824,2,FALSE)</f>
        <v/>
      </c>
      <c r="L699" s="93">
        <f>VLOOKUP(A699,'Parameters Summary'!$B$2:$AB$826,7,FALSE)</f>
        <v>0.56799999999999995</v>
      </c>
      <c r="M699" s="93" t="str">
        <f>VLOOKUP(A699,'Parameters Summary'!$B$2:$AB$826,8,FALSE)</f>
        <v>PHYSPROP</v>
      </c>
      <c r="N699" s="91">
        <f>VLOOKUP(A699,'Parameters Summary'!$B$2:$AB$826,6,FALSE)</f>
        <v>23.221585999999999</v>
      </c>
      <c r="O699" s="91" t="str">
        <f t="shared" si="68"/>
        <v/>
      </c>
      <c r="P699" s="91">
        <f t="shared" si="69"/>
        <v>23.221585999999999</v>
      </c>
      <c r="Q699" s="91" t="str">
        <f t="shared" si="67"/>
        <v/>
      </c>
      <c r="R699" s="91">
        <f t="shared" si="70"/>
        <v>23.221585999999999</v>
      </c>
      <c r="S699" s="91" t="str">
        <f t="shared" si="72"/>
        <v/>
      </c>
      <c r="T699" s="93">
        <f>VLOOKUP(A699,'Parameters Summary'!$B$2:$AB$826,15,FALSE)</f>
        <v>2.4640100000000002E-2</v>
      </c>
      <c r="U699" s="93" t="str">
        <f>VLOOKUP(A699,'Parameters Summary'!$B$2:$AB$826,17,FALSE)</f>
        <v>WATER9 (U.S. EPA, 2001)</v>
      </c>
      <c r="V699" s="93">
        <f>VLOOKUP(A699,'Parameters Summary'!$B$2:$AB$826,16,FALSE)</f>
        <v>6.4026000000000003E-6</v>
      </c>
      <c r="W699" s="379" t="str">
        <f>VLOOKUP(A699,'Parameters Summary'!$B$2:$AB$826,17,FALSE)</f>
        <v>WATER9 (U.S. EPA, 2001)</v>
      </c>
      <c r="X699" s="290">
        <v>473.15</v>
      </c>
      <c r="Y699" s="96" t="s">
        <v>553</v>
      </c>
      <c r="Z699" s="96" t="s">
        <v>1653</v>
      </c>
      <c r="AA699" s="96"/>
      <c r="AB699" s="96" t="s">
        <v>1651</v>
      </c>
      <c r="AC699" s="96"/>
      <c r="AD699" s="93">
        <f>VLOOKUP(A699,'Parameters Summary'!$B$2:$AB$826,20,FALSE)</f>
        <v>647.9</v>
      </c>
      <c r="AE699" s="97" t="str">
        <f>VLOOKUP(A699,'Parameters Summary'!$B$2:$AB$826,21,FALSE)</f>
        <v>EPI</v>
      </c>
      <c r="AF699" s="97"/>
      <c r="AG699" s="94"/>
      <c r="AH699" s="92"/>
      <c r="AI699" s="96"/>
      <c r="AJ699" s="330"/>
      <c r="AL699" s="81"/>
    </row>
    <row r="700" spans="1:38" ht="12.75" customHeight="1">
      <c r="A700" s="95" t="s">
        <v>284</v>
      </c>
      <c r="B700" s="96" t="s">
        <v>1349</v>
      </c>
      <c r="C700" s="96" t="str">
        <f t="shared" si="71"/>
        <v>Yes</v>
      </c>
      <c r="D700" s="96" t="str">
        <f>VLOOKUP(A700,'Tox Summary'!$O$3:$R$824,3,FALSE)</f>
        <v>No</v>
      </c>
      <c r="E700" s="97">
        <v>102.03</v>
      </c>
      <c r="F700" s="97" t="s">
        <v>1620</v>
      </c>
      <c r="G700" s="93">
        <f>VLOOKUP(A700,'Parameters Summary'!$B$2:$AB$826,9,FALSE)</f>
        <v>4990</v>
      </c>
      <c r="H700" s="93" t="str">
        <f>VLOOKUP(A700,'Parameters Summary'!$B$2:$AB$826,10,FALSE)</f>
        <v>PHYSPROP</v>
      </c>
      <c r="I700" s="93">
        <f>VLOOKUP(A700,'Parameters Summary'!$B$2:$AB$826,24,FALSE)</f>
        <v>2040</v>
      </c>
      <c r="J700" s="97" t="str">
        <f>VLOOKUP(A700,'Parameters Summary'!$B$2:$AB$826,25,FALSE)</f>
        <v>PHYSPROP</v>
      </c>
      <c r="K700" s="97" t="str">
        <f>VLOOKUP(A700,'Tox Summary'!$O$4:$P$824,2,FALSE)</f>
        <v/>
      </c>
      <c r="L700" s="93">
        <f>VLOOKUP(A700,'Parameters Summary'!$B$2:$AB$826,7,FALSE)</f>
        <v>0.05</v>
      </c>
      <c r="M700" s="93" t="str">
        <f>VLOOKUP(A700,'Parameters Summary'!$B$2:$AB$826,8,FALSE)</f>
        <v>PHYSPROP</v>
      </c>
      <c r="N700" s="91">
        <f>VLOOKUP(A700,'Parameters Summary'!$B$2:$AB$826,6,FALSE)</f>
        <v>2.0441536999999999</v>
      </c>
      <c r="O700" s="91">
        <f t="shared" si="68"/>
        <v>2.0441536999999999</v>
      </c>
      <c r="P700" s="91">
        <f t="shared" si="69"/>
        <v>2.0441536999999999</v>
      </c>
      <c r="Q700" s="91">
        <f t="shared" si="67"/>
        <v>2.0441536999999999</v>
      </c>
      <c r="R700" s="91">
        <f t="shared" si="70"/>
        <v>2.0441536999999999</v>
      </c>
      <c r="S700" s="91">
        <f t="shared" si="72"/>
        <v>27395650892.924225</v>
      </c>
      <c r="T700" s="93">
        <f>VLOOKUP(A700,'Parameters Summary'!$B$2:$AB$826,15,FALSE)</f>
        <v>8.2306599999999994E-2</v>
      </c>
      <c r="U700" s="93" t="str">
        <f>VLOOKUP(A700,'Parameters Summary'!$B$2:$AB$826,17,FALSE)</f>
        <v>WATER9 (U.S. EPA, 2001)</v>
      </c>
      <c r="V700" s="93">
        <f>VLOOKUP(A700,'Parameters Summary'!$B$2:$AB$826,16,FALSE)</f>
        <v>1.06E-5</v>
      </c>
      <c r="W700" s="379" t="str">
        <f>VLOOKUP(A700,'Parameters Summary'!$B$2:$AB$826,17,FALSE)</f>
        <v>WATER9 (U.S. EPA, 2001)</v>
      </c>
      <c r="X700" s="290">
        <v>403.5</v>
      </c>
      <c r="Y700" s="96" t="s">
        <v>2217</v>
      </c>
      <c r="Z700" s="96">
        <v>624</v>
      </c>
      <c r="AA700" s="96" t="s">
        <v>2215</v>
      </c>
      <c r="AB700" s="96">
        <v>5933.96</v>
      </c>
      <c r="AC700" s="96" t="s">
        <v>2218</v>
      </c>
      <c r="AD700" s="93">
        <f>VLOOKUP(A700,'Parameters Summary'!$B$2:$AB$826,20,FALSE)</f>
        <v>86.03</v>
      </c>
      <c r="AE700" s="97" t="str">
        <f>VLOOKUP(A700,'Parameters Summary'!$B$2:$AB$826,21,FALSE)</f>
        <v>EPI</v>
      </c>
      <c r="AF700" s="380"/>
      <c r="AG700" s="97"/>
      <c r="AH700" s="92"/>
      <c r="AI700" s="96"/>
      <c r="AJ700" s="330"/>
      <c r="AL700" s="81"/>
    </row>
    <row r="701" spans="1:38" ht="12.75" customHeight="1">
      <c r="A701" s="95" t="s">
        <v>1831</v>
      </c>
      <c r="B701" s="96" t="s">
        <v>2252</v>
      </c>
      <c r="C701" s="96" t="str">
        <f t="shared" si="71"/>
        <v>Yes</v>
      </c>
      <c r="D701" s="96" t="str">
        <f>VLOOKUP(A701,'Tox Summary'!$O$3:$R$824,3,FALSE)</f>
        <v>Yes</v>
      </c>
      <c r="E701" s="97">
        <v>72.108000000000004</v>
      </c>
      <c r="F701" s="97" t="s">
        <v>1620</v>
      </c>
      <c r="G701" s="93">
        <f>VLOOKUP(A701,'Parameters Summary'!$B$2:$AB$826,9,FALSE)</f>
        <v>162.19999999999999</v>
      </c>
      <c r="H701" s="93" t="str">
        <f>VLOOKUP(A701,'Parameters Summary'!$B$2:$AB$826,10,FALSE)</f>
        <v>PHYSPROP</v>
      </c>
      <c r="I701" s="93">
        <f>VLOOKUP(A701,'Parameters Summary'!$B$2:$AB$826,24,FALSE)</f>
        <v>1000000</v>
      </c>
      <c r="J701" s="97" t="str">
        <f>VLOOKUP(A701,'Parameters Summary'!$B$2:$AB$826,25,FALSE)</f>
        <v>PHYSPROP</v>
      </c>
      <c r="K701" s="97" t="str">
        <f>VLOOKUP(A701,'Tox Summary'!$O$4:$P$824,2,FALSE)</f>
        <v/>
      </c>
      <c r="L701" s="93">
        <f>VLOOKUP(A701,'Parameters Summary'!$B$2:$AB$826,7,FALSE)</f>
        <v>7.0500000000000006E-5</v>
      </c>
      <c r="M701" s="93" t="str">
        <f>VLOOKUP(A701,'Parameters Summary'!$B$2:$AB$826,8,FALSE)</f>
        <v>PHYSPROP</v>
      </c>
      <c r="N701" s="91">
        <f>VLOOKUP(A701,'Parameters Summary'!$B$2:$AB$826,6,FALSE)</f>
        <v>2.8823E-3</v>
      </c>
      <c r="O701" s="91">
        <f t="shared" si="68"/>
        <v>2.8823E-3</v>
      </c>
      <c r="P701" s="91">
        <f t="shared" si="69"/>
        <v>2.8823E-3</v>
      </c>
      <c r="Q701" s="91">
        <f t="shared" si="67"/>
        <v>2.8823E-3</v>
      </c>
      <c r="R701" s="91">
        <f t="shared" si="70"/>
        <v>2.8823E-3</v>
      </c>
      <c r="S701" s="91">
        <f t="shared" si="72"/>
        <v>629343123.06276417</v>
      </c>
      <c r="T701" s="93">
        <f>VLOOKUP(A701,'Parameters Summary'!$B$2:$AB$826,15,FALSE)</f>
        <v>9.9375099999999994E-2</v>
      </c>
      <c r="U701" s="93" t="str">
        <f>VLOOKUP(A701,'Parameters Summary'!$B$2:$AB$826,17,FALSE)</f>
        <v>WATER9 (U.S. EPA, 2001)</v>
      </c>
      <c r="V701" s="93">
        <f>VLOOKUP(A701,'Parameters Summary'!$B$2:$AB$826,16,FALSE)</f>
        <v>1.08E-5</v>
      </c>
      <c r="W701" s="379" t="str">
        <f>VLOOKUP(A701,'Parameters Summary'!$B$2:$AB$826,17,FALSE)</f>
        <v>WATER9 (U.S. EPA, 2001)</v>
      </c>
      <c r="X701" s="290">
        <v>339</v>
      </c>
      <c r="Y701" s="96" t="s">
        <v>2213</v>
      </c>
      <c r="Z701" s="96">
        <v>541.15</v>
      </c>
      <c r="AA701" s="96" t="s">
        <v>2215</v>
      </c>
      <c r="AB701" s="96">
        <v>7073.991</v>
      </c>
      <c r="AC701" s="96" t="s">
        <v>2218</v>
      </c>
      <c r="AD701" s="93">
        <f>VLOOKUP(A701,'Parameters Summary'!$B$2:$AB$826,20,FALSE)</f>
        <v>10.75</v>
      </c>
      <c r="AE701" s="97" t="str">
        <f>VLOOKUP(A701,'Parameters Summary'!$B$2:$AB$826,21,FALSE)</f>
        <v>EPI</v>
      </c>
      <c r="AF701" s="380">
        <v>2</v>
      </c>
      <c r="AG701" s="97" t="s">
        <v>302</v>
      </c>
      <c r="AH701" s="92"/>
      <c r="AI701" s="96"/>
      <c r="AJ701" s="330"/>
      <c r="AL701" s="81"/>
    </row>
    <row r="702" spans="1:38" ht="12.75" customHeight="1">
      <c r="A702" s="96" t="s">
        <v>1605</v>
      </c>
      <c r="B702" s="96" t="s">
        <v>2404</v>
      </c>
      <c r="C702" s="96" t="str">
        <f t="shared" si="71"/>
        <v>No</v>
      </c>
      <c r="D702" s="96" t="str">
        <f>VLOOKUP(A702,'Tox Summary'!$O$3:$R$824,3,FALSE)</f>
        <v>No</v>
      </c>
      <c r="E702" s="97">
        <v>330.35</v>
      </c>
      <c r="F702" s="97" t="s">
        <v>1620</v>
      </c>
      <c r="G702" s="93" t="s">
        <v>2439</v>
      </c>
      <c r="H702" s="93" t="str">
        <f>VLOOKUP(A702,'Parameters Summary'!$B$2:$AB$826,10,FALSE)</f>
        <v/>
      </c>
      <c r="I702" s="93" t="s">
        <v>2440</v>
      </c>
      <c r="J702" s="97" t="str">
        <f>VLOOKUP(A702,'Parameters Summary'!$B$2:$AB$826,25,FALSE)</f>
        <v/>
      </c>
      <c r="K702" s="97" t="str">
        <f>VLOOKUP(A702,'Tox Summary'!$O$4:$P$824,2,FALSE)</f>
        <v/>
      </c>
      <c r="L702" s="93" t="s">
        <v>2298</v>
      </c>
      <c r="M702" s="93" t="str">
        <f>VLOOKUP(A702,'Parameters Summary'!$B$2:$AB$826,8,FALSE)</f>
        <v/>
      </c>
      <c r="N702" s="91" t="str">
        <f>VLOOKUP(A702,'Parameters Summary'!$B$2:$AB$826,6,FALSE)</f>
        <v xml:space="preserve"> </v>
      </c>
      <c r="O702" s="91" t="str">
        <f t="shared" si="68"/>
        <v/>
      </c>
      <c r="P702" s="91" t="str">
        <f t="shared" si="69"/>
        <v xml:space="preserve"> </v>
      </c>
      <c r="Q702" s="91" t="str">
        <f t="shared" si="67"/>
        <v/>
      </c>
      <c r="R702" s="91" t="str">
        <f t="shared" si="70"/>
        <v xml:space="preserve"> </v>
      </c>
      <c r="S702" s="91" t="str">
        <f t="shared" si="72"/>
        <v/>
      </c>
      <c r="T702" s="93" t="str">
        <f>VLOOKUP(A702,'Parameters Summary'!$B$2:$AB$826,15,FALSE)</f>
        <v xml:space="preserve"> </v>
      </c>
      <c r="U702" s="93" t="str">
        <f>VLOOKUP(A702,'Parameters Summary'!$B$2:$AB$826,17,FALSE)</f>
        <v/>
      </c>
      <c r="V702" s="93" t="str">
        <f>VLOOKUP(A702,'Parameters Summary'!$B$2:$AB$826,16,FALSE)</f>
        <v xml:space="preserve"> </v>
      </c>
      <c r="W702" s="379" t="str">
        <f>VLOOKUP(A702,'Parameters Summary'!$B$2:$AB$826,17,FALSE)</f>
        <v/>
      </c>
      <c r="X702" s="347"/>
      <c r="Y702" s="96"/>
      <c r="Z702" s="96" t="s">
        <v>1653</v>
      </c>
      <c r="AA702" s="96"/>
      <c r="AB702" s="96" t="s">
        <v>1651</v>
      </c>
      <c r="AC702" s="96"/>
      <c r="AD702" s="93" t="str">
        <f>VLOOKUP(A702,'Parameters Summary'!$B$2:$AB$826,20,FALSE)</f>
        <v xml:space="preserve"> </v>
      </c>
      <c r="AE702" s="97" t="str">
        <f>VLOOKUP(A702,'Parameters Summary'!$B$2:$AB$826,21,FALSE)</f>
        <v/>
      </c>
      <c r="AF702" s="97"/>
      <c r="AG702" s="94"/>
      <c r="AH702" s="92"/>
      <c r="AI702" s="96"/>
      <c r="AJ702" s="330"/>
      <c r="AL702" s="81"/>
    </row>
    <row r="703" spans="1:38" ht="12.75" customHeight="1">
      <c r="A703" s="96" t="s">
        <v>1606</v>
      </c>
      <c r="B703" s="96" t="s">
        <v>2361</v>
      </c>
      <c r="C703" s="96" t="str">
        <f t="shared" si="71"/>
        <v>No</v>
      </c>
      <c r="D703" s="96" t="str">
        <f>VLOOKUP(A703,'Tox Summary'!$O$3:$R$824,3,FALSE)</f>
        <v>No</v>
      </c>
      <c r="E703" s="97">
        <v>265.89999999999998</v>
      </c>
      <c r="F703" s="97" t="s">
        <v>1620</v>
      </c>
      <c r="G703" s="93" t="s">
        <v>2439</v>
      </c>
      <c r="H703" s="93" t="str">
        <f>VLOOKUP(A703,'Parameters Summary'!$B$2:$AB$826,10,FALSE)</f>
        <v/>
      </c>
      <c r="I703" s="93">
        <f>VLOOKUP(A703,'Parameters Summary'!$B$2:$AB$826,24,FALSE)</f>
        <v>81400</v>
      </c>
      <c r="J703" s="97" t="str">
        <f>VLOOKUP(A703,'Parameters Summary'!$B$2:$AB$826,25,FALSE)</f>
        <v>PHYSPROP</v>
      </c>
      <c r="K703" s="97" t="str">
        <f>VLOOKUP(A703,'Tox Summary'!$O$4:$P$824,2,FALSE)</f>
        <v/>
      </c>
      <c r="L703" s="93" t="s">
        <v>2298</v>
      </c>
      <c r="M703" s="93" t="str">
        <f>VLOOKUP(A703,'Parameters Summary'!$B$2:$AB$826,8,FALSE)</f>
        <v/>
      </c>
      <c r="N703" s="91" t="str">
        <f>VLOOKUP(A703,'Parameters Summary'!$B$2:$AB$826,6,FALSE)</f>
        <v xml:space="preserve"> </v>
      </c>
      <c r="O703" s="91" t="str">
        <f t="shared" si="68"/>
        <v/>
      </c>
      <c r="P703" s="91" t="str">
        <f t="shared" si="69"/>
        <v xml:space="preserve"> </v>
      </c>
      <c r="Q703" s="91" t="str">
        <f t="shared" si="67"/>
        <v/>
      </c>
      <c r="R703" s="91" t="str">
        <f t="shared" si="70"/>
        <v xml:space="preserve"> </v>
      </c>
      <c r="S703" s="91" t="str">
        <f t="shared" si="72"/>
        <v/>
      </c>
      <c r="T703" s="93" t="str">
        <f>VLOOKUP(A703,'Parameters Summary'!$B$2:$AB$826,15,FALSE)</f>
        <v xml:space="preserve"> </v>
      </c>
      <c r="U703" s="93" t="str">
        <f>VLOOKUP(A703,'Parameters Summary'!$B$2:$AB$826,17,FALSE)</f>
        <v/>
      </c>
      <c r="V703" s="93" t="str">
        <f>VLOOKUP(A703,'Parameters Summary'!$B$2:$AB$826,16,FALSE)</f>
        <v xml:space="preserve"> </v>
      </c>
      <c r="W703" s="379" t="str">
        <f>VLOOKUP(A703,'Parameters Summary'!$B$2:$AB$826,17,FALSE)</f>
        <v/>
      </c>
      <c r="X703" s="347"/>
      <c r="Y703" s="96"/>
      <c r="Z703" s="96" t="s">
        <v>1653</v>
      </c>
      <c r="AA703" s="96"/>
      <c r="AB703" s="96" t="s">
        <v>1651</v>
      </c>
      <c r="AC703" s="96"/>
      <c r="AD703" s="93" t="str">
        <f>VLOOKUP(A703,'Parameters Summary'!$B$2:$AB$826,20,FALSE)</f>
        <v xml:space="preserve"> </v>
      </c>
      <c r="AE703" s="97" t="str">
        <f>VLOOKUP(A703,'Parameters Summary'!$B$2:$AB$826,21,FALSE)</f>
        <v/>
      </c>
      <c r="AF703" s="97"/>
      <c r="AG703" s="94"/>
      <c r="AH703" s="92"/>
      <c r="AI703" s="96"/>
      <c r="AJ703" s="330"/>
      <c r="AL703" s="81"/>
    </row>
    <row r="704" spans="1:38" ht="12.75" customHeight="1">
      <c r="A704" s="96" t="s">
        <v>285</v>
      </c>
      <c r="B704" s="96" t="s">
        <v>1350</v>
      </c>
      <c r="C704" s="96" t="str">
        <f t="shared" si="71"/>
        <v>No</v>
      </c>
      <c r="D704" s="96" t="str">
        <f>VLOOKUP(A704,'Tox Summary'!$O$3:$R$824,3,FALSE)</f>
        <v>No</v>
      </c>
      <c r="E704" s="97">
        <v>287.14999999999998</v>
      </c>
      <c r="F704" s="97" t="s">
        <v>1620</v>
      </c>
      <c r="G704" s="93">
        <f>VLOOKUP(A704,'Parameters Summary'!$B$2:$AB$826,9,FALSE)</f>
        <v>5.6599999999999997E-8</v>
      </c>
      <c r="H704" s="93" t="str">
        <f>VLOOKUP(A704,'Parameters Summary'!$B$2:$AB$826,10,FALSE)</f>
        <v>PHYSPROP</v>
      </c>
      <c r="I704" s="93">
        <f>VLOOKUP(A704,'Parameters Summary'!$B$2:$AB$826,24,FALSE)</f>
        <v>74</v>
      </c>
      <c r="J704" s="97" t="str">
        <f>VLOOKUP(A704,'Parameters Summary'!$B$2:$AB$826,25,FALSE)</f>
        <v>PHYSPROP</v>
      </c>
      <c r="K704" s="97" t="str">
        <f>VLOOKUP(A704,'Tox Summary'!$O$4:$P$824,2,FALSE)</f>
        <v/>
      </c>
      <c r="L704" s="93">
        <f>VLOOKUP(A704,'Parameters Summary'!$B$2:$AB$826,7,FALSE)</f>
        <v>2.7099999999999999E-9</v>
      </c>
      <c r="M704" s="93" t="str">
        <f>VLOOKUP(A704,'Parameters Summary'!$B$2:$AB$826,8,FALSE)</f>
        <v>PHYSPROP</v>
      </c>
      <c r="N704" s="91">
        <f>VLOOKUP(A704,'Parameters Summary'!$B$2:$AB$826,6,FALSE)</f>
        <v>1.1079E-7</v>
      </c>
      <c r="O704" s="91" t="str">
        <f t="shared" si="68"/>
        <v/>
      </c>
      <c r="P704" s="91">
        <f t="shared" si="69"/>
        <v>1.1079E-7</v>
      </c>
      <c r="Q704" s="91" t="str">
        <f t="shared" si="67"/>
        <v/>
      </c>
      <c r="R704" s="91">
        <f t="shared" si="70"/>
        <v>1.1079E-7</v>
      </c>
      <c r="S704" s="91" t="str">
        <f t="shared" si="72"/>
        <v/>
      </c>
      <c r="T704" s="93">
        <f>VLOOKUP(A704,'Parameters Summary'!$B$2:$AB$826,15,FALSE)</f>
        <v>2.5562600000000001E-2</v>
      </c>
      <c r="U704" s="93" t="str">
        <f>VLOOKUP(A704,'Parameters Summary'!$B$2:$AB$826,17,FALSE)</f>
        <v>WATER9 (U.S. EPA, 2001)</v>
      </c>
      <c r="V704" s="93">
        <f>VLOOKUP(A704,'Parameters Summary'!$B$2:$AB$826,16,FALSE)</f>
        <v>6.6672000000000003E-6</v>
      </c>
      <c r="W704" s="379" t="str">
        <f>VLOOKUP(A704,'Parameters Summary'!$B$2:$AB$826,17,FALSE)</f>
        <v>WATER9 (U.S. EPA, 2001)</v>
      </c>
      <c r="X704" s="347"/>
      <c r="Y704" s="96"/>
      <c r="Z704" s="96" t="s">
        <v>1653</v>
      </c>
      <c r="AA704" s="96"/>
      <c r="AB704" s="96" t="s">
        <v>1651</v>
      </c>
      <c r="AC704" s="96"/>
      <c r="AD704" s="93">
        <f>VLOOKUP(A704,'Parameters Summary'!$B$2:$AB$826,20,FALSE)</f>
        <v>4605</v>
      </c>
      <c r="AE704" s="97" t="str">
        <f>VLOOKUP(A704,'Parameters Summary'!$B$2:$AB$826,21,FALSE)</f>
        <v>EPI</v>
      </c>
      <c r="AF704" s="97"/>
      <c r="AG704" s="94"/>
      <c r="AH704" s="92"/>
      <c r="AI704" s="96"/>
      <c r="AJ704" s="330"/>
      <c r="AL704" s="81"/>
    </row>
    <row r="705" spans="1:38" ht="12.75" customHeight="1">
      <c r="A705" s="96" t="s">
        <v>2003</v>
      </c>
      <c r="B705" s="96" t="s">
        <v>2002</v>
      </c>
      <c r="C705" s="96" t="str">
        <f t="shared" si="71"/>
        <v>No</v>
      </c>
      <c r="D705" s="96" t="str">
        <f>VLOOKUP(A705,'Tox Summary'!$O$3:$R$824,3,FALSE)</f>
        <v>No</v>
      </c>
      <c r="E705" s="97">
        <v>267.38</v>
      </c>
      <c r="F705" s="97" t="s">
        <v>1620</v>
      </c>
      <c r="G705" s="93" t="s">
        <v>2439</v>
      </c>
      <c r="H705" s="93" t="str">
        <f>VLOOKUP(A705,'Parameters Summary'!$B$2:$AB$826,10,FALSE)</f>
        <v/>
      </c>
      <c r="I705" s="93">
        <f>VLOOKUP(A705,'Parameters Summary'!$B$2:$AB$826,24,FALSE)</f>
        <v>95500</v>
      </c>
      <c r="J705" s="97" t="str">
        <f>VLOOKUP(A705,'Parameters Summary'!$B$2:$AB$826,25,FALSE)</f>
        <v>PHYSPROP</v>
      </c>
      <c r="K705" s="97" t="str">
        <f>VLOOKUP(A705,'Tox Summary'!$O$4:$P$824,2,FALSE)</f>
        <v/>
      </c>
      <c r="L705" s="93" t="s">
        <v>2298</v>
      </c>
      <c r="M705" s="93" t="str">
        <f>VLOOKUP(A705,'Parameters Summary'!$B$2:$AB$826,8,FALSE)</f>
        <v/>
      </c>
      <c r="N705" s="91" t="str">
        <f>VLOOKUP(A705,'Parameters Summary'!$B$2:$AB$826,6,FALSE)</f>
        <v xml:space="preserve"> </v>
      </c>
      <c r="O705" s="91" t="str">
        <f t="shared" si="68"/>
        <v/>
      </c>
      <c r="P705" s="91" t="str">
        <f t="shared" si="69"/>
        <v xml:space="preserve"> </v>
      </c>
      <c r="Q705" s="91" t="str">
        <f t="shared" si="67"/>
        <v/>
      </c>
      <c r="R705" s="91" t="str">
        <f t="shared" si="70"/>
        <v xml:space="preserve"> </v>
      </c>
      <c r="S705" s="91" t="str">
        <f t="shared" si="72"/>
        <v/>
      </c>
      <c r="T705" s="93" t="str">
        <f>VLOOKUP(A705,'Parameters Summary'!$B$2:$AB$826,15,FALSE)</f>
        <v xml:space="preserve"> </v>
      </c>
      <c r="U705" s="93" t="str">
        <f>VLOOKUP(A705,'Parameters Summary'!$B$2:$AB$826,17,FALSE)</f>
        <v/>
      </c>
      <c r="V705" s="93" t="str">
        <f>VLOOKUP(A705,'Parameters Summary'!$B$2:$AB$826,16,FALSE)</f>
        <v xml:space="preserve"> </v>
      </c>
      <c r="W705" s="379" t="str">
        <f>VLOOKUP(A705,'Parameters Summary'!$B$2:$AB$826,17,FALSE)</f>
        <v/>
      </c>
      <c r="X705" s="347"/>
      <c r="Y705" s="96"/>
      <c r="Z705" s="96" t="s">
        <v>1653</v>
      </c>
      <c r="AA705" s="96"/>
      <c r="AB705" s="96" t="s">
        <v>1651</v>
      </c>
      <c r="AC705" s="96"/>
      <c r="AD705" s="93" t="str">
        <f>VLOOKUP(A705,'Parameters Summary'!$B$2:$AB$826,20,FALSE)</f>
        <v xml:space="preserve"> </v>
      </c>
      <c r="AE705" s="97" t="str">
        <f>VLOOKUP(A705,'Parameters Summary'!$B$2:$AB$826,21,FALSE)</f>
        <v/>
      </c>
      <c r="AF705" s="97"/>
      <c r="AG705" s="94"/>
      <c r="AH705" s="92"/>
      <c r="AI705" s="96"/>
      <c r="AJ705" s="330"/>
      <c r="AL705" s="81"/>
    </row>
    <row r="706" spans="1:38" ht="12.75" customHeight="1">
      <c r="A706" s="96" t="s">
        <v>286</v>
      </c>
      <c r="B706" s="96" t="s">
        <v>1351</v>
      </c>
      <c r="C706" s="96" t="str">
        <f t="shared" si="71"/>
        <v>No</v>
      </c>
      <c r="D706" s="96" t="str">
        <f>VLOOKUP(A706,'Tox Summary'!$O$3:$R$824,3,FALSE)</f>
        <v>No</v>
      </c>
      <c r="E706" s="97">
        <v>205.38</v>
      </c>
      <c r="F706" s="97" t="s">
        <v>1620</v>
      </c>
      <c r="G706" s="93" t="s">
        <v>2439</v>
      </c>
      <c r="H706" s="93" t="str">
        <f>VLOOKUP(A706,'Parameters Summary'!$B$2:$AB$826,10,FALSE)</f>
        <v/>
      </c>
      <c r="I706" s="93" t="s">
        <v>2440</v>
      </c>
      <c r="J706" s="97" t="str">
        <f>VLOOKUP(A706,'Parameters Summary'!$B$2:$AB$826,25,FALSE)</f>
        <v/>
      </c>
      <c r="K706" s="97">
        <f>VLOOKUP(A706,'Tox Summary'!$O$4:$P$824,2,FALSE)</f>
        <v>2</v>
      </c>
      <c r="L706" s="93" t="s">
        <v>2298</v>
      </c>
      <c r="M706" s="93" t="str">
        <f>VLOOKUP(A706,'Parameters Summary'!$B$2:$AB$826,8,FALSE)</f>
        <v/>
      </c>
      <c r="N706" s="91" t="str">
        <f>VLOOKUP(A706,'Parameters Summary'!$B$2:$AB$826,6,FALSE)</f>
        <v xml:space="preserve"> </v>
      </c>
      <c r="O706" s="91" t="str">
        <f t="shared" si="68"/>
        <v/>
      </c>
      <c r="P706" s="91" t="str">
        <f t="shared" si="69"/>
        <v xml:space="preserve"> </v>
      </c>
      <c r="Q706" s="91" t="str">
        <f t="shared" si="67"/>
        <v/>
      </c>
      <c r="R706" s="91" t="str">
        <f t="shared" si="70"/>
        <v xml:space="preserve"> </v>
      </c>
      <c r="S706" s="91" t="str">
        <f t="shared" si="72"/>
        <v/>
      </c>
      <c r="T706" s="93" t="str">
        <f>VLOOKUP(A706,'Parameters Summary'!$B$2:$AB$826,15,FALSE)</f>
        <v xml:space="preserve"> </v>
      </c>
      <c r="U706" s="93" t="str">
        <f>VLOOKUP(A706,'Parameters Summary'!$B$2:$AB$826,17,FALSE)</f>
        <v/>
      </c>
      <c r="V706" s="93" t="str">
        <f>VLOOKUP(A706,'Parameters Summary'!$B$2:$AB$826,16,FALSE)</f>
        <v xml:space="preserve"> </v>
      </c>
      <c r="W706" s="379" t="str">
        <f>VLOOKUP(A706,'Parameters Summary'!$B$2:$AB$826,17,FALSE)</f>
        <v/>
      </c>
      <c r="X706" s="290">
        <v>1730.15</v>
      </c>
      <c r="Y706" s="96" t="s">
        <v>553</v>
      </c>
      <c r="Z706" s="96">
        <f>1.5*X706</f>
        <v>2595.2250000000004</v>
      </c>
      <c r="AA706" s="96" t="s">
        <v>2220</v>
      </c>
      <c r="AB706" s="96" t="s">
        <v>1651</v>
      </c>
      <c r="AC706" s="96"/>
      <c r="AD706" s="93" t="str">
        <f>VLOOKUP(A706,'Parameters Summary'!$B$2:$AB$826,20,FALSE)</f>
        <v xml:space="preserve"> </v>
      </c>
      <c r="AE706" s="97" t="str">
        <f>VLOOKUP(A706,'Parameters Summary'!$B$2:$AB$826,21,FALSE)</f>
        <v/>
      </c>
      <c r="AF706" s="97"/>
      <c r="AG706" s="94"/>
      <c r="AH706" s="92"/>
      <c r="AI706" s="96"/>
      <c r="AJ706" s="330"/>
      <c r="AL706" s="81"/>
    </row>
    <row r="707" spans="1:38">
      <c r="A707" s="96" t="s">
        <v>2005</v>
      </c>
      <c r="B707" s="96" t="s">
        <v>2004</v>
      </c>
      <c r="C707" s="96" t="str">
        <f t="shared" si="71"/>
        <v>Yes</v>
      </c>
      <c r="D707" s="96" t="str">
        <f>VLOOKUP(A707,'Tox Summary'!$O$3:$R$824,3,FALSE)</f>
        <v>Yes</v>
      </c>
      <c r="E707" s="97">
        <v>263.42</v>
      </c>
      <c r="F707" s="97" t="s">
        <v>1620</v>
      </c>
      <c r="G707" s="93">
        <f>VLOOKUP(A707,'Parameters Summary'!$B$2:$AB$826,9,FALSE)</f>
        <v>14.7</v>
      </c>
      <c r="H707" s="93" t="str">
        <f>VLOOKUP(A707,'Parameters Summary'!$B$2:$AB$826,10,FALSE)</f>
        <v>PHYSPROP</v>
      </c>
      <c r="I707" s="93">
        <f>VLOOKUP(A707,'Parameters Summary'!$B$2:$AB$826,24,FALSE)</f>
        <v>28030</v>
      </c>
      <c r="J707" s="97" t="str">
        <f>VLOOKUP(A707,'Parameters Summary'!$B$2:$AB$826,25,FALSE)</f>
        <v>PHYSPROP</v>
      </c>
      <c r="K707" s="97" t="str">
        <f>VLOOKUP(A707,'Tox Summary'!$O$4:$P$824,2,FALSE)</f>
        <v/>
      </c>
      <c r="L707" s="93" t="str">
        <f>VLOOKUP(A707,'Parameters Summary'!$B$2:$AB$826,7,FALSE)</f>
        <v xml:space="preserve"> </v>
      </c>
      <c r="M707" s="93" t="str">
        <f>VLOOKUP(A707,'Parameters Summary'!$B$2:$AB$826,8,FALSE)</f>
        <v/>
      </c>
      <c r="N707" s="91" t="str">
        <f>VLOOKUP(A707,'Parameters Summary'!$B$2:$AB$826,6,FALSE)</f>
        <v xml:space="preserve"> </v>
      </c>
      <c r="O707" s="91" t="str">
        <f t="shared" si="68"/>
        <v/>
      </c>
      <c r="P707" s="91" t="str">
        <f t="shared" si="69"/>
        <v xml:space="preserve"> </v>
      </c>
      <c r="Q707" s="91" t="str">
        <f t="shared" si="67"/>
        <v/>
      </c>
      <c r="R707" s="91" t="str">
        <f t="shared" si="70"/>
        <v xml:space="preserve"> </v>
      </c>
      <c r="S707" s="91" t="str">
        <f t="shared" si="72"/>
        <v/>
      </c>
      <c r="T707" s="93">
        <f>VLOOKUP(A707,'Parameters Summary'!$B$2:$AB$826,15,FALSE)</f>
        <v>3.8883000000000001E-2</v>
      </c>
      <c r="U707" s="93" t="str">
        <f>VLOOKUP(A707,'Parameters Summary'!$B$2:$AB$826,17,FALSE)</f>
        <v>WATER9 (U.S. EPA, 2001)</v>
      </c>
      <c r="V707" s="93">
        <f>VLOOKUP(A707,'Parameters Summary'!$B$2:$AB$826,16,FALSE)</f>
        <v>1.17E-5</v>
      </c>
      <c r="W707" s="379" t="str">
        <f>VLOOKUP(A707,'Parameters Summary'!$B$2:$AB$826,17,FALSE)</f>
        <v>WATER9 (U.S. EPA, 2001)</v>
      </c>
      <c r="X707" s="347"/>
      <c r="Y707" s="96"/>
      <c r="Z707" s="96" t="s">
        <v>1653</v>
      </c>
      <c r="AA707" s="96"/>
      <c r="AB707" s="96" t="s">
        <v>1651</v>
      </c>
      <c r="AC707" s="96"/>
      <c r="AD707" s="93">
        <f>VLOOKUP(A707,'Parameters Summary'!$B$2:$AB$826,20,FALSE)</f>
        <v>1.508</v>
      </c>
      <c r="AE707" s="97" t="str">
        <f>VLOOKUP(A707,'Parameters Summary'!$B$2:$AB$826,21,FALSE)</f>
        <v>EPI</v>
      </c>
      <c r="AF707" s="97"/>
      <c r="AG707" s="94"/>
      <c r="AH707" s="92"/>
      <c r="AI707" s="96"/>
      <c r="AJ707" s="330"/>
      <c r="AL707" s="81"/>
    </row>
    <row r="708" spans="1:38" ht="12.75" customHeight="1">
      <c r="A708" s="96" t="s">
        <v>2007</v>
      </c>
      <c r="B708" s="96" t="s">
        <v>2006</v>
      </c>
      <c r="C708" s="96" t="str">
        <f t="shared" si="71"/>
        <v>Yes</v>
      </c>
      <c r="D708" s="96" t="str">
        <f>VLOOKUP(A708,'Tox Summary'!$O$3:$R$824,3,FALSE)</f>
        <v>Yes</v>
      </c>
      <c r="E708" s="97">
        <v>468.75</v>
      </c>
      <c r="F708" s="97" t="s">
        <v>1620</v>
      </c>
      <c r="G708" s="93">
        <f>VLOOKUP(A708,'Parameters Summary'!$B$2:$AB$826,9,FALSE)</f>
        <v>5.81</v>
      </c>
      <c r="H708" s="93" t="str">
        <f>VLOOKUP(A708,'Parameters Summary'!$B$2:$AB$826,10,FALSE)</f>
        <v>PHYSPROP</v>
      </c>
      <c r="I708" s="93">
        <f>VLOOKUP(A708,'Parameters Summary'!$B$2:$AB$826,24,FALSE)</f>
        <v>52000</v>
      </c>
      <c r="J708" s="97" t="str">
        <f>VLOOKUP(A708,'Parameters Summary'!$B$2:$AB$826,25,FALSE)</f>
        <v>PHYSPROP</v>
      </c>
      <c r="K708" s="97" t="str">
        <f>VLOOKUP(A708,'Tox Summary'!$O$4:$P$824,2,FALSE)</f>
        <v/>
      </c>
      <c r="L708" s="93" t="str">
        <f>VLOOKUP(A708,'Parameters Summary'!$B$2:$AB$826,7,FALSE)</f>
        <v xml:space="preserve"> </v>
      </c>
      <c r="M708" s="93" t="str">
        <f>VLOOKUP(A708,'Parameters Summary'!$B$2:$AB$826,8,FALSE)</f>
        <v/>
      </c>
      <c r="N708" s="91" t="str">
        <f>VLOOKUP(A708,'Parameters Summary'!$B$2:$AB$826,6,FALSE)</f>
        <v xml:space="preserve"> </v>
      </c>
      <c r="O708" s="91" t="str">
        <f t="shared" si="68"/>
        <v/>
      </c>
      <c r="P708" s="91" t="str">
        <f t="shared" si="69"/>
        <v xml:space="preserve"> </v>
      </c>
      <c r="Q708" s="91" t="str">
        <f t="shared" si="67"/>
        <v/>
      </c>
      <c r="R708" s="91" t="str">
        <f t="shared" si="70"/>
        <v xml:space="preserve"> </v>
      </c>
      <c r="S708" s="91" t="str">
        <f t="shared" si="72"/>
        <v/>
      </c>
      <c r="T708" s="93">
        <f>VLOOKUP(A708,'Parameters Summary'!$B$2:$AB$826,15,FALSE)</f>
        <v>3.9344900000000002E-2</v>
      </c>
      <c r="U708" s="93" t="str">
        <f>VLOOKUP(A708,'Parameters Summary'!$B$2:$AB$826,17,FALSE)</f>
        <v>WATER9 (U.S. EPA, 2001)</v>
      </c>
      <c r="V708" s="93">
        <f>VLOOKUP(A708,'Parameters Summary'!$B$2:$AB$826,16,FALSE)</f>
        <v>1.2300000000000001E-5</v>
      </c>
      <c r="W708" s="379" t="str">
        <f>VLOOKUP(A708,'Parameters Summary'!$B$2:$AB$826,17,FALSE)</f>
        <v>WATER9 (U.S. EPA, 2001)</v>
      </c>
      <c r="X708" s="347"/>
      <c r="Y708" s="96"/>
      <c r="Z708" s="96" t="s">
        <v>1653</v>
      </c>
      <c r="AA708" s="96"/>
      <c r="AB708" s="96" t="s">
        <v>1651</v>
      </c>
      <c r="AC708" s="96"/>
      <c r="AD708" s="93">
        <f>VLOOKUP(A708,'Parameters Summary'!$B$2:$AB$826,20,FALSE)</f>
        <v>2.8769999999999998</v>
      </c>
      <c r="AE708" s="97" t="str">
        <f>VLOOKUP(A708,'Parameters Summary'!$B$2:$AB$826,21,FALSE)</f>
        <v>EPI</v>
      </c>
      <c r="AF708" s="97"/>
      <c r="AG708" s="94"/>
      <c r="AH708" s="92"/>
      <c r="AI708" s="96"/>
      <c r="AJ708" s="330"/>
      <c r="AL708" s="81"/>
    </row>
    <row r="709" spans="1:38" ht="12.75" customHeight="1">
      <c r="A709" s="96" t="s">
        <v>2009</v>
      </c>
      <c r="B709" s="96" t="s">
        <v>2008</v>
      </c>
      <c r="C709" s="96" t="str">
        <f t="shared" si="71"/>
        <v>No</v>
      </c>
      <c r="D709" s="96" t="str">
        <f>VLOOKUP(A709,'Tox Summary'!$O$3:$R$824,3,FALSE)</f>
        <v>No</v>
      </c>
      <c r="E709" s="97">
        <v>239.82</v>
      </c>
      <c r="F709" s="97" t="s">
        <v>1620</v>
      </c>
      <c r="G709" s="93" t="s">
        <v>2439</v>
      </c>
      <c r="H709" s="93" t="str">
        <f>VLOOKUP(A709,'Parameters Summary'!$B$2:$AB$826,10,FALSE)</f>
        <v/>
      </c>
      <c r="I709" s="93">
        <f>VLOOKUP(A709,'Parameters Summary'!$B$2:$AB$826,24,FALSE)</f>
        <v>2900</v>
      </c>
      <c r="J709" s="97" t="str">
        <f>VLOOKUP(A709,'Parameters Summary'!$B$2:$AB$826,25,FALSE)</f>
        <v>PHYSPROP</v>
      </c>
      <c r="K709" s="97" t="str">
        <f>VLOOKUP(A709,'Tox Summary'!$O$4:$P$824,2,FALSE)</f>
        <v/>
      </c>
      <c r="L709" s="93" t="s">
        <v>2298</v>
      </c>
      <c r="M709" s="93" t="str">
        <f>VLOOKUP(A709,'Parameters Summary'!$B$2:$AB$826,8,FALSE)</f>
        <v/>
      </c>
      <c r="N709" s="91" t="str">
        <f>VLOOKUP(A709,'Parameters Summary'!$B$2:$AB$826,6,FALSE)</f>
        <v xml:space="preserve"> </v>
      </c>
      <c r="O709" s="91" t="str">
        <f t="shared" si="68"/>
        <v/>
      </c>
      <c r="P709" s="91" t="str">
        <f t="shared" si="69"/>
        <v xml:space="preserve"> </v>
      </c>
      <c r="Q709" s="91" t="str">
        <f t="shared" si="67"/>
        <v/>
      </c>
      <c r="R709" s="91" t="str">
        <f t="shared" si="70"/>
        <v xml:space="preserve"> </v>
      </c>
      <c r="S709" s="91" t="str">
        <f t="shared" si="72"/>
        <v/>
      </c>
      <c r="T709" s="93">
        <f>VLOOKUP(A709,'Parameters Summary'!$B$2:$AB$826,15,FALSE)</f>
        <v>5.2455300000000003E-2</v>
      </c>
      <c r="U709" s="93" t="str">
        <f>VLOOKUP(A709,'Parameters Summary'!$B$2:$AB$826,17,FALSE)</f>
        <v>WATER9 (U.S. EPA, 2001)</v>
      </c>
      <c r="V709" s="93">
        <f>VLOOKUP(A709,'Parameters Summary'!$B$2:$AB$826,16,FALSE)</f>
        <v>1.8199999999999999E-5</v>
      </c>
      <c r="W709" s="379" t="str">
        <f>VLOOKUP(A709,'Parameters Summary'!$B$2:$AB$826,17,FALSE)</f>
        <v>WATER9 (U.S. EPA, 2001)</v>
      </c>
      <c r="X709" s="290">
        <v>993.15</v>
      </c>
      <c r="Y709" s="96" t="s">
        <v>553</v>
      </c>
      <c r="Z709" s="96">
        <f>1.5*X709</f>
        <v>1489.7249999999999</v>
      </c>
      <c r="AA709" s="96" t="s">
        <v>2220</v>
      </c>
      <c r="AB709" s="96" t="s">
        <v>1651</v>
      </c>
      <c r="AC709" s="96"/>
      <c r="AD709" s="93" t="str">
        <f>VLOOKUP(A709,'Parameters Summary'!$B$2:$AB$826,20,FALSE)</f>
        <v xml:space="preserve"> </v>
      </c>
      <c r="AE709" s="97" t="str">
        <f>VLOOKUP(A709,'Parameters Summary'!$B$2:$AB$826,21,FALSE)</f>
        <v/>
      </c>
      <c r="AF709" s="97"/>
      <c r="AG709" s="94"/>
      <c r="AH709" s="92"/>
      <c r="AI709" s="96"/>
      <c r="AJ709" s="330"/>
      <c r="AL709" s="81"/>
    </row>
    <row r="710" spans="1:38" ht="12.75" customHeight="1">
      <c r="A710" s="96" t="s">
        <v>2011</v>
      </c>
      <c r="B710" s="96" t="s">
        <v>2010</v>
      </c>
      <c r="C710" s="96" t="str">
        <f t="shared" si="71"/>
        <v>No</v>
      </c>
      <c r="D710" s="96" t="str">
        <f>VLOOKUP(A710,'Tox Summary'!$O$3:$R$824,3,FALSE)</f>
        <v>No</v>
      </c>
      <c r="E710" s="97">
        <v>504.8</v>
      </c>
      <c r="F710" s="97" t="s">
        <v>1620</v>
      </c>
      <c r="G710" s="93" t="s">
        <v>2439</v>
      </c>
      <c r="H710" s="93" t="str">
        <f>VLOOKUP(A710,'Parameters Summary'!$B$2:$AB$826,10,FALSE)</f>
        <v/>
      </c>
      <c r="I710" s="93">
        <f>VLOOKUP(A710,'Parameters Summary'!$B$2:$AB$826,24,FALSE)</f>
        <v>54700</v>
      </c>
      <c r="J710" s="97" t="str">
        <f>VLOOKUP(A710,'Parameters Summary'!$B$2:$AB$826,25,FALSE)</f>
        <v>CRC89</v>
      </c>
      <c r="K710" s="97" t="str">
        <f>VLOOKUP(A710,'Tox Summary'!$O$4:$P$824,2,FALSE)</f>
        <v/>
      </c>
      <c r="L710" s="93" t="s">
        <v>2298</v>
      </c>
      <c r="M710" s="93" t="str">
        <f>VLOOKUP(A710,'Parameters Summary'!$B$2:$AB$826,8,FALSE)</f>
        <v/>
      </c>
      <c r="N710" s="91" t="str">
        <f>VLOOKUP(A710,'Parameters Summary'!$B$2:$AB$826,6,FALSE)</f>
        <v xml:space="preserve"> </v>
      </c>
      <c r="O710" s="91" t="str">
        <f t="shared" si="68"/>
        <v/>
      </c>
      <c r="P710" s="91" t="str">
        <f t="shared" si="69"/>
        <v xml:space="preserve"> </v>
      </c>
      <c r="Q710" s="91" t="str">
        <f t="shared" si="67"/>
        <v/>
      </c>
      <c r="R710" s="91" t="str">
        <f t="shared" si="70"/>
        <v xml:space="preserve"> </v>
      </c>
      <c r="S710" s="91" t="str">
        <f t="shared" si="72"/>
        <v/>
      </c>
      <c r="T710" s="93" t="str">
        <f>VLOOKUP(A710,'Parameters Summary'!$B$2:$AB$826,15,FALSE)</f>
        <v xml:space="preserve"> </v>
      </c>
      <c r="U710" s="93" t="str">
        <f>VLOOKUP(A710,'Parameters Summary'!$B$2:$AB$826,17,FALSE)</f>
        <v/>
      </c>
      <c r="V710" s="93" t="str">
        <f>VLOOKUP(A710,'Parameters Summary'!$B$2:$AB$826,16,FALSE)</f>
        <v xml:space="preserve"> </v>
      </c>
      <c r="W710" s="379" t="str">
        <f>VLOOKUP(A710,'Parameters Summary'!$B$2:$AB$826,17,FALSE)</f>
        <v/>
      </c>
      <c r="X710" s="347"/>
      <c r="Y710" s="96"/>
      <c r="Z710" s="96" t="s">
        <v>1653</v>
      </c>
      <c r="AA710" s="96"/>
      <c r="AB710" s="96" t="s">
        <v>1651</v>
      </c>
      <c r="AC710" s="96"/>
      <c r="AD710" s="93" t="str">
        <f>VLOOKUP(A710,'Parameters Summary'!$B$2:$AB$826,20,FALSE)</f>
        <v xml:space="preserve"> </v>
      </c>
      <c r="AE710" s="97" t="str">
        <f>VLOOKUP(A710,'Parameters Summary'!$B$2:$AB$826,21,FALSE)</f>
        <v/>
      </c>
      <c r="AF710" s="97"/>
      <c r="AG710" s="94"/>
      <c r="AH710" s="92"/>
      <c r="AI710" s="96"/>
      <c r="AJ710" s="330"/>
      <c r="AL710" s="81"/>
    </row>
    <row r="711" spans="1:38" ht="12.75" customHeight="1">
      <c r="A711" s="96" t="s">
        <v>958</v>
      </c>
      <c r="B711" s="96" t="s">
        <v>2320</v>
      </c>
      <c r="C711" s="96" t="str">
        <f t="shared" si="71"/>
        <v>No</v>
      </c>
      <c r="D711" s="96" t="str">
        <f>VLOOKUP(A711,'Tox Summary'!$O$3:$R$824,3,FALSE)</f>
        <v>Yes</v>
      </c>
      <c r="E711" s="97">
        <v>387.4</v>
      </c>
      <c r="F711" s="97" t="s">
        <v>1620</v>
      </c>
      <c r="G711" s="93">
        <f>VLOOKUP(A711,'Parameters Summary'!$B$2:$AB$826,9,FALSE)</f>
        <v>1.28E-10</v>
      </c>
      <c r="H711" s="93" t="str">
        <f>VLOOKUP(A711,'Parameters Summary'!$B$2:$AB$826,10,FALSE)</f>
        <v>PHYSPROP</v>
      </c>
      <c r="I711" s="93">
        <f>VLOOKUP(A711,'Parameters Summary'!$B$2:$AB$826,24,FALSE)</f>
        <v>2240</v>
      </c>
      <c r="J711" s="97" t="str">
        <f>VLOOKUP(A711,'Parameters Summary'!$B$2:$AB$826,25,FALSE)</f>
        <v>PHYSPROP</v>
      </c>
      <c r="K711" s="97" t="str">
        <f>VLOOKUP(A711,'Tox Summary'!$O$4:$P$824,2,FALSE)</f>
        <v/>
      </c>
      <c r="L711" s="93">
        <f>VLOOKUP(A711,'Parameters Summary'!$B$2:$AB$826,7,FALSE)</f>
        <v>4.08E-14</v>
      </c>
      <c r="M711" s="93" t="str">
        <f>VLOOKUP(A711,'Parameters Summary'!$B$2:$AB$826,8,FALSE)</f>
        <v>PHYSPROP</v>
      </c>
      <c r="N711" s="91">
        <f>VLOOKUP(A711,'Parameters Summary'!$B$2:$AB$826,6,FALSE)</f>
        <v>1.668E-12</v>
      </c>
      <c r="O711" s="91" t="str">
        <f t="shared" si="68"/>
        <v/>
      </c>
      <c r="P711" s="91">
        <f t="shared" si="69"/>
        <v>1.668E-12</v>
      </c>
      <c r="Q711" s="91" t="str">
        <f t="shared" si="67"/>
        <v/>
      </c>
      <c r="R711" s="91">
        <f t="shared" si="70"/>
        <v>1.668E-12</v>
      </c>
      <c r="S711" s="91" t="str">
        <f t="shared" si="72"/>
        <v/>
      </c>
      <c r="T711" s="93">
        <f>VLOOKUP(A711,'Parameters Summary'!$B$2:$AB$826,15,FALSE)</f>
        <v>3.5753100000000003E-2</v>
      </c>
      <c r="U711" s="93" t="str">
        <f>VLOOKUP(A711,'Parameters Summary'!$B$2:$AB$826,17,FALSE)</f>
        <v>WATER9 (U.S. EPA, 2001)</v>
      </c>
      <c r="V711" s="93">
        <f>VLOOKUP(A711,'Parameters Summary'!$B$2:$AB$826,16,FALSE)</f>
        <v>4.1775000000000002E-6</v>
      </c>
      <c r="W711" s="379" t="str">
        <f>VLOOKUP(A711,'Parameters Summary'!$B$2:$AB$826,17,FALSE)</f>
        <v>WATER9 (U.S. EPA, 2001)</v>
      </c>
      <c r="X711" s="347"/>
      <c r="Y711" s="96"/>
      <c r="Z711" s="96" t="s">
        <v>1653</v>
      </c>
      <c r="AA711" s="96"/>
      <c r="AB711" s="96" t="s">
        <v>1651</v>
      </c>
      <c r="AC711" s="96"/>
      <c r="AD711" s="93">
        <f>VLOOKUP(A711,'Parameters Summary'!$B$2:$AB$826,20,FALSE)</f>
        <v>50.76</v>
      </c>
      <c r="AE711" s="97" t="str">
        <f>VLOOKUP(A711,'Parameters Summary'!$B$2:$AB$826,21,FALSE)</f>
        <v>EPI</v>
      </c>
      <c r="AF711" s="97"/>
      <c r="AG711" s="94"/>
      <c r="AH711" s="92"/>
      <c r="AI711" s="96"/>
      <c r="AJ711" s="330"/>
      <c r="AL711" s="81"/>
    </row>
    <row r="712" spans="1:38" ht="12.75" customHeight="1">
      <c r="A712" s="96" t="s">
        <v>287</v>
      </c>
      <c r="B712" s="96" t="s">
        <v>1352</v>
      </c>
      <c r="C712" s="96" t="str">
        <f t="shared" si="71"/>
        <v>No</v>
      </c>
      <c r="D712" s="96" t="str">
        <f>VLOOKUP(A712,'Tox Summary'!$O$3:$R$824,3,FALSE)</f>
        <v>Yes</v>
      </c>
      <c r="E712" s="97">
        <v>257.77999999999997</v>
      </c>
      <c r="F712" s="97" t="s">
        <v>1620</v>
      </c>
      <c r="G712" s="93">
        <f>VLOOKUP(A712,'Parameters Summary'!$B$2:$AB$826,9,FALSE)</f>
        <v>2.1999999999999999E-5</v>
      </c>
      <c r="H712" s="93" t="str">
        <f>VLOOKUP(A712,'Parameters Summary'!$B$2:$AB$826,10,FALSE)</f>
        <v>PHYSPROP</v>
      </c>
      <c r="I712" s="93">
        <f>VLOOKUP(A712,'Parameters Summary'!$B$2:$AB$826,24,FALSE)</f>
        <v>28</v>
      </c>
      <c r="J712" s="97" t="str">
        <f>VLOOKUP(A712,'Parameters Summary'!$B$2:$AB$826,25,FALSE)</f>
        <v>PHYSPROP</v>
      </c>
      <c r="K712" s="97" t="str">
        <f>VLOOKUP(A712,'Tox Summary'!$O$4:$P$824,2,FALSE)</f>
        <v/>
      </c>
      <c r="L712" s="93">
        <f>VLOOKUP(A712,'Parameters Summary'!$B$2:$AB$826,7,FALSE)</f>
        <v>2.67E-7</v>
      </c>
      <c r="M712" s="93" t="str">
        <f>VLOOKUP(A712,'Parameters Summary'!$B$2:$AB$826,8,FALSE)</f>
        <v>EPI</v>
      </c>
      <c r="N712" s="91">
        <f>VLOOKUP(A712,'Parameters Summary'!$B$2:$AB$826,6,FALSE)</f>
        <v>1.0900000000000001E-5</v>
      </c>
      <c r="O712" s="91" t="str">
        <f t="shared" si="68"/>
        <v/>
      </c>
      <c r="P712" s="91">
        <f t="shared" si="69"/>
        <v>1.0900000000000001E-5</v>
      </c>
      <c r="Q712" s="91" t="str">
        <f t="shared" si="67"/>
        <v/>
      </c>
      <c r="R712" s="91">
        <f t="shared" si="70"/>
        <v>1.0900000000000001E-5</v>
      </c>
      <c r="S712" s="91" t="str">
        <f t="shared" si="72"/>
        <v/>
      </c>
      <c r="T712" s="93">
        <f>VLOOKUP(A712,'Parameters Summary'!$B$2:$AB$826,15,FALSE)</f>
        <v>2.3450100000000001E-2</v>
      </c>
      <c r="U712" s="93" t="str">
        <f>VLOOKUP(A712,'Parameters Summary'!$B$2:$AB$826,17,FALSE)</f>
        <v>WATER9 (U.S. EPA, 2001)</v>
      </c>
      <c r="V712" s="93">
        <f>VLOOKUP(A712,'Parameters Summary'!$B$2:$AB$826,16,FALSE)</f>
        <v>5.9318999999999999E-6</v>
      </c>
      <c r="W712" s="379" t="str">
        <f>VLOOKUP(A712,'Parameters Summary'!$B$2:$AB$826,17,FALSE)</f>
        <v>WATER9 (U.S. EPA, 2001)</v>
      </c>
      <c r="X712" s="290">
        <v>400.65</v>
      </c>
      <c r="Y712" s="96" t="s">
        <v>553</v>
      </c>
      <c r="Z712" s="96">
        <f>1.5*X712</f>
        <v>600.97499999999991</v>
      </c>
      <c r="AA712" s="96" t="s">
        <v>2220</v>
      </c>
      <c r="AB712" s="96" t="s">
        <v>1651</v>
      </c>
      <c r="AC712" s="96"/>
      <c r="AD712" s="93">
        <f>VLOOKUP(A712,'Parameters Summary'!$B$2:$AB$826,20,FALSE)</f>
        <v>1628</v>
      </c>
      <c r="AE712" s="97" t="str">
        <f>VLOOKUP(A712,'Parameters Summary'!$B$2:$AB$826,21,FALSE)</f>
        <v>EPI</v>
      </c>
      <c r="AF712" s="97"/>
      <c r="AG712" s="94"/>
      <c r="AH712" s="92"/>
      <c r="AI712" s="96"/>
      <c r="AJ712" s="330"/>
      <c r="AL712" s="81"/>
    </row>
    <row r="713" spans="1:38">
      <c r="A713" s="96" t="s">
        <v>2167</v>
      </c>
      <c r="B713" s="96" t="s">
        <v>2409</v>
      </c>
      <c r="C713" s="96" t="str">
        <f t="shared" si="71"/>
        <v>No</v>
      </c>
      <c r="D713" s="96" t="str">
        <f>VLOOKUP(A713,'Tox Summary'!$O$3:$R$824,3,FALSE)</f>
        <v>Yes</v>
      </c>
      <c r="E713" s="97" t="s">
        <v>2416</v>
      </c>
      <c r="F713" s="97" t="s">
        <v>1413</v>
      </c>
      <c r="G713" s="93" t="s">
        <v>2439</v>
      </c>
      <c r="H713" s="93" t="str">
        <f>VLOOKUP(A713,'Parameters Summary'!$B$2:$AB$826,10,FALSE)</f>
        <v/>
      </c>
      <c r="I713" s="93" t="s">
        <v>2440</v>
      </c>
      <c r="J713" s="97" t="str">
        <f>VLOOKUP(A713,'Parameters Summary'!$B$2:$AB$826,25,FALSE)</f>
        <v/>
      </c>
      <c r="K713" s="97" t="str">
        <f>VLOOKUP(A713,'Tox Summary'!$O$4:$P$824,2,FALSE)</f>
        <v/>
      </c>
      <c r="L713" s="93" t="s">
        <v>2298</v>
      </c>
      <c r="M713" s="93" t="str">
        <f>VLOOKUP(A713,'Parameters Summary'!$B$2:$AB$826,8,FALSE)</f>
        <v/>
      </c>
      <c r="N713" s="91" t="str">
        <f>VLOOKUP(A713,'Parameters Summary'!$B$2:$AB$826,6,FALSE)</f>
        <v xml:space="preserve"> </v>
      </c>
      <c r="O713" s="91" t="str">
        <f t="shared" si="68"/>
        <v/>
      </c>
      <c r="P713" s="91" t="str">
        <f t="shared" si="69"/>
        <v xml:space="preserve"> </v>
      </c>
      <c r="Q713" s="91" t="str">
        <f t="shared" ref="Q713:Q776" si="73">IF(OR(L713="No Hc25",Z713="No Tcrit",AB713="No DHv,b"),"",N713*EXP((-(AB713*((1-(Tgw_GW+273)/Z713)/(1-X713/Z713))^(IF(X713/Z713&lt;0.57,0.3,IF(X713/Z713&gt;0.71,0.41,0.74*(X713/Z713)-0.116))))/1.9872)*(1/(Tgw_GW+273)-1/298)))</f>
        <v/>
      </c>
      <c r="R713" s="91" t="str">
        <f t="shared" si="70"/>
        <v xml:space="preserve"> </v>
      </c>
      <c r="S713" s="91" t="str">
        <f t="shared" si="72"/>
        <v/>
      </c>
      <c r="T713" s="93" t="str">
        <f>VLOOKUP(A713,'Parameters Summary'!$B$2:$AB$826,15,FALSE)</f>
        <v xml:space="preserve"> </v>
      </c>
      <c r="U713" s="93" t="str">
        <f>VLOOKUP(A713,'Parameters Summary'!$B$2:$AB$826,17,FALSE)</f>
        <v/>
      </c>
      <c r="V713" s="93" t="str">
        <f>VLOOKUP(A713,'Parameters Summary'!$B$2:$AB$826,16,FALSE)</f>
        <v xml:space="preserve"> </v>
      </c>
      <c r="W713" s="379" t="str">
        <f>VLOOKUP(A713,'Parameters Summary'!$B$2:$AB$826,17,FALSE)</f>
        <v/>
      </c>
      <c r="X713" s="347"/>
      <c r="Y713" s="96"/>
      <c r="Z713" s="96" t="s">
        <v>1653</v>
      </c>
      <c r="AA713" s="96"/>
      <c r="AB713" s="96" t="s">
        <v>1651</v>
      </c>
      <c r="AC713" s="96"/>
      <c r="AD713" s="93" t="str">
        <f>VLOOKUP(A713,'Parameters Summary'!$B$2:$AB$826,20,FALSE)</f>
        <v xml:space="preserve"> </v>
      </c>
      <c r="AE713" s="97" t="str">
        <f>VLOOKUP(A713,'Parameters Summary'!$B$2:$AB$826,21,FALSE)</f>
        <v/>
      </c>
      <c r="AF713" s="97"/>
      <c r="AG713" s="94"/>
      <c r="AH713" s="92"/>
      <c r="AI713" s="96"/>
      <c r="AJ713" s="330"/>
      <c r="AL713" s="81"/>
    </row>
    <row r="714" spans="1:38" ht="12.75" customHeight="1">
      <c r="A714" s="96" t="s">
        <v>799</v>
      </c>
      <c r="B714" s="96" t="s">
        <v>2369</v>
      </c>
      <c r="C714" s="96" t="str">
        <f t="shared" si="71"/>
        <v>Yes</v>
      </c>
      <c r="D714" s="96" t="str">
        <f>VLOOKUP(A714,'Tox Summary'!$O$3:$R$824,3,FALSE)</f>
        <v>No</v>
      </c>
      <c r="E714" s="97">
        <v>59.09</v>
      </c>
      <c r="F714" s="97" t="s">
        <v>1620</v>
      </c>
      <c r="G714" s="93">
        <f>VLOOKUP(A714,'Parameters Summary'!$B$2:$AB$826,9,FALSE)</f>
        <v>4.7300000000000004</v>
      </c>
      <c r="H714" s="93" t="str">
        <f>VLOOKUP(A714,'Parameters Summary'!$B$2:$AB$826,10,FALSE)</f>
        <v>PPRTV</v>
      </c>
      <c r="I714" s="93" t="s">
        <v>2440</v>
      </c>
      <c r="J714" s="97" t="str">
        <f>VLOOKUP(A714,'Parameters Summary'!$B$2:$AB$826,25,FALSE)</f>
        <v/>
      </c>
      <c r="K714" s="97" t="str">
        <f>VLOOKUP(A714,'Tox Summary'!$O$4:$P$824,2,FALSE)</f>
        <v/>
      </c>
      <c r="L714" s="93" t="str">
        <f>VLOOKUP(A714,'Parameters Summary'!$B$2:$AB$826,7,FALSE)</f>
        <v xml:space="preserve"> </v>
      </c>
      <c r="M714" s="93" t="str">
        <f>VLOOKUP(A714,'Parameters Summary'!$B$2:$AB$826,8,FALSE)</f>
        <v/>
      </c>
      <c r="N714" s="91" t="str">
        <f>VLOOKUP(A714,'Parameters Summary'!$B$2:$AB$826,6,FALSE)</f>
        <v xml:space="preserve"> </v>
      </c>
      <c r="O714" s="91" t="str">
        <f t="shared" ref="O714:O777" si="74">IF(OR(L714="No Hc25",Z714="No Tcrit",AB714="No DHv,b"),"",N714*EXP((-(AB714*((1-(Tgw+273)/Z714)/(1-X714/Z714))^(IF(X714/Z714&lt;0.57,0.3,IF(X714/Z714&gt;0.71,0.41,0.74*(X714/Z714)-0.116))))/1.9872)*(1/(Tgw+273)-1/298)))</f>
        <v/>
      </c>
      <c r="P714" s="91" t="str">
        <f t="shared" ref="P714:P777" si="75">IF(O714="",N714,O714)</f>
        <v xml:space="preserve"> </v>
      </c>
      <c r="Q714" s="91" t="str">
        <f t="shared" si="73"/>
        <v/>
      </c>
      <c r="R714" s="91" t="str">
        <f t="shared" ref="R714:R777" si="76">IF(Q714="",P714,Q714)</f>
        <v xml:space="preserve"> </v>
      </c>
      <c r="S714" s="91" t="str">
        <f t="shared" si="72"/>
        <v/>
      </c>
      <c r="T714" s="93">
        <f>VLOOKUP(A714,'Parameters Summary'!$B$2:$AB$826,15,FALSE)</f>
        <v>0.1214751</v>
      </c>
      <c r="U714" s="93" t="str">
        <f>VLOOKUP(A714,'Parameters Summary'!$B$2:$AB$826,17,FALSE)</f>
        <v>WATER9 (U.S. EPA, 2001)</v>
      </c>
      <c r="V714" s="93">
        <f>VLOOKUP(A714,'Parameters Summary'!$B$2:$AB$826,16,FALSE)</f>
        <v>1.4100000000000001E-5</v>
      </c>
      <c r="W714" s="379" t="str">
        <f>VLOOKUP(A714,'Parameters Summary'!$B$2:$AB$826,17,FALSE)</f>
        <v>WATER9 (U.S. EPA, 2001)</v>
      </c>
      <c r="X714" s="347"/>
      <c r="Y714" s="96"/>
      <c r="Z714" s="96" t="s">
        <v>1653</v>
      </c>
      <c r="AA714" s="96"/>
      <c r="AB714" s="96" t="s">
        <v>1651</v>
      </c>
      <c r="AC714" s="96"/>
      <c r="AD714" s="93" t="str">
        <f>VLOOKUP(A714,'Parameters Summary'!$B$2:$AB$826,20,FALSE)</f>
        <v xml:space="preserve"> </v>
      </c>
      <c r="AE714" s="97" t="str">
        <f>VLOOKUP(A714,'Parameters Summary'!$B$2:$AB$826,21,FALSE)</f>
        <v/>
      </c>
      <c r="AF714" s="97"/>
      <c r="AG714" s="94"/>
      <c r="AH714" s="92"/>
      <c r="AI714" s="96"/>
      <c r="AJ714" s="330"/>
      <c r="AL714" s="81"/>
    </row>
    <row r="715" spans="1:38" ht="12.75" customHeight="1">
      <c r="A715" s="96" t="s">
        <v>288</v>
      </c>
      <c r="B715" s="96" t="s">
        <v>619</v>
      </c>
      <c r="C715" s="96" t="str">
        <f t="shared" ref="C715:C778" si="77">IF((COUNTIF(G715,"&gt;1")+COUNTIF(L715,"&gt;1E-5"))&gt;0,"Yes","No")</f>
        <v>No</v>
      </c>
      <c r="D715" s="96" t="str">
        <f>VLOOKUP(A715,'Tox Summary'!$O$3:$R$824,3,FALSE)</f>
        <v>No</v>
      </c>
      <c r="E715" s="97">
        <v>122.19</v>
      </c>
      <c r="F715" s="97" t="s">
        <v>1620</v>
      </c>
      <c r="G715" s="93">
        <f>VLOOKUP(A715,'Parameters Summary'!$B$2:$AB$826,9,FALSE)</f>
        <v>3.2299999999999998E-3</v>
      </c>
      <c r="H715" s="93" t="str">
        <f>VLOOKUP(A715,'Parameters Summary'!$B$2:$AB$826,10,FALSE)</f>
        <v>PHYSPROP</v>
      </c>
      <c r="I715" s="93">
        <f>VLOOKUP(A715,'Parameters Summary'!$B$2:$AB$826,24,FALSE)</f>
        <v>1000000</v>
      </c>
      <c r="J715" s="97" t="str">
        <f>VLOOKUP(A715,'Parameters Summary'!$B$2:$AB$826,25,FALSE)</f>
        <v>PHYSPROP</v>
      </c>
      <c r="K715" s="97" t="str">
        <f>VLOOKUP(A715,'Tox Summary'!$O$4:$P$824,2,FALSE)</f>
        <v/>
      </c>
      <c r="L715" s="93">
        <f>VLOOKUP(A715,'Parameters Summary'!$B$2:$AB$826,7,FALSE)</f>
        <v>1.85E-9</v>
      </c>
      <c r="M715" s="93" t="str">
        <f>VLOOKUP(A715,'Parameters Summary'!$B$2:$AB$826,8,FALSE)</f>
        <v>PHYSPROP</v>
      </c>
      <c r="N715" s="91">
        <f>VLOOKUP(A715,'Parameters Summary'!$B$2:$AB$826,6,FALSE)</f>
        <v>7.5634000000000001E-8</v>
      </c>
      <c r="O715" s="91" t="str">
        <f t="shared" si="74"/>
        <v/>
      </c>
      <c r="P715" s="91">
        <f t="shared" si="75"/>
        <v>7.5634000000000001E-8</v>
      </c>
      <c r="Q715" s="91" t="str">
        <f t="shared" si="73"/>
        <v/>
      </c>
      <c r="R715" s="91">
        <f t="shared" si="76"/>
        <v>7.5634000000000001E-8</v>
      </c>
      <c r="S715" s="91" t="str">
        <f t="shared" si="72"/>
        <v/>
      </c>
      <c r="T715" s="93">
        <f>VLOOKUP(A715,'Parameters Summary'!$B$2:$AB$826,15,FALSE)</f>
        <v>6.8014400000000003E-2</v>
      </c>
      <c r="U715" s="93" t="str">
        <f>VLOOKUP(A715,'Parameters Summary'!$B$2:$AB$826,17,FALSE)</f>
        <v>WATER9 (U.S. EPA, 2001)</v>
      </c>
      <c r="V715" s="93">
        <f>VLOOKUP(A715,'Parameters Summary'!$B$2:$AB$826,16,FALSE)</f>
        <v>9.3762000000000001E-6</v>
      </c>
      <c r="W715" s="379" t="str">
        <f>VLOOKUP(A715,'Parameters Summary'!$B$2:$AB$826,17,FALSE)</f>
        <v>WATER9 (U.S. EPA, 2001)</v>
      </c>
      <c r="X715" s="290">
        <v>555.15</v>
      </c>
      <c r="Y715" s="96" t="s">
        <v>553</v>
      </c>
      <c r="Z715" s="96">
        <f>1.5*X715</f>
        <v>832.72499999999991</v>
      </c>
      <c r="AA715" s="96" t="s">
        <v>2220</v>
      </c>
      <c r="AB715" s="96" t="s">
        <v>1651</v>
      </c>
      <c r="AC715" s="96"/>
      <c r="AD715" s="93">
        <f>VLOOKUP(A715,'Parameters Summary'!$B$2:$AB$826,20,FALSE)</f>
        <v>1</v>
      </c>
      <c r="AE715" s="97" t="str">
        <f>VLOOKUP(A715,'Parameters Summary'!$B$2:$AB$826,21,FALSE)</f>
        <v>EPI</v>
      </c>
      <c r="AF715" s="97"/>
      <c r="AG715" s="94"/>
      <c r="AH715" s="92"/>
      <c r="AI715" s="96"/>
      <c r="AJ715" s="330"/>
      <c r="AL715" s="81"/>
    </row>
    <row r="716" spans="1:38" ht="12.75" customHeight="1">
      <c r="A716" s="96" t="s">
        <v>289</v>
      </c>
      <c r="B716" s="96" t="s">
        <v>1353</v>
      </c>
      <c r="C716" s="96" t="str">
        <f t="shared" si="77"/>
        <v>No</v>
      </c>
      <c r="D716" s="96" t="str">
        <f>VLOOKUP(A716,'Tox Summary'!$O$3:$R$824,3,FALSE)</f>
        <v>Yes</v>
      </c>
      <c r="E716" s="97">
        <v>218.32</v>
      </c>
      <c r="F716" s="97" t="s">
        <v>1620</v>
      </c>
      <c r="G716" s="93">
        <f>VLOOKUP(A716,'Parameters Summary'!$B$2:$AB$826,9,FALSE)</f>
        <v>1.7000000000000001E-4</v>
      </c>
      <c r="H716" s="93" t="str">
        <f>VLOOKUP(A716,'Parameters Summary'!$B$2:$AB$826,10,FALSE)</f>
        <v>PHYSPROP</v>
      </c>
      <c r="I716" s="93">
        <f>VLOOKUP(A716,'Parameters Summary'!$B$2:$AB$826,24,FALSE)</f>
        <v>5200</v>
      </c>
      <c r="J716" s="97" t="str">
        <f>VLOOKUP(A716,'Parameters Summary'!$B$2:$AB$826,25,FALSE)</f>
        <v>PHYSPROP</v>
      </c>
      <c r="K716" s="97" t="str">
        <f>VLOOKUP(A716,'Tox Summary'!$O$4:$P$824,2,FALSE)</f>
        <v/>
      </c>
      <c r="L716" s="93">
        <f>VLOOKUP(A716,'Parameters Summary'!$B$2:$AB$826,7,FALSE)</f>
        <v>9.39E-9</v>
      </c>
      <c r="M716" s="93" t="str">
        <f>VLOOKUP(A716,'Parameters Summary'!$B$2:$AB$826,8,FALSE)</f>
        <v>EPI</v>
      </c>
      <c r="N716" s="91">
        <f>VLOOKUP(A716,'Parameters Summary'!$B$2:$AB$826,6,FALSE)</f>
        <v>3.8388999999999998E-7</v>
      </c>
      <c r="O716" s="91" t="str">
        <f t="shared" si="74"/>
        <v/>
      </c>
      <c r="P716" s="91">
        <f t="shared" si="75"/>
        <v>3.8388999999999998E-7</v>
      </c>
      <c r="Q716" s="91" t="str">
        <f t="shared" si="73"/>
        <v/>
      </c>
      <c r="R716" s="91">
        <f t="shared" si="76"/>
        <v>3.8388999999999998E-7</v>
      </c>
      <c r="S716" s="91" t="str">
        <f t="shared" si="72"/>
        <v/>
      </c>
      <c r="T716" s="93">
        <f>VLOOKUP(A716,'Parameters Summary'!$B$2:$AB$826,15,FALSE)</f>
        <v>5.2403199999999997E-2</v>
      </c>
      <c r="U716" s="93" t="str">
        <f>VLOOKUP(A716,'Parameters Summary'!$B$2:$AB$826,17,FALSE)</f>
        <v>WATER9 (U.S. EPA, 2001)</v>
      </c>
      <c r="V716" s="93">
        <f>VLOOKUP(A716,'Parameters Summary'!$B$2:$AB$826,16,FALSE)</f>
        <v>6.1229000000000003E-6</v>
      </c>
      <c r="W716" s="379" t="str">
        <f>VLOOKUP(A716,'Parameters Summary'!$B$2:$AB$826,17,FALSE)</f>
        <v>WATER9 (U.S. EPA, 2001)</v>
      </c>
      <c r="X716" s="347"/>
      <c r="Y716" s="96"/>
      <c r="Z716" s="96" t="s">
        <v>1653</v>
      </c>
      <c r="AA716" s="96"/>
      <c r="AB716" s="96" t="s">
        <v>1651</v>
      </c>
      <c r="AC716" s="96"/>
      <c r="AD716" s="93">
        <f>VLOOKUP(A716,'Parameters Summary'!$B$2:$AB$826,20,FALSE)</f>
        <v>72.400000000000006</v>
      </c>
      <c r="AE716" s="97" t="str">
        <f>VLOOKUP(A716,'Parameters Summary'!$B$2:$AB$826,21,FALSE)</f>
        <v>EPI</v>
      </c>
      <c r="AF716" s="97"/>
      <c r="AG716" s="94"/>
      <c r="AH716" s="92"/>
      <c r="AI716" s="96"/>
      <c r="AJ716" s="330"/>
      <c r="AL716" s="81"/>
    </row>
    <row r="717" spans="1:38" ht="12.75" customHeight="1">
      <c r="A717" s="96" t="s">
        <v>290</v>
      </c>
      <c r="B717" s="96" t="s">
        <v>1354</v>
      </c>
      <c r="C717" s="96" t="str">
        <f t="shared" si="77"/>
        <v>No</v>
      </c>
      <c r="D717" s="96" t="str">
        <f>VLOOKUP(A717,'Tox Summary'!$O$3:$R$824,3,FALSE)</f>
        <v>Yes</v>
      </c>
      <c r="E717" s="97">
        <v>342.4</v>
      </c>
      <c r="F717" s="97" t="s">
        <v>1620</v>
      </c>
      <c r="G717" s="93">
        <f>VLOOKUP(A717,'Parameters Summary'!$B$2:$AB$826,9,FALSE)</f>
        <v>7.1299999999999997E-8</v>
      </c>
      <c r="H717" s="93" t="str">
        <f>VLOOKUP(A717,'Parameters Summary'!$B$2:$AB$826,10,FALSE)</f>
        <v>PHYSPROP</v>
      </c>
      <c r="I717" s="93">
        <f>VLOOKUP(A717,'Parameters Summary'!$B$2:$AB$826,24,FALSE)</f>
        <v>26.6</v>
      </c>
      <c r="J717" s="97" t="str">
        <f>VLOOKUP(A717,'Parameters Summary'!$B$2:$AB$826,25,FALSE)</f>
        <v>PHYSPROP</v>
      </c>
      <c r="K717" s="97" t="str">
        <f>VLOOKUP(A717,'Tox Summary'!$O$4:$P$824,2,FALSE)</f>
        <v/>
      </c>
      <c r="L717" s="93">
        <f>VLOOKUP(A717,'Parameters Summary'!$B$2:$AB$826,7,FALSE)</f>
        <v>1.21E-9</v>
      </c>
      <c r="M717" s="93" t="str">
        <f>VLOOKUP(A717,'Parameters Summary'!$B$2:$AB$826,8,FALSE)</f>
        <v>EPI</v>
      </c>
      <c r="N717" s="91">
        <f>VLOOKUP(A717,'Parameters Summary'!$B$2:$AB$826,6,FALSE)</f>
        <v>4.9468999999999998E-8</v>
      </c>
      <c r="O717" s="91" t="str">
        <f t="shared" si="74"/>
        <v/>
      </c>
      <c r="P717" s="91">
        <f t="shared" si="75"/>
        <v>4.9468999999999998E-8</v>
      </c>
      <c r="Q717" s="91" t="str">
        <f t="shared" si="73"/>
        <v/>
      </c>
      <c r="R717" s="91">
        <f t="shared" si="76"/>
        <v>4.9468999999999998E-8</v>
      </c>
      <c r="S717" s="91" t="str">
        <f t="shared" ref="S717:S780" si="78">IF(OR(G717="No VP",Z717="No Tcrit",AB717="No DHv,b",L717="No Hc25"),"",G717*E717*53808.7856452378*O717/N717)</f>
        <v/>
      </c>
      <c r="T717" s="93">
        <f>VLOOKUP(A717,'Parameters Summary'!$B$2:$AB$826,15,FALSE)</f>
        <v>3.8820800000000003E-2</v>
      </c>
      <c r="U717" s="93" t="str">
        <f>VLOOKUP(A717,'Parameters Summary'!$B$2:$AB$826,17,FALSE)</f>
        <v>WATER9 (U.S. EPA, 2001)</v>
      </c>
      <c r="V717" s="93">
        <f>VLOOKUP(A717,'Parameters Summary'!$B$2:$AB$826,16,FALSE)</f>
        <v>4.5359000000000001E-6</v>
      </c>
      <c r="W717" s="379" t="str">
        <f>VLOOKUP(A717,'Parameters Summary'!$B$2:$AB$826,17,FALSE)</f>
        <v>WATER9 (U.S. EPA, 2001)</v>
      </c>
      <c r="X717" s="347"/>
      <c r="Y717" s="96"/>
      <c r="Z717" s="96" t="s">
        <v>1653</v>
      </c>
      <c r="AA717" s="96"/>
      <c r="AB717" s="96" t="s">
        <v>1651</v>
      </c>
      <c r="AC717" s="96"/>
      <c r="AD717" s="93">
        <f>VLOOKUP(A717,'Parameters Summary'!$B$2:$AB$826,20,FALSE)</f>
        <v>327.39999999999998</v>
      </c>
      <c r="AE717" s="97" t="str">
        <f>VLOOKUP(A717,'Parameters Summary'!$B$2:$AB$826,21,FALSE)</f>
        <v>EPI</v>
      </c>
      <c r="AF717" s="97"/>
      <c r="AG717" s="94"/>
      <c r="AH717" s="92"/>
      <c r="AI717" s="96"/>
      <c r="AJ717" s="330"/>
      <c r="AL717" s="81"/>
    </row>
    <row r="718" spans="1:38" ht="12.75" customHeight="1">
      <c r="A718" s="96" t="s">
        <v>291</v>
      </c>
      <c r="B718" s="96" t="s">
        <v>1355</v>
      </c>
      <c r="C718" s="96" t="str">
        <f t="shared" si="77"/>
        <v>No</v>
      </c>
      <c r="D718" s="96" t="str">
        <f>VLOOKUP(A718,'Tox Summary'!$O$3:$R$824,3,FALSE)</f>
        <v>Yes</v>
      </c>
      <c r="E718" s="97">
        <v>240.43</v>
      </c>
      <c r="F718" s="97" t="s">
        <v>1620</v>
      </c>
      <c r="G718" s="93">
        <f>VLOOKUP(A718,'Parameters Summary'!$B$2:$AB$826,9,FALSE)</f>
        <v>1.73E-5</v>
      </c>
      <c r="H718" s="93" t="str">
        <f>VLOOKUP(A718,'Parameters Summary'!$B$2:$AB$826,10,FALSE)</f>
        <v>PHYSPROP</v>
      </c>
      <c r="I718" s="93">
        <f>VLOOKUP(A718,'Parameters Summary'!$B$2:$AB$826,24,FALSE)</f>
        <v>30</v>
      </c>
      <c r="J718" s="97" t="str">
        <f>VLOOKUP(A718,'Parameters Summary'!$B$2:$AB$826,25,FALSE)</f>
        <v>PHYSPROP</v>
      </c>
      <c r="K718" s="97" t="str">
        <f>VLOOKUP(A718,'Tox Summary'!$O$4:$P$824,2,FALSE)</f>
        <v/>
      </c>
      <c r="L718" s="93">
        <f>VLOOKUP(A718,'Parameters Summary'!$B$2:$AB$826,7,FALSE)</f>
        <v>1.8199999999999999E-7</v>
      </c>
      <c r="M718" s="93" t="str">
        <f>VLOOKUP(A718,'Parameters Summary'!$B$2:$AB$826,8,FALSE)</f>
        <v>EPI</v>
      </c>
      <c r="N718" s="91">
        <f>VLOOKUP(A718,'Parameters Summary'!$B$2:$AB$826,6,FALSE)</f>
        <v>7.4406999999999998E-6</v>
      </c>
      <c r="O718" s="91" t="str">
        <f t="shared" si="74"/>
        <v/>
      </c>
      <c r="P718" s="91">
        <f t="shared" si="75"/>
        <v>7.4406999999999998E-6</v>
      </c>
      <c r="Q718" s="91" t="str">
        <f t="shared" si="73"/>
        <v/>
      </c>
      <c r="R718" s="91">
        <f t="shared" si="76"/>
        <v>7.4406999999999998E-6</v>
      </c>
      <c r="S718" s="91" t="str">
        <f t="shared" si="78"/>
        <v/>
      </c>
      <c r="T718" s="93">
        <f>VLOOKUP(A718,'Parameters Summary'!$B$2:$AB$826,15,FALSE)</f>
        <v>2.5566700000000001E-2</v>
      </c>
      <c r="U718" s="93" t="str">
        <f>VLOOKUP(A718,'Parameters Summary'!$B$2:$AB$826,17,FALSE)</f>
        <v>WATER9 (U.S. EPA, 2001)</v>
      </c>
      <c r="V718" s="93">
        <f>VLOOKUP(A718,'Parameters Summary'!$B$2:$AB$826,16,FALSE)</f>
        <v>6.5922000000000002E-6</v>
      </c>
      <c r="W718" s="379" t="str">
        <f>VLOOKUP(A718,'Parameters Summary'!$B$2:$AB$826,17,FALSE)</f>
        <v>WATER9 (U.S. EPA, 2001)</v>
      </c>
      <c r="X718" s="290">
        <v>402.15</v>
      </c>
      <c r="Y718" s="96" t="s">
        <v>553</v>
      </c>
      <c r="Z718" s="96">
        <f>1.5*X718</f>
        <v>603.22499999999991</v>
      </c>
      <c r="AA718" s="96" t="s">
        <v>2220</v>
      </c>
      <c r="AB718" s="96" t="s">
        <v>1651</v>
      </c>
      <c r="AC718" s="96"/>
      <c r="AD718" s="93">
        <f>VLOOKUP(A718,'Parameters Summary'!$B$2:$AB$826,20,FALSE)</f>
        <v>611.4</v>
      </c>
      <c r="AE718" s="97" t="str">
        <f>VLOOKUP(A718,'Parameters Summary'!$B$2:$AB$826,21,FALSE)</f>
        <v>EPI</v>
      </c>
      <c r="AF718" s="97"/>
      <c r="AG718" s="94"/>
      <c r="AH718" s="92"/>
      <c r="AI718" s="96"/>
      <c r="AJ718" s="330"/>
      <c r="AL718" s="81"/>
    </row>
    <row r="719" spans="1:38" ht="12.75" customHeight="1">
      <c r="A719" s="96" t="s">
        <v>292</v>
      </c>
      <c r="B719" s="96" t="s">
        <v>1356</v>
      </c>
      <c r="C719" s="96" t="str">
        <f t="shared" si="77"/>
        <v>No</v>
      </c>
      <c r="D719" s="96" t="str">
        <f>VLOOKUP(A719,'Tox Summary'!$O$3:$R$824,3,FALSE)</f>
        <v>No</v>
      </c>
      <c r="E719" s="97">
        <v>118.71</v>
      </c>
      <c r="F719" s="97" t="s">
        <v>1618</v>
      </c>
      <c r="G719" s="93">
        <f>VLOOKUP(A719,'Parameters Summary'!$B$2:$AB$826,9,FALSE)</f>
        <v>0</v>
      </c>
      <c r="H719" s="93" t="str">
        <f>VLOOKUP(A719,'Parameters Summary'!$B$2:$AB$826,10,FALSE)</f>
        <v>NIOSH</v>
      </c>
      <c r="I719" s="93" t="s">
        <v>2440</v>
      </c>
      <c r="J719" s="97" t="str">
        <f>VLOOKUP(A719,'Parameters Summary'!$B$2:$AB$826,25,FALSE)</f>
        <v/>
      </c>
      <c r="K719" s="97" t="str">
        <f>VLOOKUP(A719,'Tox Summary'!$O$4:$P$824,2,FALSE)</f>
        <v/>
      </c>
      <c r="L719" s="93" t="str">
        <f>VLOOKUP(A719,'Parameters Summary'!$B$2:$AB$826,7,FALSE)</f>
        <v xml:space="preserve"> </v>
      </c>
      <c r="M719" s="93" t="str">
        <f>VLOOKUP(A719,'Parameters Summary'!$B$2:$AB$826,8,FALSE)</f>
        <v/>
      </c>
      <c r="N719" s="91" t="str">
        <f>VLOOKUP(A719,'Parameters Summary'!$B$2:$AB$826,6,FALSE)</f>
        <v xml:space="preserve"> </v>
      </c>
      <c r="O719" s="91" t="str">
        <f t="shared" si="74"/>
        <v/>
      </c>
      <c r="P719" s="91" t="str">
        <f t="shared" si="75"/>
        <v xml:space="preserve"> </v>
      </c>
      <c r="Q719" s="91" t="str">
        <f t="shared" si="73"/>
        <v/>
      </c>
      <c r="R719" s="91" t="str">
        <f t="shared" si="76"/>
        <v xml:space="preserve"> </v>
      </c>
      <c r="S719" s="91" t="str">
        <f t="shared" si="78"/>
        <v/>
      </c>
      <c r="T719" s="93" t="str">
        <f>VLOOKUP(A719,'Parameters Summary'!$B$2:$AB$826,15,FALSE)</f>
        <v xml:space="preserve"> </v>
      </c>
      <c r="U719" s="93" t="str">
        <f>VLOOKUP(A719,'Parameters Summary'!$B$2:$AB$826,17,FALSE)</f>
        <v/>
      </c>
      <c r="V719" s="93" t="str">
        <f>VLOOKUP(A719,'Parameters Summary'!$B$2:$AB$826,16,FALSE)</f>
        <v xml:space="preserve"> </v>
      </c>
      <c r="W719" s="379" t="str">
        <f>VLOOKUP(A719,'Parameters Summary'!$B$2:$AB$826,17,FALSE)</f>
        <v/>
      </c>
      <c r="X719" s="347"/>
      <c r="Y719" s="96"/>
      <c r="Z719" s="96" t="s">
        <v>1653</v>
      </c>
      <c r="AA719" s="96"/>
      <c r="AB719" s="96">
        <v>70841.3</v>
      </c>
      <c r="AC719" s="96" t="s">
        <v>2214</v>
      </c>
      <c r="AD719" s="93" t="str">
        <f>VLOOKUP(A719,'Parameters Summary'!$B$2:$AB$826,20,FALSE)</f>
        <v xml:space="preserve"> </v>
      </c>
      <c r="AE719" s="97" t="str">
        <f>VLOOKUP(A719,'Parameters Summary'!$B$2:$AB$826,21,FALSE)</f>
        <v/>
      </c>
      <c r="AF719" s="97"/>
      <c r="AG719" s="94"/>
      <c r="AH719" s="92"/>
      <c r="AI719" s="96"/>
      <c r="AJ719" s="330"/>
      <c r="AL719" s="81"/>
    </row>
    <row r="720" spans="1:38" ht="12.75" customHeight="1">
      <c r="A720" s="95" t="s">
        <v>293</v>
      </c>
      <c r="B720" s="96" t="s">
        <v>620</v>
      </c>
      <c r="C720" s="96" t="str">
        <f t="shared" si="77"/>
        <v>Yes</v>
      </c>
      <c r="D720" s="96" t="str">
        <f>VLOOKUP(A720,'Tox Summary'!$O$3:$R$824,3,FALSE)</f>
        <v>No</v>
      </c>
      <c r="E720" s="97">
        <v>189.679</v>
      </c>
      <c r="F720" s="97" t="s">
        <v>1618</v>
      </c>
      <c r="G720" s="93">
        <f>VLOOKUP(A720,'Parameters Summary'!$B$2:$AB$826,9,FALSE)</f>
        <v>10</v>
      </c>
      <c r="H720" s="93" t="str">
        <f>VLOOKUP(A720,'Parameters Summary'!$B$2:$AB$826,10,FALSE)</f>
        <v>ATSDR Profile</v>
      </c>
      <c r="I720" s="93" t="s">
        <v>2440</v>
      </c>
      <c r="J720" s="97" t="str">
        <f>VLOOKUP(A720,'Parameters Summary'!$B$2:$AB$826,25,FALSE)</f>
        <v/>
      </c>
      <c r="K720" s="97" t="str">
        <f>VLOOKUP(A720,'Tox Summary'!$O$4:$P$824,2,FALSE)</f>
        <v/>
      </c>
      <c r="L720" s="93" t="str">
        <f>VLOOKUP(A720,'Parameters Summary'!$B$2:$AB$826,7,FALSE)</f>
        <v xml:space="preserve"> </v>
      </c>
      <c r="M720" s="93" t="str">
        <f>VLOOKUP(A720,'Parameters Summary'!$B$2:$AB$826,8,FALSE)</f>
        <v/>
      </c>
      <c r="N720" s="91" t="str">
        <f>VLOOKUP(A720,'Parameters Summary'!$B$2:$AB$826,6,FALSE)</f>
        <v xml:space="preserve"> </v>
      </c>
      <c r="O720" s="91"/>
      <c r="P720" s="91" t="str">
        <f t="shared" si="75"/>
        <v xml:space="preserve"> </v>
      </c>
      <c r="Q720" s="91"/>
      <c r="R720" s="91" t="str">
        <f t="shared" si="76"/>
        <v xml:space="preserve"> </v>
      </c>
      <c r="S720" s="91" t="e">
        <f t="shared" si="78"/>
        <v>#VALUE!</v>
      </c>
      <c r="T720" s="93">
        <f>VLOOKUP(A720,'Parameters Summary'!$B$2:$AB$826,15,FALSE)</f>
        <v>3.7971600000000001E-2</v>
      </c>
      <c r="U720" s="93" t="str">
        <f>VLOOKUP(A720,'Parameters Summary'!$B$2:$AB$826,17,FALSE)</f>
        <v>WATER9 (U.S. EPA, 2001)</v>
      </c>
      <c r="V720" s="93">
        <f>VLOOKUP(A720,'Parameters Summary'!$B$2:$AB$826,16,FALSE)</f>
        <v>9.0633000000000001E-6</v>
      </c>
      <c r="W720" s="379" t="str">
        <f>VLOOKUP(A720,'Parameters Summary'!$B$2:$AB$826,17,FALSE)</f>
        <v>WATER9 (U.S. EPA, 2001)</v>
      </c>
      <c r="X720" s="290">
        <f>148+273.15</f>
        <v>421.15</v>
      </c>
      <c r="Y720" s="96" t="s">
        <v>553</v>
      </c>
      <c r="Z720" s="96">
        <f>370+273.15</f>
        <v>643.15</v>
      </c>
      <c r="AA720" s="96" t="s">
        <v>2218</v>
      </c>
      <c r="AB720" s="96">
        <f>36.2*238.846</f>
        <v>8646.2252000000008</v>
      </c>
      <c r="AC720" s="96" t="s">
        <v>2218</v>
      </c>
      <c r="AD720" s="93" t="str">
        <f>VLOOKUP(A720,'Parameters Summary'!$B$2:$AB$826,20,FALSE)</f>
        <v xml:space="preserve"> </v>
      </c>
      <c r="AE720" s="97" t="str">
        <f>VLOOKUP(A720,'Parameters Summary'!$B$2:$AB$826,21,FALSE)</f>
        <v/>
      </c>
      <c r="AF720" s="380"/>
      <c r="AG720" s="97"/>
      <c r="AH720" s="92"/>
      <c r="AI720" s="96"/>
      <c r="AJ720" s="330"/>
      <c r="AL720" s="81"/>
    </row>
    <row r="721" spans="1:38" ht="12.75" customHeight="1">
      <c r="A721" s="95" t="s">
        <v>294</v>
      </c>
      <c r="B721" s="96" t="s">
        <v>398</v>
      </c>
      <c r="C721" s="96" t="str">
        <f t="shared" si="77"/>
        <v>Yes</v>
      </c>
      <c r="D721" s="96" t="str">
        <f>VLOOKUP(A721,'Tox Summary'!$O$3:$R$824,3,FALSE)</f>
        <v>No</v>
      </c>
      <c r="E721" s="97">
        <v>92.141999999999996</v>
      </c>
      <c r="F721" s="97" t="s">
        <v>1620</v>
      </c>
      <c r="G721" s="93">
        <f>VLOOKUP(A721,'Parameters Summary'!$B$2:$AB$826,9,FALSE)</f>
        <v>28.4</v>
      </c>
      <c r="H721" s="93" t="str">
        <f>VLOOKUP(A721,'Parameters Summary'!$B$2:$AB$826,10,FALSE)</f>
        <v>PHYSPROP</v>
      </c>
      <c r="I721" s="93">
        <f>VLOOKUP(A721,'Parameters Summary'!$B$2:$AB$826,24,FALSE)</f>
        <v>526</v>
      </c>
      <c r="J721" s="97" t="str">
        <f>VLOOKUP(A721,'Parameters Summary'!$B$2:$AB$826,25,FALSE)</f>
        <v>PHYSPROP</v>
      </c>
      <c r="K721" s="97">
        <f>VLOOKUP(A721,'Tox Summary'!$O$4:$P$824,2,FALSE)</f>
        <v>1000</v>
      </c>
      <c r="L721" s="93">
        <f>VLOOKUP(A721,'Parameters Summary'!$B$2:$AB$826,7,FALSE)</f>
        <v>6.6400000000000001E-3</v>
      </c>
      <c r="M721" s="93" t="str">
        <f>VLOOKUP(A721,'Parameters Summary'!$B$2:$AB$826,8,FALSE)</f>
        <v>PHYSPROP</v>
      </c>
      <c r="N721" s="91">
        <f>VLOOKUP(A721,'Parameters Summary'!$B$2:$AB$826,6,FALSE)</f>
        <v>0.27146360000000003</v>
      </c>
      <c r="O721" s="91">
        <f t="shared" si="74"/>
        <v>0.27146360000000003</v>
      </c>
      <c r="P721" s="91">
        <f t="shared" si="75"/>
        <v>0.27146360000000003</v>
      </c>
      <c r="Q721" s="91">
        <f t="shared" si="73"/>
        <v>0.27146360000000003</v>
      </c>
      <c r="R721" s="91">
        <f t="shared" si="76"/>
        <v>0.27146360000000003</v>
      </c>
      <c r="S721" s="91">
        <f t="shared" si="78"/>
        <v>140808595.20462742</v>
      </c>
      <c r="T721" s="93">
        <f>VLOOKUP(A721,'Parameters Summary'!$B$2:$AB$826,15,FALSE)</f>
        <v>7.7803899999999995E-2</v>
      </c>
      <c r="U721" s="93" t="str">
        <f>VLOOKUP(A721,'Parameters Summary'!$B$2:$AB$826,17,FALSE)</f>
        <v>WATER9 (U.S. EPA, 2001)</v>
      </c>
      <c r="V721" s="93">
        <f>VLOOKUP(A721,'Parameters Summary'!$B$2:$AB$826,16,FALSE)</f>
        <v>9.2042999999999993E-6</v>
      </c>
      <c r="W721" s="379" t="str">
        <f>VLOOKUP(A721,'Parameters Summary'!$B$2:$AB$826,17,FALSE)</f>
        <v>WATER9 (U.S. EPA, 2001)</v>
      </c>
      <c r="X721" s="290">
        <v>383.6</v>
      </c>
      <c r="Y721" s="96" t="s">
        <v>553</v>
      </c>
      <c r="Z721" s="96">
        <v>591.79</v>
      </c>
      <c r="AA721" s="96" t="s">
        <v>2227</v>
      </c>
      <c r="AB721" s="96">
        <v>7930</v>
      </c>
      <c r="AC721" s="96" t="s">
        <v>2227</v>
      </c>
      <c r="AD721" s="93">
        <f>VLOOKUP(A721,'Parameters Summary'!$B$2:$AB$826,20,FALSE)</f>
        <v>233.9</v>
      </c>
      <c r="AE721" s="97" t="str">
        <f>VLOOKUP(A721,'Parameters Summary'!$B$2:$AB$826,21,FALSE)</f>
        <v>EPI</v>
      </c>
      <c r="AF721" s="380">
        <v>1.1000000000000001</v>
      </c>
      <c r="AG721" s="97" t="s">
        <v>302</v>
      </c>
      <c r="AH721" s="92"/>
      <c r="AI721" s="96"/>
      <c r="AJ721" s="330"/>
      <c r="AL721" s="81"/>
    </row>
    <row r="722" spans="1:38" ht="12.75" customHeight="1">
      <c r="A722" s="96" t="s">
        <v>1613</v>
      </c>
      <c r="B722" s="96" t="s">
        <v>1612</v>
      </c>
      <c r="C722" s="96" t="str">
        <f t="shared" si="77"/>
        <v>No</v>
      </c>
      <c r="D722" s="96" t="str">
        <f>VLOOKUP(A722,'Tox Summary'!$O$3:$R$824,3,FALSE)</f>
        <v>No</v>
      </c>
      <c r="E722" s="97">
        <v>122.17</v>
      </c>
      <c r="F722" s="97" t="s">
        <v>1620</v>
      </c>
      <c r="G722" s="93">
        <f>VLOOKUP(A722,'Parameters Summary'!$B$2:$AB$826,9,FALSE)</f>
        <v>3.3999999999999998E-3</v>
      </c>
      <c r="H722" s="93" t="str">
        <f>VLOOKUP(A722,'Parameters Summary'!$B$2:$AB$826,10,FALSE)</f>
        <v>PHYSPROP</v>
      </c>
      <c r="I722" s="93">
        <f>VLOOKUP(A722,'Parameters Summary'!$B$2:$AB$826,24,FALSE)</f>
        <v>77200</v>
      </c>
      <c r="J722" s="97" t="str">
        <f>VLOOKUP(A722,'Parameters Summary'!$B$2:$AB$826,25,FALSE)</f>
        <v>PHYSPROP</v>
      </c>
      <c r="K722" s="97" t="str">
        <f>VLOOKUP(A722,'Tox Summary'!$O$4:$P$824,2,FALSE)</f>
        <v/>
      </c>
      <c r="L722" s="93">
        <f>VLOOKUP(A722,'Parameters Summary'!$B$2:$AB$826,7,FALSE)</f>
        <v>7.4300000000000002E-9</v>
      </c>
      <c r="M722" s="93" t="str">
        <f>VLOOKUP(A722,'Parameters Summary'!$B$2:$AB$826,8,FALSE)</f>
        <v>PHYSPROP</v>
      </c>
      <c r="N722" s="91">
        <f>VLOOKUP(A722,'Parameters Summary'!$B$2:$AB$826,6,FALSE)</f>
        <v>3.0376000000000001E-7</v>
      </c>
      <c r="O722" s="91" t="str">
        <f t="shared" si="74"/>
        <v/>
      </c>
      <c r="P722" s="91">
        <f t="shared" si="75"/>
        <v>3.0376000000000001E-7</v>
      </c>
      <c r="Q722" s="91" t="str">
        <f t="shared" si="73"/>
        <v/>
      </c>
      <c r="R722" s="91">
        <f t="shared" si="76"/>
        <v>3.0376000000000001E-7</v>
      </c>
      <c r="S722" s="91" t="str">
        <f t="shared" si="78"/>
        <v/>
      </c>
      <c r="T722" s="93">
        <f>VLOOKUP(A722,'Parameters Summary'!$B$2:$AB$826,15,FALSE)</f>
        <v>7.7169199999999993E-2</v>
      </c>
      <c r="U722" s="93" t="str">
        <f>VLOOKUP(A722,'Parameters Summary'!$B$2:$AB$826,17,FALSE)</f>
        <v>WATER9 (U.S. EPA, 2001)</v>
      </c>
      <c r="V722" s="93">
        <f>VLOOKUP(A722,'Parameters Summary'!$B$2:$AB$826,16,FALSE)</f>
        <v>9.0165999999999994E-6</v>
      </c>
      <c r="W722" s="379" t="str">
        <f>VLOOKUP(A722,'Parameters Summary'!$B$2:$AB$826,17,FALSE)</f>
        <v>WATER9 (U.S. EPA, 2001)</v>
      </c>
      <c r="X722" s="290">
        <v>546.65</v>
      </c>
      <c r="Y722" s="96" t="s">
        <v>553</v>
      </c>
      <c r="Z722" s="96">
        <f>1.5*X722</f>
        <v>819.97499999999991</v>
      </c>
      <c r="AA722" s="96" t="s">
        <v>2220</v>
      </c>
      <c r="AB722" s="96" t="s">
        <v>1651</v>
      </c>
      <c r="AC722" s="96"/>
      <c r="AD722" s="93">
        <f>VLOOKUP(A722,'Parameters Summary'!$B$2:$AB$826,20,FALSE)</f>
        <v>55.39</v>
      </c>
      <c r="AE722" s="97" t="str">
        <f>VLOOKUP(A722,'Parameters Summary'!$B$2:$AB$826,21,FALSE)</f>
        <v>EPI</v>
      </c>
      <c r="AF722" s="97"/>
      <c r="AG722" s="94"/>
      <c r="AH722" s="92"/>
      <c r="AI722" s="96"/>
      <c r="AJ722" s="330"/>
      <c r="AL722" s="81"/>
    </row>
    <row r="723" spans="1:38" ht="12.75" customHeight="1">
      <c r="A723" s="96" t="s">
        <v>295</v>
      </c>
      <c r="B723" s="96" t="s">
        <v>1357</v>
      </c>
      <c r="C723" s="96" t="str">
        <f t="shared" si="77"/>
        <v>No</v>
      </c>
      <c r="D723" s="96" t="str">
        <f>VLOOKUP(A723,'Tox Summary'!$O$3:$R$824,3,FALSE)</f>
        <v>No</v>
      </c>
      <c r="E723" s="97">
        <v>107.16</v>
      </c>
      <c r="F723" s="97" t="s">
        <v>1620</v>
      </c>
      <c r="G723" s="93">
        <f>VLOOKUP(A723,'Parameters Summary'!$B$2:$AB$826,9,FALSE)</f>
        <v>0.28625</v>
      </c>
      <c r="H723" s="93" t="str">
        <f>VLOOKUP(A723,'Parameters Summary'!$B$2:$AB$826,10,FALSE)</f>
        <v>PHYSPROP</v>
      </c>
      <c r="I723" s="93">
        <f>VLOOKUP(A723,'Parameters Summary'!$B$2:$AB$826,24,FALSE)</f>
        <v>6500</v>
      </c>
      <c r="J723" s="97" t="str">
        <f>VLOOKUP(A723,'Parameters Summary'!$B$2:$AB$826,25,FALSE)</f>
        <v>PHYSPROP</v>
      </c>
      <c r="K723" s="97" t="str">
        <f>VLOOKUP(A723,'Tox Summary'!$O$4:$P$824,2,FALSE)</f>
        <v/>
      </c>
      <c r="L723" s="93">
        <f>VLOOKUP(A723,'Parameters Summary'!$B$2:$AB$826,7,FALSE)</f>
        <v>2.0200000000000001E-6</v>
      </c>
      <c r="M723" s="93" t="str">
        <f>VLOOKUP(A723,'Parameters Summary'!$B$2:$AB$826,8,FALSE)</f>
        <v>PHYSPROP</v>
      </c>
      <c r="N723" s="91">
        <f>VLOOKUP(A723,'Parameters Summary'!$B$2:$AB$826,6,FALSE)</f>
        <v>8.2600000000000002E-5</v>
      </c>
      <c r="O723" s="91" t="str">
        <f t="shared" si="74"/>
        <v/>
      </c>
      <c r="P723" s="91">
        <f t="shared" si="75"/>
        <v>8.2600000000000002E-5</v>
      </c>
      <c r="Q723" s="91" t="str">
        <f t="shared" si="73"/>
        <v/>
      </c>
      <c r="R723" s="91">
        <f t="shared" si="76"/>
        <v>8.2600000000000002E-5</v>
      </c>
      <c r="S723" s="91" t="str">
        <f t="shared" si="78"/>
        <v/>
      </c>
      <c r="T723" s="93">
        <f>VLOOKUP(A723,'Parameters Summary'!$B$2:$AB$826,15,FALSE)</f>
        <v>7.1219000000000005E-2</v>
      </c>
      <c r="U723" s="93" t="str">
        <f>VLOOKUP(A723,'Parameters Summary'!$B$2:$AB$826,17,FALSE)</f>
        <v>WATER9 (U.S. EPA, 2001)</v>
      </c>
      <c r="V723" s="93">
        <f>VLOOKUP(A723,'Parameters Summary'!$B$2:$AB$826,16,FALSE)</f>
        <v>8.9770000000000006E-6</v>
      </c>
      <c r="W723" s="379" t="str">
        <f>VLOOKUP(A723,'Parameters Summary'!$B$2:$AB$826,17,FALSE)</f>
        <v>WATER9 (U.S. EPA, 2001)</v>
      </c>
      <c r="X723" s="290">
        <v>473.54999999999995</v>
      </c>
      <c r="Y723" s="96" t="s">
        <v>553</v>
      </c>
      <c r="Z723" s="96">
        <f>1.5*X723</f>
        <v>710.32499999999993</v>
      </c>
      <c r="AA723" s="96" t="s">
        <v>2220</v>
      </c>
      <c r="AB723" s="96" t="s">
        <v>1651</v>
      </c>
      <c r="AC723" s="96"/>
      <c r="AD723" s="93">
        <f>VLOOKUP(A723,'Parameters Summary'!$B$2:$AB$826,20,FALSE)</f>
        <v>112.7</v>
      </c>
      <c r="AE723" s="97" t="str">
        <f>VLOOKUP(A723,'Parameters Summary'!$B$2:$AB$826,21,FALSE)</f>
        <v>EPI</v>
      </c>
      <c r="AF723" s="97"/>
      <c r="AG723" s="94"/>
      <c r="AH723" s="92"/>
      <c r="AI723" s="96"/>
      <c r="AJ723" s="330"/>
      <c r="AL723" s="81"/>
    </row>
    <row r="724" spans="1:38" ht="12.75" customHeight="1">
      <c r="A724" s="96" t="s">
        <v>296</v>
      </c>
      <c r="B724" s="96" t="s">
        <v>399</v>
      </c>
      <c r="C724" s="96" t="str">
        <f t="shared" si="77"/>
        <v>No</v>
      </c>
      <c r="D724" s="96" t="str">
        <f>VLOOKUP(A724,'Tox Summary'!$O$3:$R$824,3,FALSE)</f>
        <v>No</v>
      </c>
      <c r="E724" s="97">
        <v>448.26</v>
      </c>
      <c r="F724" s="97" t="s">
        <v>1620</v>
      </c>
      <c r="G724" s="93">
        <f>VLOOKUP(A724,'Parameters Summary'!$B$2:$AB$826,9,FALSE)</f>
        <v>6.6900000000000003E-6</v>
      </c>
      <c r="H724" s="93" t="str">
        <f>VLOOKUP(A724,'Parameters Summary'!$B$2:$AB$826,10,FALSE)</f>
        <v>PHYSPROP</v>
      </c>
      <c r="I724" s="93">
        <f>VLOOKUP(A724,'Parameters Summary'!$B$2:$AB$826,24,FALSE)</f>
        <v>0.55000000000000004</v>
      </c>
      <c r="J724" s="97" t="str">
        <f>VLOOKUP(A724,'Parameters Summary'!$B$2:$AB$826,25,FALSE)</f>
        <v>PHYSPROP</v>
      </c>
      <c r="K724" s="97">
        <f>VLOOKUP(A724,'Tox Summary'!$O$4:$P$824,2,FALSE)</f>
        <v>3</v>
      </c>
      <c r="L724" s="93">
        <f>VLOOKUP(A724,'Parameters Summary'!$B$2:$AB$826,7,FALSE)</f>
        <v>6.0000000000000002E-6</v>
      </c>
      <c r="M724" s="93" t="str">
        <f>VLOOKUP(A724,'Parameters Summary'!$B$2:$AB$826,8,FALSE)</f>
        <v>PHYSPROP</v>
      </c>
      <c r="N724" s="91">
        <f>VLOOKUP(A724,'Parameters Summary'!$B$2:$AB$826,6,FALSE)</f>
        <v>2.453E-4</v>
      </c>
      <c r="O724" s="91" t="str">
        <f t="shared" si="74"/>
        <v/>
      </c>
      <c r="P724" s="91">
        <f t="shared" si="75"/>
        <v>2.453E-4</v>
      </c>
      <c r="Q724" s="91" t="str">
        <f t="shared" si="73"/>
        <v/>
      </c>
      <c r="R724" s="91">
        <f t="shared" si="76"/>
        <v>2.453E-4</v>
      </c>
      <c r="S724" s="91" t="str">
        <f t="shared" si="78"/>
        <v/>
      </c>
      <c r="T724" s="93">
        <f>VLOOKUP(A724,'Parameters Summary'!$B$2:$AB$826,15,FALSE)</f>
        <v>3.2439000000000003E-2</v>
      </c>
      <c r="U724" s="93" t="str">
        <f>VLOOKUP(A724,'Parameters Summary'!$B$2:$AB$826,17,FALSE)</f>
        <v>WATER9 (U.S. EPA, 2001)</v>
      </c>
      <c r="V724" s="93">
        <f>VLOOKUP(A724,'Parameters Summary'!$B$2:$AB$826,16,FALSE)</f>
        <v>3.7902000000000002E-6</v>
      </c>
      <c r="W724" s="379" t="str">
        <f>VLOOKUP(A724,'Parameters Summary'!$B$2:$AB$826,17,FALSE)</f>
        <v>WATER9 (U.S. EPA, 2001)</v>
      </c>
      <c r="X724" s="347"/>
      <c r="Y724" s="96"/>
      <c r="Z724" s="96" t="s">
        <v>1653</v>
      </c>
      <c r="AA724" s="96"/>
      <c r="AB724" s="96" t="s">
        <v>1651</v>
      </c>
      <c r="AC724" s="96"/>
      <c r="AD724" s="93">
        <f>VLOOKUP(A724,'Parameters Summary'!$B$2:$AB$826,20,FALSE)</f>
        <v>77200</v>
      </c>
      <c r="AE724" s="97" t="str">
        <f>VLOOKUP(A724,'Parameters Summary'!$B$2:$AB$826,21,FALSE)</f>
        <v>EPI</v>
      </c>
      <c r="AF724" s="97"/>
      <c r="AG724" s="94"/>
      <c r="AH724" s="92"/>
      <c r="AI724" s="96"/>
      <c r="AJ724" s="330"/>
      <c r="AL724" s="81"/>
    </row>
    <row r="725" spans="1:38" ht="12.75" customHeight="1">
      <c r="A725" s="96" t="s">
        <v>297</v>
      </c>
      <c r="B725" s="96" t="s">
        <v>1358</v>
      </c>
      <c r="C725" s="96" t="str">
        <f t="shared" si="77"/>
        <v>No</v>
      </c>
      <c r="D725" s="96" t="str">
        <f>VLOOKUP(A725,'Tox Summary'!$O$3:$R$824,3,FALSE)</f>
        <v>Yes</v>
      </c>
      <c r="E725" s="97">
        <v>665.02</v>
      </c>
      <c r="F725" s="97" t="s">
        <v>1620</v>
      </c>
      <c r="G725" s="93">
        <f>VLOOKUP(A725,'Parameters Summary'!$B$2:$AB$826,9,FALSE)</f>
        <v>3.5999999999999998E-11</v>
      </c>
      <c r="H725" s="93" t="str">
        <f>VLOOKUP(A725,'Parameters Summary'!$B$2:$AB$826,10,FALSE)</f>
        <v>PHYSPROP</v>
      </c>
      <c r="I725" s="93">
        <f>VLOOKUP(A725,'Parameters Summary'!$B$2:$AB$826,24,FALSE)</f>
        <v>0.08</v>
      </c>
      <c r="J725" s="97" t="str">
        <f>VLOOKUP(A725,'Parameters Summary'!$B$2:$AB$826,25,FALSE)</f>
        <v>PHYSPROP</v>
      </c>
      <c r="K725" s="97" t="str">
        <f>VLOOKUP(A725,'Tox Summary'!$O$4:$P$824,2,FALSE)</f>
        <v/>
      </c>
      <c r="L725" s="93">
        <f>VLOOKUP(A725,'Parameters Summary'!$B$2:$AB$826,7,FALSE)</f>
        <v>3.9399999999999998E-10</v>
      </c>
      <c r="M725" s="93" t="str">
        <f>VLOOKUP(A725,'Parameters Summary'!$B$2:$AB$826,8,FALSE)</f>
        <v>EPI</v>
      </c>
      <c r="N725" s="91">
        <f>VLOOKUP(A725,'Parameters Summary'!$B$2:$AB$826,6,FALSE)</f>
        <v>1.6108000000000001E-8</v>
      </c>
      <c r="O725" s="91" t="str">
        <f t="shared" si="74"/>
        <v/>
      </c>
      <c r="P725" s="91">
        <f t="shared" si="75"/>
        <v>1.6108000000000001E-8</v>
      </c>
      <c r="Q725" s="91" t="str">
        <f t="shared" si="73"/>
        <v/>
      </c>
      <c r="R725" s="91">
        <f t="shared" si="76"/>
        <v>1.6108000000000001E-8</v>
      </c>
      <c r="S725" s="91" t="str">
        <f t="shared" si="78"/>
        <v/>
      </c>
      <c r="T725" s="93">
        <f>VLOOKUP(A725,'Parameters Summary'!$B$2:$AB$826,15,FALSE)</f>
        <v>2.4938100000000001E-2</v>
      </c>
      <c r="U725" s="93" t="str">
        <f>VLOOKUP(A725,'Parameters Summary'!$B$2:$AB$826,17,FALSE)</f>
        <v>WATER9 (U.S. EPA, 2001)</v>
      </c>
      <c r="V725" s="93">
        <f>VLOOKUP(A725,'Parameters Summary'!$B$2:$AB$826,16,FALSE)</f>
        <v>2.9138E-6</v>
      </c>
      <c r="W725" s="379" t="str">
        <f>VLOOKUP(A725,'Parameters Summary'!$B$2:$AB$826,17,FALSE)</f>
        <v>WATER9 (U.S. EPA, 2001)</v>
      </c>
      <c r="X725" s="347"/>
      <c r="Y725" s="96"/>
      <c r="Z725" s="96" t="s">
        <v>1653</v>
      </c>
      <c r="AA725" s="96"/>
      <c r="AB725" s="96" t="s">
        <v>1651</v>
      </c>
      <c r="AC725" s="96"/>
      <c r="AD725" s="93">
        <f>VLOOKUP(A725,'Parameters Summary'!$B$2:$AB$826,20,FALSE)</f>
        <v>191100</v>
      </c>
      <c r="AE725" s="97" t="str">
        <f>VLOOKUP(A725,'Parameters Summary'!$B$2:$AB$826,21,FALSE)</f>
        <v>EPI</v>
      </c>
      <c r="AF725" s="97"/>
      <c r="AG725" s="94"/>
      <c r="AH725" s="92"/>
      <c r="AI725" s="96"/>
      <c r="AJ725" s="330"/>
      <c r="AL725" s="81"/>
    </row>
    <row r="726" spans="1:38" ht="12.75" customHeight="1">
      <c r="A726" s="96" t="s">
        <v>2013</v>
      </c>
      <c r="B726" s="96" t="s">
        <v>2012</v>
      </c>
      <c r="C726" s="96" t="str">
        <f t="shared" si="77"/>
        <v>No</v>
      </c>
      <c r="D726" s="96" t="str">
        <f>VLOOKUP(A726,'Tox Summary'!$O$3:$R$824,3,FALSE)</f>
        <v>Yes</v>
      </c>
      <c r="E726" s="97">
        <v>218.21</v>
      </c>
      <c r="F726" s="97" t="s">
        <v>1620</v>
      </c>
      <c r="G726" s="93">
        <f>VLOOKUP(A726,'Parameters Summary'!$B$2:$AB$826,9,FALSE)</f>
        <v>2.48E-3</v>
      </c>
      <c r="H726" s="93" t="str">
        <f>VLOOKUP(A726,'Parameters Summary'!$B$2:$AB$826,10,FALSE)</f>
        <v>PHYSPROP</v>
      </c>
      <c r="I726" s="93">
        <f>VLOOKUP(A726,'Parameters Summary'!$B$2:$AB$826,24,FALSE)</f>
        <v>58000</v>
      </c>
      <c r="J726" s="97" t="str">
        <f>VLOOKUP(A726,'Parameters Summary'!$B$2:$AB$826,25,FALSE)</f>
        <v>PHYSPROP</v>
      </c>
      <c r="K726" s="97" t="str">
        <f>VLOOKUP(A726,'Tox Summary'!$O$4:$P$824,2,FALSE)</f>
        <v/>
      </c>
      <c r="L726" s="93">
        <f>VLOOKUP(A726,'Parameters Summary'!$B$2:$AB$826,7,FALSE)</f>
        <v>1.2299999999999999E-8</v>
      </c>
      <c r="M726" s="93" t="str">
        <f>VLOOKUP(A726,'Parameters Summary'!$B$2:$AB$826,8,FALSE)</f>
        <v>EPI</v>
      </c>
      <c r="N726" s="91">
        <f>VLOOKUP(A726,'Parameters Summary'!$B$2:$AB$826,6,FALSE)</f>
        <v>5.0299999999999999E-7</v>
      </c>
      <c r="O726" s="91" t="str">
        <f t="shared" si="74"/>
        <v/>
      </c>
      <c r="P726" s="91">
        <f t="shared" si="75"/>
        <v>5.0299999999999999E-7</v>
      </c>
      <c r="Q726" s="91" t="str">
        <f t="shared" si="73"/>
        <v/>
      </c>
      <c r="R726" s="91">
        <f t="shared" si="76"/>
        <v>5.0299999999999999E-7</v>
      </c>
      <c r="S726" s="91" t="str">
        <f t="shared" si="78"/>
        <v/>
      </c>
      <c r="T726" s="93">
        <f>VLOOKUP(A726,'Parameters Summary'!$B$2:$AB$826,15,FALSE)</f>
        <v>2.5579999999999999E-2</v>
      </c>
      <c r="U726" s="93" t="str">
        <f>VLOOKUP(A726,'Parameters Summary'!$B$2:$AB$826,17,FALSE)</f>
        <v>WATER9 (U.S. EPA, 2001)</v>
      </c>
      <c r="V726" s="93">
        <f>VLOOKUP(A726,'Parameters Summary'!$B$2:$AB$826,16,FALSE)</f>
        <v>6.55E-6</v>
      </c>
      <c r="W726" s="379" t="str">
        <f>VLOOKUP(A726,'Parameters Summary'!$B$2:$AB$826,17,FALSE)</f>
        <v>WATER9 (U.S. EPA, 2001)</v>
      </c>
      <c r="X726" s="290">
        <v>532.15</v>
      </c>
      <c r="Y726" s="96" t="s">
        <v>553</v>
      </c>
      <c r="Z726" s="96">
        <f>1.5*X726</f>
        <v>798.22499999999991</v>
      </c>
      <c r="AA726" s="96" t="s">
        <v>2220</v>
      </c>
      <c r="AB726" s="96" t="s">
        <v>1651</v>
      </c>
      <c r="AC726" s="96"/>
      <c r="AD726" s="93">
        <f>VLOOKUP(A726,'Parameters Summary'!$B$2:$AB$826,20,FALSE)</f>
        <v>40.729999999999997</v>
      </c>
      <c r="AE726" s="97" t="str">
        <f>VLOOKUP(A726,'Parameters Summary'!$B$2:$AB$826,21,FALSE)</f>
        <v>EPI</v>
      </c>
      <c r="AF726" s="97"/>
      <c r="AG726" s="94"/>
      <c r="AH726" s="92"/>
      <c r="AI726" s="96"/>
      <c r="AJ726" s="330"/>
      <c r="AL726" s="81"/>
    </row>
    <row r="727" spans="1:38" ht="12.75" customHeight="1">
      <c r="A727" s="96" t="s">
        <v>680</v>
      </c>
      <c r="B727" s="96" t="s">
        <v>2321</v>
      </c>
      <c r="C727" s="96" t="str">
        <f t="shared" si="77"/>
        <v>No</v>
      </c>
      <c r="D727" s="96" t="str">
        <f>VLOOKUP(A727,'Tox Summary'!$O$3:$R$824,3,FALSE)</f>
        <v>Yes</v>
      </c>
      <c r="E727" s="97">
        <v>293.76</v>
      </c>
      <c r="F727" s="97" t="s">
        <v>1620</v>
      </c>
      <c r="G727" s="93">
        <f>VLOOKUP(A727,'Parameters Summary'!$B$2:$AB$826,9,FALSE)</f>
        <v>1.4999999999999999E-8</v>
      </c>
      <c r="H727" s="93" t="str">
        <f>VLOOKUP(A727,'Parameters Summary'!$B$2:$AB$826,10,FALSE)</f>
        <v>PHYSPROP</v>
      </c>
      <c r="I727" s="93">
        <f>VLOOKUP(A727,'Parameters Summary'!$B$2:$AB$826,24,FALSE)</f>
        <v>71.5</v>
      </c>
      <c r="J727" s="97" t="str">
        <f>VLOOKUP(A727,'Parameters Summary'!$B$2:$AB$826,25,FALSE)</f>
        <v>PHYSPROP</v>
      </c>
      <c r="K727" s="97" t="str">
        <f>VLOOKUP(A727,'Tox Summary'!$O$4:$P$824,2,FALSE)</f>
        <v/>
      </c>
      <c r="L727" s="93">
        <f>VLOOKUP(A727,'Parameters Summary'!$B$2:$AB$826,7,FALSE)</f>
        <v>8.1099999999999997E-11</v>
      </c>
      <c r="M727" s="93" t="str">
        <f>VLOOKUP(A727,'Parameters Summary'!$B$2:$AB$826,8,FALSE)</f>
        <v>EPI</v>
      </c>
      <c r="N727" s="91">
        <f>VLOOKUP(A727,'Parameters Summary'!$B$2:$AB$826,6,FALSE)</f>
        <v>3.3156E-9</v>
      </c>
      <c r="O727" s="91" t="str">
        <f t="shared" si="74"/>
        <v/>
      </c>
      <c r="P727" s="91">
        <f t="shared" si="75"/>
        <v>3.3156E-9</v>
      </c>
      <c r="Q727" s="91" t="str">
        <f t="shared" si="73"/>
        <v/>
      </c>
      <c r="R727" s="91">
        <f t="shared" si="76"/>
        <v>3.3156E-9</v>
      </c>
      <c r="S727" s="91" t="str">
        <f t="shared" si="78"/>
        <v/>
      </c>
      <c r="T727" s="93">
        <f>VLOOKUP(A727,'Parameters Summary'!$B$2:$AB$826,15,FALSE)</f>
        <v>2.24291E-2</v>
      </c>
      <c r="U727" s="93" t="str">
        <f>VLOOKUP(A727,'Parameters Summary'!$B$2:$AB$826,17,FALSE)</f>
        <v>WATER9 (U.S. EPA, 2001)</v>
      </c>
      <c r="V727" s="93">
        <f>VLOOKUP(A727,'Parameters Summary'!$B$2:$AB$826,16,FALSE)</f>
        <v>5.6532000000000004E-6</v>
      </c>
      <c r="W727" s="379" t="str">
        <f>VLOOKUP(A727,'Parameters Summary'!$B$2:$AB$826,17,FALSE)</f>
        <v>WATER9 (U.S. EPA, 2001)</v>
      </c>
      <c r="X727" s="347"/>
      <c r="Y727" s="96"/>
      <c r="Z727" s="96" t="s">
        <v>1653</v>
      </c>
      <c r="AA727" s="96"/>
      <c r="AB727" s="96" t="s">
        <v>1651</v>
      </c>
      <c r="AC727" s="96"/>
      <c r="AD727" s="93">
        <f>VLOOKUP(A727,'Parameters Summary'!$B$2:$AB$826,20,FALSE)</f>
        <v>298.5</v>
      </c>
      <c r="AE727" s="97" t="str">
        <f>VLOOKUP(A727,'Parameters Summary'!$B$2:$AB$826,21,FALSE)</f>
        <v>EPI</v>
      </c>
      <c r="AF727" s="97"/>
      <c r="AG727" s="94"/>
      <c r="AH727" s="92"/>
      <c r="AI727" s="96"/>
      <c r="AJ727" s="330"/>
      <c r="AL727" s="81"/>
    </row>
    <row r="728" spans="1:38" ht="12.75" customHeight="1">
      <c r="A728" s="96" t="s">
        <v>305</v>
      </c>
      <c r="B728" s="96" t="s">
        <v>1359</v>
      </c>
      <c r="C728" s="96" t="str">
        <f t="shared" si="77"/>
        <v>Yes</v>
      </c>
      <c r="D728" s="96" t="str">
        <f>VLOOKUP(A728,'Tox Summary'!$O$3:$R$824,3,FALSE)</f>
        <v>No</v>
      </c>
      <c r="E728" s="97">
        <v>304.67</v>
      </c>
      <c r="F728" s="97" t="s">
        <v>1620</v>
      </c>
      <c r="G728" s="93">
        <f>VLOOKUP(A728,'Parameters Summary'!$B$2:$AB$826,9,FALSE)</f>
        <v>1.2E-4</v>
      </c>
      <c r="H728" s="93" t="str">
        <f>VLOOKUP(A728,'Parameters Summary'!$B$2:$AB$826,10,FALSE)</f>
        <v>PHYSPROP</v>
      </c>
      <c r="I728" s="93">
        <f>VLOOKUP(A728,'Parameters Summary'!$B$2:$AB$826,24,FALSE)</f>
        <v>4</v>
      </c>
      <c r="J728" s="97" t="str">
        <f>VLOOKUP(A728,'Parameters Summary'!$B$2:$AB$826,25,FALSE)</f>
        <v>PHYSPROP</v>
      </c>
      <c r="K728" s="97" t="str">
        <f>VLOOKUP(A728,'Tox Summary'!$O$4:$P$824,2,FALSE)</f>
        <v/>
      </c>
      <c r="L728" s="93">
        <f>VLOOKUP(A728,'Parameters Summary'!$B$2:$AB$826,7,FALSE)</f>
        <v>1.2E-5</v>
      </c>
      <c r="M728" s="93" t="str">
        <f>VLOOKUP(A728,'Parameters Summary'!$B$2:$AB$826,8,FALSE)</f>
        <v>EPI</v>
      </c>
      <c r="N728" s="91">
        <f>VLOOKUP(A728,'Parameters Summary'!$B$2:$AB$826,6,FALSE)</f>
        <v>4.906E-4</v>
      </c>
      <c r="O728" s="91" t="str">
        <f t="shared" si="74"/>
        <v/>
      </c>
      <c r="P728" s="91">
        <f t="shared" si="75"/>
        <v>4.906E-4</v>
      </c>
      <c r="Q728" s="91" t="str">
        <f t="shared" si="73"/>
        <v/>
      </c>
      <c r="R728" s="91">
        <f t="shared" si="76"/>
        <v>4.906E-4</v>
      </c>
      <c r="S728" s="91" t="str">
        <f t="shared" si="78"/>
        <v/>
      </c>
      <c r="T728" s="93">
        <f>VLOOKUP(A728,'Parameters Summary'!$B$2:$AB$826,15,FALSE)</f>
        <v>2.2457499999999998E-2</v>
      </c>
      <c r="U728" s="93" t="str">
        <f>VLOOKUP(A728,'Parameters Summary'!$B$2:$AB$826,17,FALSE)</f>
        <v>WATER9 (U.S. EPA, 2001)</v>
      </c>
      <c r="V728" s="93">
        <f>VLOOKUP(A728,'Parameters Summary'!$B$2:$AB$826,16,FALSE)</f>
        <v>5.6737999999999998E-6</v>
      </c>
      <c r="W728" s="379" t="str">
        <f>VLOOKUP(A728,'Parameters Summary'!$B$2:$AB$826,17,FALSE)</f>
        <v>WATER9 (U.S. EPA, 2001)</v>
      </c>
      <c r="X728" s="290">
        <v>390.15</v>
      </c>
      <c r="Y728" s="96" t="s">
        <v>553</v>
      </c>
      <c r="Z728" s="96">
        <f>1.5*X728</f>
        <v>585.22499999999991</v>
      </c>
      <c r="AA728" s="96" t="s">
        <v>2220</v>
      </c>
      <c r="AB728" s="96" t="s">
        <v>1651</v>
      </c>
      <c r="AC728" s="96"/>
      <c r="AD728" s="93">
        <f>VLOOKUP(A728,'Parameters Summary'!$B$2:$AB$826,20,FALSE)</f>
        <v>1008</v>
      </c>
      <c r="AE728" s="97" t="str">
        <f>VLOOKUP(A728,'Parameters Summary'!$B$2:$AB$826,21,FALSE)</f>
        <v>EPI</v>
      </c>
      <c r="AF728" s="97"/>
      <c r="AG728" s="94"/>
      <c r="AH728" s="92"/>
      <c r="AI728" s="96"/>
      <c r="AJ728" s="330"/>
      <c r="AL728" s="81"/>
    </row>
    <row r="729" spans="1:38" ht="12.75" customHeight="1">
      <c r="A729" s="96" t="s">
        <v>1607</v>
      </c>
      <c r="B729" s="96" t="s">
        <v>2405</v>
      </c>
      <c r="C729" s="96" t="str">
        <f t="shared" si="77"/>
        <v>No</v>
      </c>
      <c r="D729" s="96" t="str">
        <f>VLOOKUP(A729,'Tox Summary'!$O$3:$R$824,3,FALSE)</f>
        <v>No</v>
      </c>
      <c r="E729" s="97">
        <v>887.89584000000002</v>
      </c>
      <c r="F729" s="97" t="s">
        <v>2200</v>
      </c>
      <c r="G729" s="93" t="s">
        <v>2439</v>
      </c>
      <c r="H729" s="93" t="str">
        <f>VLOOKUP(A729,'Parameters Summary'!$B$2:$AB$826,10,FALSE)</f>
        <v/>
      </c>
      <c r="I729" s="93" t="s">
        <v>2440</v>
      </c>
      <c r="J729" s="97" t="str">
        <f>VLOOKUP(A729,'Parameters Summary'!$B$2:$AB$826,25,FALSE)</f>
        <v/>
      </c>
      <c r="K729" s="97" t="str">
        <f>VLOOKUP(A729,'Tox Summary'!$O$4:$P$824,2,FALSE)</f>
        <v/>
      </c>
      <c r="L729" s="93" t="s">
        <v>2298</v>
      </c>
      <c r="M729" s="93" t="str">
        <f>VLOOKUP(A729,'Parameters Summary'!$B$2:$AB$826,8,FALSE)</f>
        <v/>
      </c>
      <c r="N729" s="91" t="str">
        <f>VLOOKUP(A729,'Parameters Summary'!$B$2:$AB$826,6,FALSE)</f>
        <v xml:space="preserve"> </v>
      </c>
      <c r="O729" s="91" t="str">
        <f t="shared" si="74"/>
        <v/>
      </c>
      <c r="P729" s="91" t="str">
        <f t="shared" si="75"/>
        <v xml:space="preserve"> </v>
      </c>
      <c r="Q729" s="91" t="str">
        <f t="shared" si="73"/>
        <v/>
      </c>
      <c r="R729" s="91" t="str">
        <f t="shared" si="76"/>
        <v xml:space="preserve"> </v>
      </c>
      <c r="S729" s="91" t="str">
        <f t="shared" si="78"/>
        <v/>
      </c>
      <c r="T729" s="93" t="str">
        <f>VLOOKUP(A729,'Parameters Summary'!$B$2:$AB$826,15,FALSE)</f>
        <v xml:space="preserve"> </v>
      </c>
      <c r="U729" s="93" t="str">
        <f>VLOOKUP(A729,'Parameters Summary'!$B$2:$AB$826,17,FALSE)</f>
        <v/>
      </c>
      <c r="V729" s="93" t="str">
        <f>VLOOKUP(A729,'Parameters Summary'!$B$2:$AB$826,16,FALSE)</f>
        <v xml:space="preserve"> </v>
      </c>
      <c r="W729" s="379" t="str">
        <f>VLOOKUP(A729,'Parameters Summary'!$B$2:$AB$826,17,FALSE)</f>
        <v/>
      </c>
      <c r="X729" s="347"/>
      <c r="Y729" s="96"/>
      <c r="Z729" s="96" t="s">
        <v>1653</v>
      </c>
      <c r="AA729" s="96"/>
      <c r="AB729" s="96" t="s">
        <v>1651</v>
      </c>
      <c r="AC729" s="96"/>
      <c r="AD729" s="93" t="str">
        <f>VLOOKUP(A729,'Parameters Summary'!$B$2:$AB$826,20,FALSE)</f>
        <v xml:space="preserve"> </v>
      </c>
      <c r="AE729" s="97" t="str">
        <f>VLOOKUP(A729,'Parameters Summary'!$B$2:$AB$826,21,FALSE)</f>
        <v/>
      </c>
      <c r="AF729" s="97"/>
      <c r="AG729" s="94"/>
      <c r="AH729" s="92"/>
      <c r="AI729" s="96"/>
      <c r="AJ729" s="330"/>
      <c r="AL729" s="81"/>
    </row>
    <row r="730" spans="1:38" ht="12.75" customHeight="1">
      <c r="A730" s="96" t="s">
        <v>306</v>
      </c>
      <c r="B730" s="96" t="s">
        <v>1360</v>
      </c>
      <c r="C730" s="96" t="str">
        <f t="shared" si="77"/>
        <v>No</v>
      </c>
      <c r="D730" s="96" t="str">
        <f>VLOOKUP(A730,'Tox Summary'!$O$3:$R$824,3,FALSE)</f>
        <v>No</v>
      </c>
      <c r="E730" s="97">
        <v>401.83</v>
      </c>
      <c r="F730" s="97" t="s">
        <v>1620</v>
      </c>
      <c r="G730" s="93">
        <f>VLOOKUP(A730,'Parameters Summary'!$B$2:$AB$826,9,FALSE)</f>
        <v>5.5300000000000001E-12</v>
      </c>
      <c r="H730" s="93" t="str">
        <f>VLOOKUP(A730,'Parameters Summary'!$B$2:$AB$826,10,FALSE)</f>
        <v>PHYSPROP</v>
      </c>
      <c r="I730" s="93">
        <f>VLOOKUP(A730,'Parameters Summary'!$B$2:$AB$826,24,FALSE)</f>
        <v>32</v>
      </c>
      <c r="J730" s="97" t="str">
        <f>VLOOKUP(A730,'Parameters Summary'!$B$2:$AB$826,25,FALSE)</f>
        <v>PHYSPROP</v>
      </c>
      <c r="K730" s="97" t="str">
        <f>VLOOKUP(A730,'Tox Summary'!$O$4:$P$824,2,FALSE)</f>
        <v/>
      </c>
      <c r="L730" s="93">
        <f>VLOOKUP(A730,'Parameters Summary'!$B$2:$AB$826,7,FALSE)</f>
        <v>3.2299999999999999E-13</v>
      </c>
      <c r="M730" s="93" t="str">
        <f>VLOOKUP(A730,'Parameters Summary'!$B$2:$AB$826,8,FALSE)</f>
        <v>PHYSPROP</v>
      </c>
      <c r="N730" s="91">
        <f>VLOOKUP(A730,'Parameters Summary'!$B$2:$AB$826,6,FALSE)</f>
        <v>1.321E-11</v>
      </c>
      <c r="O730" s="91" t="str">
        <f t="shared" si="74"/>
        <v/>
      </c>
      <c r="P730" s="91">
        <f t="shared" si="75"/>
        <v>1.321E-11</v>
      </c>
      <c r="Q730" s="91" t="str">
        <f t="shared" si="73"/>
        <v/>
      </c>
      <c r="R730" s="91">
        <f t="shared" si="76"/>
        <v>1.321E-11</v>
      </c>
      <c r="S730" s="91" t="str">
        <f t="shared" si="78"/>
        <v/>
      </c>
      <c r="T730" s="93">
        <f>VLOOKUP(A730,'Parameters Summary'!$B$2:$AB$826,15,FALSE)</f>
        <v>3.4891999999999999E-2</v>
      </c>
      <c r="U730" s="93" t="str">
        <f>VLOOKUP(A730,'Parameters Summary'!$B$2:$AB$826,17,FALSE)</f>
        <v>WATER9 (U.S. EPA, 2001)</v>
      </c>
      <c r="V730" s="93">
        <f>VLOOKUP(A730,'Parameters Summary'!$B$2:$AB$826,16,FALSE)</f>
        <v>4.0768999999999999E-6</v>
      </c>
      <c r="W730" s="379" t="str">
        <f>VLOOKUP(A730,'Parameters Summary'!$B$2:$AB$826,17,FALSE)</f>
        <v>WATER9 (U.S. EPA, 2001)</v>
      </c>
      <c r="X730" s="347"/>
      <c r="Y730" s="96"/>
      <c r="Z730" s="96" t="s">
        <v>1653</v>
      </c>
      <c r="AA730" s="96"/>
      <c r="AB730" s="96" t="s">
        <v>1651</v>
      </c>
      <c r="AC730" s="96"/>
      <c r="AD730" s="93">
        <f>VLOOKUP(A730,'Parameters Summary'!$B$2:$AB$826,20,FALSE)</f>
        <v>427.2</v>
      </c>
      <c r="AE730" s="97" t="str">
        <f>VLOOKUP(A730,'Parameters Summary'!$B$2:$AB$826,21,FALSE)</f>
        <v>EPI</v>
      </c>
      <c r="AF730" s="97"/>
      <c r="AG730" s="94"/>
      <c r="AH730" s="92"/>
      <c r="AI730" s="96"/>
      <c r="AJ730" s="330"/>
      <c r="AL730" s="81"/>
    </row>
    <row r="731" spans="1:38" ht="12.75" customHeight="1">
      <c r="A731" s="96" t="s">
        <v>929</v>
      </c>
      <c r="B731" s="96" t="s">
        <v>2322</v>
      </c>
      <c r="C731" s="96" t="str">
        <f t="shared" si="77"/>
        <v>No</v>
      </c>
      <c r="D731" s="96" t="str">
        <f>VLOOKUP(A731,'Tox Summary'!$O$3:$R$824,3,FALSE)</f>
        <v>Yes</v>
      </c>
      <c r="E731" s="97">
        <v>395.4</v>
      </c>
      <c r="F731" s="97" t="s">
        <v>1620</v>
      </c>
      <c r="G731" s="93">
        <f>VLOOKUP(A731,'Parameters Summary'!$B$2:$AB$826,9,FALSE)</f>
        <v>3.9E-10</v>
      </c>
      <c r="H731" s="93" t="str">
        <f>VLOOKUP(A731,'Parameters Summary'!$B$2:$AB$826,10,FALSE)</f>
        <v>PHYSPROP</v>
      </c>
      <c r="I731" s="93">
        <f>VLOOKUP(A731,'Parameters Summary'!$B$2:$AB$826,24,FALSE)</f>
        <v>50</v>
      </c>
      <c r="J731" s="97" t="str">
        <f>VLOOKUP(A731,'Parameters Summary'!$B$2:$AB$826,25,FALSE)</f>
        <v>PHYSPROP</v>
      </c>
      <c r="K731" s="97" t="str">
        <f>VLOOKUP(A731,'Tox Summary'!$O$4:$P$824,2,FALSE)</f>
        <v/>
      </c>
      <c r="L731" s="93">
        <f>VLOOKUP(A731,'Parameters Summary'!$B$2:$AB$826,7,FALSE)</f>
        <v>1.0199999999999999E-13</v>
      </c>
      <c r="M731" s="93" t="str">
        <f>VLOOKUP(A731,'Parameters Summary'!$B$2:$AB$826,8,FALSE)</f>
        <v>PHYSPROP</v>
      </c>
      <c r="N731" s="91">
        <f>VLOOKUP(A731,'Parameters Summary'!$B$2:$AB$826,6,FALSE)</f>
        <v>4.1700000000000002E-12</v>
      </c>
      <c r="O731" s="91" t="str">
        <f t="shared" si="74"/>
        <v/>
      </c>
      <c r="P731" s="91">
        <f t="shared" si="75"/>
        <v>4.1700000000000002E-12</v>
      </c>
      <c r="Q731" s="91" t="str">
        <f t="shared" si="73"/>
        <v/>
      </c>
      <c r="R731" s="91">
        <f t="shared" si="76"/>
        <v>4.1700000000000002E-12</v>
      </c>
      <c r="S731" s="91" t="str">
        <f t="shared" si="78"/>
        <v/>
      </c>
      <c r="T731" s="93">
        <f>VLOOKUP(A731,'Parameters Summary'!$B$2:$AB$826,15,FALSE)</f>
        <v>3.5269200000000001E-2</v>
      </c>
      <c r="U731" s="93" t="str">
        <f>VLOOKUP(A731,'Parameters Summary'!$B$2:$AB$826,17,FALSE)</f>
        <v>WATER9 (U.S. EPA, 2001)</v>
      </c>
      <c r="V731" s="93">
        <f>VLOOKUP(A731,'Parameters Summary'!$B$2:$AB$826,16,FALSE)</f>
        <v>4.1208999999999998E-6</v>
      </c>
      <c r="W731" s="379" t="str">
        <f>VLOOKUP(A731,'Parameters Summary'!$B$2:$AB$826,17,FALSE)</f>
        <v>WATER9 (U.S. EPA, 2001)</v>
      </c>
      <c r="X731" s="347"/>
      <c r="Y731" s="96"/>
      <c r="Z731" s="96" t="s">
        <v>1653</v>
      </c>
      <c r="AA731" s="96"/>
      <c r="AB731" s="96" t="s">
        <v>1651</v>
      </c>
      <c r="AC731" s="96"/>
      <c r="AD731" s="93">
        <f>VLOOKUP(A731,'Parameters Summary'!$B$2:$AB$826,20,FALSE)</f>
        <v>94.69</v>
      </c>
      <c r="AE731" s="97" t="str">
        <f>VLOOKUP(A731,'Parameters Summary'!$B$2:$AB$826,21,FALSE)</f>
        <v>EPI</v>
      </c>
      <c r="AF731" s="97"/>
      <c r="AG731" s="94"/>
      <c r="AH731" s="92"/>
      <c r="AI731" s="96"/>
      <c r="AJ731" s="330"/>
      <c r="AL731" s="81"/>
    </row>
    <row r="732" spans="1:38" ht="12.75" customHeight="1">
      <c r="A732" s="96" t="s">
        <v>307</v>
      </c>
      <c r="B732" s="96" t="s">
        <v>1361</v>
      </c>
      <c r="C732" s="96" t="str">
        <f t="shared" si="77"/>
        <v>Yes</v>
      </c>
      <c r="D732" s="96" t="str">
        <f>VLOOKUP(A732,'Tox Summary'!$O$3:$R$824,3,FALSE)</f>
        <v>No</v>
      </c>
      <c r="E732" s="97">
        <v>314.8</v>
      </c>
      <c r="F732" s="97" t="s">
        <v>1620</v>
      </c>
      <c r="G732" s="93">
        <f>VLOOKUP(A732,'Parameters Summary'!$B$2:$AB$826,9,FALSE)</f>
        <v>5.4799999999999996E-3</v>
      </c>
      <c r="H732" s="93" t="str">
        <f>VLOOKUP(A732,'Parameters Summary'!$B$2:$AB$826,10,FALSE)</f>
        <v>PHYSPROP</v>
      </c>
      <c r="I732" s="93">
        <f>VLOOKUP(A732,'Parameters Summary'!$B$2:$AB$826,24,FALSE)</f>
        <v>4.8979999999999997</v>
      </c>
      <c r="J732" s="97" t="str">
        <f>VLOOKUP(A732,'Parameters Summary'!$B$2:$AB$826,25,FALSE)</f>
        <v>PHYSPROP</v>
      </c>
      <c r="K732" s="97" t="str">
        <f>VLOOKUP(A732,'Tox Summary'!$O$4:$P$824,2,FALSE)</f>
        <v/>
      </c>
      <c r="L732" s="93">
        <f>VLOOKUP(A732,'Parameters Summary'!$B$2:$AB$826,7,FALSE)</f>
        <v>3.4099999999999999E-4</v>
      </c>
      <c r="M732" s="93" t="str">
        <f>VLOOKUP(A732,'Parameters Summary'!$B$2:$AB$826,8,FALSE)</f>
        <v>PHYSPROP</v>
      </c>
      <c r="N732" s="91">
        <f>VLOOKUP(A732,'Parameters Summary'!$B$2:$AB$826,6,FALSE)</f>
        <v>1.39411E-2</v>
      </c>
      <c r="O732" s="91" t="str">
        <f t="shared" si="74"/>
        <v/>
      </c>
      <c r="P732" s="91">
        <f t="shared" si="75"/>
        <v>1.39411E-2</v>
      </c>
      <c r="Q732" s="91" t="str">
        <f t="shared" si="73"/>
        <v/>
      </c>
      <c r="R732" s="91">
        <f t="shared" si="76"/>
        <v>1.39411E-2</v>
      </c>
      <c r="S732" s="91" t="str">
        <f t="shared" si="78"/>
        <v/>
      </c>
      <c r="T732" s="93">
        <f>VLOOKUP(A732,'Parameters Summary'!$B$2:$AB$826,15,FALSE)</f>
        <v>2.8968899999999999E-2</v>
      </c>
      <c r="U732" s="93" t="str">
        <f>VLOOKUP(A732,'Parameters Summary'!$B$2:$AB$826,17,FALSE)</f>
        <v>WATER9 (U.S. EPA, 2001)</v>
      </c>
      <c r="V732" s="93">
        <f>VLOOKUP(A732,'Parameters Summary'!$B$2:$AB$826,16,FALSE)</f>
        <v>7.8945000000000004E-6</v>
      </c>
      <c r="W732" s="379" t="str">
        <f>VLOOKUP(A732,'Parameters Summary'!$B$2:$AB$826,17,FALSE)</f>
        <v>WATER9 (U.S. EPA, 2001)</v>
      </c>
      <c r="X732" s="290">
        <v>548.15</v>
      </c>
      <c r="Y732" s="96" t="s">
        <v>553</v>
      </c>
      <c r="Z732" s="96">
        <f>1.5*X732</f>
        <v>822.22499999999991</v>
      </c>
      <c r="AA732" s="96" t="s">
        <v>2220</v>
      </c>
      <c r="AB732" s="96" t="s">
        <v>1651</v>
      </c>
      <c r="AC732" s="96"/>
      <c r="AD732" s="93">
        <f>VLOOKUP(A732,'Parameters Summary'!$B$2:$AB$826,20,FALSE)</f>
        <v>614.29999999999995</v>
      </c>
      <c r="AE732" s="97" t="str">
        <f>VLOOKUP(A732,'Parameters Summary'!$B$2:$AB$826,21,FALSE)</f>
        <v>EPI</v>
      </c>
      <c r="AF732" s="97"/>
      <c r="AG732" s="94"/>
      <c r="AH732" s="92"/>
      <c r="AI732" s="96"/>
      <c r="AJ732" s="330"/>
      <c r="AL732" s="81"/>
    </row>
    <row r="733" spans="1:38" ht="12.75" customHeight="1">
      <c r="A733" s="96" t="s">
        <v>308</v>
      </c>
      <c r="B733" s="96" t="s">
        <v>543</v>
      </c>
      <c r="C733" s="96" t="str">
        <f t="shared" si="77"/>
        <v>No</v>
      </c>
      <c r="D733" s="96" t="str">
        <f>VLOOKUP(A733,'Tox Summary'!$O$3:$R$824,3,FALSE)</f>
        <v>No</v>
      </c>
      <c r="E733" s="97">
        <v>266.32</v>
      </c>
      <c r="F733" s="97" t="s">
        <v>1620</v>
      </c>
      <c r="G733" s="93">
        <f>VLOOKUP(A733,'Parameters Summary'!$B$2:$AB$826,9,FALSE)</f>
        <v>1.1299999999999999E-3</v>
      </c>
      <c r="H733" s="93" t="str">
        <f>VLOOKUP(A733,'Parameters Summary'!$B$2:$AB$826,10,FALSE)</f>
        <v>PHYSPROP</v>
      </c>
      <c r="I733" s="93">
        <f>VLOOKUP(A733,'Parameters Summary'!$B$2:$AB$826,24,FALSE)</f>
        <v>280</v>
      </c>
      <c r="J733" s="97" t="str">
        <f>VLOOKUP(A733,'Parameters Summary'!$B$2:$AB$826,25,FALSE)</f>
        <v>PHYSPROP</v>
      </c>
      <c r="K733" s="97" t="str">
        <f>VLOOKUP(A733,'Tox Summary'!$O$4:$P$824,2,FALSE)</f>
        <v/>
      </c>
      <c r="L733" s="93">
        <f>VLOOKUP(A733,'Parameters Summary'!$B$2:$AB$826,7,FALSE)</f>
        <v>1.4100000000000001E-6</v>
      </c>
      <c r="M733" s="93" t="str">
        <f>VLOOKUP(A733,'Parameters Summary'!$B$2:$AB$826,8,FALSE)</f>
        <v>EPI</v>
      </c>
      <c r="N733" s="91">
        <f>VLOOKUP(A733,'Parameters Summary'!$B$2:$AB$826,6,FALSE)</f>
        <v>5.7599999999999997E-5</v>
      </c>
      <c r="O733" s="91" t="str">
        <f t="shared" si="74"/>
        <v/>
      </c>
      <c r="P733" s="91">
        <f t="shared" si="75"/>
        <v>5.7599999999999997E-5</v>
      </c>
      <c r="Q733" s="91" t="str">
        <f t="shared" si="73"/>
        <v/>
      </c>
      <c r="R733" s="91">
        <f t="shared" si="76"/>
        <v>5.7599999999999997E-5</v>
      </c>
      <c r="S733" s="91" t="str">
        <f t="shared" si="78"/>
        <v/>
      </c>
      <c r="T733" s="93">
        <f>VLOOKUP(A733,'Parameters Summary'!$B$2:$AB$826,15,FALSE)</f>
        <v>2.1184100000000001E-2</v>
      </c>
      <c r="U733" s="93" t="str">
        <f>VLOOKUP(A733,'Parameters Summary'!$B$2:$AB$826,17,FALSE)</f>
        <v>WATER9 (U.S. EPA, 2001)</v>
      </c>
      <c r="V733" s="93">
        <f>VLOOKUP(A733,'Parameters Summary'!$B$2:$AB$826,16,FALSE)</f>
        <v>5.2337999999999998E-6</v>
      </c>
      <c r="W733" s="379" t="str">
        <f>VLOOKUP(A733,'Parameters Summary'!$B$2:$AB$826,17,FALSE)</f>
        <v>WATER9 (U.S. EPA, 2001)</v>
      </c>
      <c r="X733" s="290">
        <v>562.15</v>
      </c>
      <c r="Y733" s="96" t="s">
        <v>553</v>
      </c>
      <c r="Z733" s="96">
        <f>1.5*X733</f>
        <v>843.22499999999991</v>
      </c>
      <c r="AA733" s="96" t="s">
        <v>2220</v>
      </c>
      <c r="AB733" s="96" t="s">
        <v>1651</v>
      </c>
      <c r="AC733" s="96"/>
      <c r="AD733" s="93">
        <f>VLOOKUP(A733,'Parameters Summary'!$B$2:$AB$826,20,FALSE)</f>
        <v>2350</v>
      </c>
      <c r="AE733" s="97" t="str">
        <f>VLOOKUP(A733,'Parameters Summary'!$B$2:$AB$826,21,FALSE)</f>
        <v>EPI</v>
      </c>
      <c r="AF733" s="97"/>
      <c r="AG733" s="94"/>
      <c r="AH733" s="92"/>
      <c r="AI733" s="96"/>
      <c r="AJ733" s="330"/>
      <c r="AL733" s="81"/>
    </row>
    <row r="734" spans="1:38" ht="12.75" customHeight="1">
      <c r="A734" s="96" t="s">
        <v>2174</v>
      </c>
      <c r="B734" s="96" t="s">
        <v>1362</v>
      </c>
      <c r="C734" s="96" t="str">
        <f t="shared" si="77"/>
        <v>No</v>
      </c>
      <c r="D734" s="96" t="str">
        <f>VLOOKUP(A734,'Tox Summary'!$O$3:$R$824,3,FALSE)</f>
        <v>Yes</v>
      </c>
      <c r="E734" s="97" t="s">
        <v>2416</v>
      </c>
      <c r="F734" s="97" t="s">
        <v>1413</v>
      </c>
      <c r="G734" s="93" t="s">
        <v>2439</v>
      </c>
      <c r="H734" s="93" t="str">
        <f>VLOOKUP(A734,'Parameters Summary'!$B$2:$AB$826,10,FALSE)</f>
        <v/>
      </c>
      <c r="I734" s="93" t="s">
        <v>2440</v>
      </c>
      <c r="J734" s="97" t="str">
        <f>VLOOKUP(A734,'Parameters Summary'!$B$2:$AB$826,25,FALSE)</f>
        <v/>
      </c>
      <c r="K734" s="97" t="str">
        <f>VLOOKUP(A734,'Tox Summary'!$O$4:$P$824,2,FALSE)</f>
        <v/>
      </c>
      <c r="L734" s="93" t="s">
        <v>2298</v>
      </c>
      <c r="M734" s="93" t="str">
        <f>VLOOKUP(A734,'Parameters Summary'!$B$2:$AB$826,8,FALSE)</f>
        <v/>
      </c>
      <c r="N734" s="91" t="str">
        <f>VLOOKUP(A734,'Parameters Summary'!$B$2:$AB$826,6,FALSE)</f>
        <v xml:space="preserve"> </v>
      </c>
      <c r="O734" s="91" t="str">
        <f t="shared" si="74"/>
        <v/>
      </c>
      <c r="P734" s="91" t="str">
        <f t="shared" si="75"/>
        <v xml:space="preserve"> </v>
      </c>
      <c r="Q734" s="91" t="str">
        <f t="shared" si="73"/>
        <v/>
      </c>
      <c r="R734" s="91" t="str">
        <f t="shared" si="76"/>
        <v xml:space="preserve"> </v>
      </c>
      <c r="S734" s="91" t="str">
        <f t="shared" si="78"/>
        <v/>
      </c>
      <c r="T734" s="93" t="str">
        <f>VLOOKUP(A734,'Parameters Summary'!$B$2:$AB$826,15,FALSE)</f>
        <v xml:space="preserve"> </v>
      </c>
      <c r="U734" s="93" t="str">
        <f>VLOOKUP(A734,'Parameters Summary'!$B$2:$AB$826,17,FALSE)</f>
        <v/>
      </c>
      <c r="V734" s="93" t="str">
        <f>VLOOKUP(A734,'Parameters Summary'!$B$2:$AB$826,16,FALSE)</f>
        <v xml:space="preserve"> </v>
      </c>
      <c r="W734" s="379" t="str">
        <f>VLOOKUP(A734,'Parameters Summary'!$B$2:$AB$826,17,FALSE)</f>
        <v/>
      </c>
      <c r="X734" s="347"/>
      <c r="Y734" s="96"/>
      <c r="Z734" s="96" t="s">
        <v>1653</v>
      </c>
      <c r="AA734" s="96"/>
      <c r="AB734" s="96" t="s">
        <v>1651</v>
      </c>
      <c r="AC734" s="96"/>
      <c r="AD734" s="93" t="str">
        <f>VLOOKUP(A734,'Parameters Summary'!$B$2:$AB$826,20,FALSE)</f>
        <v xml:space="preserve"> </v>
      </c>
      <c r="AE734" s="97" t="str">
        <f>VLOOKUP(A734,'Parameters Summary'!$B$2:$AB$826,21,FALSE)</f>
        <v/>
      </c>
      <c r="AF734" s="97"/>
      <c r="AG734" s="94"/>
      <c r="AH734" s="92"/>
      <c r="AI734" s="96"/>
      <c r="AJ734" s="330"/>
      <c r="AL734" s="81"/>
    </row>
    <row r="735" spans="1:38" ht="12.75" customHeight="1">
      <c r="A735" s="96" t="s">
        <v>309</v>
      </c>
      <c r="B735" s="96" t="s">
        <v>1363</v>
      </c>
      <c r="C735" s="96" t="str">
        <f t="shared" si="77"/>
        <v>No</v>
      </c>
      <c r="D735" s="96" t="str">
        <f>VLOOKUP(A735,'Tox Summary'!$O$3:$R$824,3,FALSE)</f>
        <v>Yes</v>
      </c>
      <c r="E735" s="97">
        <v>596.08000000000004</v>
      </c>
      <c r="F735" s="97" t="s">
        <v>1620</v>
      </c>
      <c r="G735" s="93">
        <f>VLOOKUP(A735,'Parameters Summary'!$B$2:$AB$826,9,FALSE)</f>
        <v>7.5000000000000002E-6</v>
      </c>
      <c r="H735" s="93" t="str">
        <f>VLOOKUP(A735,'Parameters Summary'!$B$2:$AB$826,10,FALSE)</f>
        <v>PHYSPROP</v>
      </c>
      <c r="I735" s="93">
        <f>VLOOKUP(A735,'Parameters Summary'!$B$2:$AB$826,24,FALSE)</f>
        <v>19.5</v>
      </c>
      <c r="J735" s="97" t="str">
        <f>VLOOKUP(A735,'Parameters Summary'!$B$2:$AB$826,25,FALSE)</f>
        <v>PHYSPROP</v>
      </c>
      <c r="K735" s="97" t="str">
        <f>VLOOKUP(A735,'Tox Summary'!$O$4:$P$824,2,FALSE)</f>
        <v/>
      </c>
      <c r="L735" s="93">
        <f>VLOOKUP(A735,'Parameters Summary'!$B$2:$AB$826,7,FALSE)</f>
        <v>3.0199999999999998E-7</v>
      </c>
      <c r="M735" s="93" t="str">
        <f>VLOOKUP(A735,'Parameters Summary'!$B$2:$AB$826,8,FALSE)</f>
        <v>EPI</v>
      </c>
      <c r="N735" s="91">
        <f>VLOOKUP(A735,'Parameters Summary'!$B$2:$AB$826,6,FALSE)</f>
        <v>1.2300000000000001E-5</v>
      </c>
      <c r="O735" s="91" t="str">
        <f t="shared" si="74"/>
        <v/>
      </c>
      <c r="P735" s="91">
        <f t="shared" si="75"/>
        <v>1.2300000000000001E-5</v>
      </c>
      <c r="Q735" s="91" t="str">
        <f t="shared" si="73"/>
        <v/>
      </c>
      <c r="R735" s="91">
        <f t="shared" si="76"/>
        <v>1.2300000000000001E-5</v>
      </c>
      <c r="S735" s="91" t="str">
        <f t="shared" si="78"/>
        <v/>
      </c>
      <c r="T735" s="93">
        <f>VLOOKUP(A735,'Parameters Summary'!$B$2:$AB$826,15,FALSE)</f>
        <v>1.5124800000000001E-2</v>
      </c>
      <c r="U735" s="93" t="str">
        <f>VLOOKUP(A735,'Parameters Summary'!$B$2:$AB$826,17,FALSE)</f>
        <v>WATER9 (U.S. EPA, 2001)</v>
      </c>
      <c r="V735" s="93">
        <f>VLOOKUP(A735,'Parameters Summary'!$B$2:$AB$826,16,FALSE)</f>
        <v>3.6057999999999998E-6</v>
      </c>
      <c r="W735" s="379" t="str">
        <f>VLOOKUP(A735,'Parameters Summary'!$B$2:$AB$826,17,FALSE)</f>
        <v>WATER9 (U.S. EPA, 2001)</v>
      </c>
      <c r="X735" s="290">
        <v>453.15</v>
      </c>
      <c r="Y735" s="96" t="s">
        <v>553</v>
      </c>
      <c r="Z735" s="96">
        <f>1.5*X735</f>
        <v>679.72499999999991</v>
      </c>
      <c r="AA735" s="96" t="s">
        <v>2220</v>
      </c>
      <c r="AB735" s="96" t="s">
        <v>1651</v>
      </c>
      <c r="AC735" s="96"/>
      <c r="AD735" s="93">
        <f>VLOOKUP(A735,'Parameters Summary'!$B$2:$AB$826,20,FALSE)</f>
        <v>25930000</v>
      </c>
      <c r="AE735" s="97" t="str">
        <f>VLOOKUP(A735,'Parameters Summary'!$B$2:$AB$826,21,FALSE)</f>
        <v>EPI</v>
      </c>
      <c r="AF735" s="97"/>
      <c r="AG735" s="94"/>
      <c r="AH735" s="92"/>
      <c r="AI735" s="96"/>
      <c r="AJ735" s="330"/>
      <c r="AL735" s="81"/>
    </row>
    <row r="736" spans="1:38" ht="12.75" customHeight="1">
      <c r="A736" s="96" t="s">
        <v>1608</v>
      </c>
      <c r="B736" s="96" t="s">
        <v>2406</v>
      </c>
      <c r="C736" s="96" t="str">
        <f t="shared" si="77"/>
        <v>No</v>
      </c>
      <c r="D736" s="96" t="str">
        <f>VLOOKUP(A736,'Tox Summary'!$O$3:$R$824,3,FALSE)</f>
        <v>No</v>
      </c>
      <c r="E736" s="97">
        <v>310.18</v>
      </c>
      <c r="F736" s="97" t="s">
        <v>1618</v>
      </c>
      <c r="G736" s="93" t="s">
        <v>2439</v>
      </c>
      <c r="H736" s="93" t="str">
        <f>VLOOKUP(A736,'Parameters Summary'!$B$2:$AB$826,10,FALSE)</f>
        <v/>
      </c>
      <c r="I736" s="93" t="s">
        <v>2440</v>
      </c>
      <c r="J736" s="97" t="str">
        <f>VLOOKUP(A736,'Parameters Summary'!$B$2:$AB$826,25,FALSE)</f>
        <v/>
      </c>
      <c r="K736" s="97" t="str">
        <f>VLOOKUP(A736,'Tox Summary'!$O$4:$P$824,2,FALSE)</f>
        <v/>
      </c>
      <c r="L736" s="93" t="s">
        <v>2298</v>
      </c>
      <c r="M736" s="93" t="str">
        <f>VLOOKUP(A736,'Parameters Summary'!$B$2:$AB$826,8,FALSE)</f>
        <v/>
      </c>
      <c r="N736" s="91" t="str">
        <f>VLOOKUP(A736,'Parameters Summary'!$B$2:$AB$826,6,FALSE)</f>
        <v xml:space="preserve"> </v>
      </c>
      <c r="O736" s="91" t="str">
        <f t="shared" si="74"/>
        <v/>
      </c>
      <c r="P736" s="91" t="str">
        <f t="shared" si="75"/>
        <v xml:space="preserve"> </v>
      </c>
      <c r="Q736" s="91" t="str">
        <f t="shared" si="73"/>
        <v/>
      </c>
      <c r="R736" s="91" t="str">
        <f t="shared" si="76"/>
        <v xml:space="preserve"> </v>
      </c>
      <c r="S736" s="91" t="str">
        <f t="shared" si="78"/>
        <v/>
      </c>
      <c r="T736" s="93" t="str">
        <f>VLOOKUP(A736,'Parameters Summary'!$B$2:$AB$826,15,FALSE)</f>
        <v xml:space="preserve"> </v>
      </c>
      <c r="U736" s="93" t="str">
        <f>VLOOKUP(A736,'Parameters Summary'!$B$2:$AB$826,17,FALSE)</f>
        <v/>
      </c>
      <c r="V736" s="93" t="str">
        <f>VLOOKUP(A736,'Parameters Summary'!$B$2:$AB$826,16,FALSE)</f>
        <v xml:space="preserve"> </v>
      </c>
      <c r="W736" s="379" t="str">
        <f>VLOOKUP(A736,'Parameters Summary'!$B$2:$AB$826,17,FALSE)</f>
        <v/>
      </c>
      <c r="X736" s="347"/>
      <c r="Y736" s="96"/>
      <c r="Z736" s="96" t="s">
        <v>1653</v>
      </c>
      <c r="AA736" s="96"/>
      <c r="AB736" s="96" t="s">
        <v>1651</v>
      </c>
      <c r="AC736" s="96"/>
      <c r="AD736" s="93" t="str">
        <f>VLOOKUP(A736,'Parameters Summary'!$B$2:$AB$826,20,FALSE)</f>
        <v xml:space="preserve"> </v>
      </c>
      <c r="AE736" s="97" t="str">
        <f>VLOOKUP(A736,'Parameters Summary'!$B$2:$AB$826,21,FALSE)</f>
        <v/>
      </c>
      <c r="AF736" s="97"/>
      <c r="AG736" s="94"/>
      <c r="AH736" s="92"/>
      <c r="AI736" s="96"/>
      <c r="AJ736" s="330"/>
      <c r="AL736" s="81"/>
    </row>
    <row r="737" spans="1:38" ht="12.75" customHeight="1">
      <c r="A737" s="95" t="s">
        <v>310</v>
      </c>
      <c r="B737" s="96" t="s">
        <v>1364</v>
      </c>
      <c r="C737" s="96" t="str">
        <f t="shared" si="77"/>
        <v>Yes</v>
      </c>
      <c r="D737" s="96" t="str">
        <f>VLOOKUP(A737,'Tox Summary'!$O$3:$R$824,3,FALSE)</f>
        <v>No</v>
      </c>
      <c r="E737" s="97">
        <v>187.38</v>
      </c>
      <c r="F737" s="97" t="s">
        <v>1620</v>
      </c>
      <c r="G737" s="93">
        <f>VLOOKUP(A737,'Parameters Summary'!$B$2:$AB$826,9,FALSE)</f>
        <v>362.5</v>
      </c>
      <c r="H737" s="93" t="str">
        <f>VLOOKUP(A737,'Parameters Summary'!$B$2:$AB$826,10,FALSE)</f>
        <v>PHYSPROP</v>
      </c>
      <c r="I737" s="93">
        <f>VLOOKUP(A737,'Parameters Summary'!$B$2:$AB$826,24,FALSE)</f>
        <v>170</v>
      </c>
      <c r="J737" s="97" t="str">
        <f>VLOOKUP(A737,'Parameters Summary'!$B$2:$AB$826,25,FALSE)</f>
        <v>PHYSPROP</v>
      </c>
      <c r="K737" s="97" t="str">
        <f>VLOOKUP(A737,'Tox Summary'!$O$4:$P$824,2,FALSE)</f>
        <v/>
      </c>
      <c r="L737" s="93">
        <f>VLOOKUP(A737,'Parameters Summary'!$B$2:$AB$826,7,FALSE)</f>
        <v>0.52600000000000002</v>
      </c>
      <c r="M737" s="93" t="str">
        <f>VLOOKUP(A737,'Parameters Summary'!$B$2:$AB$826,8,FALSE)</f>
        <v>EPI</v>
      </c>
      <c r="N737" s="91">
        <f>VLOOKUP(A737,'Parameters Summary'!$B$2:$AB$826,6,FALSE)</f>
        <v>21.504497000000001</v>
      </c>
      <c r="O737" s="91">
        <f t="shared" si="74"/>
        <v>21.504497000000001</v>
      </c>
      <c r="P737" s="91">
        <f t="shared" si="75"/>
        <v>21.504497000000001</v>
      </c>
      <c r="Q737" s="91">
        <f t="shared" si="73"/>
        <v>21.504497000000001</v>
      </c>
      <c r="R737" s="91">
        <f t="shared" si="76"/>
        <v>21.504497000000001</v>
      </c>
      <c r="S737" s="91">
        <f t="shared" si="78"/>
        <v>3654975217.1491885</v>
      </c>
      <c r="T737" s="93">
        <f>VLOOKUP(A737,'Parameters Summary'!$B$2:$AB$826,15,FALSE)</f>
        <v>3.7565800000000003E-2</v>
      </c>
      <c r="U737" s="93" t="str">
        <f>VLOOKUP(A737,'Parameters Summary'!$B$2:$AB$826,17,FALSE)</f>
        <v>WATER9 (U.S. EPA, 2001)</v>
      </c>
      <c r="V737" s="93">
        <f>VLOOKUP(A737,'Parameters Summary'!$B$2:$AB$826,16,FALSE)</f>
        <v>8.5920000000000001E-6</v>
      </c>
      <c r="W737" s="379" t="str">
        <f>VLOOKUP(A737,'Parameters Summary'!$B$2:$AB$826,17,FALSE)</f>
        <v>WATER9 (U.S. EPA, 2001)</v>
      </c>
      <c r="X737" s="290">
        <v>320.7</v>
      </c>
      <c r="Y737" s="96" t="s">
        <v>553</v>
      </c>
      <c r="Z737" s="96">
        <v>487.3</v>
      </c>
      <c r="AA737" s="96" t="s">
        <v>2221</v>
      </c>
      <c r="AB737" s="96">
        <v>6462.56</v>
      </c>
      <c r="AC737" s="96" t="s">
        <v>2221</v>
      </c>
      <c r="AD737" s="93">
        <f>VLOOKUP(A737,'Parameters Summary'!$B$2:$AB$826,20,FALSE)</f>
        <v>196.8</v>
      </c>
      <c r="AE737" s="97" t="str">
        <f>VLOOKUP(A737,'Parameters Summary'!$B$2:$AB$826,21,FALSE)</f>
        <v>EPI</v>
      </c>
      <c r="AF737" s="380"/>
      <c r="AG737" s="97"/>
      <c r="AH737" s="92"/>
      <c r="AI737" s="96"/>
      <c r="AJ737" s="330"/>
      <c r="AL737" s="81"/>
    </row>
    <row r="738" spans="1:38" ht="12.75" customHeight="1">
      <c r="A738" s="96" t="s">
        <v>312</v>
      </c>
      <c r="B738" s="96" t="s">
        <v>311</v>
      </c>
      <c r="C738" s="96" t="str">
        <f t="shared" si="77"/>
        <v>No</v>
      </c>
      <c r="D738" s="96" t="str">
        <f>VLOOKUP(A738,'Tox Summary'!$O$3:$R$824,3,FALSE)</f>
        <v>No</v>
      </c>
      <c r="E738" s="97">
        <v>163.38999999999999</v>
      </c>
      <c r="F738" s="97" t="s">
        <v>1620</v>
      </c>
      <c r="G738" s="93">
        <f>VLOOKUP(A738,'Parameters Summary'!$B$2:$AB$826,9,FALSE)</f>
        <v>0.06</v>
      </c>
      <c r="H738" s="93" t="str">
        <f>VLOOKUP(A738,'Parameters Summary'!$B$2:$AB$826,10,FALSE)</f>
        <v>EPI</v>
      </c>
      <c r="I738" s="93">
        <f>VLOOKUP(A738,'Parameters Summary'!$B$2:$AB$826,24,FALSE)</f>
        <v>54600</v>
      </c>
      <c r="J738" s="97" t="str">
        <f>VLOOKUP(A738,'Parameters Summary'!$B$2:$AB$826,25,FALSE)</f>
        <v>PHYSPROP</v>
      </c>
      <c r="K738" s="97">
        <f>VLOOKUP(A738,'Tox Summary'!$O$4:$P$824,2,FALSE)</f>
        <v>60</v>
      </c>
      <c r="L738" s="93">
        <f>VLOOKUP(A738,'Parameters Summary'!$B$2:$AB$826,7,FALSE)</f>
        <v>1.35E-8</v>
      </c>
      <c r="M738" s="93" t="str">
        <f>VLOOKUP(A738,'Parameters Summary'!$B$2:$AB$826,8,FALSE)</f>
        <v>PHYSPROP</v>
      </c>
      <c r="N738" s="91">
        <f>VLOOKUP(A738,'Parameters Summary'!$B$2:$AB$826,6,FALSE)</f>
        <v>5.5191999999999998E-7</v>
      </c>
      <c r="O738" s="91" t="str">
        <f t="shared" si="74"/>
        <v/>
      </c>
      <c r="P738" s="91">
        <f t="shared" si="75"/>
        <v>5.5191999999999998E-7</v>
      </c>
      <c r="Q738" s="91" t="str">
        <f t="shared" si="73"/>
        <v/>
      </c>
      <c r="R738" s="91">
        <f t="shared" si="76"/>
        <v>5.5191999999999998E-7</v>
      </c>
      <c r="S738" s="91" t="str">
        <f t="shared" si="78"/>
        <v/>
      </c>
      <c r="T738" s="93">
        <f>VLOOKUP(A738,'Parameters Summary'!$B$2:$AB$826,15,FALSE)</f>
        <v>5.1748799999999998E-2</v>
      </c>
      <c r="U738" s="93" t="str">
        <f>VLOOKUP(A738,'Parameters Summary'!$B$2:$AB$826,17,FALSE)</f>
        <v>WATER9 (U.S. EPA, 2001)</v>
      </c>
      <c r="V738" s="93">
        <f>VLOOKUP(A738,'Parameters Summary'!$B$2:$AB$826,16,FALSE)</f>
        <v>9.5027999999999999E-6</v>
      </c>
      <c r="W738" s="379" t="str">
        <f>VLOOKUP(A738,'Parameters Summary'!$B$2:$AB$826,17,FALSE)</f>
        <v>WATER9 (U.S. EPA, 2001)</v>
      </c>
      <c r="X738" s="290">
        <v>469.65</v>
      </c>
      <c r="Y738" s="96" t="s">
        <v>553</v>
      </c>
      <c r="Z738" s="96">
        <f>1.5*X738</f>
        <v>704.47499999999991</v>
      </c>
      <c r="AA738" s="96" t="s">
        <v>2220</v>
      </c>
      <c r="AB738" s="96" t="s">
        <v>1651</v>
      </c>
      <c r="AC738" s="96"/>
      <c r="AD738" s="93">
        <f>VLOOKUP(A738,'Parameters Summary'!$B$2:$AB$826,20,FALSE)</f>
        <v>3.2309999999999999</v>
      </c>
      <c r="AE738" s="97" t="str">
        <f>VLOOKUP(A738,'Parameters Summary'!$B$2:$AB$826,21,FALSE)</f>
        <v>EPI</v>
      </c>
      <c r="AF738" s="97"/>
      <c r="AG738" s="94"/>
      <c r="AH738" s="92"/>
      <c r="AI738" s="96"/>
      <c r="AJ738" s="330"/>
      <c r="AL738" s="81"/>
    </row>
    <row r="739" spans="1:38" ht="12.75" customHeight="1">
      <c r="A739" s="96" t="s">
        <v>313</v>
      </c>
      <c r="B739" s="96" t="s">
        <v>1365</v>
      </c>
      <c r="C739" s="96" t="str">
        <f t="shared" si="77"/>
        <v>No</v>
      </c>
      <c r="D739" s="96" t="str">
        <f>VLOOKUP(A739,'Tox Summary'!$O$3:$R$824,3,FALSE)</f>
        <v>Yes</v>
      </c>
      <c r="E739" s="97">
        <v>232.93</v>
      </c>
      <c r="F739" s="97" t="s">
        <v>553</v>
      </c>
      <c r="G739" s="93">
        <f>VLOOKUP(A739,'Parameters Summary'!$B$2:$AB$826,9,FALSE)</f>
        <v>6.13E-8</v>
      </c>
      <c r="H739" s="93" t="str">
        <f>VLOOKUP(A739,'Parameters Summary'!$B$2:$AB$826,10,FALSE)</f>
        <v>EPI</v>
      </c>
      <c r="I739" s="93">
        <f>VLOOKUP(A739,'Parameters Summary'!$B$2:$AB$826,24,FALSE)</f>
        <v>20.963999999999999</v>
      </c>
      <c r="J739" s="97" t="str">
        <f>VLOOKUP(A739,'Parameters Summary'!$B$2:$AB$826,25,FALSE)</f>
        <v>EPI</v>
      </c>
      <c r="K739" s="97" t="str">
        <f>VLOOKUP(A739,'Tox Summary'!$O$4:$P$824,2,FALSE)</f>
        <v/>
      </c>
      <c r="L739" s="93">
        <f>VLOOKUP(A739,'Parameters Summary'!$B$2:$AB$826,7,FALSE)</f>
        <v>7.1799999999999994E-14</v>
      </c>
      <c r="M739" s="93" t="str">
        <f>VLOOKUP(A739,'Parameters Summary'!$B$2:$AB$826,8,FALSE)</f>
        <v>EPI</v>
      </c>
      <c r="N739" s="91">
        <f>VLOOKUP(A739,'Parameters Summary'!$B$2:$AB$826,6,FALSE)</f>
        <v>2.9349999999999999E-12</v>
      </c>
      <c r="O739" s="91" t="str">
        <f t="shared" si="74"/>
        <v/>
      </c>
      <c r="P739" s="91">
        <f t="shared" si="75"/>
        <v>2.9349999999999999E-12</v>
      </c>
      <c r="Q739" s="91" t="str">
        <f t="shared" si="73"/>
        <v/>
      </c>
      <c r="R739" s="91">
        <f t="shared" si="76"/>
        <v>2.9349999999999999E-12</v>
      </c>
      <c r="S739" s="91" t="str">
        <f t="shared" si="78"/>
        <v/>
      </c>
      <c r="T739" s="93">
        <f>VLOOKUP(A739,'Parameters Summary'!$B$2:$AB$826,15,FALSE)</f>
        <v>5.0188400000000001E-2</v>
      </c>
      <c r="U739" s="93" t="str">
        <f>VLOOKUP(A739,'Parameters Summary'!$B$2:$AB$826,17,FALSE)</f>
        <v>WATER9 (U.S. EPA, 2001)</v>
      </c>
      <c r="V739" s="93">
        <f>VLOOKUP(A739,'Parameters Summary'!$B$2:$AB$826,16,FALSE)</f>
        <v>5.8641000000000003E-6</v>
      </c>
      <c r="W739" s="379" t="str">
        <f>VLOOKUP(A739,'Parameters Summary'!$B$2:$AB$826,17,FALSE)</f>
        <v>WATER9 (U.S. EPA, 2001)</v>
      </c>
      <c r="X739" s="347"/>
      <c r="Y739" s="96"/>
      <c r="Z739" s="96" t="s">
        <v>1653</v>
      </c>
      <c r="AA739" s="96"/>
      <c r="AB739" s="96" t="s">
        <v>1651</v>
      </c>
      <c r="AC739" s="96"/>
      <c r="AD739" s="93">
        <f>VLOOKUP(A739,'Parameters Summary'!$B$2:$AB$826,20,FALSE)</f>
        <v>1271</v>
      </c>
      <c r="AE739" s="97" t="str">
        <f>VLOOKUP(A739,'Parameters Summary'!$B$2:$AB$826,21,FALSE)</f>
        <v>EPI</v>
      </c>
      <c r="AF739" s="97"/>
      <c r="AG739" s="94"/>
      <c r="AH739" s="92"/>
      <c r="AI739" s="96"/>
      <c r="AJ739" s="330"/>
      <c r="AL739" s="81"/>
    </row>
    <row r="740" spans="1:38" ht="12.75" customHeight="1">
      <c r="A740" s="96" t="s">
        <v>314</v>
      </c>
      <c r="B740" s="96" t="s">
        <v>1366</v>
      </c>
      <c r="C740" s="96" t="str">
        <f t="shared" si="77"/>
        <v>No</v>
      </c>
      <c r="D740" s="96" t="str">
        <f>VLOOKUP(A740,'Tox Summary'!$O$3:$R$824,3,FALSE)</f>
        <v>No</v>
      </c>
      <c r="E740" s="97">
        <v>196.46</v>
      </c>
      <c r="F740" s="97" t="s">
        <v>1620</v>
      </c>
      <c r="G740" s="93">
        <f>VLOOKUP(A740,'Parameters Summary'!$B$2:$AB$826,9,FALSE)</f>
        <v>4.4400000000000004E-3</v>
      </c>
      <c r="H740" s="93" t="str">
        <f>VLOOKUP(A740,'Parameters Summary'!$B$2:$AB$826,10,FALSE)</f>
        <v>PHYSPROP</v>
      </c>
      <c r="I740" s="93">
        <f>VLOOKUP(A740,'Parameters Summary'!$B$2:$AB$826,24,FALSE)</f>
        <v>40</v>
      </c>
      <c r="J740" s="97" t="str">
        <f>VLOOKUP(A740,'Parameters Summary'!$B$2:$AB$826,25,FALSE)</f>
        <v>PHYSPROP</v>
      </c>
      <c r="K740" s="97" t="str">
        <f>VLOOKUP(A740,'Tox Summary'!$O$4:$P$824,2,FALSE)</f>
        <v/>
      </c>
      <c r="L740" s="93">
        <f>VLOOKUP(A740,'Parameters Summary'!$B$2:$AB$826,7,FALSE)</f>
        <v>1.3400000000000001E-6</v>
      </c>
      <c r="M740" s="93" t="str">
        <f>VLOOKUP(A740,'Parameters Summary'!$B$2:$AB$826,8,FALSE)</f>
        <v>PHYSPROP</v>
      </c>
      <c r="N740" s="91">
        <f>VLOOKUP(A740,'Parameters Summary'!$B$2:$AB$826,6,FALSE)</f>
        <v>5.4799999999999997E-5</v>
      </c>
      <c r="O740" s="91" t="str">
        <f t="shared" si="74"/>
        <v/>
      </c>
      <c r="P740" s="91">
        <f t="shared" si="75"/>
        <v>5.4799999999999997E-5</v>
      </c>
      <c r="Q740" s="91" t="str">
        <f t="shared" si="73"/>
        <v/>
      </c>
      <c r="R740" s="91">
        <f t="shared" si="76"/>
        <v>5.4799999999999997E-5</v>
      </c>
      <c r="S740" s="91" t="str">
        <f t="shared" si="78"/>
        <v/>
      </c>
      <c r="T740" s="93">
        <f>VLOOKUP(A740,'Parameters Summary'!$B$2:$AB$826,15,FALSE)</f>
        <v>5.6221699999999999E-2</v>
      </c>
      <c r="U740" s="93" t="str">
        <f>VLOOKUP(A740,'Parameters Summary'!$B$2:$AB$826,17,FALSE)</f>
        <v>WATER9 (U.S. EPA, 2001)</v>
      </c>
      <c r="V740" s="93">
        <f>VLOOKUP(A740,'Parameters Summary'!$B$2:$AB$826,16,FALSE)</f>
        <v>6.5691000000000003E-6</v>
      </c>
      <c r="W740" s="379" t="str">
        <f>VLOOKUP(A740,'Parameters Summary'!$B$2:$AB$826,17,FALSE)</f>
        <v>WATER9 (U.S. EPA, 2001)</v>
      </c>
      <c r="X740" s="290">
        <v>535.15</v>
      </c>
      <c r="Y740" s="96" t="s">
        <v>553</v>
      </c>
      <c r="Z740" s="96">
        <f>1.5*X740</f>
        <v>802.72499999999991</v>
      </c>
      <c r="AA740" s="96" t="s">
        <v>2220</v>
      </c>
      <c r="AB740" s="96" t="s">
        <v>1651</v>
      </c>
      <c r="AC740" s="96"/>
      <c r="AD740" s="93">
        <f>VLOOKUP(A740,'Parameters Summary'!$B$2:$AB$826,20,FALSE)</f>
        <v>4440</v>
      </c>
      <c r="AE740" s="97" t="str">
        <f>VLOOKUP(A740,'Parameters Summary'!$B$2:$AB$826,21,FALSE)</f>
        <v>EPI</v>
      </c>
      <c r="AF740" s="97"/>
      <c r="AG740" s="94"/>
      <c r="AH740" s="92"/>
      <c r="AI740" s="96"/>
      <c r="AJ740" s="330"/>
      <c r="AL740" s="81"/>
    </row>
    <row r="741" spans="1:38" ht="12.75" customHeight="1">
      <c r="A741" s="95" t="s">
        <v>315</v>
      </c>
      <c r="B741" s="96" t="s">
        <v>621</v>
      </c>
      <c r="C741" s="96" t="str">
        <f t="shared" si="77"/>
        <v>Yes</v>
      </c>
      <c r="D741" s="96" t="str">
        <f>VLOOKUP(A741,'Tox Summary'!$O$3:$R$824,3,FALSE)</f>
        <v>Yes</v>
      </c>
      <c r="E741" s="97">
        <v>181.45</v>
      </c>
      <c r="F741" s="97" t="s">
        <v>1620</v>
      </c>
      <c r="G741" s="93">
        <f>VLOOKUP(A741,'Parameters Summary'!$B$2:$AB$826,9,FALSE)</f>
        <v>0.21</v>
      </c>
      <c r="H741" s="93" t="str">
        <f>VLOOKUP(A741,'Parameters Summary'!$B$2:$AB$826,10,FALSE)</f>
        <v>PHYSPROP</v>
      </c>
      <c r="I741" s="93">
        <f>VLOOKUP(A741,'Parameters Summary'!$B$2:$AB$826,24,FALSE)</f>
        <v>18</v>
      </c>
      <c r="J741" s="97" t="str">
        <f>VLOOKUP(A741,'Parameters Summary'!$B$2:$AB$826,25,FALSE)</f>
        <v>PHYSPROP</v>
      </c>
      <c r="K741" s="97" t="str">
        <f>VLOOKUP(A741,'Tox Summary'!$O$4:$P$824,2,FALSE)</f>
        <v/>
      </c>
      <c r="L741" s="93">
        <f>VLOOKUP(A741,'Parameters Summary'!$B$2:$AB$826,7,FALSE)</f>
        <v>1.25E-3</v>
      </c>
      <c r="M741" s="93" t="str">
        <f>VLOOKUP(A741,'Parameters Summary'!$B$2:$AB$826,8,FALSE)</f>
        <v>PHYSPROP</v>
      </c>
      <c r="N741" s="91">
        <f>VLOOKUP(A741,'Parameters Summary'!$B$2:$AB$826,6,FALSE)</f>
        <v>5.1103799999999998E-2</v>
      </c>
      <c r="O741" s="91">
        <f t="shared" si="74"/>
        <v>5.1103799999999998E-2</v>
      </c>
      <c r="P741" s="91">
        <f t="shared" si="75"/>
        <v>5.1103799999999998E-2</v>
      </c>
      <c r="Q741" s="91">
        <f t="shared" si="73"/>
        <v>5.1103799999999998E-2</v>
      </c>
      <c r="R741" s="91">
        <f t="shared" si="76"/>
        <v>5.1103799999999998E-2</v>
      </c>
      <c r="S741" s="91">
        <f t="shared" si="78"/>
        <v>2050356.8726189632</v>
      </c>
      <c r="T741" s="93">
        <f>VLOOKUP(A741,'Parameters Summary'!$B$2:$AB$826,15,FALSE)</f>
        <v>3.9530000000000003E-2</v>
      </c>
      <c r="U741" s="93" t="str">
        <f>VLOOKUP(A741,'Parameters Summary'!$B$2:$AB$826,17,FALSE)</f>
        <v>WATER9 (U.S. EPA, 2001)</v>
      </c>
      <c r="V741" s="93">
        <f>VLOOKUP(A741,'Parameters Summary'!$B$2:$AB$826,16,FALSE)</f>
        <v>8.3836000000000005E-6</v>
      </c>
      <c r="W741" s="379" t="str">
        <f>VLOOKUP(A741,'Parameters Summary'!$B$2:$AB$826,17,FALSE)</f>
        <v>WATER9 (U.S. EPA, 2001)</v>
      </c>
      <c r="X741" s="290">
        <v>491.5</v>
      </c>
      <c r="Y741" s="96" t="s">
        <v>2212</v>
      </c>
      <c r="Z741" s="96">
        <v>762.5</v>
      </c>
      <c r="AA741" s="96" t="s">
        <v>2215</v>
      </c>
      <c r="AB741" s="96">
        <v>12611.53</v>
      </c>
      <c r="AC741" s="96" t="s">
        <v>2215</v>
      </c>
      <c r="AD741" s="93">
        <f>VLOOKUP(A741,'Parameters Summary'!$B$2:$AB$826,20,FALSE)</f>
        <v>1383</v>
      </c>
      <c r="AE741" s="97" t="str">
        <f>VLOOKUP(A741,'Parameters Summary'!$B$2:$AB$826,21,FALSE)</f>
        <v>EPI</v>
      </c>
      <c r="AF741" s="380"/>
      <c r="AG741" s="97"/>
      <c r="AH741" s="92"/>
      <c r="AI741" s="96"/>
      <c r="AJ741" s="330"/>
      <c r="AL741" s="81"/>
    </row>
    <row r="742" spans="1:38" ht="12.75" customHeight="1">
      <c r="A742" s="95" t="s">
        <v>316</v>
      </c>
      <c r="B742" s="96" t="s">
        <v>1367</v>
      </c>
      <c r="C742" s="96" t="str">
        <f t="shared" si="77"/>
        <v>Yes</v>
      </c>
      <c r="D742" s="96" t="str">
        <f>VLOOKUP(A742,'Tox Summary'!$O$3:$R$824,3,FALSE)</f>
        <v>No</v>
      </c>
      <c r="E742" s="97">
        <v>181.45</v>
      </c>
      <c r="F742" s="97" t="s">
        <v>1620</v>
      </c>
      <c r="G742" s="93">
        <f>VLOOKUP(A742,'Parameters Summary'!$B$2:$AB$826,9,FALSE)</f>
        <v>0.46</v>
      </c>
      <c r="H742" s="93" t="str">
        <f>VLOOKUP(A742,'Parameters Summary'!$B$2:$AB$826,10,FALSE)</f>
        <v>PHYSPROP</v>
      </c>
      <c r="I742" s="93">
        <f>VLOOKUP(A742,'Parameters Summary'!$B$2:$AB$826,24,FALSE)</f>
        <v>49</v>
      </c>
      <c r="J742" s="97" t="str">
        <f>VLOOKUP(A742,'Parameters Summary'!$B$2:$AB$826,25,FALSE)</f>
        <v>PHYSPROP</v>
      </c>
      <c r="K742" s="97">
        <f>VLOOKUP(A742,'Tox Summary'!$O$4:$P$824,2,FALSE)</f>
        <v>70</v>
      </c>
      <c r="L742" s="93">
        <f>VLOOKUP(A742,'Parameters Summary'!$B$2:$AB$826,7,FALSE)</f>
        <v>1.42E-3</v>
      </c>
      <c r="M742" s="93" t="str">
        <f>VLOOKUP(A742,'Parameters Summary'!$B$2:$AB$826,8,FALSE)</f>
        <v>PHYSPROP</v>
      </c>
      <c r="N742" s="91">
        <f>VLOOKUP(A742,'Parameters Summary'!$B$2:$AB$826,6,FALSE)</f>
        <v>5.8054000000000001E-2</v>
      </c>
      <c r="O742" s="91">
        <f t="shared" si="74"/>
        <v>5.8054000000000001E-2</v>
      </c>
      <c r="P742" s="91">
        <f t="shared" si="75"/>
        <v>5.8054000000000001E-2</v>
      </c>
      <c r="Q742" s="91">
        <f t="shared" si="73"/>
        <v>5.8054000000000001E-2</v>
      </c>
      <c r="R742" s="91">
        <f t="shared" si="76"/>
        <v>5.8054000000000001E-2</v>
      </c>
      <c r="S742" s="91">
        <f t="shared" si="78"/>
        <v>4491257.9114510631</v>
      </c>
      <c r="T742" s="93">
        <f>VLOOKUP(A742,'Parameters Summary'!$B$2:$AB$826,15,FALSE)</f>
        <v>3.9599200000000001E-2</v>
      </c>
      <c r="U742" s="93" t="str">
        <f>VLOOKUP(A742,'Parameters Summary'!$B$2:$AB$826,17,FALSE)</f>
        <v>WATER9 (U.S. EPA, 2001)</v>
      </c>
      <c r="V742" s="93">
        <f>VLOOKUP(A742,'Parameters Summary'!$B$2:$AB$826,16,FALSE)</f>
        <v>8.4032999999999997E-6</v>
      </c>
      <c r="W742" s="379" t="str">
        <f>VLOOKUP(A742,'Parameters Summary'!$B$2:$AB$826,17,FALSE)</f>
        <v>WATER9 (U.S. EPA, 2001)</v>
      </c>
      <c r="X742" s="290">
        <v>486.5</v>
      </c>
      <c r="Y742" s="96" t="s">
        <v>553</v>
      </c>
      <c r="Z742" s="96">
        <v>725</v>
      </c>
      <c r="AA742" s="96" t="s">
        <v>2227</v>
      </c>
      <c r="AB742" s="96">
        <v>10471</v>
      </c>
      <c r="AC742" s="96" t="s">
        <v>2227</v>
      </c>
      <c r="AD742" s="93">
        <f>VLOOKUP(A742,'Parameters Summary'!$B$2:$AB$826,20,FALSE)</f>
        <v>1356</v>
      </c>
      <c r="AE742" s="97" t="str">
        <f>VLOOKUP(A742,'Parameters Summary'!$B$2:$AB$826,21,FALSE)</f>
        <v>EPI</v>
      </c>
      <c r="AF742" s="380">
        <v>2.5</v>
      </c>
      <c r="AG742" s="97" t="s">
        <v>302</v>
      </c>
      <c r="AH742" s="92"/>
      <c r="AI742" s="96"/>
      <c r="AJ742" s="330"/>
      <c r="AL742" s="81"/>
    </row>
    <row r="743" spans="1:38" ht="12.75" customHeight="1">
      <c r="A743" s="95" t="s">
        <v>317</v>
      </c>
      <c r="B743" s="96" t="s">
        <v>442</v>
      </c>
      <c r="C743" s="96" t="str">
        <f t="shared" si="77"/>
        <v>Yes</v>
      </c>
      <c r="D743" s="96" t="str">
        <f>VLOOKUP(A743,'Tox Summary'!$O$3:$R$824,3,FALSE)</f>
        <v>No</v>
      </c>
      <c r="E743" s="97">
        <v>133.41</v>
      </c>
      <c r="F743" s="97" t="s">
        <v>1620</v>
      </c>
      <c r="G743" s="93">
        <f>VLOOKUP(A743,'Parameters Summary'!$B$2:$AB$826,9,FALSE)</f>
        <v>124</v>
      </c>
      <c r="H743" s="93" t="str">
        <f>VLOOKUP(A743,'Parameters Summary'!$B$2:$AB$826,10,FALSE)</f>
        <v>PHYSPROP</v>
      </c>
      <c r="I743" s="93">
        <f>VLOOKUP(A743,'Parameters Summary'!$B$2:$AB$826,24,FALSE)</f>
        <v>1290</v>
      </c>
      <c r="J743" s="97" t="str">
        <f>VLOOKUP(A743,'Parameters Summary'!$B$2:$AB$826,25,FALSE)</f>
        <v>PHYSPROP</v>
      </c>
      <c r="K743" s="97">
        <f>VLOOKUP(A743,'Tox Summary'!$O$4:$P$824,2,FALSE)</f>
        <v>200</v>
      </c>
      <c r="L743" s="93">
        <f>VLOOKUP(A743,'Parameters Summary'!$B$2:$AB$826,7,FALSE)</f>
        <v>1.72E-2</v>
      </c>
      <c r="M743" s="93" t="str">
        <f>VLOOKUP(A743,'Parameters Summary'!$B$2:$AB$826,8,FALSE)</f>
        <v>PHYSPROP</v>
      </c>
      <c r="N743" s="91">
        <f>VLOOKUP(A743,'Parameters Summary'!$B$2:$AB$826,6,FALSE)</f>
        <v>0.70318890000000001</v>
      </c>
      <c r="O743" s="91">
        <f t="shared" si="74"/>
        <v>0.70318890000000001</v>
      </c>
      <c r="P743" s="91">
        <f t="shared" si="75"/>
        <v>0.70318890000000001</v>
      </c>
      <c r="Q743" s="91">
        <f t="shared" si="73"/>
        <v>0.70318890000000001</v>
      </c>
      <c r="R743" s="91">
        <f t="shared" si="76"/>
        <v>0.70318890000000001</v>
      </c>
      <c r="S743" s="91">
        <f t="shared" si="78"/>
        <v>890150131.52346551</v>
      </c>
      <c r="T743" s="93">
        <f>VLOOKUP(A743,'Parameters Summary'!$B$2:$AB$826,15,FALSE)</f>
        <v>6.4817399999999997E-2</v>
      </c>
      <c r="U743" s="93" t="str">
        <f>VLOOKUP(A743,'Parameters Summary'!$B$2:$AB$826,17,FALSE)</f>
        <v>WATER9 (U.S. EPA, 2001)</v>
      </c>
      <c r="V743" s="93">
        <f>VLOOKUP(A743,'Parameters Summary'!$B$2:$AB$826,16,FALSE)</f>
        <v>9.5990000000000008E-6</v>
      </c>
      <c r="W743" s="379" t="str">
        <f>VLOOKUP(A743,'Parameters Summary'!$B$2:$AB$826,17,FALSE)</f>
        <v>WATER9 (U.S. EPA, 2001)</v>
      </c>
      <c r="X743" s="290">
        <v>347</v>
      </c>
      <c r="Y743" s="96" t="s">
        <v>553</v>
      </c>
      <c r="Z743" s="96">
        <v>545</v>
      </c>
      <c r="AA743" s="96" t="s">
        <v>2227</v>
      </c>
      <c r="AB743" s="96">
        <v>7136</v>
      </c>
      <c r="AC743" s="96" t="s">
        <v>2227</v>
      </c>
      <c r="AD743" s="93">
        <f>VLOOKUP(A743,'Parameters Summary'!$B$2:$AB$826,20,FALSE)</f>
        <v>43.89</v>
      </c>
      <c r="AE743" s="97" t="str">
        <f>VLOOKUP(A743,'Parameters Summary'!$B$2:$AB$826,21,FALSE)</f>
        <v>EPI</v>
      </c>
      <c r="AF743" s="380">
        <v>7.5</v>
      </c>
      <c r="AG743" s="97" t="s">
        <v>302</v>
      </c>
      <c r="AH743" s="92"/>
      <c r="AI743" s="96"/>
      <c r="AJ743" s="330"/>
      <c r="AL743" s="81"/>
    </row>
    <row r="744" spans="1:38" ht="12.75" customHeight="1">
      <c r="A744" s="95" t="s">
        <v>318</v>
      </c>
      <c r="B744" s="96" t="s">
        <v>1368</v>
      </c>
      <c r="C744" s="96" t="str">
        <f t="shared" si="77"/>
        <v>Yes</v>
      </c>
      <c r="D744" s="96" t="str">
        <f>VLOOKUP(A744,'Tox Summary'!$O$3:$R$824,3,FALSE)</f>
        <v>Yes</v>
      </c>
      <c r="E744" s="97">
        <v>133.41</v>
      </c>
      <c r="F744" s="97" t="s">
        <v>1620</v>
      </c>
      <c r="G744" s="93">
        <f>VLOOKUP(A744,'Parameters Summary'!$B$2:$AB$826,9,FALSE)</f>
        <v>23</v>
      </c>
      <c r="H744" s="93" t="str">
        <f>VLOOKUP(A744,'Parameters Summary'!$B$2:$AB$826,10,FALSE)</f>
        <v>PHYSPROP</v>
      </c>
      <c r="I744" s="93">
        <f>VLOOKUP(A744,'Parameters Summary'!$B$2:$AB$826,24,FALSE)</f>
        <v>4590</v>
      </c>
      <c r="J744" s="97" t="str">
        <f>VLOOKUP(A744,'Parameters Summary'!$B$2:$AB$826,25,FALSE)</f>
        <v>PHYSPROP</v>
      </c>
      <c r="K744" s="97">
        <f>VLOOKUP(A744,'Tox Summary'!$O$4:$P$824,2,FALSE)</f>
        <v>5</v>
      </c>
      <c r="L744" s="93">
        <f>VLOOKUP(A744,'Parameters Summary'!$B$2:$AB$826,7,FALSE)</f>
        <v>8.2399999999999997E-4</v>
      </c>
      <c r="M744" s="93" t="str">
        <f>VLOOKUP(A744,'Parameters Summary'!$B$2:$AB$826,8,FALSE)</f>
        <v>PHYSPROP</v>
      </c>
      <c r="N744" s="91">
        <f>VLOOKUP(A744,'Parameters Summary'!$B$2:$AB$826,6,FALSE)</f>
        <v>3.3687700000000001E-2</v>
      </c>
      <c r="O744" s="91">
        <f t="shared" si="74"/>
        <v>3.3687700000000001E-2</v>
      </c>
      <c r="P744" s="91">
        <f t="shared" si="75"/>
        <v>3.3687700000000001E-2</v>
      </c>
      <c r="Q744" s="91">
        <f t="shared" si="73"/>
        <v>3.3687700000000001E-2</v>
      </c>
      <c r="R744" s="91">
        <f t="shared" si="76"/>
        <v>3.3687700000000001E-2</v>
      </c>
      <c r="S744" s="91">
        <f t="shared" si="78"/>
        <v>165108492.13741699</v>
      </c>
      <c r="T744" s="93">
        <f>VLOOKUP(A744,'Parameters Summary'!$B$2:$AB$826,15,FALSE)</f>
        <v>6.6890400000000003E-2</v>
      </c>
      <c r="U744" s="93" t="str">
        <f>VLOOKUP(A744,'Parameters Summary'!$B$2:$AB$826,17,FALSE)</f>
        <v>WATER9 (U.S. EPA, 2001)</v>
      </c>
      <c r="V744" s="93">
        <f>VLOOKUP(A744,'Parameters Summary'!$B$2:$AB$826,16,FALSE)</f>
        <v>1.0000000000000001E-5</v>
      </c>
      <c r="W744" s="379" t="str">
        <f>VLOOKUP(A744,'Parameters Summary'!$B$2:$AB$826,17,FALSE)</f>
        <v>WATER9 (U.S. EPA, 2001)</v>
      </c>
      <c r="X744" s="290">
        <v>386.8</v>
      </c>
      <c r="Y744" s="96" t="s">
        <v>553</v>
      </c>
      <c r="Z744" s="96">
        <v>602</v>
      </c>
      <c r="AA744" s="96" t="s">
        <v>2227</v>
      </c>
      <c r="AB744" s="96">
        <v>8322</v>
      </c>
      <c r="AC744" s="96" t="s">
        <v>2227</v>
      </c>
      <c r="AD744" s="93">
        <f>VLOOKUP(A744,'Parameters Summary'!$B$2:$AB$826,20,FALSE)</f>
        <v>60.7</v>
      </c>
      <c r="AE744" s="97" t="str">
        <f>VLOOKUP(A744,'Parameters Summary'!$B$2:$AB$826,21,FALSE)</f>
        <v>EPI</v>
      </c>
      <c r="AF744" s="380">
        <v>6</v>
      </c>
      <c r="AG744" s="97" t="s">
        <v>302</v>
      </c>
      <c r="AH744" s="92"/>
      <c r="AI744" s="96"/>
      <c r="AJ744" s="330"/>
      <c r="AL744" s="81"/>
    </row>
    <row r="745" spans="1:38" ht="12.75" customHeight="1">
      <c r="A745" s="95" t="s">
        <v>319</v>
      </c>
      <c r="B745" s="96" t="s">
        <v>400</v>
      </c>
      <c r="C745" s="96" t="str">
        <f t="shared" si="77"/>
        <v>Yes</v>
      </c>
      <c r="D745" s="96" t="str">
        <f>VLOOKUP(A745,'Tox Summary'!$O$3:$R$824,3,FALSE)</f>
        <v>Yes</v>
      </c>
      <c r="E745" s="97">
        <v>131.38999999999999</v>
      </c>
      <c r="F745" s="97" t="s">
        <v>1620</v>
      </c>
      <c r="G745" s="93">
        <f>VLOOKUP(A745,'Parameters Summary'!$B$2:$AB$826,9,FALSE)</f>
        <v>69</v>
      </c>
      <c r="H745" s="93" t="str">
        <f>VLOOKUP(A745,'Parameters Summary'!$B$2:$AB$826,10,FALSE)</f>
        <v>PHYSPROP</v>
      </c>
      <c r="I745" s="93">
        <f>VLOOKUP(A745,'Parameters Summary'!$B$2:$AB$826,24,FALSE)</f>
        <v>1280</v>
      </c>
      <c r="J745" s="97" t="str">
        <f>VLOOKUP(A745,'Parameters Summary'!$B$2:$AB$826,25,FALSE)</f>
        <v>PHYSPROP</v>
      </c>
      <c r="K745" s="97">
        <f>VLOOKUP(A745,'Tox Summary'!$O$4:$P$824,2,FALSE)</f>
        <v>5</v>
      </c>
      <c r="L745" s="93">
        <f>VLOOKUP(A745,'Parameters Summary'!$B$2:$AB$826,7,FALSE)</f>
        <v>9.8499999999999994E-3</v>
      </c>
      <c r="M745" s="93" t="str">
        <f>VLOOKUP(A745,'Parameters Summary'!$B$2:$AB$826,8,FALSE)</f>
        <v>PHYSPROP</v>
      </c>
      <c r="N745" s="91">
        <f>VLOOKUP(A745,'Parameters Summary'!$B$2:$AB$826,6,FALSE)</f>
        <v>0.40269830000000001</v>
      </c>
      <c r="O745" s="91">
        <f t="shared" si="74"/>
        <v>0.40269830000000001</v>
      </c>
      <c r="P745" s="91">
        <f t="shared" si="75"/>
        <v>0.40269830000000001</v>
      </c>
      <c r="Q745" s="91">
        <f t="shared" si="73"/>
        <v>0.40269830000000001</v>
      </c>
      <c r="R745" s="91">
        <f t="shared" si="76"/>
        <v>0.40269830000000001</v>
      </c>
      <c r="S745" s="91">
        <f t="shared" si="78"/>
        <v>487825607.86901778</v>
      </c>
      <c r="T745" s="93">
        <f>VLOOKUP(A745,'Parameters Summary'!$B$2:$AB$826,15,FALSE)</f>
        <v>6.8661799999999995E-2</v>
      </c>
      <c r="U745" s="93" t="str">
        <f>VLOOKUP(A745,'Parameters Summary'!$B$2:$AB$826,17,FALSE)</f>
        <v>WATER9 (U.S. EPA, 2001)</v>
      </c>
      <c r="V745" s="93">
        <f>VLOOKUP(A745,'Parameters Summary'!$B$2:$AB$826,16,FALSE)</f>
        <v>1.0200000000000001E-5</v>
      </c>
      <c r="W745" s="379" t="str">
        <f>VLOOKUP(A745,'Parameters Summary'!$B$2:$AB$826,17,FALSE)</f>
        <v>WATER9 (U.S. EPA, 2001)</v>
      </c>
      <c r="X745" s="290">
        <v>360.2</v>
      </c>
      <c r="Y745" s="96" t="s">
        <v>553</v>
      </c>
      <c r="Z745" s="96">
        <v>544.20000000000005</v>
      </c>
      <c r="AA745" s="96" t="s">
        <v>2227</v>
      </c>
      <c r="AB745" s="96">
        <v>7505</v>
      </c>
      <c r="AC745" s="96" t="s">
        <v>2227</v>
      </c>
      <c r="AD745" s="93">
        <f>VLOOKUP(A745,'Parameters Summary'!$B$2:$AB$826,20,FALSE)</f>
        <v>60.7</v>
      </c>
      <c r="AE745" s="97" t="str">
        <f>VLOOKUP(A745,'Parameters Summary'!$B$2:$AB$826,21,FALSE)</f>
        <v>EPI</v>
      </c>
      <c r="AF745" s="380">
        <v>8</v>
      </c>
      <c r="AG745" s="97" t="s">
        <v>302</v>
      </c>
      <c r="AH745" s="92"/>
      <c r="AI745" s="96"/>
      <c r="AJ745" s="330"/>
      <c r="AL745" s="81"/>
    </row>
    <row r="746" spans="1:38" ht="12.75" customHeight="1">
      <c r="A746" s="95" t="s">
        <v>320</v>
      </c>
      <c r="B746" s="96" t="s">
        <v>378</v>
      </c>
      <c r="C746" s="96" t="str">
        <f t="shared" si="77"/>
        <v>Yes</v>
      </c>
      <c r="D746" s="96" t="str">
        <f>VLOOKUP(A746,'Tox Summary'!$O$3:$R$824,3,FALSE)</f>
        <v>Yes</v>
      </c>
      <c r="E746" s="97">
        <v>137.37</v>
      </c>
      <c r="F746" s="97" t="s">
        <v>1620</v>
      </c>
      <c r="G746" s="93">
        <f>VLOOKUP(A746,'Parameters Summary'!$B$2:$AB$826,9,FALSE)</f>
        <v>802.8</v>
      </c>
      <c r="H746" s="93" t="str">
        <f>VLOOKUP(A746,'Parameters Summary'!$B$2:$AB$826,10,FALSE)</f>
        <v>PHYSPROP</v>
      </c>
      <c r="I746" s="93">
        <f>VLOOKUP(A746,'Parameters Summary'!$B$2:$AB$826,24,FALSE)</f>
        <v>1100</v>
      </c>
      <c r="J746" s="97" t="str">
        <f>VLOOKUP(A746,'Parameters Summary'!$B$2:$AB$826,25,FALSE)</f>
        <v>PHYSPROP</v>
      </c>
      <c r="K746" s="97" t="str">
        <f>VLOOKUP(A746,'Tox Summary'!$O$4:$P$824,2,FALSE)</f>
        <v/>
      </c>
      <c r="L746" s="93">
        <f>VLOOKUP(A746,'Parameters Summary'!$B$2:$AB$826,7,FALSE)</f>
        <v>9.7000000000000003E-2</v>
      </c>
      <c r="M746" s="93" t="str">
        <f>VLOOKUP(A746,'Parameters Summary'!$B$2:$AB$826,8,FALSE)</f>
        <v>PHYSPROP</v>
      </c>
      <c r="N746" s="91">
        <f>VLOOKUP(A746,'Parameters Summary'!$B$2:$AB$826,6,FALSE)</f>
        <v>3.9656582</v>
      </c>
      <c r="O746" s="91">
        <f t="shared" si="74"/>
        <v>3.9656582</v>
      </c>
      <c r="P746" s="91">
        <f t="shared" si="75"/>
        <v>3.9656582</v>
      </c>
      <c r="Q746" s="91">
        <f t="shared" si="73"/>
        <v>3.9656582</v>
      </c>
      <c r="R746" s="91">
        <f t="shared" si="76"/>
        <v>3.9656582</v>
      </c>
      <c r="S746" s="91">
        <f t="shared" si="78"/>
        <v>5934067103.3444948</v>
      </c>
      <c r="T746" s="93">
        <f>VLOOKUP(A746,'Parameters Summary'!$B$2:$AB$826,15,FALSE)</f>
        <v>6.5355999999999997E-2</v>
      </c>
      <c r="U746" s="93" t="str">
        <f>VLOOKUP(A746,'Parameters Summary'!$B$2:$AB$826,17,FALSE)</f>
        <v>WATER9 (U.S. EPA, 2001)</v>
      </c>
      <c r="V746" s="93">
        <f>VLOOKUP(A746,'Parameters Summary'!$B$2:$AB$826,16,FALSE)</f>
        <v>1.0000000000000001E-5</v>
      </c>
      <c r="W746" s="379" t="str">
        <f>VLOOKUP(A746,'Parameters Summary'!$B$2:$AB$826,17,FALSE)</f>
        <v>WATER9 (U.S. EPA, 2001)</v>
      </c>
      <c r="X746" s="290">
        <v>296.7</v>
      </c>
      <c r="Y746" s="96" t="s">
        <v>553</v>
      </c>
      <c r="Z746" s="96">
        <v>471</v>
      </c>
      <c r="AA746" s="96" t="s">
        <v>2215</v>
      </c>
      <c r="AB746" s="96">
        <v>5998.9</v>
      </c>
      <c r="AC746" s="96" t="s">
        <v>2215</v>
      </c>
      <c r="AD746" s="93">
        <f>VLOOKUP(A746,'Parameters Summary'!$B$2:$AB$826,20,FALSE)</f>
        <v>43.89</v>
      </c>
      <c r="AE746" s="97" t="str">
        <f>VLOOKUP(A746,'Parameters Summary'!$B$2:$AB$826,21,FALSE)</f>
        <v>EPI</v>
      </c>
      <c r="AF746" s="380"/>
      <c r="AG746" s="97"/>
      <c r="AH746" s="92"/>
      <c r="AI746" s="96"/>
      <c r="AJ746" s="330"/>
      <c r="AL746" s="81"/>
    </row>
    <row r="747" spans="1:38" ht="12.75" customHeight="1">
      <c r="A747" s="96" t="s">
        <v>321</v>
      </c>
      <c r="B747" s="96" t="s">
        <v>1369</v>
      </c>
      <c r="C747" s="96" t="str">
        <f t="shared" si="77"/>
        <v>No</v>
      </c>
      <c r="D747" s="96" t="str">
        <f>VLOOKUP(A747,'Tox Summary'!$O$3:$R$824,3,FALSE)</f>
        <v>No</v>
      </c>
      <c r="E747" s="97">
        <v>197.45</v>
      </c>
      <c r="F747" s="97" t="s">
        <v>1620</v>
      </c>
      <c r="G747" s="93">
        <f>VLOOKUP(A747,'Parameters Summary'!$B$2:$AB$826,9,FALSE)</f>
        <v>7.4999999999999997E-3</v>
      </c>
      <c r="H747" s="93" t="str">
        <f>VLOOKUP(A747,'Parameters Summary'!$B$2:$AB$826,10,FALSE)</f>
        <v>EPI</v>
      </c>
      <c r="I747" s="93">
        <f>VLOOKUP(A747,'Parameters Summary'!$B$2:$AB$826,24,FALSE)</f>
        <v>1200</v>
      </c>
      <c r="J747" s="97" t="str">
        <f>VLOOKUP(A747,'Parameters Summary'!$B$2:$AB$826,25,FALSE)</f>
        <v>PHYSPROP</v>
      </c>
      <c r="K747" s="97" t="str">
        <f>VLOOKUP(A747,'Tox Summary'!$O$4:$P$824,2,FALSE)</f>
        <v/>
      </c>
      <c r="L747" s="93">
        <f>VLOOKUP(A747,'Parameters Summary'!$B$2:$AB$826,7,FALSE)</f>
        <v>1.6199999999999999E-6</v>
      </c>
      <c r="M747" s="93" t="str">
        <f>VLOOKUP(A747,'Parameters Summary'!$B$2:$AB$826,8,FALSE)</f>
        <v>EPI</v>
      </c>
      <c r="N747" s="91">
        <f>VLOOKUP(A747,'Parameters Summary'!$B$2:$AB$826,6,FALSE)</f>
        <v>6.6199999999999996E-5</v>
      </c>
      <c r="O747" s="91" t="str">
        <f t="shared" si="74"/>
        <v/>
      </c>
      <c r="P747" s="91">
        <f t="shared" si="75"/>
        <v>6.6199999999999996E-5</v>
      </c>
      <c r="Q747" s="91" t="str">
        <f t="shared" si="73"/>
        <v/>
      </c>
      <c r="R747" s="91">
        <f t="shared" si="76"/>
        <v>6.6199999999999996E-5</v>
      </c>
      <c r="S747" s="91" t="str">
        <f t="shared" si="78"/>
        <v/>
      </c>
      <c r="T747" s="93">
        <f>VLOOKUP(A747,'Parameters Summary'!$B$2:$AB$826,15,FALSE)</f>
        <v>3.1393799999999999E-2</v>
      </c>
      <c r="U747" s="93" t="str">
        <f>VLOOKUP(A747,'Parameters Summary'!$B$2:$AB$826,17,FALSE)</f>
        <v>WATER9 (U.S. EPA, 2001)</v>
      </c>
      <c r="V747" s="93">
        <f>VLOOKUP(A747,'Parameters Summary'!$B$2:$AB$826,16,FALSE)</f>
        <v>8.0893000000000006E-6</v>
      </c>
      <c r="W747" s="379" t="str">
        <f>VLOOKUP(A747,'Parameters Summary'!$B$2:$AB$826,17,FALSE)</f>
        <v>WATER9 (U.S. EPA, 2001)</v>
      </c>
      <c r="X747" s="290">
        <v>520.15</v>
      </c>
      <c r="Y747" s="96" t="s">
        <v>553</v>
      </c>
      <c r="Z747" s="96">
        <f>1.5*X747</f>
        <v>780.22499999999991</v>
      </c>
      <c r="AA747" s="96" t="s">
        <v>2220</v>
      </c>
      <c r="AB747" s="96" t="s">
        <v>1651</v>
      </c>
      <c r="AC747" s="96"/>
      <c r="AD747" s="93">
        <f>VLOOKUP(A747,'Parameters Summary'!$B$2:$AB$826,20,FALSE)</f>
        <v>1597</v>
      </c>
      <c r="AE747" s="97" t="str">
        <f>VLOOKUP(A747,'Parameters Summary'!$B$2:$AB$826,21,FALSE)</f>
        <v>SSL</v>
      </c>
      <c r="AF747" s="97"/>
      <c r="AG747" s="94"/>
      <c r="AH747" s="92"/>
      <c r="AI747" s="96"/>
      <c r="AJ747" s="330"/>
      <c r="AL747" s="81"/>
    </row>
    <row r="748" spans="1:38" ht="12.75" customHeight="1">
      <c r="A748" s="96" t="s">
        <v>322</v>
      </c>
      <c r="B748" s="96" t="s">
        <v>1370</v>
      </c>
      <c r="C748" s="96" t="str">
        <f t="shared" si="77"/>
        <v>No</v>
      </c>
      <c r="D748" s="96" t="str">
        <f>VLOOKUP(A748,'Tox Summary'!$O$3:$R$824,3,FALSE)</f>
        <v>No</v>
      </c>
      <c r="E748" s="97">
        <v>197.45</v>
      </c>
      <c r="F748" s="97" t="s">
        <v>1620</v>
      </c>
      <c r="G748" s="93">
        <f>VLOOKUP(A748,'Parameters Summary'!$B$2:$AB$826,9,FALSE)</f>
        <v>8.0000000000000002E-3</v>
      </c>
      <c r="H748" s="93" t="str">
        <f>VLOOKUP(A748,'Parameters Summary'!$B$2:$AB$826,10,FALSE)</f>
        <v>EPI</v>
      </c>
      <c r="I748" s="93">
        <f>VLOOKUP(A748,'Parameters Summary'!$B$2:$AB$826,24,FALSE)</f>
        <v>800</v>
      </c>
      <c r="J748" s="97" t="str">
        <f>VLOOKUP(A748,'Parameters Summary'!$B$2:$AB$826,25,FALSE)</f>
        <v>PHYSPROP</v>
      </c>
      <c r="K748" s="97" t="str">
        <f>VLOOKUP(A748,'Tox Summary'!$O$4:$P$824,2,FALSE)</f>
        <v/>
      </c>
      <c r="L748" s="93">
        <f>VLOOKUP(A748,'Parameters Summary'!$B$2:$AB$826,7,FALSE)</f>
        <v>2.6000000000000001E-6</v>
      </c>
      <c r="M748" s="93" t="str">
        <f>VLOOKUP(A748,'Parameters Summary'!$B$2:$AB$826,8,FALSE)</f>
        <v>EPI</v>
      </c>
      <c r="N748" s="91">
        <f>VLOOKUP(A748,'Parameters Summary'!$B$2:$AB$826,6,FALSE)</f>
        <v>1.063E-4</v>
      </c>
      <c r="O748" s="91" t="str">
        <f t="shared" si="74"/>
        <v/>
      </c>
      <c r="P748" s="91">
        <f t="shared" si="75"/>
        <v>1.063E-4</v>
      </c>
      <c r="Q748" s="91" t="str">
        <f t="shared" si="73"/>
        <v/>
      </c>
      <c r="R748" s="91">
        <f t="shared" si="76"/>
        <v>1.063E-4</v>
      </c>
      <c r="S748" s="91" t="str">
        <f t="shared" si="78"/>
        <v/>
      </c>
      <c r="T748" s="93">
        <f>VLOOKUP(A748,'Parameters Summary'!$B$2:$AB$826,15,FALSE)</f>
        <v>3.13948E-2</v>
      </c>
      <c r="U748" s="93" t="str">
        <f>VLOOKUP(A748,'Parameters Summary'!$B$2:$AB$826,17,FALSE)</f>
        <v>WATER9 (U.S. EPA, 2001)</v>
      </c>
      <c r="V748" s="93">
        <f>VLOOKUP(A748,'Parameters Summary'!$B$2:$AB$826,16,FALSE)</f>
        <v>8.0895999999999996E-6</v>
      </c>
      <c r="W748" s="379" t="str">
        <f>VLOOKUP(A748,'Parameters Summary'!$B$2:$AB$826,17,FALSE)</f>
        <v>WATER9 (U.S. EPA, 2001)</v>
      </c>
      <c r="X748" s="290">
        <v>519.15</v>
      </c>
      <c r="Y748" s="96" t="s">
        <v>553</v>
      </c>
      <c r="Z748" s="96">
        <f>1.5*X748</f>
        <v>778.72499999999991</v>
      </c>
      <c r="AA748" s="96" t="s">
        <v>2220</v>
      </c>
      <c r="AB748" s="96" t="s">
        <v>1651</v>
      </c>
      <c r="AC748" s="96"/>
      <c r="AD748" s="93">
        <f>VLOOKUP(A748,'Parameters Summary'!$B$2:$AB$826,20,FALSE)</f>
        <v>381</v>
      </c>
      <c r="AE748" s="97" t="str">
        <f>VLOOKUP(A748,'Parameters Summary'!$B$2:$AB$826,21,FALSE)</f>
        <v>SSL</v>
      </c>
      <c r="AF748" s="97"/>
      <c r="AG748" s="94"/>
      <c r="AH748" s="92"/>
      <c r="AI748" s="96"/>
      <c r="AJ748" s="330"/>
      <c r="AL748" s="81"/>
    </row>
    <row r="749" spans="1:38" ht="12.75" customHeight="1">
      <c r="A749" s="96" t="s">
        <v>323</v>
      </c>
      <c r="B749" s="96" t="s">
        <v>1371</v>
      </c>
      <c r="C749" s="96" t="str">
        <f t="shared" si="77"/>
        <v>No</v>
      </c>
      <c r="D749" s="96" t="str">
        <f>VLOOKUP(A749,'Tox Summary'!$O$3:$R$824,3,FALSE)</f>
        <v>No</v>
      </c>
      <c r="E749" s="97">
        <v>255.49</v>
      </c>
      <c r="F749" s="97" t="s">
        <v>1620</v>
      </c>
      <c r="G749" s="93">
        <f>VLOOKUP(A749,'Parameters Summary'!$B$2:$AB$826,9,FALSE)</f>
        <v>3.7499999999999997E-5</v>
      </c>
      <c r="H749" s="93" t="str">
        <f>VLOOKUP(A749,'Parameters Summary'!$B$2:$AB$826,10,FALSE)</f>
        <v>EPI</v>
      </c>
      <c r="I749" s="93">
        <f>VLOOKUP(A749,'Parameters Summary'!$B$2:$AB$826,24,FALSE)</f>
        <v>278</v>
      </c>
      <c r="J749" s="97" t="str">
        <f>VLOOKUP(A749,'Parameters Summary'!$B$2:$AB$826,25,FALSE)</f>
        <v>PHYSPROP</v>
      </c>
      <c r="K749" s="97" t="str">
        <f>VLOOKUP(A749,'Tox Summary'!$O$4:$P$824,2,FALSE)</f>
        <v/>
      </c>
      <c r="L749" s="93">
        <f>VLOOKUP(A749,'Parameters Summary'!$B$2:$AB$826,7,FALSE)</f>
        <v>8.6800000000000006E-9</v>
      </c>
      <c r="M749" s="93" t="str">
        <f>VLOOKUP(A749,'Parameters Summary'!$B$2:$AB$826,8,FALSE)</f>
        <v>PHYSPROP</v>
      </c>
      <c r="N749" s="91">
        <f>VLOOKUP(A749,'Parameters Summary'!$B$2:$AB$826,6,FALSE)</f>
        <v>3.5487E-7</v>
      </c>
      <c r="O749" s="91" t="str">
        <f t="shared" si="74"/>
        <v/>
      </c>
      <c r="P749" s="91">
        <f t="shared" si="75"/>
        <v>3.5487E-7</v>
      </c>
      <c r="Q749" s="91" t="str">
        <f t="shared" si="73"/>
        <v/>
      </c>
      <c r="R749" s="91">
        <f t="shared" si="76"/>
        <v>3.5487E-7</v>
      </c>
      <c r="S749" s="91" t="str">
        <f t="shared" si="78"/>
        <v/>
      </c>
      <c r="T749" s="93">
        <f>VLOOKUP(A749,'Parameters Summary'!$B$2:$AB$826,15,FALSE)</f>
        <v>2.8885299999999999E-2</v>
      </c>
      <c r="U749" s="93" t="str">
        <f>VLOOKUP(A749,'Parameters Summary'!$B$2:$AB$826,17,FALSE)</f>
        <v>WATER9 (U.S. EPA, 2001)</v>
      </c>
      <c r="V749" s="93">
        <f>VLOOKUP(A749,'Parameters Summary'!$B$2:$AB$826,16,FALSE)</f>
        <v>7.7626999999999994E-6</v>
      </c>
      <c r="W749" s="379" t="str">
        <f>VLOOKUP(A749,'Parameters Summary'!$B$2:$AB$826,17,FALSE)</f>
        <v>WATER9 (U.S. EPA, 2001)</v>
      </c>
      <c r="X749" s="347"/>
      <c r="Y749" s="96"/>
      <c r="Z749" s="96" t="s">
        <v>1653</v>
      </c>
      <c r="AA749" s="96"/>
      <c r="AB749" s="96" t="s">
        <v>1651</v>
      </c>
      <c r="AC749" s="96"/>
      <c r="AD749" s="93">
        <f>VLOOKUP(A749,'Parameters Summary'!$B$2:$AB$826,20,FALSE)</f>
        <v>107</v>
      </c>
      <c r="AE749" s="97" t="str">
        <f>VLOOKUP(A749,'Parameters Summary'!$B$2:$AB$826,21,FALSE)</f>
        <v>EPI</v>
      </c>
      <c r="AF749" s="97"/>
      <c r="AG749" s="94"/>
      <c r="AH749" s="92"/>
      <c r="AI749" s="96"/>
      <c r="AJ749" s="330"/>
      <c r="AL749" s="81"/>
    </row>
    <row r="750" spans="1:38" ht="12.75" customHeight="1">
      <c r="A750" s="96" t="s">
        <v>324</v>
      </c>
      <c r="B750" s="96" t="s">
        <v>622</v>
      </c>
      <c r="C750" s="96" t="str">
        <f t="shared" si="77"/>
        <v>No</v>
      </c>
      <c r="D750" s="96" t="str">
        <f>VLOOKUP(A750,'Tox Summary'!$O$3:$R$824,3,FALSE)</f>
        <v>No</v>
      </c>
      <c r="E750" s="97">
        <v>269.51</v>
      </c>
      <c r="F750" s="97" t="s">
        <v>1620</v>
      </c>
      <c r="G750" s="93">
        <f>VLOOKUP(A750,'Parameters Summary'!$B$2:$AB$826,9,FALSE)</f>
        <v>9.9699999999999994E-6</v>
      </c>
      <c r="H750" s="93" t="str">
        <f>VLOOKUP(A750,'Parameters Summary'!$B$2:$AB$826,10,FALSE)</f>
        <v>PHYSPROP</v>
      </c>
      <c r="I750" s="93">
        <f>VLOOKUP(A750,'Parameters Summary'!$B$2:$AB$826,24,FALSE)</f>
        <v>71</v>
      </c>
      <c r="J750" s="97" t="str">
        <f>VLOOKUP(A750,'Parameters Summary'!$B$2:$AB$826,25,FALSE)</f>
        <v>PHYSPROP</v>
      </c>
      <c r="K750" s="97">
        <f>VLOOKUP(A750,'Tox Summary'!$O$4:$P$824,2,FALSE)</f>
        <v>50</v>
      </c>
      <c r="L750" s="93">
        <f>VLOOKUP(A750,'Parameters Summary'!$B$2:$AB$826,7,FALSE)</f>
        <v>9.0599999999999997E-9</v>
      </c>
      <c r="M750" s="93" t="str">
        <f>VLOOKUP(A750,'Parameters Summary'!$B$2:$AB$826,8,FALSE)</f>
        <v>PHYSPROP</v>
      </c>
      <c r="N750" s="91">
        <f>VLOOKUP(A750,'Parameters Summary'!$B$2:$AB$826,6,FALSE)</f>
        <v>3.7039999999999998E-7</v>
      </c>
      <c r="O750" s="91" t="str">
        <f t="shared" si="74"/>
        <v/>
      </c>
      <c r="P750" s="91">
        <f t="shared" si="75"/>
        <v>3.7039999999999998E-7</v>
      </c>
      <c r="Q750" s="91" t="str">
        <f t="shared" si="73"/>
        <v/>
      </c>
      <c r="R750" s="91">
        <f t="shared" si="76"/>
        <v>3.7039999999999998E-7</v>
      </c>
      <c r="S750" s="91" t="str">
        <f t="shared" si="78"/>
        <v/>
      </c>
      <c r="T750" s="93">
        <f>VLOOKUP(A750,'Parameters Summary'!$B$2:$AB$826,15,FALSE)</f>
        <v>2.3358500000000001E-2</v>
      </c>
      <c r="U750" s="93" t="str">
        <f>VLOOKUP(A750,'Parameters Summary'!$B$2:$AB$826,17,FALSE)</f>
        <v>WATER9 (U.S. EPA, 2001)</v>
      </c>
      <c r="V750" s="93">
        <f>VLOOKUP(A750,'Parameters Summary'!$B$2:$AB$826,16,FALSE)</f>
        <v>5.9193999999999996E-6</v>
      </c>
      <c r="W750" s="379" t="str">
        <f>VLOOKUP(A750,'Parameters Summary'!$B$2:$AB$826,17,FALSE)</f>
        <v>WATER9 (U.S. EPA, 2001)</v>
      </c>
      <c r="X750" s="347"/>
      <c r="Y750" s="96"/>
      <c r="Z750" s="96" t="s">
        <v>1653</v>
      </c>
      <c r="AA750" s="96"/>
      <c r="AB750" s="96" t="s">
        <v>1651</v>
      </c>
      <c r="AC750" s="96"/>
      <c r="AD750" s="93">
        <f>VLOOKUP(A750,'Parameters Summary'!$B$2:$AB$826,20,FALSE)</f>
        <v>175.3</v>
      </c>
      <c r="AE750" s="97" t="str">
        <f>VLOOKUP(A750,'Parameters Summary'!$B$2:$AB$826,21,FALSE)</f>
        <v>EPI</v>
      </c>
      <c r="AF750" s="97"/>
      <c r="AG750" s="94"/>
      <c r="AH750" s="92"/>
      <c r="AI750" s="96"/>
      <c r="AJ750" s="330"/>
      <c r="AL750" s="81"/>
    </row>
    <row r="751" spans="1:38" ht="12.75" customHeight="1">
      <c r="A751" s="95" t="s">
        <v>325</v>
      </c>
      <c r="B751" s="96" t="s">
        <v>1372</v>
      </c>
      <c r="C751" s="96" t="str">
        <f t="shared" si="77"/>
        <v>Yes</v>
      </c>
      <c r="D751" s="96" t="str">
        <f>VLOOKUP(A751,'Tox Summary'!$O$3:$R$824,3,FALSE)</f>
        <v>No</v>
      </c>
      <c r="E751" s="97">
        <v>147.43</v>
      </c>
      <c r="F751" s="97" t="s">
        <v>1620</v>
      </c>
      <c r="G751" s="93">
        <f>VLOOKUP(A751,'Parameters Summary'!$B$2:$AB$826,9,FALSE)</f>
        <v>3.0979999999999999</v>
      </c>
      <c r="H751" s="93" t="str">
        <f>VLOOKUP(A751,'Parameters Summary'!$B$2:$AB$826,10,FALSE)</f>
        <v>PHYSPROP</v>
      </c>
      <c r="I751" s="93">
        <f>VLOOKUP(A751,'Parameters Summary'!$B$2:$AB$826,24,FALSE)</f>
        <v>1900</v>
      </c>
      <c r="J751" s="97" t="str">
        <f>VLOOKUP(A751,'Parameters Summary'!$B$2:$AB$826,25,FALSE)</f>
        <v>PHYSPROP</v>
      </c>
      <c r="K751" s="97" t="str">
        <f>VLOOKUP(A751,'Tox Summary'!$O$4:$P$824,2,FALSE)</f>
        <v/>
      </c>
      <c r="L751" s="93">
        <f>VLOOKUP(A751,'Parameters Summary'!$B$2:$AB$826,7,FALSE)</f>
        <v>3.1700000000000001E-4</v>
      </c>
      <c r="M751" s="93" t="str">
        <f>VLOOKUP(A751,'Parameters Summary'!$B$2:$AB$826,8,FALSE)</f>
        <v>EPI</v>
      </c>
      <c r="N751" s="91">
        <f>VLOOKUP(A751,'Parameters Summary'!$B$2:$AB$826,6,FALSE)</f>
        <v>1.29599E-2</v>
      </c>
      <c r="O751" s="91" t="str">
        <f t="shared" si="74"/>
        <v/>
      </c>
      <c r="P751" s="91">
        <f t="shared" si="75"/>
        <v>1.29599E-2</v>
      </c>
      <c r="Q751" s="91" t="str">
        <f t="shared" si="73"/>
        <v/>
      </c>
      <c r="R751" s="91">
        <f t="shared" si="76"/>
        <v>1.29599E-2</v>
      </c>
      <c r="S751" s="91" t="str">
        <f t="shared" si="78"/>
        <v/>
      </c>
      <c r="T751" s="93">
        <f>VLOOKUP(A751,'Parameters Summary'!$B$2:$AB$826,15,FALSE)</f>
        <v>5.7157699999999999E-2</v>
      </c>
      <c r="U751" s="93" t="str">
        <f>VLOOKUP(A751,'Parameters Summary'!$B$2:$AB$826,17,FALSE)</f>
        <v>WATER9 (U.S. EPA, 2001)</v>
      </c>
      <c r="V751" s="93">
        <f>VLOOKUP(A751,'Parameters Summary'!$B$2:$AB$826,16,FALSE)</f>
        <v>9.1734999999999995E-6</v>
      </c>
      <c r="W751" s="379" t="str">
        <f>VLOOKUP(A751,'Parameters Summary'!$B$2:$AB$826,17,FALSE)</f>
        <v>WATER9 (U.S. EPA, 2001)</v>
      </c>
      <c r="X751" s="290">
        <v>405</v>
      </c>
      <c r="Y751" s="96" t="s">
        <v>2217</v>
      </c>
      <c r="Z751" s="96">
        <v>607.5</v>
      </c>
      <c r="AA751" s="96" t="s">
        <v>2220</v>
      </c>
      <c r="AB751" s="96" t="s">
        <v>1651</v>
      </c>
      <c r="AC751" s="96"/>
      <c r="AD751" s="93">
        <f>VLOOKUP(A751,'Parameters Summary'!$B$2:$AB$826,20,FALSE)</f>
        <v>94.94</v>
      </c>
      <c r="AE751" s="97" t="str">
        <f>VLOOKUP(A751,'Parameters Summary'!$B$2:$AB$826,21,FALSE)</f>
        <v>EPI</v>
      </c>
      <c r="AF751" s="380"/>
      <c r="AG751" s="97"/>
      <c r="AH751" s="92"/>
      <c r="AI751" s="96"/>
      <c r="AJ751" s="330"/>
      <c r="AL751" s="81"/>
    </row>
    <row r="752" spans="1:38" ht="12.75" customHeight="1">
      <c r="A752" s="95" t="s">
        <v>326</v>
      </c>
      <c r="B752" s="96" t="s">
        <v>1373</v>
      </c>
      <c r="C752" s="96" t="str">
        <f t="shared" si="77"/>
        <v>Yes</v>
      </c>
      <c r="D752" s="96" t="str">
        <f>VLOOKUP(A752,'Tox Summary'!$O$3:$R$824,3,FALSE)</f>
        <v>No</v>
      </c>
      <c r="E752" s="97">
        <v>147.43</v>
      </c>
      <c r="F752" s="97" t="s">
        <v>1620</v>
      </c>
      <c r="G752" s="93">
        <f>VLOOKUP(A752,'Parameters Summary'!$B$2:$AB$826,9,FALSE)</f>
        <v>3.69</v>
      </c>
      <c r="H752" s="93" t="str">
        <f>VLOOKUP(A752,'Parameters Summary'!$B$2:$AB$826,10,FALSE)</f>
        <v>PHYSPROP</v>
      </c>
      <c r="I752" s="93">
        <f>VLOOKUP(A752,'Parameters Summary'!$B$2:$AB$826,24,FALSE)</f>
        <v>1750</v>
      </c>
      <c r="J752" s="97" t="str">
        <f>VLOOKUP(A752,'Parameters Summary'!$B$2:$AB$826,25,FALSE)</f>
        <v>PHYSPROP</v>
      </c>
      <c r="K752" s="97" t="str">
        <f>VLOOKUP(A752,'Tox Summary'!$O$4:$P$824,2,FALSE)</f>
        <v/>
      </c>
      <c r="L752" s="93">
        <f>VLOOKUP(A752,'Parameters Summary'!$B$2:$AB$826,7,FALSE)</f>
        <v>3.4299999999999999E-4</v>
      </c>
      <c r="M752" s="93" t="str">
        <f>VLOOKUP(A752,'Parameters Summary'!$B$2:$AB$826,8,FALSE)</f>
        <v>PHYSPROP</v>
      </c>
      <c r="N752" s="91">
        <f>VLOOKUP(A752,'Parameters Summary'!$B$2:$AB$826,6,FALSE)</f>
        <v>1.40229E-2</v>
      </c>
      <c r="O752" s="91">
        <f t="shared" si="74"/>
        <v>1.40229E-2</v>
      </c>
      <c r="P752" s="91">
        <f t="shared" si="75"/>
        <v>1.40229E-2</v>
      </c>
      <c r="Q752" s="91">
        <f t="shared" si="73"/>
        <v>1.40229E-2</v>
      </c>
      <c r="R752" s="91">
        <f t="shared" si="76"/>
        <v>1.40229E-2</v>
      </c>
      <c r="S752" s="91">
        <f t="shared" si="78"/>
        <v>29272877.997729637</v>
      </c>
      <c r="T752" s="93">
        <f>VLOOKUP(A752,'Parameters Summary'!$B$2:$AB$826,15,FALSE)</f>
        <v>5.7466099999999999E-2</v>
      </c>
      <c r="U752" s="93" t="str">
        <f>VLOOKUP(A752,'Parameters Summary'!$B$2:$AB$826,17,FALSE)</f>
        <v>WATER9 (U.S. EPA, 2001)</v>
      </c>
      <c r="V752" s="93">
        <f>VLOOKUP(A752,'Parameters Summary'!$B$2:$AB$826,16,FALSE)</f>
        <v>9.2411000000000003E-6</v>
      </c>
      <c r="W752" s="379" t="str">
        <f>VLOOKUP(A752,'Parameters Summary'!$B$2:$AB$826,17,FALSE)</f>
        <v>WATER9 (U.S. EPA, 2001)</v>
      </c>
      <c r="X752" s="290">
        <v>430</v>
      </c>
      <c r="Y752" s="96" t="s">
        <v>553</v>
      </c>
      <c r="Z752" s="96">
        <v>652</v>
      </c>
      <c r="AA752" s="96" t="s">
        <v>2215</v>
      </c>
      <c r="AB752" s="96">
        <v>9171</v>
      </c>
      <c r="AC752" s="96" t="s">
        <v>2225</v>
      </c>
      <c r="AD752" s="93">
        <f>VLOOKUP(A752,'Parameters Summary'!$B$2:$AB$826,20,FALSE)</f>
        <v>115.8</v>
      </c>
      <c r="AE752" s="97" t="str">
        <f>VLOOKUP(A752,'Parameters Summary'!$B$2:$AB$826,21,FALSE)</f>
        <v>EPI</v>
      </c>
      <c r="AF752" s="380">
        <v>3.2</v>
      </c>
      <c r="AG752" s="97" t="s">
        <v>302</v>
      </c>
      <c r="AH752" s="92"/>
      <c r="AI752" s="96"/>
      <c r="AJ752" s="330"/>
      <c r="AL752" s="81"/>
    </row>
    <row r="753" spans="1:38" ht="12.75" customHeight="1">
      <c r="A753" s="95" t="s">
        <v>327</v>
      </c>
      <c r="B753" s="96" t="s">
        <v>544</v>
      </c>
      <c r="C753" s="96" t="str">
        <f t="shared" si="77"/>
        <v>Yes</v>
      </c>
      <c r="D753" s="96" t="str">
        <f>VLOOKUP(A753,'Tox Summary'!$O$3:$R$824,3,FALSE)</f>
        <v>Yes</v>
      </c>
      <c r="E753" s="97">
        <v>145.41999999999999</v>
      </c>
      <c r="F753" s="97" t="s">
        <v>1620</v>
      </c>
      <c r="G753" s="93">
        <f>VLOOKUP(A753,'Parameters Summary'!$B$2:$AB$826,9,FALSE)</f>
        <v>4.4000000000000004</v>
      </c>
      <c r="H753" s="93" t="str">
        <f>VLOOKUP(A753,'Parameters Summary'!$B$2:$AB$826,10,FALSE)</f>
        <v>PHYSPROP</v>
      </c>
      <c r="I753" s="93">
        <f>VLOOKUP(A753,'Parameters Summary'!$B$2:$AB$826,24,FALSE)</f>
        <v>334.2</v>
      </c>
      <c r="J753" s="97" t="str">
        <f>VLOOKUP(A753,'Parameters Summary'!$B$2:$AB$826,25,FALSE)</f>
        <v>PHYSPROP</v>
      </c>
      <c r="K753" s="97" t="str">
        <f>VLOOKUP(A753,'Tox Summary'!$O$4:$P$824,2,FALSE)</f>
        <v/>
      </c>
      <c r="L753" s="93">
        <f>VLOOKUP(A753,'Parameters Summary'!$B$2:$AB$826,7,FALSE)</f>
        <v>1.7600000000000001E-2</v>
      </c>
      <c r="M753" s="93" t="str">
        <f>VLOOKUP(A753,'Parameters Summary'!$B$2:$AB$826,8,FALSE)</f>
        <v>PHYSPROP</v>
      </c>
      <c r="N753" s="91">
        <f>VLOOKUP(A753,'Parameters Summary'!$B$2:$AB$826,6,FALSE)</f>
        <v>0.71954209999999996</v>
      </c>
      <c r="O753" s="91" t="str">
        <f t="shared" si="74"/>
        <v/>
      </c>
      <c r="P753" s="91">
        <f t="shared" si="75"/>
        <v>0.71954209999999996</v>
      </c>
      <c r="Q753" s="91" t="str">
        <f t="shared" si="73"/>
        <v/>
      </c>
      <c r="R753" s="91">
        <f t="shared" si="76"/>
        <v>0.71954209999999996</v>
      </c>
      <c r="S753" s="91" t="str">
        <f t="shared" si="78"/>
        <v/>
      </c>
      <c r="T753" s="93">
        <f>VLOOKUP(A753,'Parameters Summary'!$B$2:$AB$826,15,FALSE)</f>
        <v>5.9063200000000003E-2</v>
      </c>
      <c r="U753" s="93" t="str">
        <f>VLOOKUP(A753,'Parameters Summary'!$B$2:$AB$826,17,FALSE)</f>
        <v>WATER9 (U.S. EPA, 2001)</v>
      </c>
      <c r="V753" s="93">
        <f>VLOOKUP(A753,'Parameters Summary'!$B$2:$AB$826,16,FALSE)</f>
        <v>9.4102000000000001E-6</v>
      </c>
      <c r="W753" s="379" t="str">
        <f>VLOOKUP(A753,'Parameters Summary'!$B$2:$AB$826,17,FALSE)</f>
        <v>WATER9 (U.S. EPA, 2001)</v>
      </c>
      <c r="X753" s="290">
        <v>415</v>
      </c>
      <c r="Y753" s="96" t="s">
        <v>2217</v>
      </c>
      <c r="Z753" s="96">
        <f>3*X753/2</f>
        <v>622.5</v>
      </c>
      <c r="AA753" s="96" t="s">
        <v>2220</v>
      </c>
      <c r="AB753" s="96" t="s">
        <v>1651</v>
      </c>
      <c r="AC753" s="96"/>
      <c r="AD753" s="93">
        <f>VLOOKUP(A753,'Parameters Summary'!$B$2:$AB$826,20,FALSE)</f>
        <v>115.8</v>
      </c>
      <c r="AE753" s="97" t="str">
        <f>VLOOKUP(A753,'Parameters Summary'!$B$2:$AB$826,21,FALSE)</f>
        <v>EPI</v>
      </c>
      <c r="AF753" s="380"/>
      <c r="AG753" s="97"/>
      <c r="AH753" s="92"/>
      <c r="AI753" s="96"/>
      <c r="AJ753" s="330"/>
      <c r="AL753" s="81"/>
    </row>
    <row r="754" spans="1:38" ht="12.75" customHeight="1">
      <c r="A754" s="96" t="s">
        <v>2033</v>
      </c>
      <c r="B754" s="96" t="s">
        <v>2032</v>
      </c>
      <c r="C754" s="96" t="str">
        <f t="shared" si="77"/>
        <v>No</v>
      </c>
      <c r="D754" s="96" t="str">
        <f>VLOOKUP(A754,'Tox Summary'!$O$3:$R$824,3,FALSE)</f>
        <v>No</v>
      </c>
      <c r="E754" s="97">
        <v>368.37</v>
      </c>
      <c r="F754" s="97" t="s">
        <v>1620</v>
      </c>
      <c r="G754" s="93">
        <f>VLOOKUP(A754,'Parameters Summary'!$B$2:$AB$826,9,FALSE)</f>
        <v>5.9999999999999997E-7</v>
      </c>
      <c r="H754" s="93" t="str">
        <f>VLOOKUP(A754,'Parameters Summary'!$B$2:$AB$826,10,FALSE)</f>
        <v>EPI</v>
      </c>
      <c r="I754" s="93">
        <f>VLOOKUP(A754,'Parameters Summary'!$B$2:$AB$826,24,FALSE)</f>
        <v>0.36</v>
      </c>
      <c r="J754" s="97" t="str">
        <f>VLOOKUP(A754,'Parameters Summary'!$B$2:$AB$826,25,FALSE)</f>
        <v>PHYSPROP</v>
      </c>
      <c r="K754" s="97" t="str">
        <f>VLOOKUP(A754,'Tox Summary'!$O$4:$P$824,2,FALSE)</f>
        <v/>
      </c>
      <c r="L754" s="93">
        <f>VLOOKUP(A754,'Parameters Summary'!$B$2:$AB$826,7,FALSE)</f>
        <v>8.0800000000000004E-7</v>
      </c>
      <c r="M754" s="93" t="str">
        <f>VLOOKUP(A754,'Parameters Summary'!$B$2:$AB$826,8,FALSE)</f>
        <v>EPI</v>
      </c>
      <c r="N754" s="91">
        <f>VLOOKUP(A754,'Parameters Summary'!$B$2:$AB$826,6,FALSE)</f>
        <v>3.3000000000000003E-5</v>
      </c>
      <c r="O754" s="91" t="str">
        <f t="shared" si="74"/>
        <v/>
      </c>
      <c r="P754" s="91">
        <f t="shared" si="75"/>
        <v>3.3000000000000003E-5</v>
      </c>
      <c r="Q754" s="91" t="str">
        <f t="shared" si="73"/>
        <v/>
      </c>
      <c r="R754" s="91">
        <f t="shared" si="76"/>
        <v>3.3000000000000003E-5</v>
      </c>
      <c r="S754" s="91" t="str">
        <f t="shared" si="78"/>
        <v/>
      </c>
      <c r="T754" s="93">
        <f>VLOOKUP(A754,'Parameters Summary'!$B$2:$AB$826,15,FALSE)</f>
        <v>1.9369000000000001E-2</v>
      </c>
      <c r="U754" s="93" t="str">
        <f>VLOOKUP(A754,'Parameters Summary'!$B$2:$AB$826,17,FALSE)</f>
        <v>WATER9 (U.S. EPA, 2001)</v>
      </c>
      <c r="V754" s="93">
        <f>VLOOKUP(A754,'Parameters Summary'!$B$2:$AB$826,16,FALSE)</f>
        <v>4.7683999999999999E-6</v>
      </c>
      <c r="W754" s="379" t="str">
        <f>VLOOKUP(A754,'Parameters Summary'!$B$2:$AB$826,17,FALSE)</f>
        <v>WATER9 (U.S. EPA, 2001)</v>
      </c>
      <c r="X754" s="290">
        <v>538.15</v>
      </c>
      <c r="Y754" s="96" t="s">
        <v>553</v>
      </c>
      <c r="Z754" s="96">
        <f>1.5*X754</f>
        <v>807.22499999999991</v>
      </c>
      <c r="AA754" s="96" t="s">
        <v>2220</v>
      </c>
      <c r="AB754" s="96" t="s">
        <v>1651</v>
      </c>
      <c r="AC754" s="96"/>
      <c r="AD754" s="93">
        <f>VLOOKUP(A754,'Parameters Summary'!$B$2:$AB$826,20,FALSE)</f>
        <v>47110</v>
      </c>
      <c r="AE754" s="97" t="str">
        <f>VLOOKUP(A754,'Parameters Summary'!$B$2:$AB$826,21,FALSE)</f>
        <v>EPI</v>
      </c>
      <c r="AF754" s="97"/>
      <c r="AG754" s="94"/>
      <c r="AH754" s="92"/>
      <c r="AI754" s="96"/>
      <c r="AJ754" s="330"/>
      <c r="AL754" s="81"/>
    </row>
    <row r="755" spans="1:38" ht="12.75" customHeight="1">
      <c r="A755" s="96" t="s">
        <v>328</v>
      </c>
      <c r="B755" s="96" t="s">
        <v>1374</v>
      </c>
      <c r="C755" s="96" t="str">
        <f t="shared" si="77"/>
        <v>No</v>
      </c>
      <c r="D755" s="96" t="str">
        <f>VLOOKUP(A755,'Tox Summary'!$O$3:$R$824,3,FALSE)</f>
        <v>No</v>
      </c>
      <c r="E755" s="97">
        <v>320.43</v>
      </c>
      <c r="F755" s="97" t="s">
        <v>1620</v>
      </c>
      <c r="G755" s="93">
        <f>VLOOKUP(A755,'Parameters Summary'!$B$2:$AB$826,9,FALSE)</f>
        <v>3.8999999999999999E-4</v>
      </c>
      <c r="H755" s="93" t="str">
        <f>VLOOKUP(A755,'Parameters Summary'!$B$2:$AB$826,10,FALSE)</f>
        <v>PHYSPROP</v>
      </c>
      <c r="I755" s="93">
        <f>VLOOKUP(A755,'Parameters Summary'!$B$2:$AB$826,24,FALSE)</f>
        <v>1.1419999999999999</v>
      </c>
      <c r="J755" s="97" t="str">
        <f>VLOOKUP(A755,'Parameters Summary'!$B$2:$AB$826,25,FALSE)</f>
        <v>PHYSPROP</v>
      </c>
      <c r="K755" s="97" t="str">
        <f>VLOOKUP(A755,'Tox Summary'!$O$4:$P$824,2,FALSE)</f>
        <v/>
      </c>
      <c r="L755" s="93">
        <f>VLOOKUP(A755,'Parameters Summary'!$B$2:$AB$826,7,FALSE)</f>
        <v>4.0999999999999999E-7</v>
      </c>
      <c r="M755" s="93" t="str">
        <f>VLOOKUP(A755,'Parameters Summary'!$B$2:$AB$826,8,FALSE)</f>
        <v>PHYSPROP</v>
      </c>
      <c r="N755" s="91">
        <f>VLOOKUP(A755,'Parameters Summary'!$B$2:$AB$826,6,FALSE)</f>
        <v>1.6799999999999998E-5</v>
      </c>
      <c r="O755" s="91" t="str">
        <f t="shared" si="74"/>
        <v/>
      </c>
      <c r="P755" s="91">
        <f t="shared" si="75"/>
        <v>1.6799999999999998E-5</v>
      </c>
      <c r="Q755" s="91" t="str">
        <f t="shared" si="73"/>
        <v/>
      </c>
      <c r="R755" s="91">
        <f t="shared" si="76"/>
        <v>1.6799999999999998E-5</v>
      </c>
      <c r="S755" s="91" t="str">
        <f t="shared" si="78"/>
        <v/>
      </c>
      <c r="T755" s="93">
        <f>VLOOKUP(A755,'Parameters Summary'!$B$2:$AB$826,15,FALSE)</f>
        <v>4.0575600000000003E-2</v>
      </c>
      <c r="U755" s="93" t="str">
        <f>VLOOKUP(A755,'Parameters Summary'!$B$2:$AB$826,17,FALSE)</f>
        <v>WATER9 (U.S. EPA, 2001)</v>
      </c>
      <c r="V755" s="93">
        <f>VLOOKUP(A755,'Parameters Summary'!$B$2:$AB$826,16,FALSE)</f>
        <v>4.7408999999999998E-6</v>
      </c>
      <c r="W755" s="379" t="str">
        <f>VLOOKUP(A755,'Parameters Summary'!$B$2:$AB$826,17,FALSE)</f>
        <v>WATER9 (U.S. EPA, 2001)</v>
      </c>
      <c r="X755" s="347"/>
      <c r="Y755" s="96"/>
      <c r="Z755" s="96" t="s">
        <v>1653</v>
      </c>
      <c r="AA755" s="96"/>
      <c r="AB755" s="96" t="s">
        <v>1651</v>
      </c>
      <c r="AC755" s="96"/>
      <c r="AD755" s="93">
        <f>VLOOKUP(A755,'Parameters Summary'!$B$2:$AB$826,20,FALSE)</f>
        <v>3447</v>
      </c>
      <c r="AE755" s="97" t="str">
        <f>VLOOKUP(A755,'Parameters Summary'!$B$2:$AB$826,21,FALSE)</f>
        <v>EPI</v>
      </c>
      <c r="AF755" s="97"/>
      <c r="AG755" s="94"/>
      <c r="AH755" s="92"/>
      <c r="AI755" s="96"/>
      <c r="AJ755" s="330"/>
      <c r="AL755" s="81"/>
    </row>
    <row r="756" spans="1:38" ht="12.75" customHeight="1">
      <c r="A756" s="95" t="s">
        <v>329</v>
      </c>
      <c r="B756" s="96" t="s">
        <v>1375</v>
      </c>
      <c r="C756" s="96" t="str">
        <f t="shared" si="77"/>
        <v>Yes</v>
      </c>
      <c r="D756" s="96" t="str">
        <f>VLOOKUP(A756,'Tox Summary'!$O$3:$R$824,3,FALSE)</f>
        <v>No</v>
      </c>
      <c r="E756" s="97">
        <v>101.19</v>
      </c>
      <c r="F756" s="97" t="s">
        <v>1620</v>
      </c>
      <c r="G756" s="93">
        <f>VLOOKUP(A756,'Parameters Summary'!$B$2:$AB$826,9,FALSE)</f>
        <v>57.07</v>
      </c>
      <c r="H756" s="93" t="str">
        <f>VLOOKUP(A756,'Parameters Summary'!$B$2:$AB$826,10,FALSE)</f>
        <v>PHYSPROP</v>
      </c>
      <c r="I756" s="93">
        <f>VLOOKUP(A756,'Parameters Summary'!$B$2:$AB$826,24,FALSE)</f>
        <v>68600</v>
      </c>
      <c r="J756" s="97" t="str">
        <f>VLOOKUP(A756,'Parameters Summary'!$B$2:$AB$826,25,FALSE)</f>
        <v>PHYSPROP</v>
      </c>
      <c r="K756" s="97" t="str">
        <f>VLOOKUP(A756,'Tox Summary'!$O$4:$P$824,2,FALSE)</f>
        <v/>
      </c>
      <c r="L756" s="93">
        <f>VLOOKUP(A756,'Parameters Summary'!$B$2:$AB$826,7,FALSE)</f>
        <v>1.4899999999999999E-4</v>
      </c>
      <c r="M756" s="93" t="str">
        <f>VLOOKUP(A756,'Parameters Summary'!$B$2:$AB$826,8,FALSE)</f>
        <v>PHYSPROP</v>
      </c>
      <c r="N756" s="91">
        <f>VLOOKUP(A756,'Parameters Summary'!$B$2:$AB$826,6,FALSE)</f>
        <v>6.0916E-3</v>
      </c>
      <c r="O756" s="91">
        <f t="shared" si="74"/>
        <v>6.0916E-3</v>
      </c>
      <c r="P756" s="91">
        <f t="shared" si="75"/>
        <v>6.0916E-3</v>
      </c>
      <c r="Q756" s="91">
        <f t="shared" si="73"/>
        <v>6.0916E-3</v>
      </c>
      <c r="R756" s="91">
        <f t="shared" si="76"/>
        <v>6.0916E-3</v>
      </c>
      <c r="S756" s="91">
        <f t="shared" si="78"/>
        <v>310741071.87953281</v>
      </c>
      <c r="T756" s="93">
        <f>VLOOKUP(A756,'Parameters Summary'!$B$2:$AB$826,15,FALSE)</f>
        <v>6.6363099999999994E-2</v>
      </c>
      <c r="U756" s="93" t="str">
        <f>VLOOKUP(A756,'Parameters Summary'!$B$2:$AB$826,17,FALSE)</f>
        <v>WATER9 (U.S. EPA, 2001)</v>
      </c>
      <c r="V756" s="93">
        <f>VLOOKUP(A756,'Parameters Summary'!$B$2:$AB$826,16,FALSE)</f>
        <v>7.8576000000000008E-6</v>
      </c>
      <c r="W756" s="379" t="str">
        <f>VLOOKUP(A756,'Parameters Summary'!$B$2:$AB$826,17,FALSE)</f>
        <v>WATER9 (U.S. EPA, 2001)</v>
      </c>
      <c r="X756" s="290">
        <v>362</v>
      </c>
      <c r="Y756" s="96" t="s">
        <v>2217</v>
      </c>
      <c r="Z756" s="96">
        <v>535.6</v>
      </c>
      <c r="AA756" s="96" t="s">
        <v>2215</v>
      </c>
      <c r="AB756" s="96">
        <v>8095.2</v>
      </c>
      <c r="AC756" s="96" t="s">
        <v>2218</v>
      </c>
      <c r="AD756" s="93">
        <f>VLOOKUP(A756,'Parameters Summary'!$B$2:$AB$826,20,FALSE)</f>
        <v>50.81</v>
      </c>
      <c r="AE756" s="97" t="str">
        <f>VLOOKUP(A756,'Parameters Summary'!$B$2:$AB$826,21,FALSE)</f>
        <v>EPI</v>
      </c>
      <c r="AF756" s="380"/>
      <c r="AG756" s="97"/>
      <c r="AH756" s="92"/>
      <c r="AI756" s="96"/>
      <c r="AJ756" s="330"/>
      <c r="AL756" s="81"/>
    </row>
    <row r="757" spans="1:38" ht="12.75" customHeight="1">
      <c r="A757" s="96" t="s">
        <v>2132</v>
      </c>
      <c r="B757" s="96" t="s">
        <v>2131</v>
      </c>
      <c r="C757" s="96" t="str">
        <f t="shared" si="77"/>
        <v>No</v>
      </c>
      <c r="D757" s="96" t="str">
        <f>VLOOKUP(A757,'Tox Summary'!$O$3:$R$824,3,FALSE)</f>
        <v>Yes</v>
      </c>
      <c r="E757" s="97">
        <v>150.18</v>
      </c>
      <c r="F757" s="97" t="s">
        <v>1620</v>
      </c>
      <c r="G757" s="93">
        <f>VLOOKUP(A757,'Parameters Summary'!$B$2:$AB$826,9,FALSE)</f>
        <v>1.32E-3</v>
      </c>
      <c r="H757" s="93" t="str">
        <f>VLOOKUP(A757,'Parameters Summary'!$B$2:$AB$826,10,FALSE)</f>
        <v>PHYSPROP</v>
      </c>
      <c r="I757" s="93">
        <f>VLOOKUP(A757,'Parameters Summary'!$B$2:$AB$826,24,FALSE)</f>
        <v>1000000</v>
      </c>
      <c r="J757" s="97" t="str">
        <f>VLOOKUP(A757,'Parameters Summary'!$B$2:$AB$826,25,FALSE)</f>
        <v>PHYSPROP</v>
      </c>
      <c r="K757" s="97" t="str">
        <f>VLOOKUP(A757,'Tox Summary'!$O$4:$P$824,2,FALSE)</f>
        <v/>
      </c>
      <c r="L757" s="93">
        <f>VLOOKUP(A757,'Parameters Summary'!$B$2:$AB$826,7,FALSE)</f>
        <v>3.1599999999999999E-11</v>
      </c>
      <c r="M757" s="93" t="str">
        <f>VLOOKUP(A757,'Parameters Summary'!$B$2:$AB$826,8,FALSE)</f>
        <v>PHYSPROP</v>
      </c>
      <c r="N757" s="91">
        <f>VLOOKUP(A757,'Parameters Summary'!$B$2:$AB$826,6,FALSE)</f>
        <v>1.2919000000000001E-9</v>
      </c>
      <c r="O757" s="91" t="str">
        <f t="shared" si="74"/>
        <v/>
      </c>
      <c r="P757" s="91">
        <f t="shared" si="75"/>
        <v>1.2919000000000001E-9</v>
      </c>
      <c r="Q757" s="91" t="str">
        <f t="shared" si="73"/>
        <v/>
      </c>
      <c r="R757" s="91">
        <f t="shared" si="76"/>
        <v>1.2919000000000001E-9</v>
      </c>
      <c r="S757" s="91" t="str">
        <f t="shared" si="78"/>
        <v/>
      </c>
      <c r="T757" s="93">
        <f>VLOOKUP(A757,'Parameters Summary'!$B$2:$AB$826,15,FALSE)</f>
        <v>5.0921899999999999E-2</v>
      </c>
      <c r="U757" s="93" t="str">
        <f>VLOOKUP(A757,'Parameters Summary'!$B$2:$AB$826,17,FALSE)</f>
        <v>WATER9 (U.S. EPA, 2001)</v>
      </c>
      <c r="V757" s="93">
        <f>VLOOKUP(A757,'Parameters Summary'!$B$2:$AB$826,16,FALSE)</f>
        <v>8.0639999999999994E-6</v>
      </c>
      <c r="W757" s="379" t="str">
        <f>VLOOKUP(A757,'Parameters Summary'!$B$2:$AB$826,17,FALSE)</f>
        <v>WATER9 (U.S. EPA, 2001)</v>
      </c>
      <c r="X757" s="290">
        <v>558.15</v>
      </c>
      <c r="Y757" s="96" t="s">
        <v>553</v>
      </c>
      <c r="Z757" s="96">
        <f>1.5*X757</f>
        <v>837.22499999999991</v>
      </c>
      <c r="AA757" s="96" t="s">
        <v>2220</v>
      </c>
      <c r="AB757" s="96" t="s">
        <v>1651</v>
      </c>
      <c r="AC757" s="96"/>
      <c r="AD757" s="93">
        <f>VLOOKUP(A757,'Parameters Summary'!$B$2:$AB$826,20,FALSE)</f>
        <v>10</v>
      </c>
      <c r="AE757" s="97" t="str">
        <f>VLOOKUP(A757,'Parameters Summary'!$B$2:$AB$826,21,FALSE)</f>
        <v>EPI</v>
      </c>
      <c r="AF757" s="97"/>
      <c r="AG757" s="94"/>
      <c r="AH757" s="92"/>
      <c r="AI757" s="96"/>
      <c r="AJ757" s="330"/>
      <c r="AL757" s="81"/>
    </row>
    <row r="758" spans="1:38" ht="12.75" customHeight="1">
      <c r="A758" s="96" t="s">
        <v>2291</v>
      </c>
      <c r="B758" s="96" t="s">
        <v>2294</v>
      </c>
      <c r="C758" s="96" t="str">
        <f t="shared" si="77"/>
        <v>Yes</v>
      </c>
      <c r="D758" s="96" t="str">
        <f>VLOOKUP(A758,'Tox Summary'!$O$3:$R$824,3,FALSE)</f>
        <v>Yes</v>
      </c>
      <c r="E758" s="97">
        <v>84.040999999999997</v>
      </c>
      <c r="F758" s="97" t="s">
        <v>1620</v>
      </c>
      <c r="G758" s="93">
        <f>VLOOKUP(A758,'Parameters Summary'!$B$2:$AB$826,9,FALSE)</f>
        <v>9536</v>
      </c>
      <c r="H758" s="93" t="str">
        <f>VLOOKUP(A758,'Parameters Summary'!$B$2:$AB$826,10,FALSE)</f>
        <v>PHYSPROP</v>
      </c>
      <c r="I758" s="93">
        <f>VLOOKUP(A758,'Parameters Summary'!$B$2:$AB$826,24,FALSE)</f>
        <v>760.9</v>
      </c>
      <c r="J758" s="97" t="str">
        <f>VLOOKUP(A758,'Parameters Summary'!$B$2:$AB$826,25,FALSE)</f>
        <v>PHYSPROP</v>
      </c>
      <c r="K758" s="97" t="str">
        <f>VLOOKUP(A758,'Tox Summary'!$O$4:$P$824,2,FALSE)</f>
        <v/>
      </c>
      <c r="L758" s="93">
        <f>VLOOKUP(A758,'Parameters Summary'!$B$2:$AB$826,7,FALSE)</f>
        <v>0.77</v>
      </c>
      <c r="M758" s="93" t="str">
        <f>VLOOKUP(A758,'Parameters Summary'!$B$2:$AB$826,8,FALSE)</f>
        <v>PHYSPROP</v>
      </c>
      <c r="N758" s="91">
        <f>VLOOKUP(A758,'Parameters Summary'!$B$2:$AB$826,6,FALSE)</f>
        <v>31.479966999999998</v>
      </c>
      <c r="O758" s="91">
        <f t="shared" si="74"/>
        <v>31.479966999999998</v>
      </c>
      <c r="P758" s="91">
        <f t="shared" si="75"/>
        <v>31.479966999999998</v>
      </c>
      <c r="Q758" s="91">
        <f t="shared" si="73"/>
        <v>31.479966999999998</v>
      </c>
      <c r="R758" s="91">
        <f t="shared" si="76"/>
        <v>31.479966999999998</v>
      </c>
      <c r="S758" s="91">
        <f t="shared" si="78"/>
        <v>43123166656.467392</v>
      </c>
      <c r="T758" s="93">
        <f>VLOOKUP(A758,'Parameters Summary'!$B$2:$AB$826,15,FALSE)</f>
        <v>9.90283E-2</v>
      </c>
      <c r="U758" s="93" t="str">
        <f>VLOOKUP(A758,'Parameters Summary'!$B$2:$AB$826,17,FALSE)</f>
        <v>WATER9 (U.S. EPA, 2001)</v>
      </c>
      <c r="V758" s="93">
        <f>VLOOKUP(A758,'Parameters Summary'!$B$2:$AB$826,16,FALSE)</f>
        <v>1.1600000000000001E-5</v>
      </c>
      <c r="W758" s="379" t="str">
        <f>VLOOKUP(A758,'Parameters Summary'!$B$2:$AB$826,17,FALSE)</f>
        <v>WATER9 (U.S. EPA, 2001)</v>
      </c>
      <c r="X758" s="347">
        <v>228.15</v>
      </c>
      <c r="Y758" s="96" t="s">
        <v>1620</v>
      </c>
      <c r="Z758" s="96">
        <v>345.88</v>
      </c>
      <c r="AA758" s="96" t="s">
        <v>2038</v>
      </c>
      <c r="AB758" s="96">
        <v>4.5889100000000003</v>
      </c>
      <c r="AC758" s="96" t="s">
        <v>2213</v>
      </c>
      <c r="AD758" s="93">
        <f>VLOOKUP(A758,'Parameters Summary'!$B$2:$AB$826,20,FALSE)</f>
        <v>43.89</v>
      </c>
      <c r="AE758" s="97" t="str">
        <f>VLOOKUP(A758,'Parameters Summary'!$B$2:$AB$826,21,FALSE)</f>
        <v>EPI</v>
      </c>
      <c r="AF758" s="97"/>
      <c r="AG758" s="94"/>
      <c r="AH758" s="92"/>
      <c r="AI758" s="96"/>
      <c r="AJ758" s="330"/>
      <c r="AL758" s="81"/>
    </row>
    <row r="759" spans="1:38" ht="12.75" customHeight="1">
      <c r="A759" s="96" t="s">
        <v>330</v>
      </c>
      <c r="B759" s="96" t="s">
        <v>1376</v>
      </c>
      <c r="C759" s="96" t="str">
        <f t="shared" si="77"/>
        <v>Yes</v>
      </c>
      <c r="D759" s="96" t="str">
        <f>VLOOKUP(A759,'Tox Summary'!$O$3:$R$824,3,FALSE)</f>
        <v>Yes</v>
      </c>
      <c r="E759" s="97">
        <v>335.29</v>
      </c>
      <c r="F759" s="97" t="s">
        <v>1620</v>
      </c>
      <c r="G759" s="93">
        <f>VLOOKUP(A759,'Parameters Summary'!$B$2:$AB$826,9,FALSE)</f>
        <v>4.5800000000000002E-5</v>
      </c>
      <c r="H759" s="93" t="str">
        <f>VLOOKUP(A759,'Parameters Summary'!$B$2:$AB$826,10,FALSE)</f>
        <v>PHYSPROP</v>
      </c>
      <c r="I759" s="93">
        <f>VLOOKUP(A759,'Parameters Summary'!$B$2:$AB$826,24,FALSE)</f>
        <v>0.184</v>
      </c>
      <c r="J759" s="97" t="str">
        <f>VLOOKUP(A759,'Parameters Summary'!$B$2:$AB$826,25,FALSE)</f>
        <v>PHYSPROP</v>
      </c>
      <c r="K759" s="97" t="str">
        <f>VLOOKUP(A759,'Tox Summary'!$O$4:$P$824,2,FALSE)</f>
        <v/>
      </c>
      <c r="L759" s="93">
        <f>VLOOKUP(A759,'Parameters Summary'!$B$2:$AB$826,7,FALSE)</f>
        <v>1.03E-4</v>
      </c>
      <c r="M759" s="93" t="str">
        <f>VLOOKUP(A759,'Parameters Summary'!$B$2:$AB$826,8,FALSE)</f>
        <v>PHYSPROP</v>
      </c>
      <c r="N759" s="91">
        <f>VLOOKUP(A759,'Parameters Summary'!$B$2:$AB$826,6,FALSE)</f>
        <v>4.2110000000000003E-3</v>
      </c>
      <c r="O759" s="91" t="str">
        <f t="shared" si="74"/>
        <v/>
      </c>
      <c r="P759" s="91">
        <f t="shared" si="75"/>
        <v>4.2110000000000003E-3</v>
      </c>
      <c r="Q759" s="91" t="str">
        <f t="shared" si="73"/>
        <v/>
      </c>
      <c r="R759" s="91">
        <f t="shared" si="76"/>
        <v>4.2110000000000003E-3</v>
      </c>
      <c r="S759" s="91" t="str">
        <f t="shared" si="78"/>
        <v/>
      </c>
      <c r="T759" s="93">
        <f>VLOOKUP(A759,'Parameters Summary'!$B$2:$AB$826,15,FALSE)</f>
        <v>2.2051899999999999E-2</v>
      </c>
      <c r="U759" s="93" t="str">
        <f>VLOOKUP(A759,'Parameters Summary'!$B$2:$AB$826,17,FALSE)</f>
        <v>WATER9 (U.S. EPA, 2001)</v>
      </c>
      <c r="V759" s="93">
        <f>VLOOKUP(A759,'Parameters Summary'!$B$2:$AB$826,16,FALSE)</f>
        <v>5.5736999999999997E-6</v>
      </c>
      <c r="W759" s="379" t="str">
        <f>VLOOKUP(A759,'Parameters Summary'!$B$2:$AB$826,17,FALSE)</f>
        <v>WATER9 (U.S. EPA, 2001)</v>
      </c>
      <c r="X759" s="290">
        <f>273.15+139.5</f>
        <v>412.65</v>
      </c>
      <c r="Y759" s="96" t="s">
        <v>553</v>
      </c>
      <c r="Z759" s="96">
        <f>1.5*X759</f>
        <v>618.97499999999991</v>
      </c>
      <c r="AA759" s="96" t="s">
        <v>2220</v>
      </c>
      <c r="AB759" s="96" t="s">
        <v>1651</v>
      </c>
      <c r="AC759" s="96"/>
      <c r="AD759" s="93">
        <f>VLOOKUP(A759,'Parameters Summary'!$B$2:$AB$826,20,FALSE)</f>
        <v>16390</v>
      </c>
      <c r="AE759" s="97" t="str">
        <f>VLOOKUP(A759,'Parameters Summary'!$B$2:$AB$826,21,FALSE)</f>
        <v>EPI</v>
      </c>
      <c r="AF759" s="97"/>
      <c r="AG759" s="94"/>
      <c r="AH759" s="92"/>
      <c r="AI759" s="96"/>
      <c r="AJ759" s="330"/>
      <c r="AL759" s="81"/>
    </row>
    <row r="760" spans="1:38" ht="12.75" customHeight="1">
      <c r="A760" s="96" t="s">
        <v>1609</v>
      </c>
      <c r="B760" s="96" t="s">
        <v>2407</v>
      </c>
      <c r="C760" s="96" t="str">
        <f t="shared" si="77"/>
        <v>No</v>
      </c>
      <c r="D760" s="96" t="str">
        <f>VLOOKUP(A760,'Tox Summary'!$O$3:$R$824,3,FALSE)</f>
        <v>No</v>
      </c>
      <c r="E760" s="97">
        <v>262.86</v>
      </c>
      <c r="F760" s="97" t="s">
        <v>1618</v>
      </c>
      <c r="G760" s="93" t="s">
        <v>2439</v>
      </c>
      <c r="H760" s="93" t="str">
        <f>VLOOKUP(A760,'Parameters Summary'!$B$2:$AB$826,10,FALSE)</f>
        <v/>
      </c>
      <c r="I760" s="93" t="s">
        <v>2440</v>
      </c>
      <c r="J760" s="97" t="str">
        <f>VLOOKUP(A760,'Parameters Summary'!$B$2:$AB$826,25,FALSE)</f>
        <v/>
      </c>
      <c r="K760" s="97" t="str">
        <f>VLOOKUP(A760,'Tox Summary'!$O$4:$P$824,2,FALSE)</f>
        <v/>
      </c>
      <c r="L760" s="93" t="s">
        <v>2298</v>
      </c>
      <c r="M760" s="93" t="str">
        <f>VLOOKUP(A760,'Parameters Summary'!$B$2:$AB$826,8,FALSE)</f>
        <v/>
      </c>
      <c r="N760" s="91" t="str">
        <f>VLOOKUP(A760,'Parameters Summary'!$B$2:$AB$826,6,FALSE)</f>
        <v xml:space="preserve"> </v>
      </c>
      <c r="O760" s="91" t="str">
        <f t="shared" si="74"/>
        <v/>
      </c>
      <c r="P760" s="91" t="str">
        <f t="shared" si="75"/>
        <v xml:space="preserve"> </v>
      </c>
      <c r="Q760" s="91" t="str">
        <f t="shared" si="73"/>
        <v/>
      </c>
      <c r="R760" s="91" t="str">
        <f t="shared" si="76"/>
        <v xml:space="preserve"> </v>
      </c>
      <c r="S760" s="91" t="str">
        <f t="shared" si="78"/>
        <v/>
      </c>
      <c r="T760" s="93" t="str">
        <f>VLOOKUP(A760,'Parameters Summary'!$B$2:$AB$826,15,FALSE)</f>
        <v xml:space="preserve"> </v>
      </c>
      <c r="U760" s="93" t="str">
        <f>VLOOKUP(A760,'Parameters Summary'!$B$2:$AB$826,17,FALSE)</f>
        <v/>
      </c>
      <c r="V760" s="93" t="str">
        <f>VLOOKUP(A760,'Parameters Summary'!$B$2:$AB$826,16,FALSE)</f>
        <v xml:space="preserve"> </v>
      </c>
      <c r="W760" s="379" t="str">
        <f>VLOOKUP(A760,'Parameters Summary'!$B$2:$AB$826,17,FALSE)</f>
        <v/>
      </c>
      <c r="X760" s="347"/>
      <c r="Y760" s="96"/>
      <c r="Z760" s="96" t="s">
        <v>1653</v>
      </c>
      <c r="AA760" s="96"/>
      <c r="AB760" s="96" t="s">
        <v>1651</v>
      </c>
      <c r="AC760" s="96"/>
      <c r="AD760" s="93" t="str">
        <f>VLOOKUP(A760,'Parameters Summary'!$B$2:$AB$826,20,FALSE)</f>
        <v xml:space="preserve"> </v>
      </c>
      <c r="AE760" s="97" t="str">
        <f>VLOOKUP(A760,'Parameters Summary'!$B$2:$AB$826,21,FALSE)</f>
        <v/>
      </c>
      <c r="AF760" s="97"/>
      <c r="AG760" s="94"/>
      <c r="AH760" s="92"/>
      <c r="AI760" s="96"/>
      <c r="AJ760" s="330"/>
      <c r="AL760" s="81"/>
    </row>
    <row r="761" spans="1:38" ht="12.75" customHeight="1">
      <c r="A761" s="96" t="s">
        <v>331</v>
      </c>
      <c r="B761" s="96" t="s">
        <v>1377</v>
      </c>
      <c r="C761" s="96" t="str">
        <f t="shared" si="77"/>
        <v>No</v>
      </c>
      <c r="D761" s="96" t="str">
        <f>VLOOKUP(A761,'Tox Summary'!$O$3:$R$824,3,FALSE)</f>
        <v>Yes</v>
      </c>
      <c r="E761" s="97">
        <v>140.08000000000001</v>
      </c>
      <c r="F761" s="97" t="s">
        <v>1620</v>
      </c>
      <c r="G761" s="93">
        <f>VLOOKUP(A761,'Parameters Summary'!$B$2:$AB$826,9,FALSE)</f>
        <v>0.85</v>
      </c>
      <c r="H761" s="93" t="str">
        <f>VLOOKUP(A761,'Parameters Summary'!$B$2:$AB$826,10,FALSE)</f>
        <v>EPI</v>
      </c>
      <c r="I761" s="93">
        <f>VLOOKUP(A761,'Parameters Summary'!$B$2:$AB$826,24,FALSE)</f>
        <v>500000</v>
      </c>
      <c r="J761" s="97" t="str">
        <f>VLOOKUP(A761,'Parameters Summary'!$B$2:$AB$826,25,FALSE)</f>
        <v>PHYSPROP</v>
      </c>
      <c r="K761" s="97" t="str">
        <f>VLOOKUP(A761,'Tox Summary'!$O$4:$P$824,2,FALSE)</f>
        <v/>
      </c>
      <c r="L761" s="93">
        <f>VLOOKUP(A761,'Parameters Summary'!$B$2:$AB$826,7,FALSE)</f>
        <v>7.2E-9</v>
      </c>
      <c r="M761" s="93" t="str">
        <f>VLOOKUP(A761,'Parameters Summary'!$B$2:$AB$826,8,FALSE)</f>
        <v>PHYSPROP</v>
      </c>
      <c r="N761" s="91">
        <f>VLOOKUP(A761,'Parameters Summary'!$B$2:$AB$826,6,FALSE)</f>
        <v>2.9436E-7</v>
      </c>
      <c r="O761" s="91" t="str">
        <f t="shared" si="74"/>
        <v/>
      </c>
      <c r="P761" s="91">
        <f t="shared" si="75"/>
        <v>2.9436E-7</v>
      </c>
      <c r="Q761" s="91" t="str">
        <f t="shared" si="73"/>
        <v/>
      </c>
      <c r="R761" s="91">
        <f t="shared" si="76"/>
        <v>2.9436E-7</v>
      </c>
      <c r="S761" s="91" t="str">
        <f t="shared" si="78"/>
        <v/>
      </c>
      <c r="T761" s="93">
        <f>VLOOKUP(A761,'Parameters Summary'!$B$2:$AB$826,15,FALSE)</f>
        <v>5.82547E-2</v>
      </c>
      <c r="U761" s="93" t="str">
        <f>VLOOKUP(A761,'Parameters Summary'!$B$2:$AB$826,17,FALSE)</f>
        <v>WATER9 (U.S. EPA, 2001)</v>
      </c>
      <c r="V761" s="93">
        <f>VLOOKUP(A761,'Parameters Summary'!$B$2:$AB$826,16,FALSE)</f>
        <v>8.7915000000000004E-6</v>
      </c>
      <c r="W761" s="379" t="str">
        <f>VLOOKUP(A761,'Parameters Summary'!$B$2:$AB$826,17,FALSE)</f>
        <v>WATER9 (U.S. EPA, 2001)</v>
      </c>
      <c r="X761" s="290">
        <v>470.34999999999997</v>
      </c>
      <c r="Y761" s="96" t="s">
        <v>553</v>
      </c>
      <c r="Z761" s="96">
        <f>1.5*X761</f>
        <v>705.52499999999998</v>
      </c>
      <c r="AA761" s="96" t="s">
        <v>2220</v>
      </c>
      <c r="AB761" s="96" t="s">
        <v>1651</v>
      </c>
      <c r="AC761" s="96"/>
      <c r="AD761" s="93">
        <f>VLOOKUP(A761,'Parameters Summary'!$B$2:$AB$826,20,FALSE)</f>
        <v>10.6</v>
      </c>
      <c r="AE761" s="97" t="str">
        <f>VLOOKUP(A761,'Parameters Summary'!$B$2:$AB$826,21,FALSE)</f>
        <v>EPI</v>
      </c>
      <c r="AF761" s="97"/>
      <c r="AG761" s="94"/>
      <c r="AH761" s="92"/>
      <c r="AI761" s="96"/>
      <c r="AJ761" s="330"/>
      <c r="AL761" s="81"/>
    </row>
    <row r="762" spans="1:38" ht="12.75" customHeight="1">
      <c r="A762" s="95" t="s">
        <v>1615</v>
      </c>
      <c r="B762" s="96" t="s">
        <v>1614</v>
      </c>
      <c r="C762" s="96" t="str">
        <f t="shared" si="77"/>
        <v>Yes</v>
      </c>
      <c r="D762" s="96" t="str">
        <f>VLOOKUP(A762,'Tox Summary'!$O$3:$R$824,3,FALSE)</f>
        <v>Yes</v>
      </c>
      <c r="E762" s="97">
        <v>120.2</v>
      </c>
      <c r="F762" s="97" t="s">
        <v>1620</v>
      </c>
      <c r="G762" s="93">
        <f>VLOOKUP(A762,'Parameters Summary'!$B$2:$AB$826,9,FALSE)</f>
        <v>1.6886000000000001</v>
      </c>
      <c r="H762" s="93" t="str">
        <f>VLOOKUP(A762,'Parameters Summary'!$B$2:$AB$826,10,FALSE)</f>
        <v>PHYSPROP</v>
      </c>
      <c r="I762" s="93">
        <f>VLOOKUP(A762,'Parameters Summary'!$B$2:$AB$826,24,FALSE)</f>
        <v>75.2</v>
      </c>
      <c r="J762" s="97" t="str">
        <f>VLOOKUP(A762,'Parameters Summary'!$B$2:$AB$826,25,FALSE)</f>
        <v>PHYSPROP</v>
      </c>
      <c r="K762" s="97" t="str">
        <f>VLOOKUP(A762,'Tox Summary'!$O$4:$P$824,2,FALSE)</f>
        <v/>
      </c>
      <c r="L762" s="93">
        <f>VLOOKUP(A762,'Parameters Summary'!$B$2:$AB$826,7,FALSE)</f>
        <v>4.3600000000000002E-3</v>
      </c>
      <c r="M762" s="93" t="str">
        <f>VLOOKUP(A762,'Parameters Summary'!$B$2:$AB$826,8,FALSE)</f>
        <v>PHYSPROP</v>
      </c>
      <c r="N762" s="91">
        <f>VLOOKUP(A762,'Parameters Summary'!$B$2:$AB$826,6,FALSE)</f>
        <v>0.1782502</v>
      </c>
      <c r="O762" s="91">
        <f t="shared" si="74"/>
        <v>0.1782502</v>
      </c>
      <c r="P762" s="91">
        <f t="shared" si="75"/>
        <v>0.1782502</v>
      </c>
      <c r="Q762" s="91">
        <f t="shared" si="73"/>
        <v>0.1782502</v>
      </c>
      <c r="R762" s="91">
        <f t="shared" si="76"/>
        <v>0.1782502</v>
      </c>
      <c r="S762" s="91">
        <f t="shared" si="78"/>
        <v>10921554.155953936</v>
      </c>
      <c r="T762" s="93">
        <f>VLOOKUP(A762,'Parameters Summary'!$B$2:$AB$826,15,FALSE)</f>
        <v>6.1253500000000002E-2</v>
      </c>
      <c r="U762" s="93" t="str">
        <f>VLOOKUP(A762,'Parameters Summary'!$B$2:$AB$826,17,FALSE)</f>
        <v>WATER9 (U.S. EPA, 2001)</v>
      </c>
      <c r="V762" s="93">
        <f>VLOOKUP(A762,'Parameters Summary'!$B$2:$AB$826,16,FALSE)</f>
        <v>8.0214000000000008E-6</v>
      </c>
      <c r="W762" s="379" t="str">
        <f>VLOOKUP(A762,'Parameters Summary'!$B$2:$AB$826,17,FALSE)</f>
        <v>WATER9 (U.S. EPA, 2001)</v>
      </c>
      <c r="X762" s="290">
        <v>449.1</v>
      </c>
      <c r="Y762" s="96" t="s">
        <v>2217</v>
      </c>
      <c r="Z762" s="96">
        <v>664.5</v>
      </c>
      <c r="AA762" s="96" t="s">
        <v>2215</v>
      </c>
      <c r="AB762" s="96">
        <v>11715.39</v>
      </c>
      <c r="AC762" s="96" t="s">
        <v>2218</v>
      </c>
      <c r="AD762" s="93">
        <f>VLOOKUP(A762,'Parameters Summary'!$B$2:$AB$826,20,FALSE)</f>
        <v>626.9</v>
      </c>
      <c r="AE762" s="97" t="str">
        <f>VLOOKUP(A762,'Parameters Summary'!$B$2:$AB$826,21,FALSE)</f>
        <v>EPI</v>
      </c>
      <c r="AF762" s="380"/>
      <c r="AG762" s="97"/>
      <c r="AH762" s="92"/>
      <c r="AI762" s="96"/>
      <c r="AJ762" s="330"/>
      <c r="AL762" s="81"/>
    </row>
    <row r="763" spans="1:38" ht="12.75" customHeight="1">
      <c r="A763" s="95" t="s">
        <v>332</v>
      </c>
      <c r="B763" s="96" t="s">
        <v>1378</v>
      </c>
      <c r="C763" s="96" t="str">
        <f t="shared" si="77"/>
        <v>Yes</v>
      </c>
      <c r="D763" s="96" t="str">
        <f>VLOOKUP(A763,'Tox Summary'!$O$3:$R$824,3,FALSE)</f>
        <v>No</v>
      </c>
      <c r="E763" s="97">
        <v>120.2</v>
      </c>
      <c r="F763" s="97" t="s">
        <v>1620</v>
      </c>
      <c r="G763" s="93">
        <f>VLOOKUP(A763,'Parameters Summary'!$B$2:$AB$826,9,FALSE)</f>
        <v>2.1</v>
      </c>
      <c r="H763" s="93" t="str">
        <f>VLOOKUP(A763,'Parameters Summary'!$B$2:$AB$826,10,FALSE)</f>
        <v>PHYSPROP</v>
      </c>
      <c r="I763" s="93">
        <f>VLOOKUP(A763,'Parameters Summary'!$B$2:$AB$826,24,FALSE)</f>
        <v>57</v>
      </c>
      <c r="J763" s="97" t="str">
        <f>VLOOKUP(A763,'Parameters Summary'!$B$2:$AB$826,25,FALSE)</f>
        <v>PHYSPROP</v>
      </c>
      <c r="K763" s="97" t="str">
        <f>VLOOKUP(A763,'Tox Summary'!$O$4:$P$824,2,FALSE)</f>
        <v/>
      </c>
      <c r="L763" s="93">
        <f>VLOOKUP(A763,'Parameters Summary'!$B$2:$AB$826,7,FALSE)</f>
        <v>6.1599999999999997E-3</v>
      </c>
      <c r="M763" s="93" t="str">
        <f>VLOOKUP(A763,'Parameters Summary'!$B$2:$AB$826,8,FALSE)</f>
        <v>PHYSPROP</v>
      </c>
      <c r="N763" s="91">
        <f>VLOOKUP(A763,'Parameters Summary'!$B$2:$AB$826,6,FALSE)</f>
        <v>0.2518397</v>
      </c>
      <c r="O763" s="91">
        <f t="shared" si="74"/>
        <v>0.2518397</v>
      </c>
      <c r="P763" s="91">
        <f t="shared" si="75"/>
        <v>0.2518397</v>
      </c>
      <c r="Q763" s="91">
        <f t="shared" si="73"/>
        <v>0.2518397</v>
      </c>
      <c r="R763" s="91">
        <f t="shared" si="76"/>
        <v>0.2518397</v>
      </c>
      <c r="S763" s="91">
        <f t="shared" si="78"/>
        <v>13582413.672570925</v>
      </c>
      <c r="T763" s="93">
        <f>VLOOKUP(A763,'Parameters Summary'!$B$2:$AB$826,15,FALSE)</f>
        <v>6.0675399999999997E-2</v>
      </c>
      <c r="U763" s="93" t="str">
        <f>VLOOKUP(A763,'Parameters Summary'!$B$2:$AB$826,17,FALSE)</f>
        <v>WATER9 (U.S. EPA, 2001)</v>
      </c>
      <c r="V763" s="93">
        <f>VLOOKUP(A763,'Parameters Summary'!$B$2:$AB$826,16,FALSE)</f>
        <v>7.9209000000000007E-6</v>
      </c>
      <c r="W763" s="379" t="str">
        <f>VLOOKUP(A763,'Parameters Summary'!$B$2:$AB$826,17,FALSE)</f>
        <v>WATER9 (U.S. EPA, 2001)</v>
      </c>
      <c r="X763" s="290">
        <v>442.3</v>
      </c>
      <c r="Y763" s="96" t="s">
        <v>553</v>
      </c>
      <c r="Z763" s="96">
        <v>649.16999999999996</v>
      </c>
      <c r="AA763" s="96" t="s">
        <v>2221</v>
      </c>
      <c r="AB763" s="96">
        <v>9368.7999999999993</v>
      </c>
      <c r="AC763" s="96" t="s">
        <v>2215</v>
      </c>
      <c r="AD763" s="93">
        <f>VLOOKUP(A763,'Parameters Summary'!$B$2:$AB$826,20,FALSE)</f>
        <v>614.29999999999995</v>
      </c>
      <c r="AE763" s="97" t="str">
        <f>VLOOKUP(A763,'Parameters Summary'!$B$2:$AB$826,21,FALSE)</f>
        <v>EPI</v>
      </c>
      <c r="AF763" s="380">
        <v>0.9</v>
      </c>
      <c r="AG763" s="97" t="s">
        <v>302</v>
      </c>
      <c r="AH763" s="92"/>
      <c r="AI763" s="96"/>
      <c r="AJ763" s="330"/>
      <c r="AL763" s="81"/>
    </row>
    <row r="764" spans="1:38" ht="12.75" customHeight="1">
      <c r="A764" s="95" t="s">
        <v>333</v>
      </c>
      <c r="B764" s="96" t="s">
        <v>545</v>
      </c>
      <c r="C764" s="96" t="str">
        <f t="shared" si="77"/>
        <v>Yes</v>
      </c>
      <c r="D764" s="96" t="str">
        <f>VLOOKUP(A764,'Tox Summary'!$O$3:$R$824,3,FALSE)</f>
        <v>No</v>
      </c>
      <c r="E764" s="97">
        <v>120.2</v>
      </c>
      <c r="F764" s="97" t="s">
        <v>1620</v>
      </c>
      <c r="G764" s="93">
        <f>VLOOKUP(A764,'Parameters Summary'!$B$2:$AB$826,9,FALSE)</f>
        <v>2.48</v>
      </c>
      <c r="H764" s="93" t="str">
        <f>VLOOKUP(A764,'Parameters Summary'!$B$2:$AB$826,10,FALSE)</f>
        <v>PHYSPROP</v>
      </c>
      <c r="I764" s="93">
        <f>VLOOKUP(A764,'Parameters Summary'!$B$2:$AB$826,24,FALSE)</f>
        <v>48.2</v>
      </c>
      <c r="J764" s="97" t="str">
        <f>VLOOKUP(A764,'Parameters Summary'!$B$2:$AB$826,25,FALSE)</f>
        <v>PHYSPROP</v>
      </c>
      <c r="K764" s="97" t="str">
        <f>VLOOKUP(A764,'Tox Summary'!$O$4:$P$824,2,FALSE)</f>
        <v/>
      </c>
      <c r="L764" s="93">
        <f>VLOOKUP(A764,'Parameters Summary'!$B$2:$AB$826,7,FALSE)</f>
        <v>8.77E-3</v>
      </c>
      <c r="M764" s="93" t="str">
        <f>VLOOKUP(A764,'Parameters Summary'!$B$2:$AB$826,8,FALSE)</f>
        <v>PHYSPROP</v>
      </c>
      <c r="N764" s="91">
        <f>VLOOKUP(A764,'Parameters Summary'!$B$2:$AB$826,6,FALSE)</f>
        <v>0.35854459999999999</v>
      </c>
      <c r="O764" s="91">
        <f t="shared" si="74"/>
        <v>0.35854459999999999</v>
      </c>
      <c r="P764" s="91">
        <f t="shared" si="75"/>
        <v>0.35854459999999999</v>
      </c>
      <c r="Q764" s="91">
        <f t="shared" si="73"/>
        <v>0.35854459999999999</v>
      </c>
      <c r="R764" s="91">
        <f t="shared" si="76"/>
        <v>0.35854459999999999</v>
      </c>
      <c r="S764" s="91">
        <f t="shared" si="78"/>
        <v>16040183.765702806</v>
      </c>
      <c r="T764" s="93">
        <f>VLOOKUP(A764,'Parameters Summary'!$B$2:$AB$826,15,FALSE)</f>
        <v>6.0225399999999998E-2</v>
      </c>
      <c r="U764" s="93" t="str">
        <f>VLOOKUP(A764,'Parameters Summary'!$B$2:$AB$826,17,FALSE)</f>
        <v>WATER9 (U.S. EPA, 2001)</v>
      </c>
      <c r="V764" s="93">
        <f>VLOOKUP(A764,'Parameters Summary'!$B$2:$AB$826,16,FALSE)</f>
        <v>7.8429999999999993E-6</v>
      </c>
      <c r="W764" s="379" t="str">
        <f>VLOOKUP(A764,'Parameters Summary'!$B$2:$AB$826,17,FALSE)</f>
        <v>WATER9 (U.S. EPA, 2001)</v>
      </c>
      <c r="X764" s="290">
        <v>437.7</v>
      </c>
      <c r="Y764" s="96" t="s">
        <v>553</v>
      </c>
      <c r="Z764" s="96">
        <v>637.25</v>
      </c>
      <c r="AA764" s="96" t="s">
        <v>2221</v>
      </c>
      <c r="AB764" s="96">
        <v>9321</v>
      </c>
      <c r="AC764" s="96" t="s">
        <v>2215</v>
      </c>
      <c r="AD764" s="93">
        <f>VLOOKUP(A764,'Parameters Summary'!$B$2:$AB$826,20,FALSE)</f>
        <v>602.1</v>
      </c>
      <c r="AE764" s="97" t="str">
        <f>VLOOKUP(A764,'Parameters Summary'!$B$2:$AB$826,21,FALSE)</f>
        <v>EPI</v>
      </c>
      <c r="AF764" s="380"/>
      <c r="AG764" s="97"/>
      <c r="AH764" s="92"/>
      <c r="AI764" s="96"/>
      <c r="AJ764" s="330"/>
      <c r="AL764" s="81"/>
    </row>
    <row r="765" spans="1:38" ht="12.75" customHeight="1">
      <c r="A765" s="96" t="s">
        <v>2292</v>
      </c>
      <c r="B765" s="96" t="s">
        <v>2295</v>
      </c>
      <c r="C765" s="96" t="str">
        <f t="shared" si="77"/>
        <v>Yes</v>
      </c>
      <c r="D765" s="96" t="str">
        <f>VLOOKUP(A765,'Tox Summary'!$O$3:$R$824,3,FALSE)</f>
        <v>Yes</v>
      </c>
      <c r="E765" s="97">
        <v>112.22</v>
      </c>
      <c r="F765" s="97" t="s">
        <v>1620</v>
      </c>
      <c r="G765" s="93">
        <f>VLOOKUP(A765,'Parameters Summary'!$B$2:$AB$826,9,FALSE)</f>
        <v>71</v>
      </c>
      <c r="H765" s="93" t="str">
        <f>VLOOKUP(A765,'Parameters Summary'!$B$2:$AB$826,10,FALSE)</f>
        <v>PHYSPROP</v>
      </c>
      <c r="I765" s="93">
        <f>VLOOKUP(A765,'Parameters Summary'!$B$2:$AB$826,24,FALSE)</f>
        <v>4.04</v>
      </c>
      <c r="J765" s="97" t="str">
        <f>VLOOKUP(A765,'Parameters Summary'!$B$2:$AB$826,25,FALSE)</f>
        <v>PHYSPROP</v>
      </c>
      <c r="K765" s="97" t="str">
        <f>VLOOKUP(A765,'Tox Summary'!$O$4:$P$824,2,FALSE)</f>
        <v/>
      </c>
      <c r="L765" s="93">
        <f>VLOOKUP(A765,'Parameters Summary'!$B$2:$AB$826,7,FALSE)</f>
        <v>0.746</v>
      </c>
      <c r="M765" s="93" t="str">
        <f>VLOOKUP(A765,'Parameters Summary'!$B$2:$AB$826,8,FALSE)</f>
        <v>PHYSPROP</v>
      </c>
      <c r="N765" s="91">
        <f>VLOOKUP(A765,'Parameters Summary'!$B$2:$AB$826,6,FALSE)</f>
        <v>30.498774000000001</v>
      </c>
      <c r="O765" s="91" t="str">
        <f t="shared" si="74"/>
        <v/>
      </c>
      <c r="P765" s="91">
        <f t="shared" si="75"/>
        <v>30.498774000000001</v>
      </c>
      <c r="Q765" s="91" t="str">
        <f t="shared" si="73"/>
        <v/>
      </c>
      <c r="R765" s="91">
        <f t="shared" si="76"/>
        <v>30.498774000000001</v>
      </c>
      <c r="S765" s="91" t="str">
        <f t="shared" si="78"/>
        <v/>
      </c>
      <c r="T765" s="93">
        <f>VLOOKUP(A765,'Parameters Summary'!$B$2:$AB$826,15,FALSE)</f>
        <v>5.9521699999999997E-2</v>
      </c>
      <c r="U765" s="93" t="str">
        <f>VLOOKUP(A765,'Parameters Summary'!$B$2:$AB$826,17,FALSE)</f>
        <v>WATER9 (U.S. EPA, 2001)</v>
      </c>
      <c r="V765" s="93">
        <f>VLOOKUP(A765,'Parameters Summary'!$B$2:$AB$826,16,FALSE)</f>
        <v>7.3081999999999998E-6</v>
      </c>
      <c r="W765" s="379" t="str">
        <f>VLOOKUP(A765,'Parameters Summary'!$B$2:$AB$826,17,FALSE)</f>
        <v>WATER9 (U.S. EPA, 2001)</v>
      </c>
      <c r="X765" s="347">
        <v>374.15</v>
      </c>
      <c r="Y765" s="96" t="s">
        <v>1620</v>
      </c>
      <c r="Z765" s="96">
        <v>566.79999999999995</v>
      </c>
      <c r="AA765" s="96" t="s">
        <v>2038</v>
      </c>
      <c r="AB765" s="96" t="s">
        <v>1651</v>
      </c>
      <c r="AC765" s="96"/>
      <c r="AD765" s="93">
        <f>VLOOKUP(A765,'Parameters Summary'!$B$2:$AB$826,20,FALSE)</f>
        <v>240.3</v>
      </c>
      <c r="AE765" s="97" t="str">
        <f>VLOOKUP(A765,'Parameters Summary'!$B$2:$AB$826,21,FALSE)</f>
        <v>EPI</v>
      </c>
      <c r="AF765" s="97"/>
      <c r="AG765" s="94"/>
      <c r="AH765" s="92"/>
      <c r="AI765" s="96"/>
      <c r="AJ765" s="330"/>
      <c r="AL765" s="81"/>
    </row>
    <row r="766" spans="1:38" ht="12.75" customHeight="1">
      <c r="A766" s="96" t="s">
        <v>1442</v>
      </c>
      <c r="B766" s="96" t="s">
        <v>1381</v>
      </c>
      <c r="C766" s="96" t="str">
        <f t="shared" si="77"/>
        <v>Yes</v>
      </c>
      <c r="D766" s="96" t="str">
        <f>VLOOKUP(A766,'Tox Summary'!$O$3:$R$824,3,FALSE)</f>
        <v>Yes</v>
      </c>
      <c r="E766" s="97">
        <v>291.05</v>
      </c>
      <c r="F766" s="97" t="s">
        <v>1620</v>
      </c>
      <c r="G766" s="93">
        <f>VLOOKUP(A766,'Parameters Summary'!$B$2:$AB$826,9,FALSE)</f>
        <v>3.9899999999999998E-2</v>
      </c>
      <c r="H766" s="93" t="str">
        <f>VLOOKUP(A766,'Parameters Summary'!$B$2:$AB$826,10,FALSE)</f>
        <v>PHYSPROP</v>
      </c>
      <c r="I766" s="93">
        <f>VLOOKUP(A766,'Parameters Summary'!$B$2:$AB$826,24,FALSE)</f>
        <v>7.3000000000000001E-3</v>
      </c>
      <c r="J766" s="97" t="str">
        <f>VLOOKUP(A766,'Parameters Summary'!$B$2:$AB$826,25,FALSE)</f>
        <v>PHYSPROP</v>
      </c>
      <c r="K766" s="97" t="str">
        <f>VLOOKUP(A766,'Tox Summary'!$O$4:$P$824,2,FALSE)</f>
        <v/>
      </c>
      <c r="L766" s="93">
        <f>VLOOKUP(A766,'Parameters Summary'!$B$2:$AB$826,7,FALSE)</f>
        <v>1.52</v>
      </c>
      <c r="M766" s="93" t="str">
        <f>VLOOKUP(A766,'Parameters Summary'!$B$2:$AB$826,8,FALSE)</f>
        <v>PHYSPROP</v>
      </c>
      <c r="N766" s="91">
        <f>VLOOKUP(A766,'Parameters Summary'!$B$2:$AB$826,6,FALSE)</f>
        <v>62.142273000000003</v>
      </c>
      <c r="O766" s="91" t="str">
        <f t="shared" si="74"/>
        <v/>
      </c>
      <c r="P766" s="91">
        <f t="shared" si="75"/>
        <v>62.142273000000003</v>
      </c>
      <c r="Q766" s="91" t="str">
        <f t="shared" si="73"/>
        <v/>
      </c>
      <c r="R766" s="91">
        <f t="shared" si="76"/>
        <v>62.142273000000003</v>
      </c>
      <c r="S766" s="91" t="str">
        <f t="shared" si="78"/>
        <v/>
      </c>
      <c r="T766" s="93">
        <f>VLOOKUP(A766,'Parameters Summary'!$B$2:$AB$826,15,FALSE)</f>
        <v>2.1473800000000001E-2</v>
      </c>
      <c r="U766" s="93" t="str">
        <f>VLOOKUP(A766,'Parameters Summary'!$B$2:$AB$826,17,FALSE)</f>
        <v>WATER9 (U.S. EPA, 2001)</v>
      </c>
      <c r="V766" s="93">
        <f>VLOOKUP(A766,'Parameters Summary'!$B$2:$AB$826,16,FALSE)</f>
        <v>5.3510000000000001E-6</v>
      </c>
      <c r="W766" s="379" t="str">
        <f>VLOOKUP(A766,'Parameters Summary'!$B$2:$AB$826,17,FALSE)</f>
        <v>WATER9 (U.S. EPA, 2001)</v>
      </c>
      <c r="X766" s="290">
        <v>353.15</v>
      </c>
      <c r="Y766" s="96" t="s">
        <v>553</v>
      </c>
      <c r="Z766" s="96">
        <f>1.5*X766</f>
        <v>529.72499999999991</v>
      </c>
      <c r="AA766" s="96" t="s">
        <v>2220</v>
      </c>
      <c r="AB766" s="96" t="s">
        <v>1651</v>
      </c>
      <c r="AC766" s="96"/>
      <c r="AD766" s="93">
        <f>VLOOKUP(A766,'Parameters Summary'!$B$2:$AB$826,20,FALSE)</f>
        <v>8091</v>
      </c>
      <c r="AE766" s="97" t="str">
        <f>VLOOKUP(A766,'Parameters Summary'!$B$2:$AB$826,21,FALSE)</f>
        <v>EPI</v>
      </c>
      <c r="AF766" s="97"/>
      <c r="AG766" s="94"/>
      <c r="AH766" s="92"/>
      <c r="AI766" s="96"/>
      <c r="AJ766" s="330"/>
      <c r="AL766" s="81"/>
    </row>
    <row r="767" spans="1:38">
      <c r="A767" s="96" t="s">
        <v>334</v>
      </c>
      <c r="B767" s="96" t="s">
        <v>1379</v>
      </c>
      <c r="C767" s="96" t="str">
        <f t="shared" si="77"/>
        <v>No</v>
      </c>
      <c r="D767" s="96" t="str">
        <f>VLOOKUP(A767,'Tox Summary'!$O$3:$R$824,3,FALSE)</f>
        <v>Yes</v>
      </c>
      <c r="E767" s="97">
        <v>213.11</v>
      </c>
      <c r="F767" s="97" t="s">
        <v>1620</v>
      </c>
      <c r="G767" s="93">
        <f>VLOOKUP(A767,'Parameters Summary'!$B$2:$AB$826,9,FALSE)</f>
        <v>6.4400000000000002E-6</v>
      </c>
      <c r="H767" s="93" t="str">
        <f>VLOOKUP(A767,'Parameters Summary'!$B$2:$AB$826,10,FALSE)</f>
        <v>EPI</v>
      </c>
      <c r="I767" s="93">
        <f>VLOOKUP(A767,'Parameters Summary'!$B$2:$AB$826,24,FALSE)</f>
        <v>278</v>
      </c>
      <c r="J767" s="97" t="str">
        <f>VLOOKUP(A767,'Parameters Summary'!$B$2:$AB$826,25,FALSE)</f>
        <v>PHYSPROP</v>
      </c>
      <c r="K767" s="97" t="str">
        <f>VLOOKUP(A767,'Tox Summary'!$O$4:$P$824,2,FALSE)</f>
        <v/>
      </c>
      <c r="L767" s="93">
        <f>VLOOKUP(A767,'Parameters Summary'!$B$2:$AB$826,7,FALSE)</f>
        <v>6.5000000000000003E-9</v>
      </c>
      <c r="M767" s="93" t="str">
        <f>VLOOKUP(A767,'Parameters Summary'!$B$2:$AB$826,8,FALSE)</f>
        <v>EPI</v>
      </c>
      <c r="N767" s="91">
        <f>VLOOKUP(A767,'Parameters Summary'!$B$2:$AB$826,6,FALSE)</f>
        <v>2.6574E-7</v>
      </c>
      <c r="O767" s="91" t="str">
        <f t="shared" si="74"/>
        <v/>
      </c>
      <c r="P767" s="91">
        <f t="shared" si="75"/>
        <v>2.6574E-7</v>
      </c>
      <c r="Q767" s="91" t="str">
        <f t="shared" si="73"/>
        <v/>
      </c>
      <c r="R767" s="91">
        <f t="shared" si="76"/>
        <v>2.6574E-7</v>
      </c>
      <c r="S767" s="91" t="str">
        <f t="shared" si="78"/>
        <v/>
      </c>
      <c r="T767" s="93">
        <f>VLOOKUP(A767,'Parameters Summary'!$B$2:$AB$826,15,FALSE)</f>
        <v>2.8968500000000001E-2</v>
      </c>
      <c r="U767" s="93" t="str">
        <f>VLOOKUP(A767,'Parameters Summary'!$B$2:$AB$826,17,FALSE)</f>
        <v>WATER9 (U.S. EPA, 2001)</v>
      </c>
      <c r="V767" s="93">
        <f>VLOOKUP(A767,'Parameters Summary'!$B$2:$AB$826,16,FALSE)</f>
        <v>7.6882000000000004E-6</v>
      </c>
      <c r="W767" s="379" t="str">
        <f>VLOOKUP(A767,'Parameters Summary'!$B$2:$AB$826,17,FALSE)</f>
        <v>WATER9 (U.S. EPA, 2001)</v>
      </c>
      <c r="X767" s="290">
        <v>588.15</v>
      </c>
      <c r="Y767" s="96" t="s">
        <v>553</v>
      </c>
      <c r="Z767" s="96">
        <f>1.5*X767</f>
        <v>882.22499999999991</v>
      </c>
      <c r="AA767" s="96" t="s">
        <v>2220</v>
      </c>
      <c r="AB767" s="96" t="s">
        <v>1651</v>
      </c>
      <c r="AC767" s="96"/>
      <c r="AD767" s="93">
        <f>VLOOKUP(A767,'Parameters Summary'!$B$2:$AB$826,20,FALSE)</f>
        <v>1683</v>
      </c>
      <c r="AE767" s="97" t="str">
        <f>VLOOKUP(A767,'Parameters Summary'!$B$2:$AB$826,21,FALSE)</f>
        <v>EPI</v>
      </c>
      <c r="AF767" s="97"/>
      <c r="AG767" s="94"/>
      <c r="AH767" s="92"/>
      <c r="AI767" s="96"/>
      <c r="AJ767" s="330"/>
      <c r="AL767" s="81"/>
    </row>
    <row r="768" spans="1:38">
      <c r="A768" s="96" t="s">
        <v>335</v>
      </c>
      <c r="B768" s="96" t="s">
        <v>1380</v>
      </c>
      <c r="C768" s="96" t="str">
        <f t="shared" si="77"/>
        <v>No</v>
      </c>
      <c r="D768" s="96" t="str">
        <f>VLOOKUP(A768,'Tox Summary'!$O$3:$R$824,3,FALSE)</f>
        <v>Yes</v>
      </c>
      <c r="E768" s="97">
        <v>227.13</v>
      </c>
      <c r="F768" s="97" t="s">
        <v>1620</v>
      </c>
      <c r="G768" s="93">
        <f>VLOOKUP(A768,'Parameters Summary'!$B$2:$AB$826,9,FALSE)</f>
        <v>8.0199999999999994E-6</v>
      </c>
      <c r="H768" s="93" t="str">
        <f>VLOOKUP(A768,'Parameters Summary'!$B$2:$AB$826,10,FALSE)</f>
        <v>PHYSPROP</v>
      </c>
      <c r="I768" s="93">
        <f>VLOOKUP(A768,'Parameters Summary'!$B$2:$AB$826,24,FALSE)</f>
        <v>115</v>
      </c>
      <c r="J768" s="97" t="str">
        <f>VLOOKUP(A768,'Parameters Summary'!$B$2:$AB$826,25,FALSE)</f>
        <v>PHYSPROP</v>
      </c>
      <c r="K768" s="97" t="str">
        <f>VLOOKUP(A768,'Tox Summary'!$O$4:$P$824,2,FALSE)</f>
        <v/>
      </c>
      <c r="L768" s="93">
        <f>VLOOKUP(A768,'Parameters Summary'!$B$2:$AB$826,7,FALSE)</f>
        <v>2.0800000000000001E-8</v>
      </c>
      <c r="M768" s="93" t="str">
        <f>VLOOKUP(A768,'Parameters Summary'!$B$2:$AB$826,8,FALSE)</f>
        <v>EPI</v>
      </c>
      <c r="N768" s="91">
        <f>VLOOKUP(A768,'Parameters Summary'!$B$2:$AB$826,6,FALSE)</f>
        <v>8.5036999999999996E-7</v>
      </c>
      <c r="O768" s="91" t="str">
        <f t="shared" si="74"/>
        <v/>
      </c>
      <c r="P768" s="91">
        <f t="shared" si="75"/>
        <v>8.5036999999999996E-7</v>
      </c>
      <c r="Q768" s="91" t="str">
        <f t="shared" si="73"/>
        <v/>
      </c>
      <c r="R768" s="91">
        <f t="shared" si="76"/>
        <v>8.5036999999999996E-7</v>
      </c>
      <c r="S768" s="91" t="str">
        <f t="shared" si="78"/>
        <v/>
      </c>
      <c r="T768" s="93">
        <f>VLOOKUP(A768,'Parameters Summary'!$B$2:$AB$826,15,FALSE)</f>
        <v>2.9509299999999999E-2</v>
      </c>
      <c r="U768" s="93" t="str">
        <f>VLOOKUP(A768,'Parameters Summary'!$B$2:$AB$826,17,FALSE)</f>
        <v>WATER9 (U.S. EPA, 2001)</v>
      </c>
      <c r="V768" s="93">
        <f>VLOOKUP(A768,'Parameters Summary'!$B$2:$AB$826,16,FALSE)</f>
        <v>7.9181999999999998E-6</v>
      </c>
      <c r="W768" s="379" t="str">
        <f>VLOOKUP(A768,'Parameters Summary'!$B$2:$AB$826,17,FALSE)</f>
        <v>WATER9 (U.S. EPA, 2001)</v>
      </c>
      <c r="X768" s="347"/>
      <c r="Y768" s="96"/>
      <c r="Z768" s="96" t="s">
        <v>1653</v>
      </c>
      <c r="AA768" s="96"/>
      <c r="AB768" s="96" t="s">
        <v>1651</v>
      </c>
      <c r="AC768" s="96"/>
      <c r="AD768" s="93">
        <f>VLOOKUP(A768,'Parameters Summary'!$B$2:$AB$826,20,FALSE)</f>
        <v>2812</v>
      </c>
      <c r="AE768" s="97" t="str">
        <f>VLOOKUP(A768,'Parameters Summary'!$B$2:$AB$826,21,FALSE)</f>
        <v>EPI</v>
      </c>
      <c r="AF768" s="97"/>
      <c r="AG768" s="94"/>
      <c r="AH768" s="92"/>
      <c r="AI768" s="96"/>
      <c r="AJ768" s="330"/>
      <c r="AL768" s="81"/>
    </row>
    <row r="769" spans="1:38" ht="12.75" customHeight="1">
      <c r="A769" s="96" t="s">
        <v>336</v>
      </c>
      <c r="B769" s="96" t="s">
        <v>546</v>
      </c>
      <c r="C769" s="96" t="str">
        <f t="shared" si="77"/>
        <v>No</v>
      </c>
      <c r="D769" s="96" t="str">
        <f>VLOOKUP(A769,'Tox Summary'!$O$3:$R$824,3,FALSE)</f>
        <v>No</v>
      </c>
      <c r="E769" s="97">
        <v>278.29000000000002</v>
      </c>
      <c r="F769" s="97" t="s">
        <v>1620</v>
      </c>
      <c r="G769" s="93">
        <f>VLOOKUP(A769,'Parameters Summary'!$B$2:$AB$826,9,FALSE)</f>
        <v>2.6000000000000001E-9</v>
      </c>
      <c r="H769" s="93" t="str">
        <f>VLOOKUP(A769,'Parameters Summary'!$B$2:$AB$826,10,FALSE)</f>
        <v>EPI</v>
      </c>
      <c r="I769" s="93">
        <f>VLOOKUP(A769,'Parameters Summary'!$B$2:$AB$826,24,FALSE)</f>
        <v>62.76</v>
      </c>
      <c r="J769" s="97" t="str">
        <f>VLOOKUP(A769,'Parameters Summary'!$B$2:$AB$826,25,FALSE)</f>
        <v>PHYSPROP</v>
      </c>
      <c r="K769" s="97" t="str">
        <f>VLOOKUP(A769,'Tox Summary'!$O$4:$P$824,2,FALSE)</f>
        <v/>
      </c>
      <c r="L769" s="93">
        <f>VLOOKUP(A769,'Parameters Summary'!$B$2:$AB$826,7,FALSE)</f>
        <v>5.2600000000000004E-10</v>
      </c>
      <c r="M769" s="93" t="str">
        <f>VLOOKUP(A769,'Parameters Summary'!$B$2:$AB$826,8,FALSE)</f>
        <v>PHYSPROP</v>
      </c>
      <c r="N769" s="91">
        <f>VLOOKUP(A769,'Parameters Summary'!$B$2:$AB$826,6,FALSE)</f>
        <v>2.1503999999999999E-8</v>
      </c>
      <c r="O769" s="91" t="str">
        <f t="shared" si="74"/>
        <v/>
      </c>
      <c r="P769" s="91">
        <f t="shared" si="75"/>
        <v>2.1503999999999999E-8</v>
      </c>
      <c r="Q769" s="91" t="str">
        <f t="shared" si="73"/>
        <v/>
      </c>
      <c r="R769" s="91">
        <f t="shared" si="76"/>
        <v>2.1503999999999999E-8</v>
      </c>
      <c r="S769" s="91" t="str">
        <f t="shared" si="78"/>
        <v/>
      </c>
      <c r="T769" s="93">
        <f>VLOOKUP(A769,'Parameters Summary'!$B$2:$AB$826,15,FALSE)</f>
        <v>2.3004899999999998E-2</v>
      </c>
      <c r="U769" s="93" t="str">
        <f>VLOOKUP(A769,'Parameters Summary'!$B$2:$AB$826,17,FALSE)</f>
        <v>WATER9 (U.S. EPA, 2001)</v>
      </c>
      <c r="V769" s="93">
        <f>VLOOKUP(A769,'Parameters Summary'!$B$2:$AB$826,16,FALSE)</f>
        <v>5.8177999999999996E-6</v>
      </c>
      <c r="W769" s="379" t="str">
        <f>VLOOKUP(A769,'Parameters Summary'!$B$2:$AB$826,17,FALSE)</f>
        <v>WATER9 (U.S. EPA, 2001)</v>
      </c>
      <c r="X769" s="290">
        <v>633.15</v>
      </c>
      <c r="Y769" s="96" t="s">
        <v>553</v>
      </c>
      <c r="Z769" s="96">
        <f>1.5*X769</f>
        <v>949.72499999999991</v>
      </c>
      <c r="AA769" s="96" t="s">
        <v>2220</v>
      </c>
      <c r="AB769" s="96" t="s">
        <v>1651</v>
      </c>
      <c r="AC769" s="96"/>
      <c r="AD769" s="93">
        <f>VLOOKUP(A769,'Parameters Summary'!$B$2:$AB$826,20,FALSE)</f>
        <v>1954</v>
      </c>
      <c r="AE769" s="97" t="str">
        <f>VLOOKUP(A769,'Parameters Summary'!$B$2:$AB$826,21,FALSE)</f>
        <v>EPI</v>
      </c>
      <c r="AF769" s="97"/>
      <c r="AG769" s="94"/>
      <c r="AH769" s="92"/>
      <c r="AI769" s="96"/>
      <c r="AJ769" s="330"/>
      <c r="AL769" s="81"/>
    </row>
    <row r="770" spans="1:38" ht="12.75" customHeight="1">
      <c r="A770" s="96" t="s">
        <v>1610</v>
      </c>
      <c r="B770" s="96" t="s">
        <v>2408</v>
      </c>
      <c r="C770" s="96" t="str">
        <f t="shared" si="77"/>
        <v>No</v>
      </c>
      <c r="D770" s="96" t="str">
        <f>VLOOKUP(A770,'Tox Summary'!$O$3:$R$824,3,FALSE)</f>
        <v>No</v>
      </c>
      <c r="E770" s="97">
        <v>212.27</v>
      </c>
      <c r="F770" s="97" t="s">
        <v>553</v>
      </c>
      <c r="G770" s="93" t="s">
        <v>2439</v>
      </c>
      <c r="H770" s="93" t="str">
        <f>VLOOKUP(A770,'Parameters Summary'!$B$2:$AB$826,10,FALSE)</f>
        <v/>
      </c>
      <c r="I770" s="93" t="s">
        <v>2440</v>
      </c>
      <c r="J770" s="97" t="str">
        <f>VLOOKUP(A770,'Parameters Summary'!$B$2:$AB$826,25,FALSE)</f>
        <v/>
      </c>
      <c r="K770" s="97" t="str">
        <f>VLOOKUP(A770,'Tox Summary'!$O$4:$P$824,2,FALSE)</f>
        <v/>
      </c>
      <c r="L770" s="93" t="s">
        <v>2298</v>
      </c>
      <c r="M770" s="93" t="str">
        <f>VLOOKUP(A770,'Parameters Summary'!$B$2:$AB$826,8,FALSE)</f>
        <v/>
      </c>
      <c r="N770" s="91" t="str">
        <f>VLOOKUP(A770,'Parameters Summary'!$B$2:$AB$826,6,FALSE)</f>
        <v xml:space="preserve"> </v>
      </c>
      <c r="O770" s="91" t="str">
        <f t="shared" si="74"/>
        <v/>
      </c>
      <c r="P770" s="91" t="str">
        <f t="shared" si="75"/>
        <v xml:space="preserve"> </v>
      </c>
      <c r="Q770" s="91" t="str">
        <f t="shared" si="73"/>
        <v/>
      </c>
      <c r="R770" s="91" t="str">
        <f t="shared" si="76"/>
        <v xml:space="preserve"> </v>
      </c>
      <c r="S770" s="91" t="str">
        <f t="shared" si="78"/>
        <v/>
      </c>
      <c r="T770" s="93" t="str">
        <f>VLOOKUP(A770,'Parameters Summary'!$B$2:$AB$826,15,FALSE)</f>
        <v xml:space="preserve"> </v>
      </c>
      <c r="U770" s="93" t="str">
        <f>VLOOKUP(A770,'Parameters Summary'!$B$2:$AB$826,17,FALSE)</f>
        <v/>
      </c>
      <c r="V770" s="93" t="str">
        <f>VLOOKUP(A770,'Parameters Summary'!$B$2:$AB$826,16,FALSE)</f>
        <v xml:space="preserve"> </v>
      </c>
      <c r="W770" s="379" t="str">
        <f>VLOOKUP(A770,'Parameters Summary'!$B$2:$AB$826,17,FALSE)</f>
        <v/>
      </c>
      <c r="X770" s="347"/>
      <c r="Y770" s="96"/>
      <c r="Z770" s="96" t="s">
        <v>1653</v>
      </c>
      <c r="AA770" s="96"/>
      <c r="AB770" s="96" t="s">
        <v>1651</v>
      </c>
      <c r="AC770" s="96"/>
      <c r="AD770" s="93" t="str">
        <f>VLOOKUP(A770,'Parameters Summary'!$B$2:$AB$826,20,FALSE)</f>
        <v xml:space="preserve"> </v>
      </c>
      <c r="AE770" s="97" t="str">
        <f>VLOOKUP(A770,'Parameters Summary'!$B$2:$AB$826,21,FALSE)</f>
        <v/>
      </c>
      <c r="AF770" s="97"/>
      <c r="AG770" s="94"/>
      <c r="AH770" s="92"/>
      <c r="AI770" s="96"/>
      <c r="AJ770" s="330"/>
      <c r="AL770" s="81"/>
    </row>
    <row r="771" spans="1:38" ht="12.75" customHeight="1">
      <c r="A771" s="96" t="s">
        <v>2035</v>
      </c>
      <c r="B771" s="96" t="s">
        <v>2034</v>
      </c>
      <c r="C771" s="96" t="str">
        <f t="shared" si="77"/>
        <v>No</v>
      </c>
      <c r="D771" s="96" t="str">
        <f>VLOOKUP(A771,'Tox Summary'!$O$3:$R$824,3,FALSE)</f>
        <v>Yes</v>
      </c>
      <c r="E771" s="97">
        <v>430.91</v>
      </c>
      <c r="F771" s="97" t="s">
        <v>1620</v>
      </c>
      <c r="G771" s="93">
        <f>VLOOKUP(A771,'Parameters Summary'!$B$2:$AB$826,9,FALSE)</f>
        <v>7.3599999999999997E-8</v>
      </c>
      <c r="H771" s="93" t="str">
        <f>VLOOKUP(A771,'Parameters Summary'!$B$2:$AB$826,10,FALSE)</f>
        <v>PHYSPROP</v>
      </c>
      <c r="I771" s="93">
        <f>VLOOKUP(A771,'Parameters Summary'!$B$2:$AB$826,24,FALSE)</f>
        <v>7</v>
      </c>
      <c r="J771" s="97" t="str">
        <f>VLOOKUP(A771,'Parameters Summary'!$B$2:$AB$826,25,FALSE)</f>
        <v>PHYSPROP</v>
      </c>
      <c r="K771" s="97" t="str">
        <f>VLOOKUP(A771,'Tox Summary'!$O$4:$P$824,2,FALSE)</f>
        <v/>
      </c>
      <c r="L771" s="93">
        <f>VLOOKUP(A771,'Parameters Summary'!$B$2:$AB$826,7,FALSE)</f>
        <v>2.6099999999999999E-9</v>
      </c>
      <c r="M771" s="93" t="str">
        <f>VLOOKUP(A771,'Parameters Summary'!$B$2:$AB$826,8,FALSE)</f>
        <v>PHYSPROP</v>
      </c>
      <c r="N771" s="91">
        <f>VLOOKUP(A771,'Parameters Summary'!$B$2:$AB$826,6,FALSE)</f>
        <v>1.067E-7</v>
      </c>
      <c r="O771" s="91" t="str">
        <f t="shared" si="74"/>
        <v/>
      </c>
      <c r="P771" s="91">
        <f t="shared" si="75"/>
        <v>1.067E-7</v>
      </c>
      <c r="Q771" s="91" t="str">
        <f t="shared" si="73"/>
        <v/>
      </c>
      <c r="R771" s="91">
        <f t="shared" si="76"/>
        <v>1.067E-7</v>
      </c>
      <c r="S771" s="91" t="str">
        <f t="shared" si="78"/>
        <v/>
      </c>
      <c r="T771" s="93">
        <f>VLOOKUP(A771,'Parameters Summary'!$B$2:$AB$826,15,FALSE)</f>
        <v>3.3304E-2</v>
      </c>
      <c r="U771" s="93" t="str">
        <f>VLOOKUP(A771,'Parameters Summary'!$B$2:$AB$826,17,FALSE)</f>
        <v>WATER9 (U.S. EPA, 2001)</v>
      </c>
      <c r="V771" s="93">
        <f>VLOOKUP(A771,'Parameters Summary'!$B$2:$AB$826,16,FALSE)</f>
        <v>3.8913000000000003E-6</v>
      </c>
      <c r="W771" s="379" t="str">
        <f>VLOOKUP(A771,'Parameters Summary'!$B$2:$AB$826,17,FALSE)</f>
        <v>WATER9 (U.S. EPA, 2001)</v>
      </c>
      <c r="X771" s="290">
        <f>273.15+236.5</f>
        <v>509.65</v>
      </c>
      <c r="Y771" s="96" t="s">
        <v>553</v>
      </c>
      <c r="Z771" s="96">
        <f>1.5*X771</f>
        <v>764.47499999999991</v>
      </c>
      <c r="AA771" s="96" t="s">
        <v>2220</v>
      </c>
      <c r="AB771" s="96" t="s">
        <v>1651</v>
      </c>
      <c r="AC771" s="96"/>
      <c r="AD771" s="93">
        <f>VLOOKUP(A771,'Parameters Summary'!$B$2:$AB$826,20,FALSE)</f>
        <v>11130</v>
      </c>
      <c r="AE771" s="97" t="str">
        <f>VLOOKUP(A771,'Parameters Summary'!$B$2:$AB$826,21,FALSE)</f>
        <v>EPI</v>
      </c>
      <c r="AF771" s="97"/>
      <c r="AG771" s="94"/>
      <c r="AH771" s="92"/>
      <c r="AI771" s="96"/>
      <c r="AJ771" s="330"/>
      <c r="AL771" s="81"/>
    </row>
    <row r="772" spans="1:38" ht="12.75" customHeight="1">
      <c r="A772" s="96" t="s">
        <v>2015</v>
      </c>
      <c r="B772" s="96" t="s">
        <v>2014</v>
      </c>
      <c r="C772" s="96" t="str">
        <f t="shared" si="77"/>
        <v>No</v>
      </c>
      <c r="D772" s="96" t="str">
        <f>VLOOKUP(A772,'Tox Summary'!$O$3:$R$824,3,FALSE)</f>
        <v>Yes</v>
      </c>
      <c r="E772" s="97">
        <v>327.57</v>
      </c>
      <c r="F772" s="97" t="s">
        <v>1620</v>
      </c>
      <c r="G772" s="93">
        <f>VLOOKUP(A772,'Parameters Summary'!$B$2:$AB$826,9,FALSE)</f>
        <v>2.02E-5</v>
      </c>
      <c r="H772" s="93" t="str">
        <f>VLOOKUP(A772,'Parameters Summary'!$B$2:$AB$826,10,FALSE)</f>
        <v>PHYSPROP</v>
      </c>
      <c r="I772" s="93">
        <f>VLOOKUP(A772,'Parameters Summary'!$B$2:$AB$826,24,FALSE)</f>
        <v>1200</v>
      </c>
      <c r="J772" s="97" t="str">
        <f>VLOOKUP(A772,'Parameters Summary'!$B$2:$AB$826,25,FALSE)</f>
        <v>PHYSPROP</v>
      </c>
      <c r="K772" s="97" t="str">
        <f>VLOOKUP(A772,'Tox Summary'!$O$4:$P$824,2,FALSE)</f>
        <v/>
      </c>
      <c r="L772" s="93">
        <f>VLOOKUP(A772,'Parameters Summary'!$B$2:$AB$826,7,FALSE)</f>
        <v>5.9599999999999998E-8</v>
      </c>
      <c r="M772" s="93" t="str">
        <f>VLOOKUP(A772,'Parameters Summary'!$B$2:$AB$826,8,FALSE)</f>
        <v>PHYSPROP</v>
      </c>
      <c r="N772" s="91">
        <f>VLOOKUP(A772,'Parameters Summary'!$B$2:$AB$826,6,FALSE)</f>
        <v>2.4366000000000001E-6</v>
      </c>
      <c r="O772" s="91" t="str">
        <f t="shared" si="74"/>
        <v/>
      </c>
      <c r="P772" s="91">
        <f t="shared" si="75"/>
        <v>2.4366000000000001E-6</v>
      </c>
      <c r="Q772" s="91" t="str">
        <f t="shared" si="73"/>
        <v/>
      </c>
      <c r="R772" s="91">
        <f t="shared" si="76"/>
        <v>2.4366000000000001E-6</v>
      </c>
      <c r="S772" s="91" t="str">
        <f t="shared" si="78"/>
        <v/>
      </c>
      <c r="T772" s="93">
        <f>VLOOKUP(A772,'Parameters Summary'!$B$2:$AB$826,15,FALSE)</f>
        <v>3.99838E-2</v>
      </c>
      <c r="U772" s="93" t="str">
        <f>VLOOKUP(A772,'Parameters Summary'!$B$2:$AB$826,17,FALSE)</f>
        <v>WATER9 (U.S. EPA, 2001)</v>
      </c>
      <c r="V772" s="93">
        <f>VLOOKUP(A772,'Parameters Summary'!$B$2:$AB$826,16,FALSE)</f>
        <v>4.6717999999999999E-6</v>
      </c>
      <c r="W772" s="379" t="str">
        <f>VLOOKUP(A772,'Parameters Summary'!$B$2:$AB$826,17,FALSE)</f>
        <v>WATER9 (U.S. EPA, 2001)</v>
      </c>
      <c r="X772" s="290">
        <v>543.15</v>
      </c>
      <c r="Y772" s="96" t="s">
        <v>553</v>
      </c>
      <c r="Z772" s="96">
        <f>1.5*X772</f>
        <v>814.72499999999991</v>
      </c>
      <c r="AA772" s="96" t="s">
        <v>2220</v>
      </c>
      <c r="AB772" s="96" t="s">
        <v>1651</v>
      </c>
      <c r="AC772" s="96"/>
      <c r="AD772" s="93">
        <f>VLOOKUP(A772,'Parameters Summary'!$B$2:$AB$826,20,FALSE)</f>
        <v>1604</v>
      </c>
      <c r="AE772" s="97" t="str">
        <f>VLOOKUP(A772,'Parameters Summary'!$B$2:$AB$826,21,FALSE)</f>
        <v>EPI</v>
      </c>
      <c r="AF772" s="97"/>
      <c r="AG772" s="94"/>
      <c r="AH772" s="92"/>
      <c r="AI772" s="96"/>
      <c r="AJ772" s="330"/>
      <c r="AL772" s="81"/>
    </row>
    <row r="773" spans="1:38" ht="12.75" customHeight="1">
      <c r="A773" s="96" t="s">
        <v>2197</v>
      </c>
      <c r="B773" s="96" t="s">
        <v>2196</v>
      </c>
      <c r="C773" s="96" t="str">
        <f t="shared" si="77"/>
        <v>Yes</v>
      </c>
      <c r="D773" s="96" t="str">
        <f>VLOOKUP(A773,'Tox Summary'!$O$3:$R$824,3,FALSE)</f>
        <v>Yes</v>
      </c>
      <c r="E773" s="97">
        <v>697.62</v>
      </c>
      <c r="F773" s="97" t="s">
        <v>1620</v>
      </c>
      <c r="G773" s="93">
        <f>VLOOKUP(A773,'Parameters Summary'!$B$2:$AB$826,9,FALSE)</f>
        <v>1.9000000000000001E-4</v>
      </c>
      <c r="H773" s="93" t="str">
        <f>VLOOKUP(A773,'Parameters Summary'!$B$2:$AB$826,10,FALSE)</f>
        <v>PHYSPROP</v>
      </c>
      <c r="I773" s="93">
        <f>VLOOKUP(A773,'Parameters Summary'!$B$2:$AB$826,24,FALSE)</f>
        <v>8</v>
      </c>
      <c r="J773" s="97" t="str">
        <f>VLOOKUP(A773,'Parameters Summary'!$B$2:$AB$826,25,FALSE)</f>
        <v>PHYSPROP</v>
      </c>
      <c r="K773" s="97" t="str">
        <f>VLOOKUP(A773,'Tox Summary'!$O$4:$P$824,2,FALSE)</f>
        <v/>
      </c>
      <c r="L773" s="93">
        <f>VLOOKUP(A773,'Parameters Summary'!$B$2:$AB$826,7,FALSE)</f>
        <v>2.1800000000000001E-5</v>
      </c>
      <c r="M773" s="93" t="str">
        <f>VLOOKUP(A773,'Parameters Summary'!$B$2:$AB$826,8,FALSE)</f>
        <v>EPI</v>
      </c>
      <c r="N773" s="91">
        <f>VLOOKUP(A773,'Parameters Summary'!$B$2:$AB$826,6,FALSE)</f>
        <v>8.9130000000000003E-4</v>
      </c>
      <c r="O773" s="91" t="str">
        <f t="shared" si="74"/>
        <v/>
      </c>
      <c r="P773" s="91">
        <f t="shared" si="75"/>
        <v>8.9130000000000003E-4</v>
      </c>
      <c r="Q773" s="91" t="str">
        <f t="shared" si="73"/>
        <v/>
      </c>
      <c r="R773" s="91">
        <f t="shared" si="76"/>
        <v>8.9130000000000003E-4</v>
      </c>
      <c r="S773" s="91" t="str">
        <f t="shared" si="78"/>
        <v/>
      </c>
      <c r="T773" s="93">
        <f>VLOOKUP(A773,'Parameters Summary'!$B$2:$AB$826,15,FALSE)</f>
        <v>1.9401499999999999E-2</v>
      </c>
      <c r="U773" s="93" t="str">
        <f>VLOOKUP(A773,'Parameters Summary'!$B$2:$AB$826,17,FALSE)</f>
        <v>WATER9 (U.S. EPA, 2001)</v>
      </c>
      <c r="V773" s="93">
        <f>VLOOKUP(A773,'Parameters Summary'!$B$2:$AB$826,16,FALSE)</f>
        <v>4.8833000000000003E-6</v>
      </c>
      <c r="W773" s="379" t="str">
        <f>VLOOKUP(A773,'Parameters Summary'!$B$2:$AB$826,17,FALSE)</f>
        <v>WATER9 (U.S. EPA, 2001)</v>
      </c>
      <c r="X773" s="347"/>
      <c r="Y773" s="96"/>
      <c r="Z773" s="96" t="s">
        <v>1653</v>
      </c>
      <c r="AA773" s="96"/>
      <c r="AB773" s="96" t="s">
        <v>1651</v>
      </c>
      <c r="AC773" s="96"/>
      <c r="AD773" s="93">
        <f>VLOOKUP(A773,'Parameters Summary'!$B$2:$AB$826,20,FALSE)</f>
        <v>9706</v>
      </c>
      <c r="AE773" s="97" t="str">
        <f>VLOOKUP(A773,'Parameters Summary'!$B$2:$AB$826,21,FALSE)</f>
        <v>EPI</v>
      </c>
      <c r="AF773" s="97"/>
      <c r="AG773" s="94"/>
      <c r="AH773" s="92"/>
      <c r="AI773" s="96"/>
      <c r="AJ773" s="330"/>
      <c r="AL773" s="81"/>
    </row>
    <row r="774" spans="1:38" ht="12.75" customHeight="1">
      <c r="A774" s="96" t="s">
        <v>337</v>
      </c>
      <c r="B774" s="96" t="s">
        <v>547</v>
      </c>
      <c r="C774" s="96" t="str">
        <f t="shared" si="77"/>
        <v>No</v>
      </c>
      <c r="D774" s="96" t="str">
        <f>VLOOKUP(A774,'Tox Summary'!$O$3:$R$824,3,FALSE)</f>
        <v>Yes</v>
      </c>
      <c r="E774" s="97">
        <v>285.49</v>
      </c>
      <c r="F774" s="97" t="s">
        <v>1620</v>
      </c>
      <c r="G774" s="93">
        <f>VLOOKUP(A774,'Parameters Summary'!$B$2:$AB$826,9,FALSE)</f>
        <v>6.13E-2</v>
      </c>
      <c r="H774" s="93" t="str">
        <f>VLOOKUP(A774,'Parameters Summary'!$B$2:$AB$826,10,FALSE)</f>
        <v>PHYSPROP</v>
      </c>
      <c r="I774" s="93">
        <f>VLOOKUP(A774,'Parameters Summary'!$B$2:$AB$826,24,FALSE)</f>
        <v>7000</v>
      </c>
      <c r="J774" s="97" t="str">
        <f>VLOOKUP(A774,'Parameters Summary'!$B$2:$AB$826,25,FALSE)</f>
        <v>PHYSPROP</v>
      </c>
      <c r="K774" s="97" t="str">
        <f>VLOOKUP(A774,'Tox Summary'!$O$4:$P$824,2,FALSE)</f>
        <v/>
      </c>
      <c r="L774" s="93">
        <f>VLOOKUP(A774,'Parameters Summary'!$B$2:$AB$826,7,FALSE)</f>
        <v>3.2899999999999998E-6</v>
      </c>
      <c r="M774" s="93" t="str">
        <f>VLOOKUP(A774,'Parameters Summary'!$B$2:$AB$826,8,FALSE)</f>
        <v>EPI</v>
      </c>
      <c r="N774" s="91">
        <f>VLOOKUP(A774,'Parameters Summary'!$B$2:$AB$826,6,FALSE)</f>
        <v>1.3449999999999999E-4</v>
      </c>
      <c r="O774" s="91" t="str">
        <f t="shared" si="74"/>
        <v/>
      </c>
      <c r="P774" s="91">
        <f t="shared" si="75"/>
        <v>1.3449999999999999E-4</v>
      </c>
      <c r="Q774" s="91" t="str">
        <f t="shared" si="73"/>
        <v/>
      </c>
      <c r="R774" s="91">
        <f t="shared" si="76"/>
        <v>1.3449999999999999E-4</v>
      </c>
      <c r="S774" s="91" t="str">
        <f t="shared" si="78"/>
        <v/>
      </c>
      <c r="T774" s="93">
        <f>VLOOKUP(A774,'Parameters Summary'!$B$2:$AB$826,15,FALSE)</f>
        <v>2.4218400000000001E-2</v>
      </c>
      <c r="U774" s="93" t="str">
        <f>VLOOKUP(A774,'Parameters Summary'!$B$2:$AB$826,17,FALSE)</f>
        <v>WATER9 (U.S. EPA, 2001)</v>
      </c>
      <c r="V774" s="93">
        <f>VLOOKUP(A774,'Parameters Summary'!$B$2:$AB$826,16,FALSE)</f>
        <v>6.2191000000000003E-6</v>
      </c>
      <c r="W774" s="379" t="str">
        <f>VLOOKUP(A774,'Parameters Summary'!$B$2:$AB$826,17,FALSE)</f>
        <v>WATER9 (U.S. EPA, 2001)</v>
      </c>
      <c r="X774" s="290">
        <v>603.15</v>
      </c>
      <c r="Y774" s="96" t="s">
        <v>553</v>
      </c>
      <c r="Z774" s="96">
        <f>1.5*X774</f>
        <v>904.72499999999991</v>
      </c>
      <c r="AA774" s="96" t="s">
        <v>2220</v>
      </c>
      <c r="AB774" s="96" t="s">
        <v>1651</v>
      </c>
      <c r="AC774" s="96"/>
      <c r="AD774" s="93">
        <f>VLOOKUP(A774,'Parameters Summary'!$B$2:$AB$826,20,FALSE)</f>
        <v>388.3</v>
      </c>
      <c r="AE774" s="97" t="str">
        <f>VLOOKUP(A774,'Parameters Summary'!$B$2:$AB$826,21,FALSE)</f>
        <v>EPI</v>
      </c>
      <c r="AF774" s="97"/>
      <c r="AG774" s="94"/>
      <c r="AH774" s="92"/>
      <c r="AI774" s="96"/>
      <c r="AJ774" s="330"/>
      <c r="AL774" s="81"/>
    </row>
    <row r="775" spans="1:38" ht="12.75" customHeight="1">
      <c r="A775" s="96" t="s">
        <v>338</v>
      </c>
      <c r="B775" s="96" t="s">
        <v>548</v>
      </c>
      <c r="C775" s="96" t="str">
        <f t="shared" si="77"/>
        <v>No</v>
      </c>
      <c r="D775" s="96" t="str">
        <f>VLOOKUP(A775,'Tox Summary'!$O$3:$R$824,3,FALSE)</f>
        <v>No</v>
      </c>
      <c r="E775" s="97">
        <v>434.65</v>
      </c>
      <c r="F775" s="97" t="s">
        <v>1620</v>
      </c>
      <c r="G775" s="93">
        <f>VLOOKUP(A775,'Parameters Summary'!$B$2:$AB$826,9,FALSE)</f>
        <v>8.2500000000000004E-8</v>
      </c>
      <c r="H775" s="93" t="str">
        <f>VLOOKUP(A775,'Parameters Summary'!$B$2:$AB$826,10,FALSE)</f>
        <v>PHYSPROP</v>
      </c>
      <c r="I775" s="93">
        <f>VLOOKUP(A775,'Parameters Summary'!$B$2:$AB$826,24,FALSE)</f>
        <v>0.6</v>
      </c>
      <c r="J775" s="97" t="str">
        <f>VLOOKUP(A775,'Parameters Summary'!$B$2:$AB$826,25,FALSE)</f>
        <v>PHYSPROP</v>
      </c>
      <c r="K775" s="97" t="str">
        <f>VLOOKUP(A775,'Tox Summary'!$O$4:$P$824,2,FALSE)</f>
        <v/>
      </c>
      <c r="L775" s="93">
        <f>VLOOKUP(A775,'Parameters Summary'!$B$2:$AB$826,7,FALSE)</f>
        <v>7.8600000000000002E-8</v>
      </c>
      <c r="M775" s="93" t="str">
        <f>VLOOKUP(A775,'Parameters Summary'!$B$2:$AB$826,8,FALSE)</f>
        <v>EPI</v>
      </c>
      <c r="N775" s="91">
        <f>VLOOKUP(A775,'Parameters Summary'!$B$2:$AB$826,6,FALSE)</f>
        <v>3.2134E-6</v>
      </c>
      <c r="O775" s="91" t="str">
        <f t="shared" si="74"/>
        <v/>
      </c>
      <c r="P775" s="91">
        <f t="shared" si="75"/>
        <v>3.2134E-6</v>
      </c>
      <c r="Q775" s="91" t="str">
        <f t="shared" si="73"/>
        <v/>
      </c>
      <c r="R775" s="91">
        <f t="shared" si="76"/>
        <v>3.2134E-6</v>
      </c>
      <c r="S775" s="91" t="str">
        <f t="shared" si="78"/>
        <v/>
      </c>
      <c r="T775" s="93">
        <f>VLOOKUP(A775,'Parameters Summary'!$B$2:$AB$826,15,FALSE)</f>
        <v>1.64511E-2</v>
      </c>
      <c r="U775" s="93" t="str">
        <f>VLOOKUP(A775,'Parameters Summary'!$B$2:$AB$826,17,FALSE)</f>
        <v>WATER9 (U.S. EPA, 2001)</v>
      </c>
      <c r="V775" s="93">
        <f>VLOOKUP(A775,'Parameters Summary'!$B$2:$AB$826,16,FALSE)</f>
        <v>3.9424999999999999E-6</v>
      </c>
      <c r="W775" s="379" t="str">
        <f>VLOOKUP(A775,'Parameters Summary'!$B$2:$AB$826,17,FALSE)</f>
        <v>WATER9 (U.S. EPA, 2001)</v>
      </c>
      <c r="X775" s="290">
        <v>488.15</v>
      </c>
      <c r="Y775" s="96" t="s">
        <v>553</v>
      </c>
      <c r="Z775" s="96">
        <f>1.5*X775</f>
        <v>732.22499999999991</v>
      </c>
      <c r="AA775" s="96" t="s">
        <v>2220</v>
      </c>
      <c r="AB775" s="96" t="s">
        <v>1651</v>
      </c>
      <c r="AC775" s="96"/>
      <c r="AD775" s="93">
        <f>VLOOKUP(A775,'Parameters Summary'!$B$2:$AB$826,20,FALSE)</f>
        <v>2468000</v>
      </c>
      <c r="AE775" s="97" t="str">
        <f>VLOOKUP(A775,'Parameters Summary'!$B$2:$AB$826,21,FALSE)</f>
        <v>EPI</v>
      </c>
      <c r="AF775" s="97"/>
      <c r="AG775" s="94"/>
      <c r="AH775" s="92"/>
      <c r="AI775" s="96"/>
      <c r="AJ775" s="330"/>
      <c r="AL775" s="81"/>
    </row>
    <row r="776" spans="1:38" ht="12.75" customHeight="1">
      <c r="A776" s="96" t="s">
        <v>1611</v>
      </c>
      <c r="B776" s="96" t="s">
        <v>2362</v>
      </c>
      <c r="C776" s="96" t="str">
        <f t="shared" si="77"/>
        <v>No</v>
      </c>
      <c r="D776" s="96" t="str">
        <f>VLOOKUP(A776,'Tox Summary'!$O$3:$R$824,3,FALSE)</f>
        <v>Yes</v>
      </c>
      <c r="E776" s="97">
        <v>163.94</v>
      </c>
      <c r="F776" s="97" t="s">
        <v>1620</v>
      </c>
      <c r="G776" s="93" t="s">
        <v>2439</v>
      </c>
      <c r="H776" s="93" t="str">
        <f>VLOOKUP(A776,'Parameters Summary'!$B$2:$AB$826,10,FALSE)</f>
        <v/>
      </c>
      <c r="I776" s="93" t="s">
        <v>2440</v>
      </c>
      <c r="J776" s="97" t="str">
        <f>VLOOKUP(A776,'Parameters Summary'!$B$2:$AB$826,25,FALSE)</f>
        <v/>
      </c>
      <c r="K776" s="97" t="str">
        <f>VLOOKUP(A776,'Tox Summary'!$O$4:$P$824,2,FALSE)</f>
        <v/>
      </c>
      <c r="L776" s="93" t="s">
        <v>2298</v>
      </c>
      <c r="M776" s="93" t="str">
        <f>VLOOKUP(A776,'Parameters Summary'!$B$2:$AB$826,8,FALSE)</f>
        <v/>
      </c>
      <c r="N776" s="91" t="str">
        <f>VLOOKUP(A776,'Parameters Summary'!$B$2:$AB$826,6,FALSE)</f>
        <v xml:space="preserve"> </v>
      </c>
      <c r="O776" s="91" t="str">
        <f t="shared" si="74"/>
        <v/>
      </c>
      <c r="P776" s="91" t="str">
        <f t="shared" si="75"/>
        <v xml:space="preserve"> </v>
      </c>
      <c r="Q776" s="91" t="str">
        <f t="shared" si="73"/>
        <v/>
      </c>
      <c r="R776" s="91" t="str">
        <f t="shared" si="76"/>
        <v xml:space="preserve"> </v>
      </c>
      <c r="S776" s="91" t="str">
        <f t="shared" si="78"/>
        <v/>
      </c>
      <c r="T776" s="93" t="str">
        <f>VLOOKUP(A776,'Parameters Summary'!$B$2:$AB$826,15,FALSE)</f>
        <v xml:space="preserve"> </v>
      </c>
      <c r="U776" s="93" t="str">
        <f>VLOOKUP(A776,'Parameters Summary'!$B$2:$AB$826,17,FALSE)</f>
        <v/>
      </c>
      <c r="V776" s="93" t="str">
        <f>VLOOKUP(A776,'Parameters Summary'!$B$2:$AB$826,16,FALSE)</f>
        <v xml:space="preserve"> </v>
      </c>
      <c r="W776" s="379" t="str">
        <f>VLOOKUP(A776,'Parameters Summary'!$B$2:$AB$826,17,FALSE)</f>
        <v/>
      </c>
      <c r="X776" s="347"/>
      <c r="Y776" s="96"/>
      <c r="Z776" s="96" t="s">
        <v>1653</v>
      </c>
      <c r="AA776" s="96"/>
      <c r="AB776" s="96" t="s">
        <v>1651</v>
      </c>
      <c r="AC776" s="96"/>
      <c r="AD776" s="93" t="str">
        <f>VLOOKUP(A776,'Parameters Summary'!$B$2:$AB$826,20,FALSE)</f>
        <v xml:space="preserve"> </v>
      </c>
      <c r="AE776" s="97" t="str">
        <f>VLOOKUP(A776,'Parameters Summary'!$B$2:$AB$826,21,FALSE)</f>
        <v/>
      </c>
      <c r="AF776" s="97"/>
      <c r="AG776" s="94"/>
      <c r="AH776" s="92"/>
      <c r="AI776" s="96"/>
      <c r="AJ776" s="330"/>
      <c r="AL776" s="81"/>
    </row>
    <row r="777" spans="1:38" ht="12.75" customHeight="1">
      <c r="A777" s="96" t="s">
        <v>2293</v>
      </c>
      <c r="B777" s="96" t="s">
        <v>2296</v>
      </c>
      <c r="C777" s="96" t="str">
        <f t="shared" si="77"/>
        <v>No</v>
      </c>
      <c r="D777" s="96" t="str">
        <f>VLOOKUP(A777,'Tox Summary'!$O$3:$R$824,3,FALSE)</f>
        <v>Yes</v>
      </c>
      <c r="E777" s="97">
        <v>183.85</v>
      </c>
      <c r="F777" s="97" t="s">
        <v>1620</v>
      </c>
      <c r="G777" s="93">
        <f>VLOOKUP(A777,'Parameters Summary'!$B$2:$AB$826,9,FALSE)</f>
        <v>0</v>
      </c>
      <c r="H777" s="93" t="str">
        <f>VLOOKUP(A777,'Parameters Summary'!$B$2:$AB$826,10,FALSE)</f>
        <v>NIOSH</v>
      </c>
      <c r="I777" s="93" t="s">
        <v>2440</v>
      </c>
      <c r="J777" s="97" t="str">
        <f>VLOOKUP(A777,'Parameters Summary'!$B$2:$AB$826,25,FALSE)</f>
        <v/>
      </c>
      <c r="K777" s="97" t="str">
        <f>VLOOKUP(A777,'Tox Summary'!$O$4:$P$824,2,FALSE)</f>
        <v/>
      </c>
      <c r="L777" s="93" t="str">
        <f>VLOOKUP(A777,'Parameters Summary'!$B$2:$AB$826,7,FALSE)</f>
        <v xml:space="preserve"> </v>
      </c>
      <c r="M777" s="93" t="str">
        <f>VLOOKUP(A777,'Parameters Summary'!$B$2:$AB$826,8,FALSE)</f>
        <v/>
      </c>
      <c r="N777" s="91" t="str">
        <f>VLOOKUP(A777,'Parameters Summary'!$B$2:$AB$826,6,FALSE)</f>
        <v xml:space="preserve"> </v>
      </c>
      <c r="O777" s="91" t="str">
        <f t="shared" si="74"/>
        <v/>
      </c>
      <c r="P777" s="91" t="str">
        <f t="shared" si="75"/>
        <v xml:space="preserve"> </v>
      </c>
      <c r="Q777" s="91" t="str">
        <f t="shared" ref="Q777:Q809" si="79">IF(OR(L777="No Hc25",Z777="No Tcrit",AB777="No DHv,b"),"",N777*EXP((-(AB777*((1-(Tgw_GW+273)/Z777)/(1-X777/Z777))^(IF(X777/Z777&lt;0.57,0.3,IF(X777/Z777&gt;0.71,0.41,0.74*(X777/Z777)-0.116))))/1.9872)*(1/(Tgw_GW+273)-1/298)))</f>
        <v/>
      </c>
      <c r="R777" s="91" t="str">
        <f t="shared" si="76"/>
        <v xml:space="preserve"> </v>
      </c>
      <c r="S777" s="91" t="str">
        <f t="shared" si="78"/>
        <v/>
      </c>
      <c r="T777" s="93" t="str">
        <f>VLOOKUP(A777,'Parameters Summary'!$B$2:$AB$826,15,FALSE)</f>
        <v xml:space="preserve"> </v>
      </c>
      <c r="U777" s="93" t="str">
        <f>VLOOKUP(A777,'Parameters Summary'!$B$2:$AB$826,17,FALSE)</f>
        <v/>
      </c>
      <c r="V777" s="93" t="str">
        <f>VLOOKUP(A777,'Parameters Summary'!$B$2:$AB$826,16,FALSE)</f>
        <v xml:space="preserve"> </v>
      </c>
      <c r="W777" s="379" t="str">
        <f>VLOOKUP(A777,'Parameters Summary'!$B$2:$AB$826,17,FALSE)</f>
        <v/>
      </c>
      <c r="X777" s="347">
        <v>6173.15</v>
      </c>
      <c r="Y777" s="96" t="s">
        <v>1620</v>
      </c>
      <c r="Z777" s="96">
        <v>14756</v>
      </c>
      <c r="AA777" s="96" t="s">
        <v>2038</v>
      </c>
      <c r="AB777" s="96" t="s">
        <v>1651</v>
      </c>
      <c r="AC777" s="96"/>
      <c r="AD777" s="93" t="str">
        <f>VLOOKUP(A777,'Parameters Summary'!$B$2:$AB$826,20,FALSE)</f>
        <v xml:space="preserve"> </v>
      </c>
      <c r="AE777" s="97" t="str">
        <f>VLOOKUP(A777,'Parameters Summary'!$B$2:$AB$826,21,FALSE)</f>
        <v/>
      </c>
      <c r="AF777" s="97"/>
      <c r="AG777" s="94"/>
      <c r="AH777" s="92"/>
      <c r="AI777" s="96"/>
      <c r="AJ777" s="330"/>
      <c r="AL777" s="81"/>
    </row>
    <row r="778" spans="1:38" ht="12.75" customHeight="1">
      <c r="A778" s="96" t="s">
        <v>2175</v>
      </c>
      <c r="B778" s="96" t="s">
        <v>1382</v>
      </c>
      <c r="C778" s="96" t="str">
        <f t="shared" si="77"/>
        <v>No</v>
      </c>
      <c r="D778" s="96" t="s">
        <v>2434</v>
      </c>
      <c r="E778" s="97">
        <v>238.03</v>
      </c>
      <c r="F778" s="97" t="s">
        <v>1618</v>
      </c>
      <c r="G778" s="93">
        <f>VLOOKUP(A778,'Parameters Summary'!$B$2:$AB$826,9,FALSE)</f>
        <v>0</v>
      </c>
      <c r="H778" s="93" t="str">
        <f>VLOOKUP(A778,'Parameters Summary'!$B$2:$AB$826,10,FALSE)</f>
        <v>NIOSH</v>
      </c>
      <c r="I778" s="93" t="s">
        <v>2440</v>
      </c>
      <c r="J778" s="97" t="str">
        <f>VLOOKUP(A778,'Parameters Summary'!$B$2:$AB$826,25,FALSE)</f>
        <v/>
      </c>
      <c r="K778" s="97">
        <f>VLOOKUP(A778,'Tox Summary'!$O$4:$P$824,2,FALSE)</f>
        <v>30</v>
      </c>
      <c r="L778" s="93" t="str">
        <f>VLOOKUP(A778,'Parameters Summary'!$B$2:$AB$826,7,FALSE)</f>
        <v xml:space="preserve"> </v>
      </c>
      <c r="M778" s="93" t="str">
        <f>VLOOKUP(A778,'Parameters Summary'!$B$2:$AB$826,8,FALSE)</f>
        <v/>
      </c>
      <c r="N778" s="91" t="str">
        <f>VLOOKUP(A778,'Parameters Summary'!$B$2:$AB$826,6,FALSE)</f>
        <v xml:space="preserve"> </v>
      </c>
      <c r="O778" s="91" t="str">
        <f t="shared" ref="O778:O809" si="80">IF(OR(L778="No Hc25",Z778="No Tcrit",AB778="No DHv,b"),"",N778*EXP((-(AB778*((1-(Tgw+273)/Z778)/(1-X778/Z778))^(IF(X778/Z778&lt;0.57,0.3,IF(X778/Z778&gt;0.71,0.41,0.74*(X778/Z778)-0.116))))/1.9872)*(1/(Tgw+273)-1/298)))</f>
        <v/>
      </c>
      <c r="P778" s="91" t="str">
        <f t="shared" ref="P778:P809" si="81">IF(O778="",N778,O778)</f>
        <v xml:space="preserve"> </v>
      </c>
      <c r="Q778" s="91" t="str">
        <f t="shared" si="79"/>
        <v/>
      </c>
      <c r="R778" s="91" t="str">
        <f t="shared" ref="R778:R809" si="82">IF(Q778="",P778,Q778)</f>
        <v xml:space="preserve"> </v>
      </c>
      <c r="S778" s="91" t="str">
        <f t="shared" si="78"/>
        <v/>
      </c>
      <c r="T778" s="93" t="str">
        <f>VLOOKUP(A778,'Parameters Summary'!$B$2:$AB$826,15,FALSE)</f>
        <v xml:space="preserve"> </v>
      </c>
      <c r="U778" s="93" t="str">
        <f>VLOOKUP(A778,'Parameters Summary'!$B$2:$AB$826,17,FALSE)</f>
        <v/>
      </c>
      <c r="V778" s="93" t="str">
        <f>VLOOKUP(A778,'Parameters Summary'!$B$2:$AB$826,16,FALSE)</f>
        <v xml:space="preserve"> </v>
      </c>
      <c r="W778" s="379" t="str">
        <f>VLOOKUP(A778,'Parameters Summary'!$B$2:$AB$826,17,FALSE)</f>
        <v/>
      </c>
      <c r="X778" s="347"/>
      <c r="Y778" s="96"/>
      <c r="Z778" s="96" t="s">
        <v>1653</v>
      </c>
      <c r="AA778" s="96"/>
      <c r="AB778" s="96" t="s">
        <v>1651</v>
      </c>
      <c r="AC778" s="96"/>
      <c r="AD778" s="93" t="str">
        <f>VLOOKUP(A778,'Parameters Summary'!$B$2:$AB$826,20,FALSE)</f>
        <v xml:space="preserve"> </v>
      </c>
      <c r="AE778" s="97" t="str">
        <f>VLOOKUP(A778,'Parameters Summary'!$B$2:$AB$826,21,FALSE)</f>
        <v/>
      </c>
      <c r="AF778" s="97"/>
      <c r="AG778" s="94"/>
      <c r="AH778" s="92"/>
      <c r="AI778" s="96"/>
      <c r="AJ778" s="330"/>
      <c r="AL778" s="81"/>
    </row>
    <row r="779" spans="1:38" ht="12.75" customHeight="1">
      <c r="A779" s="96" t="s">
        <v>339</v>
      </c>
      <c r="B779" s="96" t="s">
        <v>623</v>
      </c>
      <c r="C779" s="96" t="str">
        <f t="shared" ref="C779:C809" si="83">IF((COUNTIF(G779,"&gt;1")+COUNTIF(L779,"&gt;1E-5"))&gt;0,"Yes","No")</f>
        <v>No</v>
      </c>
      <c r="D779" s="96" t="str">
        <f>VLOOKUP(A779,'Tox Summary'!$O$3:$R$824,3,FALSE)</f>
        <v>No</v>
      </c>
      <c r="E779" s="97">
        <v>89.094999999999999</v>
      </c>
      <c r="F779" s="97" t="s">
        <v>1620</v>
      </c>
      <c r="G779" s="93">
        <f>VLOOKUP(A779,'Parameters Summary'!$B$2:$AB$826,9,FALSE)</f>
        <v>0.26200000000000001</v>
      </c>
      <c r="H779" s="93" t="str">
        <f>VLOOKUP(A779,'Parameters Summary'!$B$2:$AB$826,10,FALSE)</f>
        <v>NIOSH</v>
      </c>
      <c r="I779" s="93">
        <f>VLOOKUP(A779,'Parameters Summary'!$B$2:$AB$826,24,FALSE)</f>
        <v>480000</v>
      </c>
      <c r="J779" s="97" t="str">
        <f>VLOOKUP(A779,'Parameters Summary'!$B$2:$AB$826,25,FALSE)</f>
        <v>PHYSPROP</v>
      </c>
      <c r="K779" s="97" t="str">
        <f>VLOOKUP(A779,'Tox Summary'!$O$4:$P$824,2,FALSE)</f>
        <v/>
      </c>
      <c r="L779" s="93">
        <f>VLOOKUP(A779,'Parameters Summary'!$B$2:$AB$826,7,FALSE)</f>
        <v>6.43E-8</v>
      </c>
      <c r="M779" s="93" t="str">
        <f>VLOOKUP(A779,'Parameters Summary'!$B$2:$AB$826,8,FALSE)</f>
        <v>EPI</v>
      </c>
      <c r="N779" s="91">
        <f>VLOOKUP(A779,'Parameters Summary'!$B$2:$AB$826,6,FALSE)</f>
        <v>2.6288000000000001E-6</v>
      </c>
      <c r="O779" s="91" t="str">
        <f t="shared" si="80"/>
        <v/>
      </c>
      <c r="P779" s="91">
        <f t="shared" si="81"/>
        <v>2.6288000000000001E-6</v>
      </c>
      <c r="Q779" s="91" t="str">
        <f t="shared" si="79"/>
        <v/>
      </c>
      <c r="R779" s="91">
        <f t="shared" si="82"/>
        <v>2.6288000000000001E-6</v>
      </c>
      <c r="S779" s="91" t="str">
        <f t="shared" si="78"/>
        <v/>
      </c>
      <c r="T779" s="93">
        <f>VLOOKUP(A779,'Parameters Summary'!$B$2:$AB$826,15,FALSE)</f>
        <v>8.4845599999999993E-2</v>
      </c>
      <c r="U779" s="93" t="str">
        <f>VLOOKUP(A779,'Parameters Summary'!$B$2:$AB$826,17,FALSE)</f>
        <v>WATER9 (U.S. EPA, 2001)</v>
      </c>
      <c r="V779" s="93">
        <f>VLOOKUP(A779,'Parameters Summary'!$B$2:$AB$826,16,FALSE)</f>
        <v>1.0200000000000001E-5</v>
      </c>
      <c r="W779" s="379" t="str">
        <f>VLOOKUP(A779,'Parameters Summary'!$B$2:$AB$826,17,FALSE)</f>
        <v>WATER9 (U.S. EPA, 2001)</v>
      </c>
      <c r="X779" s="290">
        <v>458.15</v>
      </c>
      <c r="Y779" s="96" t="s">
        <v>553</v>
      </c>
      <c r="Z779" s="96">
        <f>1.5*X779</f>
        <v>687.22499999999991</v>
      </c>
      <c r="AA779" s="96" t="s">
        <v>2220</v>
      </c>
      <c r="AB779" s="96" t="s">
        <v>1651</v>
      </c>
      <c r="AC779" s="96"/>
      <c r="AD779" s="93">
        <f>VLOOKUP(A779,'Parameters Summary'!$B$2:$AB$826,20,FALSE)</f>
        <v>12.13</v>
      </c>
      <c r="AE779" s="97" t="str">
        <f>VLOOKUP(A779,'Parameters Summary'!$B$2:$AB$826,21,FALSE)</f>
        <v>EPI</v>
      </c>
      <c r="AF779" s="97"/>
      <c r="AG779" s="94"/>
      <c r="AH779" s="92"/>
      <c r="AI779" s="96"/>
      <c r="AJ779" s="330"/>
      <c r="AL779" s="81"/>
    </row>
    <row r="780" spans="1:38" ht="12.75" customHeight="1">
      <c r="A780" s="96" t="s">
        <v>2036</v>
      </c>
      <c r="B780" s="96" t="s">
        <v>1384</v>
      </c>
      <c r="C780" s="96" t="str">
        <f t="shared" si="83"/>
        <v>No</v>
      </c>
      <c r="D780" s="96" t="str">
        <f>VLOOKUP(A780,'Tox Summary'!$O$3:$R$824,3,FALSE)</f>
        <v>No</v>
      </c>
      <c r="E780" s="97">
        <v>50.94</v>
      </c>
      <c r="F780" s="97" t="s">
        <v>553</v>
      </c>
      <c r="G780" s="93" t="s">
        <v>2439</v>
      </c>
      <c r="H780" s="93" t="str">
        <f>VLOOKUP(A780,'Parameters Summary'!$B$2:$AB$826,10,FALSE)</f>
        <v/>
      </c>
      <c r="I780" s="93" t="s">
        <v>2440</v>
      </c>
      <c r="J780" s="97" t="str">
        <f>VLOOKUP(A780,'Parameters Summary'!$B$2:$AB$826,25,FALSE)</f>
        <v/>
      </c>
      <c r="K780" s="97" t="str">
        <f>VLOOKUP(A780,'Tox Summary'!$O$4:$P$824,2,FALSE)</f>
        <v/>
      </c>
      <c r="L780" s="93" t="s">
        <v>2298</v>
      </c>
      <c r="M780" s="93" t="str">
        <f>VLOOKUP(A780,'Parameters Summary'!$B$2:$AB$826,8,FALSE)</f>
        <v/>
      </c>
      <c r="N780" s="91" t="str">
        <f>VLOOKUP(A780,'Parameters Summary'!$B$2:$AB$826,6,FALSE)</f>
        <v xml:space="preserve"> </v>
      </c>
      <c r="O780" s="91" t="str">
        <f t="shared" si="80"/>
        <v/>
      </c>
      <c r="P780" s="91" t="str">
        <f t="shared" si="81"/>
        <v xml:space="preserve"> </v>
      </c>
      <c r="Q780" s="91" t="str">
        <f t="shared" si="79"/>
        <v/>
      </c>
      <c r="R780" s="91" t="str">
        <f t="shared" si="82"/>
        <v xml:space="preserve"> </v>
      </c>
      <c r="S780" s="91" t="str">
        <f t="shared" si="78"/>
        <v/>
      </c>
      <c r="T780" s="93" t="str">
        <f>VLOOKUP(A780,'Parameters Summary'!$B$2:$AB$826,15,FALSE)</f>
        <v xml:space="preserve"> </v>
      </c>
      <c r="U780" s="93" t="str">
        <f>VLOOKUP(A780,'Parameters Summary'!$B$2:$AB$826,17,FALSE)</f>
        <v/>
      </c>
      <c r="V780" s="93" t="str">
        <f>VLOOKUP(A780,'Parameters Summary'!$B$2:$AB$826,16,FALSE)</f>
        <v xml:space="preserve"> </v>
      </c>
      <c r="W780" s="379" t="str">
        <f>VLOOKUP(A780,'Parameters Summary'!$B$2:$AB$826,17,FALSE)</f>
        <v/>
      </c>
      <c r="X780" s="347"/>
      <c r="Y780" s="96"/>
      <c r="Z780" s="96" t="s">
        <v>1653</v>
      </c>
      <c r="AA780" s="96"/>
      <c r="AB780" s="96">
        <v>109703.63</v>
      </c>
      <c r="AC780" s="96" t="s">
        <v>2214</v>
      </c>
      <c r="AD780" s="93" t="str">
        <f>VLOOKUP(A780,'Parameters Summary'!$B$2:$AB$826,20,FALSE)</f>
        <v xml:space="preserve"> </v>
      </c>
      <c r="AE780" s="97" t="str">
        <f>VLOOKUP(A780,'Parameters Summary'!$B$2:$AB$826,21,FALSE)</f>
        <v/>
      </c>
      <c r="AF780" s="97"/>
      <c r="AG780" s="94"/>
      <c r="AH780" s="92"/>
      <c r="AI780" s="96"/>
      <c r="AJ780" s="330"/>
      <c r="AL780" s="81"/>
    </row>
    <row r="781" spans="1:38" ht="12.75" customHeight="1">
      <c r="A781" s="96" t="s">
        <v>340</v>
      </c>
      <c r="B781" s="96" t="s">
        <v>1383</v>
      </c>
      <c r="C781" s="96" t="str">
        <f t="shared" si="83"/>
        <v>No</v>
      </c>
      <c r="D781" s="96" t="str">
        <f>VLOOKUP(A781,'Tox Summary'!$O$3:$R$824,3,FALSE)</f>
        <v>Yes</v>
      </c>
      <c r="E781" s="97">
        <v>181.88</v>
      </c>
      <c r="F781" s="97" t="s">
        <v>553</v>
      </c>
      <c r="G781" s="93">
        <f>VLOOKUP(A781,'Parameters Summary'!$B$2:$AB$826,9,FALSE)</f>
        <v>0</v>
      </c>
      <c r="H781" s="93" t="str">
        <f>VLOOKUP(A781,'Parameters Summary'!$B$2:$AB$826,10,FALSE)</f>
        <v>NIOSH</v>
      </c>
      <c r="I781" s="93">
        <f>VLOOKUP(A781,'Parameters Summary'!$B$2:$AB$826,24,FALSE)</f>
        <v>700</v>
      </c>
      <c r="J781" s="97" t="str">
        <f>VLOOKUP(A781,'Parameters Summary'!$B$2:$AB$826,25,FALSE)</f>
        <v>CRC89</v>
      </c>
      <c r="K781" s="97" t="str">
        <f>VLOOKUP(A781,'Tox Summary'!$O$4:$P$824,2,FALSE)</f>
        <v/>
      </c>
      <c r="L781" s="93" t="str">
        <f>VLOOKUP(A781,'Parameters Summary'!$B$2:$AB$826,7,FALSE)</f>
        <v xml:space="preserve"> </v>
      </c>
      <c r="M781" s="93" t="str">
        <f>VLOOKUP(A781,'Parameters Summary'!$B$2:$AB$826,8,FALSE)</f>
        <v/>
      </c>
      <c r="N781" s="91" t="str">
        <f>VLOOKUP(A781,'Parameters Summary'!$B$2:$AB$826,6,FALSE)</f>
        <v xml:space="preserve"> </v>
      </c>
      <c r="O781" s="91" t="str">
        <f t="shared" si="80"/>
        <v/>
      </c>
      <c r="P781" s="91" t="str">
        <f t="shared" si="81"/>
        <v xml:space="preserve"> </v>
      </c>
      <c r="Q781" s="91" t="str">
        <f t="shared" si="79"/>
        <v/>
      </c>
      <c r="R781" s="91" t="str">
        <f t="shared" si="82"/>
        <v xml:space="preserve"> </v>
      </c>
      <c r="S781" s="91" t="str">
        <f t="shared" ref="S781:S809" si="84">IF(OR(G781="No VP",Z781="No Tcrit",AB781="No DHv,b",L781="No Hc25"),"",G781*E781*53808.7856452378*O781/N781)</f>
        <v/>
      </c>
      <c r="T781" s="93" t="str">
        <f>VLOOKUP(A781,'Parameters Summary'!$B$2:$AB$826,15,FALSE)</f>
        <v xml:space="preserve"> </v>
      </c>
      <c r="U781" s="93" t="str">
        <f>VLOOKUP(A781,'Parameters Summary'!$B$2:$AB$826,17,FALSE)</f>
        <v/>
      </c>
      <c r="V781" s="93" t="str">
        <f>VLOOKUP(A781,'Parameters Summary'!$B$2:$AB$826,16,FALSE)</f>
        <v xml:space="preserve"> </v>
      </c>
      <c r="W781" s="379" t="str">
        <f>VLOOKUP(A781,'Parameters Summary'!$B$2:$AB$826,17,FALSE)</f>
        <v/>
      </c>
      <c r="X781" s="347"/>
      <c r="Y781" s="96"/>
      <c r="Z781" s="96" t="s">
        <v>1653</v>
      </c>
      <c r="AA781" s="96"/>
      <c r="AB781" s="96" t="s">
        <v>1651</v>
      </c>
      <c r="AC781" s="96"/>
      <c r="AD781" s="93" t="str">
        <f>VLOOKUP(A781,'Parameters Summary'!$B$2:$AB$826,20,FALSE)</f>
        <v xml:space="preserve"> </v>
      </c>
      <c r="AE781" s="97" t="str">
        <f>VLOOKUP(A781,'Parameters Summary'!$B$2:$AB$826,21,FALSE)</f>
        <v/>
      </c>
      <c r="AF781" s="97"/>
      <c r="AG781" s="94"/>
      <c r="AH781" s="92"/>
      <c r="AI781" s="96"/>
      <c r="AJ781" s="330"/>
      <c r="AL781" s="81"/>
    </row>
    <row r="782" spans="1:38" ht="12.75" customHeight="1">
      <c r="A782" s="96" t="s">
        <v>341</v>
      </c>
      <c r="B782" s="96" t="s">
        <v>1385</v>
      </c>
      <c r="C782" s="96" t="str">
        <f t="shared" si="83"/>
        <v>Yes</v>
      </c>
      <c r="D782" s="96" t="str">
        <f>VLOOKUP(A782,'Tox Summary'!$O$3:$R$824,3,FALSE)</f>
        <v>No</v>
      </c>
      <c r="E782" s="97">
        <v>203.35</v>
      </c>
      <c r="F782" s="97" t="s">
        <v>1620</v>
      </c>
      <c r="G782" s="93">
        <f>VLOOKUP(A782,'Parameters Summary'!$B$2:$AB$826,9,FALSE)</f>
        <v>1.04E-2</v>
      </c>
      <c r="H782" s="93" t="str">
        <f>VLOOKUP(A782,'Parameters Summary'!$B$2:$AB$826,10,FALSE)</f>
        <v>PHYSPROP</v>
      </c>
      <c r="I782" s="93">
        <f>VLOOKUP(A782,'Parameters Summary'!$B$2:$AB$826,24,FALSE)</f>
        <v>90</v>
      </c>
      <c r="J782" s="97" t="str">
        <f>VLOOKUP(A782,'Parameters Summary'!$B$2:$AB$826,25,FALSE)</f>
        <v>PHYSPROP</v>
      </c>
      <c r="K782" s="97" t="str">
        <f>VLOOKUP(A782,'Tox Summary'!$O$4:$P$824,2,FALSE)</f>
        <v/>
      </c>
      <c r="L782" s="93">
        <f>VLOOKUP(A782,'Parameters Summary'!$B$2:$AB$826,7,FALSE)</f>
        <v>3.0899999999999999E-5</v>
      </c>
      <c r="M782" s="93" t="str">
        <f>VLOOKUP(A782,'Parameters Summary'!$B$2:$AB$826,8,FALSE)</f>
        <v>EPI</v>
      </c>
      <c r="N782" s="91">
        <f>VLOOKUP(A782,'Parameters Summary'!$B$2:$AB$826,6,FALSE)</f>
        <v>1.2633E-3</v>
      </c>
      <c r="O782" s="91" t="str">
        <f t="shared" si="80"/>
        <v/>
      </c>
      <c r="P782" s="91">
        <f t="shared" si="81"/>
        <v>1.2633E-3</v>
      </c>
      <c r="Q782" s="91" t="str">
        <f t="shared" si="79"/>
        <v/>
      </c>
      <c r="R782" s="91">
        <f t="shared" si="82"/>
        <v>1.2633E-3</v>
      </c>
      <c r="S782" s="91" t="str">
        <f t="shared" si="84"/>
        <v/>
      </c>
      <c r="T782" s="93">
        <f>VLOOKUP(A782,'Parameters Summary'!$B$2:$AB$826,15,FALSE)</f>
        <v>2.4218900000000002E-2</v>
      </c>
      <c r="U782" s="93" t="str">
        <f>VLOOKUP(A782,'Parameters Summary'!$B$2:$AB$826,17,FALSE)</f>
        <v>WATER9 (U.S. EPA, 2001)</v>
      </c>
      <c r="V782" s="93">
        <f>VLOOKUP(A782,'Parameters Summary'!$B$2:$AB$826,16,FALSE)</f>
        <v>6.0745E-6</v>
      </c>
      <c r="W782" s="379" t="str">
        <f>VLOOKUP(A782,'Parameters Summary'!$B$2:$AB$826,17,FALSE)</f>
        <v>WATER9 (U.S. EPA, 2001)</v>
      </c>
      <c r="X782" s="290">
        <v>423.15</v>
      </c>
      <c r="Y782" s="96" t="s">
        <v>553</v>
      </c>
      <c r="Z782" s="96">
        <f>1.5*X782</f>
        <v>634.72499999999991</v>
      </c>
      <c r="AA782" s="96" t="s">
        <v>2220</v>
      </c>
      <c r="AB782" s="96" t="s">
        <v>1651</v>
      </c>
      <c r="AC782" s="96"/>
      <c r="AD782" s="93">
        <f>VLOOKUP(A782,'Parameters Summary'!$B$2:$AB$826,20,FALSE)</f>
        <v>299.10000000000002</v>
      </c>
      <c r="AE782" s="97" t="str">
        <f>VLOOKUP(A782,'Parameters Summary'!$B$2:$AB$826,21,FALSE)</f>
        <v>EPI</v>
      </c>
      <c r="AF782" s="97"/>
      <c r="AG782" s="94"/>
      <c r="AH782" s="92"/>
      <c r="AI782" s="96"/>
      <c r="AJ782" s="330"/>
      <c r="AL782" s="81"/>
    </row>
    <row r="783" spans="1:38" ht="12.75" customHeight="1">
      <c r="A783" s="96" t="s">
        <v>342</v>
      </c>
      <c r="B783" s="96" t="s">
        <v>1386</v>
      </c>
      <c r="C783" s="96" t="str">
        <f t="shared" si="83"/>
        <v>No</v>
      </c>
      <c r="D783" s="96" t="str">
        <f>VLOOKUP(A783,'Tox Summary'!$O$3:$R$824,3,FALSE)</f>
        <v>No</v>
      </c>
      <c r="E783" s="97">
        <v>286.12</v>
      </c>
      <c r="F783" s="97" t="s">
        <v>1620</v>
      </c>
      <c r="G783" s="93">
        <f>VLOOKUP(A783,'Parameters Summary'!$B$2:$AB$826,9,FALSE)</f>
        <v>1.1999999999999999E-7</v>
      </c>
      <c r="H783" s="93" t="str">
        <f>VLOOKUP(A783,'Parameters Summary'!$B$2:$AB$826,10,FALSE)</f>
        <v>PHYSPROP</v>
      </c>
      <c r="I783" s="93">
        <f>VLOOKUP(A783,'Parameters Summary'!$B$2:$AB$826,24,FALSE)</f>
        <v>2.6</v>
      </c>
      <c r="J783" s="97" t="str">
        <f>VLOOKUP(A783,'Parameters Summary'!$B$2:$AB$826,25,FALSE)</f>
        <v>PHYSPROP</v>
      </c>
      <c r="K783" s="97" t="str">
        <f>VLOOKUP(A783,'Tox Summary'!$O$4:$P$824,2,FALSE)</f>
        <v/>
      </c>
      <c r="L783" s="93">
        <f>VLOOKUP(A783,'Parameters Summary'!$B$2:$AB$826,7,FALSE)</f>
        <v>1.74E-8</v>
      </c>
      <c r="M783" s="93" t="str">
        <f>VLOOKUP(A783,'Parameters Summary'!$B$2:$AB$826,8,FALSE)</f>
        <v>EPI</v>
      </c>
      <c r="N783" s="91">
        <f>VLOOKUP(A783,'Parameters Summary'!$B$2:$AB$826,6,FALSE)</f>
        <v>7.1137E-7</v>
      </c>
      <c r="O783" s="91" t="str">
        <f t="shared" si="80"/>
        <v/>
      </c>
      <c r="P783" s="91">
        <f t="shared" si="81"/>
        <v>7.1137E-7</v>
      </c>
      <c r="Q783" s="91" t="str">
        <f t="shared" si="79"/>
        <v/>
      </c>
      <c r="R783" s="91">
        <f t="shared" si="82"/>
        <v>7.1137E-7</v>
      </c>
      <c r="S783" s="91" t="str">
        <f t="shared" si="84"/>
        <v/>
      </c>
      <c r="T783" s="93">
        <f>VLOOKUP(A783,'Parameters Summary'!$B$2:$AB$826,15,FALSE)</f>
        <v>2.51487E-2</v>
      </c>
      <c r="U783" s="93" t="str">
        <f>VLOOKUP(A783,'Parameters Summary'!$B$2:$AB$826,17,FALSE)</f>
        <v>WATER9 (U.S. EPA, 2001)</v>
      </c>
      <c r="V783" s="93">
        <f>VLOOKUP(A783,'Parameters Summary'!$B$2:$AB$826,16,FALSE)</f>
        <v>6.5271999999999999E-6</v>
      </c>
      <c r="W783" s="379" t="str">
        <f>VLOOKUP(A783,'Parameters Summary'!$B$2:$AB$826,17,FALSE)</f>
        <v>WATER9 (U.S. EPA, 2001)</v>
      </c>
      <c r="X783" s="290">
        <v>404.15</v>
      </c>
      <c r="Y783" s="96" t="s">
        <v>553</v>
      </c>
      <c r="Z783" s="96">
        <f>1.5*X783</f>
        <v>606.22499999999991</v>
      </c>
      <c r="AA783" s="96" t="s">
        <v>2220</v>
      </c>
      <c r="AB783" s="96" t="s">
        <v>1651</v>
      </c>
      <c r="AC783" s="96"/>
      <c r="AD783" s="93">
        <f>VLOOKUP(A783,'Parameters Summary'!$B$2:$AB$826,20,FALSE)</f>
        <v>283.60000000000002</v>
      </c>
      <c r="AE783" s="97" t="str">
        <f>VLOOKUP(A783,'Parameters Summary'!$B$2:$AB$826,21,FALSE)</f>
        <v>EPI</v>
      </c>
      <c r="AF783" s="97"/>
      <c r="AG783" s="94"/>
      <c r="AH783" s="92"/>
      <c r="AI783" s="96"/>
      <c r="AJ783" s="330"/>
      <c r="AL783" s="81"/>
    </row>
    <row r="784" spans="1:38" ht="12.75" customHeight="1">
      <c r="A784" s="95" t="s">
        <v>343</v>
      </c>
      <c r="B784" s="96" t="s">
        <v>1387</v>
      </c>
      <c r="C784" s="96" t="str">
        <f t="shared" si="83"/>
        <v>Yes</v>
      </c>
      <c r="D784" s="96" t="str">
        <f>VLOOKUP(A784,'Tox Summary'!$O$3:$R$824,3,FALSE)</f>
        <v>No</v>
      </c>
      <c r="E784" s="97">
        <v>86.090999999999994</v>
      </c>
      <c r="F784" s="97" t="s">
        <v>1620</v>
      </c>
      <c r="G784" s="93">
        <f>VLOOKUP(A784,'Parameters Summary'!$B$2:$AB$826,9,FALSE)</f>
        <v>90.16</v>
      </c>
      <c r="H784" s="93" t="str">
        <f>VLOOKUP(A784,'Parameters Summary'!$B$2:$AB$826,10,FALSE)</f>
        <v>PHYSPROP</v>
      </c>
      <c r="I784" s="93">
        <f>VLOOKUP(A784,'Parameters Summary'!$B$2:$AB$826,24,FALSE)</f>
        <v>20000</v>
      </c>
      <c r="J784" s="97" t="str">
        <f>VLOOKUP(A784,'Parameters Summary'!$B$2:$AB$826,25,FALSE)</f>
        <v>PHYSPROP</v>
      </c>
      <c r="K784" s="97" t="str">
        <f>VLOOKUP(A784,'Tox Summary'!$O$4:$P$824,2,FALSE)</f>
        <v/>
      </c>
      <c r="L784" s="93">
        <f>VLOOKUP(A784,'Parameters Summary'!$B$2:$AB$826,7,FALSE)</f>
        <v>5.1099999999999995E-4</v>
      </c>
      <c r="M784" s="93" t="str">
        <f>VLOOKUP(A784,'Parameters Summary'!$B$2:$AB$826,8,FALSE)</f>
        <v>EPI</v>
      </c>
      <c r="N784" s="91">
        <f>VLOOKUP(A784,'Parameters Summary'!$B$2:$AB$826,6,FALSE)</f>
        <v>2.0891300000000002E-2</v>
      </c>
      <c r="O784" s="91">
        <f t="shared" si="80"/>
        <v>2.0891300000000002E-2</v>
      </c>
      <c r="P784" s="91">
        <f t="shared" si="81"/>
        <v>2.0891300000000002E-2</v>
      </c>
      <c r="Q784" s="91">
        <f t="shared" si="79"/>
        <v>2.0891300000000002E-2</v>
      </c>
      <c r="R784" s="91">
        <f t="shared" si="82"/>
        <v>2.0891300000000002E-2</v>
      </c>
      <c r="S784" s="91">
        <f t="shared" si="84"/>
        <v>417661887.19497246</v>
      </c>
      <c r="T784" s="93">
        <f>VLOOKUP(A784,'Parameters Summary'!$B$2:$AB$826,15,FALSE)</f>
        <v>8.4901599999999994E-2</v>
      </c>
      <c r="U784" s="93" t="str">
        <f>VLOOKUP(A784,'Parameters Summary'!$B$2:$AB$826,17,FALSE)</f>
        <v>WATER9 (U.S. EPA, 2001)</v>
      </c>
      <c r="V784" s="93">
        <f>VLOOKUP(A784,'Parameters Summary'!$B$2:$AB$826,16,FALSE)</f>
        <v>1.0000000000000001E-5</v>
      </c>
      <c r="W784" s="379" t="str">
        <f>VLOOKUP(A784,'Parameters Summary'!$B$2:$AB$826,17,FALSE)</f>
        <v>WATER9 (U.S. EPA, 2001)</v>
      </c>
      <c r="X784" s="290">
        <v>345.5</v>
      </c>
      <c r="Y784" s="96" t="s">
        <v>553</v>
      </c>
      <c r="Z784" s="96">
        <v>519.13</v>
      </c>
      <c r="AA784" s="96" t="s">
        <v>2227</v>
      </c>
      <c r="AB784" s="96">
        <v>7800</v>
      </c>
      <c r="AC784" s="96" t="s">
        <v>2227</v>
      </c>
      <c r="AD784" s="93">
        <f>VLOOKUP(A784,'Parameters Summary'!$B$2:$AB$826,20,FALSE)</f>
        <v>5.5830000000000002</v>
      </c>
      <c r="AE784" s="97" t="str">
        <f>VLOOKUP(A784,'Parameters Summary'!$B$2:$AB$826,21,FALSE)</f>
        <v>EPI</v>
      </c>
      <c r="AF784" s="380">
        <v>2.6</v>
      </c>
      <c r="AG784" s="97" t="s">
        <v>302</v>
      </c>
      <c r="AH784" s="92"/>
      <c r="AI784" s="96"/>
      <c r="AJ784" s="330"/>
      <c r="AL784" s="81"/>
    </row>
    <row r="785" spans="1:38" ht="12.75" customHeight="1">
      <c r="A785" s="95" t="s">
        <v>344</v>
      </c>
      <c r="B785" s="96" t="s">
        <v>1388</v>
      </c>
      <c r="C785" s="96" t="str">
        <f t="shared" si="83"/>
        <v>Yes</v>
      </c>
      <c r="D785" s="96" t="str">
        <f>VLOOKUP(A785,'Tox Summary'!$O$3:$R$824,3,FALSE)</f>
        <v>No</v>
      </c>
      <c r="E785" s="97">
        <v>106.95</v>
      </c>
      <c r="F785" s="97" t="s">
        <v>1620</v>
      </c>
      <c r="G785" s="93">
        <f>VLOOKUP(A785,'Parameters Summary'!$B$2:$AB$826,9,FALSE)</f>
        <v>1033</v>
      </c>
      <c r="H785" s="93" t="str">
        <f>VLOOKUP(A785,'Parameters Summary'!$B$2:$AB$826,10,FALSE)</f>
        <v>PHYSPROP</v>
      </c>
      <c r="I785" s="93">
        <f>VLOOKUP(A785,'Parameters Summary'!$B$2:$AB$826,24,FALSE)</f>
        <v>7600</v>
      </c>
      <c r="J785" s="97" t="str">
        <f>VLOOKUP(A785,'Parameters Summary'!$B$2:$AB$826,25,FALSE)</f>
        <v>PHYSPROP</v>
      </c>
      <c r="K785" s="97" t="str">
        <f>VLOOKUP(A785,'Tox Summary'!$O$4:$P$824,2,FALSE)</f>
        <v/>
      </c>
      <c r="L785" s="93">
        <f>VLOOKUP(A785,'Parameters Summary'!$B$2:$AB$826,7,FALSE)</f>
        <v>1.23E-2</v>
      </c>
      <c r="M785" s="93" t="str">
        <f>VLOOKUP(A785,'Parameters Summary'!$B$2:$AB$826,8,FALSE)</f>
        <v>PHYSPROP</v>
      </c>
      <c r="N785" s="91">
        <f>VLOOKUP(A785,'Parameters Summary'!$B$2:$AB$826,6,FALSE)</f>
        <v>0.50286180000000003</v>
      </c>
      <c r="O785" s="91">
        <f t="shared" si="80"/>
        <v>0.50286180000000003</v>
      </c>
      <c r="P785" s="91">
        <f t="shared" si="81"/>
        <v>0.50286180000000003</v>
      </c>
      <c r="Q785" s="91">
        <f t="shared" si="79"/>
        <v>0.50286180000000003</v>
      </c>
      <c r="R785" s="91">
        <f t="shared" si="82"/>
        <v>0.50286180000000003</v>
      </c>
      <c r="S785" s="91">
        <f t="shared" si="84"/>
        <v>5944759662.3752031</v>
      </c>
      <c r="T785" s="93">
        <f>VLOOKUP(A785,'Parameters Summary'!$B$2:$AB$826,15,FALSE)</f>
        <v>8.6223800000000003E-2</v>
      </c>
      <c r="U785" s="93" t="str">
        <f>VLOOKUP(A785,'Parameters Summary'!$B$2:$AB$826,17,FALSE)</f>
        <v>WATER9 (U.S. EPA, 2001)</v>
      </c>
      <c r="V785" s="93">
        <f>VLOOKUP(A785,'Parameters Summary'!$B$2:$AB$826,16,FALSE)</f>
        <v>1.17E-5</v>
      </c>
      <c r="W785" s="379" t="str">
        <f>VLOOKUP(A785,'Parameters Summary'!$B$2:$AB$826,17,FALSE)</f>
        <v>WATER9 (U.S. EPA, 2001)</v>
      </c>
      <c r="X785" s="290">
        <v>288.8</v>
      </c>
      <c r="Y785" s="96" t="s">
        <v>2217</v>
      </c>
      <c r="Z785" s="96">
        <v>463.51</v>
      </c>
      <c r="AA785" s="96" t="s">
        <v>2215</v>
      </c>
      <c r="AB785" s="96">
        <v>5397.92</v>
      </c>
      <c r="AC785" s="96" t="s">
        <v>2218</v>
      </c>
      <c r="AD785" s="93">
        <f>VLOOKUP(A785,'Parameters Summary'!$B$2:$AB$826,20,FALSE)</f>
        <v>21.73</v>
      </c>
      <c r="AE785" s="97" t="str">
        <f>VLOOKUP(A785,'Parameters Summary'!$B$2:$AB$826,21,FALSE)</f>
        <v>EPI</v>
      </c>
      <c r="AF785" s="380"/>
      <c r="AG785" s="97"/>
      <c r="AH785" s="92"/>
      <c r="AI785" s="96"/>
      <c r="AJ785" s="330"/>
      <c r="AL785" s="81"/>
    </row>
    <row r="786" spans="1:38" ht="12.75" customHeight="1">
      <c r="A786" s="95" t="s">
        <v>345</v>
      </c>
      <c r="B786" s="96" t="s">
        <v>1389</v>
      </c>
      <c r="C786" s="96" t="str">
        <f t="shared" si="83"/>
        <v>Yes</v>
      </c>
      <c r="D786" s="96" t="str">
        <f>VLOOKUP(A786,'Tox Summary'!$O$3:$R$824,3,FALSE)</f>
        <v>Yes</v>
      </c>
      <c r="E786" s="97">
        <v>62.499000000000002</v>
      </c>
      <c r="F786" s="97" t="s">
        <v>1620</v>
      </c>
      <c r="G786" s="93">
        <f>VLOOKUP(A786,'Parameters Summary'!$B$2:$AB$826,9,FALSE)</f>
        <v>2980</v>
      </c>
      <c r="H786" s="93" t="str">
        <f>VLOOKUP(A786,'Parameters Summary'!$B$2:$AB$826,10,FALSE)</f>
        <v>EPI</v>
      </c>
      <c r="I786" s="93">
        <f>VLOOKUP(A786,'Parameters Summary'!$B$2:$AB$826,24,FALSE)</f>
        <v>8800</v>
      </c>
      <c r="J786" s="97" t="str">
        <f>VLOOKUP(A786,'Parameters Summary'!$B$2:$AB$826,25,FALSE)</f>
        <v>PHYSPROP</v>
      </c>
      <c r="K786" s="97">
        <f>VLOOKUP(A786,'Tox Summary'!$O$4:$P$824,2,FALSE)</f>
        <v>2</v>
      </c>
      <c r="L786" s="93">
        <f>VLOOKUP(A786,'Parameters Summary'!$B$2:$AB$826,7,FALSE)</f>
        <v>2.7799999999999998E-2</v>
      </c>
      <c r="M786" s="93" t="str">
        <f>VLOOKUP(A786,'Parameters Summary'!$B$2:$AB$826,8,FALSE)</f>
        <v>PHYSPROP</v>
      </c>
      <c r="N786" s="91">
        <f>VLOOKUP(A786,'Parameters Summary'!$B$2:$AB$826,6,FALSE)</f>
        <v>1.1365495000000001</v>
      </c>
      <c r="O786" s="91">
        <f t="shared" si="80"/>
        <v>1.1365495000000001</v>
      </c>
      <c r="P786" s="91">
        <f t="shared" si="81"/>
        <v>1.1365495000000001</v>
      </c>
      <c r="Q786" s="91">
        <f t="shared" si="79"/>
        <v>1.1365495000000001</v>
      </c>
      <c r="R786" s="91">
        <f t="shared" si="82"/>
        <v>1.1365495000000001</v>
      </c>
      <c r="S786" s="91">
        <f t="shared" si="84"/>
        <v>10021725976.244318</v>
      </c>
      <c r="T786" s="93">
        <f>VLOOKUP(A786,'Parameters Summary'!$B$2:$AB$826,15,FALSE)</f>
        <v>0.1071202</v>
      </c>
      <c r="U786" s="93" t="str">
        <f>VLOOKUP(A786,'Parameters Summary'!$B$2:$AB$826,17,FALSE)</f>
        <v>WATER9 (U.S. EPA, 2001)</v>
      </c>
      <c r="V786" s="93">
        <f>VLOOKUP(A786,'Parameters Summary'!$B$2:$AB$826,16,FALSE)</f>
        <v>1.2E-5</v>
      </c>
      <c r="W786" s="379" t="str">
        <f>VLOOKUP(A786,'Parameters Summary'!$B$2:$AB$826,17,FALSE)</f>
        <v>WATER9 (U.S. EPA, 2001)</v>
      </c>
      <c r="X786" s="290">
        <v>259.7</v>
      </c>
      <c r="Y786" s="96" t="s">
        <v>553</v>
      </c>
      <c r="Z786" s="96">
        <v>432</v>
      </c>
      <c r="AA786" s="96" t="s">
        <v>2227</v>
      </c>
      <c r="AB786" s="96">
        <v>5250</v>
      </c>
      <c r="AC786" s="96" t="s">
        <v>2227</v>
      </c>
      <c r="AD786" s="93">
        <f>VLOOKUP(A786,'Parameters Summary'!$B$2:$AB$826,20,FALSE)</f>
        <v>21.73</v>
      </c>
      <c r="AE786" s="97" t="str">
        <f>VLOOKUP(A786,'Parameters Summary'!$B$2:$AB$826,21,FALSE)</f>
        <v>EPI</v>
      </c>
      <c r="AF786" s="380">
        <v>3.6</v>
      </c>
      <c r="AG786" s="97" t="s">
        <v>302</v>
      </c>
      <c r="AH786" s="92"/>
      <c r="AI786" s="96"/>
      <c r="AJ786" s="330"/>
      <c r="AL786" s="81"/>
    </row>
    <row r="787" spans="1:38" s="375" customFormat="1" ht="12.75" customHeight="1">
      <c r="A787" s="96" t="s">
        <v>346</v>
      </c>
      <c r="B787" s="96" t="s">
        <v>1390</v>
      </c>
      <c r="C787" s="96" t="str">
        <f t="shared" si="83"/>
        <v>No</v>
      </c>
      <c r="D787" s="96" t="str">
        <f>VLOOKUP(A787,'Tox Summary'!$O$3:$R$824,3,FALSE)</f>
        <v>Yes</v>
      </c>
      <c r="E787" s="97">
        <v>308.33999999999997</v>
      </c>
      <c r="F787" s="97" t="s">
        <v>1620</v>
      </c>
      <c r="G787" s="93">
        <f>VLOOKUP(A787,'Parameters Summary'!$B$2:$AB$826,9,FALSE)</f>
        <v>1.1600000000000001E-7</v>
      </c>
      <c r="H787" s="93" t="str">
        <f>VLOOKUP(A787,'Parameters Summary'!$B$2:$AB$826,10,FALSE)</f>
        <v>PHYSPROP</v>
      </c>
      <c r="I787" s="93">
        <f>VLOOKUP(A787,'Parameters Summary'!$B$2:$AB$826,24,FALSE)</f>
        <v>17</v>
      </c>
      <c r="J787" s="97" t="str">
        <f>VLOOKUP(A787,'Parameters Summary'!$B$2:$AB$826,25,FALSE)</f>
        <v>PHYSPROP</v>
      </c>
      <c r="K787" s="97" t="str">
        <f>VLOOKUP(A787,'Tox Summary'!$O$4:$P$824,2,FALSE)</f>
        <v/>
      </c>
      <c r="L787" s="93">
        <f>VLOOKUP(A787,'Parameters Summary'!$B$2:$AB$826,7,FALSE)</f>
        <v>2.7700000000000002E-9</v>
      </c>
      <c r="M787" s="93" t="str">
        <f>VLOOKUP(A787,'Parameters Summary'!$B$2:$AB$826,8,FALSE)</f>
        <v>EPI</v>
      </c>
      <c r="N787" s="91">
        <f>VLOOKUP(A787,'Parameters Summary'!$B$2:$AB$826,6,FALSE)</f>
        <v>1.1325E-7</v>
      </c>
      <c r="O787" s="91" t="str">
        <f t="shared" si="80"/>
        <v/>
      </c>
      <c r="P787" s="91">
        <f t="shared" si="81"/>
        <v>1.1325E-7</v>
      </c>
      <c r="Q787" s="91" t="str">
        <f t="shared" si="79"/>
        <v/>
      </c>
      <c r="R787" s="91">
        <f t="shared" si="82"/>
        <v>1.1325E-7</v>
      </c>
      <c r="S787" s="91" t="str">
        <f t="shared" si="84"/>
        <v/>
      </c>
      <c r="T787" s="93">
        <f>VLOOKUP(A787,'Parameters Summary'!$B$2:$AB$826,15,FALSE)</f>
        <v>4.1629399999999997E-2</v>
      </c>
      <c r="U787" s="93" t="str">
        <f>VLOOKUP(A787,'Parameters Summary'!$B$2:$AB$826,17,FALSE)</f>
        <v>WATER9 (U.S. EPA, 2001)</v>
      </c>
      <c r="V787" s="93">
        <f>VLOOKUP(A787,'Parameters Summary'!$B$2:$AB$826,16,FALSE)</f>
        <v>4.8640999999999997E-6</v>
      </c>
      <c r="W787" s="379" t="str">
        <f>VLOOKUP(A787,'Parameters Summary'!$B$2:$AB$826,17,FALSE)</f>
        <v>WATER9 (U.S. EPA, 2001)</v>
      </c>
      <c r="X787" s="347"/>
      <c r="Y787" s="96"/>
      <c r="Z787" s="96" t="s">
        <v>1653</v>
      </c>
      <c r="AA787" s="96"/>
      <c r="AB787" s="96" t="s">
        <v>1651</v>
      </c>
      <c r="AC787" s="96"/>
      <c r="AD787" s="93">
        <f>VLOOKUP(A787,'Parameters Summary'!$B$2:$AB$826,20,FALSE)</f>
        <v>426.1</v>
      </c>
      <c r="AE787" s="97" t="str">
        <f>VLOOKUP(A787,'Parameters Summary'!$B$2:$AB$826,21,FALSE)</f>
        <v>EPI</v>
      </c>
      <c r="AF787" s="97"/>
      <c r="AG787" s="94"/>
      <c r="AH787" s="372"/>
      <c r="AI787" s="373"/>
      <c r="AJ787" s="371"/>
      <c r="AK787" s="374"/>
    </row>
    <row r="788" spans="1:38" ht="12.75" customHeight="1">
      <c r="A788" s="95" t="s">
        <v>349</v>
      </c>
      <c r="B788" s="96" t="s">
        <v>1393</v>
      </c>
      <c r="C788" s="96" t="str">
        <f t="shared" si="83"/>
        <v>Yes</v>
      </c>
      <c r="D788" s="96" t="str">
        <f>VLOOKUP(A788,'Tox Summary'!$O$3:$R$824,3,FALSE)</f>
        <v>No</v>
      </c>
      <c r="E788" s="97">
        <v>106.17</v>
      </c>
      <c r="F788" s="97" t="s">
        <v>1620</v>
      </c>
      <c r="G788" s="93">
        <f>VLOOKUP(A788,'Parameters Summary'!$B$2:$AB$826,9,FALSE)</f>
        <v>8.2899999999999991</v>
      </c>
      <c r="H788" s="93" t="str">
        <f>VLOOKUP(A788,'Parameters Summary'!$B$2:$AB$826,10,FALSE)</f>
        <v>PHYSPROP</v>
      </c>
      <c r="I788" s="93">
        <f>VLOOKUP(A788,'Parameters Summary'!$B$2:$AB$826,24,FALSE)</f>
        <v>161</v>
      </c>
      <c r="J788" s="97" t="str">
        <f>VLOOKUP(A788,'Parameters Summary'!$B$2:$AB$826,25,FALSE)</f>
        <v>PHYSPROP</v>
      </c>
      <c r="K788" s="97" t="str">
        <f>VLOOKUP(A788,'Tox Summary'!$O$4:$P$824,2,FALSE)</f>
        <v/>
      </c>
      <c r="L788" s="93">
        <f>VLOOKUP(A788,'Parameters Summary'!$B$2:$AB$826,7,FALSE)</f>
        <v>7.1799999999999998E-3</v>
      </c>
      <c r="M788" s="93" t="str">
        <f>VLOOKUP(A788,'Parameters Summary'!$B$2:$AB$826,8,FALSE)</f>
        <v>PHYSPROP</v>
      </c>
      <c r="N788" s="91">
        <f>VLOOKUP(A788,'Parameters Summary'!$B$2:$AB$826,6,FALSE)</f>
        <v>0.29354049999999998</v>
      </c>
      <c r="O788" s="91">
        <f t="shared" si="80"/>
        <v>0.29354049999999998</v>
      </c>
      <c r="P788" s="91">
        <f t="shared" si="81"/>
        <v>0.29354049999999998</v>
      </c>
      <c r="Q788" s="91">
        <f t="shared" si="79"/>
        <v>0.29354049999999998</v>
      </c>
      <c r="R788" s="91">
        <f t="shared" si="82"/>
        <v>0.29354049999999998</v>
      </c>
      <c r="S788" s="91">
        <f t="shared" si="84"/>
        <v>47359765.019506089</v>
      </c>
      <c r="T788" s="93">
        <f>VLOOKUP(A788,'Parameters Summary'!$B$2:$AB$826,15,FALSE)</f>
        <v>6.8365899999999993E-2</v>
      </c>
      <c r="U788" s="93" t="str">
        <f>VLOOKUP(A788,'Parameters Summary'!$B$2:$AB$826,17,FALSE)</f>
        <v>WATER9 (U.S. EPA, 2001)</v>
      </c>
      <c r="V788" s="93">
        <f>VLOOKUP(A788,'Parameters Summary'!$B$2:$AB$826,16,FALSE)</f>
        <v>8.4393999999999992E-6</v>
      </c>
      <c r="W788" s="379" t="str">
        <f>VLOOKUP(A788,'Parameters Summary'!$B$2:$AB$826,17,FALSE)</f>
        <v>WATER9 (U.S. EPA, 2001)</v>
      </c>
      <c r="X788" s="290">
        <v>412.1</v>
      </c>
      <c r="Y788" s="96" t="s">
        <v>553</v>
      </c>
      <c r="Z788" s="96">
        <v>617.04999999999995</v>
      </c>
      <c r="AA788" s="96" t="s">
        <v>2227</v>
      </c>
      <c r="AB788" s="96">
        <v>8523</v>
      </c>
      <c r="AC788" s="96" t="s">
        <v>2227</v>
      </c>
      <c r="AD788" s="93">
        <f>VLOOKUP(A788,'Parameters Summary'!$B$2:$AB$826,20,FALSE)</f>
        <v>375.3</v>
      </c>
      <c r="AE788" s="97" t="str">
        <f>VLOOKUP(A788,'Parameters Summary'!$B$2:$AB$826,21,FALSE)</f>
        <v>EPI</v>
      </c>
      <c r="AF788" s="380">
        <v>1.1000000000000001</v>
      </c>
      <c r="AG788" s="97" t="s">
        <v>302</v>
      </c>
      <c r="AH788" s="92"/>
      <c r="AI788" s="311"/>
      <c r="AJ788" s="263"/>
      <c r="AL788" s="81"/>
    </row>
    <row r="789" spans="1:38" ht="12.75" customHeight="1">
      <c r="A789" s="95" t="s">
        <v>350</v>
      </c>
      <c r="B789" s="96" t="s">
        <v>1394</v>
      </c>
      <c r="C789" s="96" t="str">
        <f t="shared" si="83"/>
        <v>Yes</v>
      </c>
      <c r="D789" s="96" t="str">
        <f>VLOOKUP(A789,'Tox Summary'!$O$3:$R$824,3,FALSE)</f>
        <v>No</v>
      </c>
      <c r="E789" s="97">
        <v>106.17</v>
      </c>
      <c r="F789" s="97" t="s">
        <v>1620</v>
      </c>
      <c r="G789" s="93">
        <f>VLOOKUP(A789,'Parameters Summary'!$B$2:$AB$826,9,FALSE)</f>
        <v>6.61</v>
      </c>
      <c r="H789" s="93" t="str">
        <f>VLOOKUP(A789,'Parameters Summary'!$B$2:$AB$826,10,FALSE)</f>
        <v>PHYSPROP</v>
      </c>
      <c r="I789" s="93">
        <f>VLOOKUP(A789,'Parameters Summary'!$B$2:$AB$826,24,FALSE)</f>
        <v>178</v>
      </c>
      <c r="J789" s="97" t="str">
        <f>VLOOKUP(A789,'Parameters Summary'!$B$2:$AB$826,25,FALSE)</f>
        <v>PHYSPROP</v>
      </c>
      <c r="K789" s="97" t="str">
        <f>VLOOKUP(A789,'Tox Summary'!$O$4:$P$824,2,FALSE)</f>
        <v/>
      </c>
      <c r="L789" s="93">
        <f>VLOOKUP(A789,'Parameters Summary'!$B$2:$AB$826,7,FALSE)</f>
        <v>5.1799999999999997E-3</v>
      </c>
      <c r="M789" s="93" t="str">
        <f>VLOOKUP(A789,'Parameters Summary'!$B$2:$AB$826,8,FALSE)</f>
        <v>PHYSPROP</v>
      </c>
      <c r="N789" s="91">
        <f>VLOOKUP(A789,'Parameters Summary'!$B$2:$AB$826,6,FALSE)</f>
        <v>0.2117743</v>
      </c>
      <c r="O789" s="91">
        <f t="shared" si="80"/>
        <v>0.2117743</v>
      </c>
      <c r="P789" s="91">
        <f t="shared" si="81"/>
        <v>0.2117743</v>
      </c>
      <c r="Q789" s="91">
        <f t="shared" si="79"/>
        <v>0.2117743</v>
      </c>
      <c r="R789" s="91">
        <f t="shared" si="82"/>
        <v>0.2117743</v>
      </c>
      <c r="S789" s="91">
        <f t="shared" si="84"/>
        <v>37762128.682621874</v>
      </c>
      <c r="T789" s="93">
        <f>VLOOKUP(A789,'Parameters Summary'!$B$2:$AB$826,15,FALSE)</f>
        <v>6.8920099999999998E-2</v>
      </c>
      <c r="U789" s="93" t="str">
        <f>VLOOKUP(A789,'Parameters Summary'!$B$2:$AB$826,17,FALSE)</f>
        <v>WATER9 (U.S. EPA, 2001)</v>
      </c>
      <c r="V789" s="93">
        <f>VLOOKUP(A789,'Parameters Summary'!$B$2:$AB$826,16,FALSE)</f>
        <v>8.5314999999999995E-6</v>
      </c>
      <c r="W789" s="379" t="str">
        <f>VLOOKUP(A789,'Parameters Summary'!$B$2:$AB$826,17,FALSE)</f>
        <v>WATER9 (U.S. EPA, 2001)</v>
      </c>
      <c r="X789" s="290">
        <v>411.5</v>
      </c>
      <c r="Y789" s="96" t="s">
        <v>553</v>
      </c>
      <c r="Z789" s="96">
        <v>630.29999999999995</v>
      </c>
      <c r="AA789" s="96" t="s">
        <v>2227</v>
      </c>
      <c r="AB789" s="96">
        <v>8661</v>
      </c>
      <c r="AC789" s="96" t="s">
        <v>2227</v>
      </c>
      <c r="AD789" s="93">
        <f>VLOOKUP(A789,'Parameters Summary'!$B$2:$AB$826,20,FALSE)</f>
        <v>382.9</v>
      </c>
      <c r="AE789" s="97" t="str">
        <f>VLOOKUP(A789,'Parameters Summary'!$B$2:$AB$826,21,FALSE)</f>
        <v>EPI</v>
      </c>
      <c r="AF789" s="380">
        <v>0.9</v>
      </c>
      <c r="AG789" s="97" t="s">
        <v>302</v>
      </c>
      <c r="AH789" s="92"/>
      <c r="AI789" s="311"/>
      <c r="AJ789" s="263"/>
      <c r="AL789" s="81"/>
    </row>
    <row r="790" spans="1:38" ht="12.75" customHeight="1">
      <c r="A790" s="95" t="s">
        <v>348</v>
      </c>
      <c r="B790" s="96" t="s">
        <v>1392</v>
      </c>
      <c r="C790" s="96" t="str">
        <f t="shared" si="83"/>
        <v>Yes</v>
      </c>
      <c r="D790" s="96" t="str">
        <f>VLOOKUP(A790,'Tox Summary'!$O$3:$R$824,3,FALSE)</f>
        <v>No</v>
      </c>
      <c r="E790" s="97">
        <v>106.17</v>
      </c>
      <c r="F790" s="97" t="s">
        <v>1620</v>
      </c>
      <c r="G790" s="93">
        <f>VLOOKUP(A790,'Parameters Summary'!$B$2:$AB$826,9,FALSE)</f>
        <v>8.84</v>
      </c>
      <c r="H790" s="93" t="str">
        <f>VLOOKUP(A790,'Parameters Summary'!$B$2:$AB$826,10,FALSE)</f>
        <v>PHYSPROP</v>
      </c>
      <c r="I790" s="93">
        <f>VLOOKUP(A790,'Parameters Summary'!$B$2:$AB$826,24,FALSE)</f>
        <v>162</v>
      </c>
      <c r="J790" s="97" t="str">
        <f>VLOOKUP(A790,'Parameters Summary'!$B$2:$AB$826,25,FALSE)</f>
        <v>PHYSPROP</v>
      </c>
      <c r="K790" s="97" t="str">
        <f>VLOOKUP(A790,'Tox Summary'!$O$4:$P$824,2,FALSE)</f>
        <v/>
      </c>
      <c r="L790" s="93">
        <f>VLOOKUP(A790,'Parameters Summary'!$B$2:$AB$826,7,FALSE)</f>
        <v>6.8999999999999999E-3</v>
      </c>
      <c r="M790" s="93" t="str">
        <f>VLOOKUP(A790,'Parameters Summary'!$B$2:$AB$826,8,FALSE)</f>
        <v>PHYSPROP</v>
      </c>
      <c r="N790" s="91">
        <f>VLOOKUP(A790,'Parameters Summary'!$B$2:$AB$826,6,FALSE)</f>
        <v>0.28209319999999999</v>
      </c>
      <c r="O790" s="91">
        <f t="shared" si="80"/>
        <v>0.28209319999999999</v>
      </c>
      <c r="P790" s="91">
        <f t="shared" si="81"/>
        <v>0.28209319999999999</v>
      </c>
      <c r="Q790" s="91">
        <f t="shared" si="79"/>
        <v>0.28209319999999999</v>
      </c>
      <c r="R790" s="91">
        <f t="shared" si="82"/>
        <v>0.28209319999999999</v>
      </c>
      <c r="S790" s="91">
        <f t="shared" si="84"/>
        <v>50501848.34408129</v>
      </c>
      <c r="T790" s="93">
        <f>VLOOKUP(A790,'Parameters Summary'!$B$2:$AB$826,15,FALSE)</f>
        <v>6.8248500000000004E-2</v>
      </c>
      <c r="U790" s="93" t="str">
        <f>VLOOKUP(A790,'Parameters Summary'!$B$2:$AB$826,17,FALSE)</f>
        <v>WATER9 (U.S. EPA, 2001)</v>
      </c>
      <c r="V790" s="93">
        <f>VLOOKUP(A790,'Parameters Summary'!$B$2:$AB$826,16,FALSE)</f>
        <v>8.4199000000000005E-6</v>
      </c>
      <c r="W790" s="379" t="str">
        <f>VLOOKUP(A790,'Parameters Summary'!$B$2:$AB$826,17,FALSE)</f>
        <v>WATER9 (U.S. EPA, 2001)</v>
      </c>
      <c r="X790" s="290">
        <v>411.3</v>
      </c>
      <c r="Y790" s="96" t="s">
        <v>553</v>
      </c>
      <c r="Z790" s="96">
        <v>616.20000000000005</v>
      </c>
      <c r="AA790" s="96" t="s">
        <v>2227</v>
      </c>
      <c r="AB790" s="96">
        <v>8525</v>
      </c>
      <c r="AC790" s="96" t="s">
        <v>2227</v>
      </c>
      <c r="AD790" s="93">
        <f>VLOOKUP(A790,'Parameters Summary'!$B$2:$AB$826,20,FALSE)</f>
        <v>375.3</v>
      </c>
      <c r="AE790" s="97" t="str">
        <f>VLOOKUP(A790,'Parameters Summary'!$B$2:$AB$826,21,FALSE)</f>
        <v>EPI</v>
      </c>
      <c r="AF790" s="380">
        <v>1</v>
      </c>
      <c r="AG790" s="97" t="s">
        <v>302</v>
      </c>
      <c r="AH790" s="92"/>
      <c r="AI790" s="311"/>
      <c r="AJ790" s="263"/>
      <c r="AL790" s="81"/>
    </row>
    <row r="791" spans="1:38">
      <c r="A791" s="85" t="s">
        <v>2444</v>
      </c>
      <c r="B791" s="85" t="s">
        <v>2443</v>
      </c>
      <c r="C791" s="96" t="str">
        <f t="shared" ref="C791:C803" si="85">IF((COUNTIF(G791,"&gt;1")+COUNTIF(L791,"&gt;1E-5"))&gt;0,"Yes","No")</f>
        <v>No</v>
      </c>
      <c r="D791" s="96" t="str">
        <f>VLOOKUP(A791,'Tox Summary'!$O$3:$R$824,3,FALSE)</f>
        <v>No</v>
      </c>
      <c r="E791" s="29">
        <v>109.13</v>
      </c>
      <c r="F791" s="29" t="s">
        <v>1620</v>
      </c>
      <c r="G791" s="93">
        <f>VLOOKUP(A791,'Parameters Summary'!$B$2:$AB$826,9,FALSE)</f>
        <v>9.5499999999999995E-3</v>
      </c>
      <c r="H791" s="93" t="str">
        <f>VLOOKUP(A791,'Parameters Summary'!$B$2:$AB$826,10,FALSE)</f>
        <v>PHYSPROP</v>
      </c>
      <c r="I791" s="93">
        <f>VLOOKUP(A791,'Parameters Summary'!$B$2:$AB$826,24,FALSE)</f>
        <v>20000</v>
      </c>
      <c r="J791" s="97" t="str">
        <f>VLOOKUP(A791,'Parameters Summary'!$B$2:$AB$826,25,FALSE)</f>
        <v>PHYSPROP</v>
      </c>
      <c r="K791" s="97" t="str">
        <f>VLOOKUP(A791,'Tox Summary'!$O$4:$P$824,2,FALSE)</f>
        <v/>
      </c>
      <c r="L791" s="93">
        <f>VLOOKUP(A791,'Parameters Summary'!$B$2:$AB$826,7,FALSE)</f>
        <v>1.9799999999999999E-10</v>
      </c>
      <c r="M791" s="93" t="str">
        <f>VLOOKUP(A791,'Parameters Summary'!$B$2:$AB$826,8,FALSE)</f>
        <v>PHYSPROP</v>
      </c>
      <c r="N791" s="91">
        <f>VLOOKUP(A791,'Parameters Summary'!$B$2:$AB$826,6,FALSE)</f>
        <v>8.0947999999999998E-9</v>
      </c>
      <c r="O791" s="91" t="str">
        <f>IF(OR(L791="No Hc25",Z791="No Tcrit",AB791="No DHv,b"),"",N791*EXP((-(AB791*((1-(Tgw+273)/Z791)/(1-X791/Z791))^(IF(X791/Z791&lt;0.57,0.3,IF(X791/Z791&gt;0.71,0.41,0.74*(X791/Z791)-0.116))))/1.9872)*(1/(Tgw+273)-1/298)))</f>
        <v/>
      </c>
      <c r="P791" s="91">
        <f t="shared" ref="P791:P803" si="86">IF(O791="",N791,O791)</f>
        <v>8.0947999999999998E-9</v>
      </c>
      <c r="Q791" s="91" t="str">
        <f t="shared" si="79"/>
        <v/>
      </c>
      <c r="R791" s="91">
        <f t="shared" ref="R791:R803" si="87">IF(Q791="",P791,Q791)</f>
        <v>8.0947999999999998E-9</v>
      </c>
      <c r="S791" s="91" t="str">
        <f t="shared" si="84"/>
        <v/>
      </c>
      <c r="T791" s="93">
        <f>VLOOKUP(A791,'Parameters Summary'!$B$2:$AB$826,15,FALSE)</f>
        <v>8.0487600000000006E-2</v>
      </c>
      <c r="U791" s="93" t="str">
        <f>VLOOKUP(A791,'Parameters Summary'!$B$2:$AB$826,17,FALSE)</f>
        <v>WATER9 (U.S. EPA, 2001)</v>
      </c>
      <c r="V791" s="93">
        <f>VLOOKUP(A791,'Parameters Summary'!$B$2:$AB$826,16,FALSE)</f>
        <v>1.08E-5</v>
      </c>
      <c r="W791" s="379" t="str">
        <f>VLOOKUP(A791,'Parameters Summary'!$B$2:$AB$826,17,FALSE)</f>
        <v>WATER9 (U.S. EPA, 2001)</v>
      </c>
      <c r="X791" s="296">
        <v>514.84</v>
      </c>
      <c r="Y791" s="77" t="s">
        <v>553</v>
      </c>
      <c r="Z791" s="418" t="s">
        <v>1653</v>
      </c>
      <c r="AB791" s="96" t="s">
        <v>1651</v>
      </c>
      <c r="AD791" s="93">
        <f>VLOOKUP(A791,'Parameters Summary'!$B$2:$AB$826,20,FALSE)</f>
        <v>92.04</v>
      </c>
      <c r="AE791" s="97" t="str">
        <f>VLOOKUP(A791,'Parameters Summary'!$B$2:$AB$826,21,FALSE)</f>
        <v>EPI</v>
      </c>
      <c r="AF791" s="29"/>
      <c r="AG791" s="81"/>
      <c r="AI791" s="312"/>
      <c r="AL791" s="81"/>
    </row>
    <row r="792" spans="1:38">
      <c r="A792" s="85" t="s">
        <v>721</v>
      </c>
      <c r="B792" s="85" t="s">
        <v>1021</v>
      </c>
      <c r="C792" s="96" t="str">
        <f t="shared" si="85"/>
        <v>No</v>
      </c>
      <c r="D792" s="96" t="str">
        <f>VLOOKUP(A792,'Tox Summary'!$O$3:$R$824,3,FALSE)</f>
        <v>Yes</v>
      </c>
      <c r="E792" s="29">
        <v>112.4</v>
      </c>
      <c r="F792" s="29" t="s">
        <v>1620</v>
      </c>
      <c r="G792" s="93">
        <f>VLOOKUP(A792,'Parameters Summary'!$B$2:$AB$826,9,FALSE)</f>
        <v>0</v>
      </c>
      <c r="H792" s="93" t="str">
        <f>VLOOKUP(A792,'Parameters Summary'!$B$2:$AB$826,10,FALSE)</f>
        <v>NIOSH</v>
      </c>
      <c r="I792" s="93" t="s">
        <v>2440</v>
      </c>
      <c r="J792" s="97" t="str">
        <f>VLOOKUP(A792,'Parameters Summary'!$B$2:$AB$826,25,FALSE)</f>
        <v/>
      </c>
      <c r="K792" s="97" t="str">
        <f>VLOOKUP(A792,'Tox Summary'!$O$4:$P$824,2,FALSE)</f>
        <v/>
      </c>
      <c r="L792" s="93" t="str">
        <f>VLOOKUP(A792,'Parameters Summary'!$B$2:$AB$826,7,FALSE)</f>
        <v xml:space="preserve"> </v>
      </c>
      <c r="M792" s="93" t="str">
        <f>VLOOKUP(A792,'Parameters Summary'!$B$2:$AB$826,8,FALSE)</f>
        <v/>
      </c>
      <c r="N792" s="91" t="str">
        <f>VLOOKUP(A792,'Parameters Summary'!$B$2:$AB$826,6,FALSE)</f>
        <v xml:space="preserve"> </v>
      </c>
      <c r="O792" s="91" t="str">
        <f t="shared" ref="O792:O803" si="88">IF(OR(L792="No Hc25",Z792="No Tcrit",AB792="No DHv,b"),"",N792*EXP((-(AB792*((1-(Tgw+273)/Z792)/(1-X792/Z792))^(IF(X792/Z792&lt;0.57,0.3,IF(X792/Z792&gt;0.71,0.41,0.74*(X792/Z792)-0.116))))/1.9872)*(1/(Tgw+273)-1/298)))</f>
        <v/>
      </c>
      <c r="P792" s="91" t="str">
        <f t="shared" si="86"/>
        <v xml:space="preserve"> </v>
      </c>
      <c r="Q792" s="91" t="str">
        <f t="shared" si="79"/>
        <v/>
      </c>
      <c r="R792" s="91" t="str">
        <f t="shared" si="87"/>
        <v xml:space="preserve"> </v>
      </c>
      <c r="S792" s="91" t="str">
        <f t="shared" si="84"/>
        <v/>
      </c>
      <c r="T792" s="93" t="str">
        <f>VLOOKUP(A792,'Parameters Summary'!$B$2:$AB$826,15,FALSE)</f>
        <v xml:space="preserve"> </v>
      </c>
      <c r="U792" s="93"/>
      <c r="V792" s="78" t="s">
        <v>2436</v>
      </c>
      <c r="W792" s="93"/>
      <c r="Z792" s="418" t="s">
        <v>1653</v>
      </c>
      <c r="AB792" s="96" t="s">
        <v>1651</v>
      </c>
      <c r="AD792" s="93" t="str">
        <f>VLOOKUP(A792,'Parameters Summary'!$B$2:$AB$826,20,FALSE)</f>
        <v xml:space="preserve"> </v>
      </c>
      <c r="AE792" s="97" t="str">
        <f>VLOOKUP(A792,'Parameters Summary'!$B$2:$AB$826,21,FALSE)</f>
        <v/>
      </c>
      <c r="AF792" s="29"/>
      <c r="AG792" s="81"/>
      <c r="AI792" s="312"/>
      <c r="AL792" s="81"/>
    </row>
    <row r="793" spans="1:38">
      <c r="A793" s="85" t="s">
        <v>2446</v>
      </c>
      <c r="B793" s="85" t="s">
        <v>2445</v>
      </c>
      <c r="C793" s="96" t="str">
        <f t="shared" si="85"/>
        <v>No</v>
      </c>
      <c r="D793" s="96" t="str">
        <f>VLOOKUP(A793,'Tox Summary'!$O$3:$R$824,3,FALSE)</f>
        <v>Yes</v>
      </c>
      <c r="E793" s="29">
        <v>192.62</v>
      </c>
      <c r="F793" s="29" t="s">
        <v>1620</v>
      </c>
      <c r="G793" s="93">
        <f>VLOOKUP(A793,'Parameters Summary'!$B$2:$AB$826,9,FALSE)</f>
        <v>4.2799999999999997E-6</v>
      </c>
      <c r="H793" s="93" t="str">
        <f>VLOOKUP(A793,'Parameters Summary'!$B$2:$AB$826,10,FALSE)</f>
        <v>PHYSPROP</v>
      </c>
      <c r="I793" s="93">
        <f>VLOOKUP(A793,'Parameters Summary'!$B$2:$AB$826,24,FALSE)</f>
        <v>306300</v>
      </c>
      <c r="J793" s="97" t="str">
        <f>VLOOKUP(A793,'Parameters Summary'!$B$2:$AB$826,25,FALSE)</f>
        <v>PHYSPROP</v>
      </c>
      <c r="K793" s="97" t="str">
        <f>VLOOKUP(A793,'Tox Summary'!$O$4:$P$824,2,FALSE)</f>
        <v/>
      </c>
      <c r="L793" s="93">
        <f>VLOOKUP(A793,'Parameters Summary'!$B$2:$AB$826,7,FALSE)</f>
        <v>1.86E-9</v>
      </c>
      <c r="M793" s="93" t="str">
        <f>VLOOKUP(A793,'Parameters Summary'!$B$2:$AB$826,8,FALSE)</f>
        <v>PHYSPROP</v>
      </c>
      <c r="N793" s="91">
        <f>VLOOKUP(A793,'Parameters Summary'!$B$2:$AB$826,6,FALSE)</f>
        <v>7.6043000000000001E-8</v>
      </c>
      <c r="O793" s="91" t="str">
        <f t="shared" si="88"/>
        <v/>
      </c>
      <c r="P793" s="91">
        <f t="shared" si="86"/>
        <v>7.6043000000000001E-8</v>
      </c>
      <c r="Q793" s="91" t="str">
        <f t="shared" si="79"/>
        <v/>
      </c>
      <c r="R793" s="91">
        <f t="shared" si="87"/>
        <v>7.6043000000000001E-8</v>
      </c>
      <c r="S793" s="91" t="str">
        <f t="shared" si="84"/>
        <v/>
      </c>
      <c r="T793" s="93">
        <f>VLOOKUP(A793,'Parameters Summary'!$B$2:$AB$826,15,FALSE)</f>
        <v>5.6966500000000003E-2</v>
      </c>
      <c r="U793" s="93" t="s">
        <v>2435</v>
      </c>
      <c r="V793" s="78">
        <v>6.6560999999999997E-6</v>
      </c>
      <c r="W793" s="93" t="s">
        <v>2435</v>
      </c>
      <c r="X793" s="296">
        <v>612.21</v>
      </c>
      <c r="Y793" s="77" t="s">
        <v>553</v>
      </c>
      <c r="Z793" s="418" t="s">
        <v>1653</v>
      </c>
      <c r="AB793" s="96" t="s">
        <v>1651</v>
      </c>
      <c r="AD793" s="93">
        <f>VLOOKUP(A793,'Parameters Summary'!$B$2:$AB$826,20,FALSE)</f>
        <v>16.059999999999999</v>
      </c>
      <c r="AE793" s="97" t="str">
        <f>VLOOKUP(A793,'Parameters Summary'!$B$2:$AB$826,21,FALSE)</f>
        <v>EPI</v>
      </c>
      <c r="AF793" s="29"/>
      <c r="AG793" s="81"/>
      <c r="AI793" s="312"/>
      <c r="AL793" s="81"/>
    </row>
    <row r="794" spans="1:38">
      <c r="A794" s="85" t="s">
        <v>2448</v>
      </c>
      <c r="B794" s="85" t="s">
        <v>2447</v>
      </c>
      <c r="C794" s="96" t="str">
        <f t="shared" si="85"/>
        <v>No</v>
      </c>
      <c r="D794" s="96" t="str">
        <f>VLOOKUP(A794,'Tox Summary'!$O$3:$R$824,3,FALSE)</f>
        <v>No</v>
      </c>
      <c r="E794" s="29">
        <v>122.11</v>
      </c>
      <c r="F794" s="29" t="s">
        <v>1620</v>
      </c>
      <c r="G794" s="93">
        <f>VLOOKUP(A794,'Parameters Summary'!$B$2:$AB$826,9,FALSE)</f>
        <v>1.2499999999999999E-7</v>
      </c>
      <c r="H794" s="93" t="str">
        <f>VLOOKUP(A794,'Parameters Summary'!$B$2:$AB$826,10,FALSE)</f>
        <v>PHYSPROP</v>
      </c>
      <c r="I794" s="93">
        <f>VLOOKUP(A794,'Parameters Summary'!$B$2:$AB$826,24,FALSE)</f>
        <v>1000000</v>
      </c>
      <c r="J794" s="97" t="str">
        <f>VLOOKUP(A794,'Parameters Summary'!$B$2:$AB$826,25,FALSE)</f>
        <v>PHYSPROP</v>
      </c>
      <c r="K794" s="97" t="str">
        <f>VLOOKUP(A794,'Tox Summary'!$O$4:$P$824,2,FALSE)</f>
        <v/>
      </c>
      <c r="L794" s="93">
        <f>VLOOKUP(A794,'Parameters Summary'!$B$2:$AB$826,7,FALSE)</f>
        <v>8.9600000000000009E-19</v>
      </c>
      <c r="M794" s="93" t="str">
        <f>VLOOKUP(A794,'Parameters Summary'!$B$2:$AB$826,8,FALSE)</f>
        <v>PHYSPROP</v>
      </c>
      <c r="N794" s="91">
        <f>VLOOKUP(A794,'Parameters Summary'!$B$2:$AB$826,6,FALSE)</f>
        <v>3.6630000000000003E-17</v>
      </c>
      <c r="O794" s="91" t="str">
        <f t="shared" si="88"/>
        <v/>
      </c>
      <c r="P794" s="91">
        <f t="shared" si="86"/>
        <v>3.6630000000000003E-17</v>
      </c>
      <c r="Q794" s="91" t="str">
        <f t="shared" si="79"/>
        <v/>
      </c>
      <c r="R794" s="91">
        <f t="shared" si="87"/>
        <v>3.6630000000000003E-17</v>
      </c>
      <c r="S794" s="91" t="str">
        <f t="shared" si="84"/>
        <v/>
      </c>
      <c r="T794" s="93">
        <f>VLOOKUP(A794,'Parameters Summary'!$B$2:$AB$826,15,FALSE)</f>
        <v>7.7194499999999999E-2</v>
      </c>
      <c r="U794" s="93" t="s">
        <v>2435</v>
      </c>
      <c r="V794" s="78">
        <v>9.0195999999999992E-6</v>
      </c>
      <c r="W794" s="93" t="s">
        <v>2435</v>
      </c>
      <c r="X794" s="296">
        <v>663.77</v>
      </c>
      <c r="Y794" s="77" t="s">
        <v>553</v>
      </c>
      <c r="Z794" s="418" t="s">
        <v>1653</v>
      </c>
      <c r="AB794" s="96" t="s">
        <v>1651</v>
      </c>
      <c r="AD794" s="93">
        <f>VLOOKUP(A794,'Parameters Summary'!$B$2:$AB$826,20,FALSE)</f>
        <v>22.79</v>
      </c>
      <c r="AE794" s="97" t="str">
        <f>VLOOKUP(A794,'Parameters Summary'!$B$2:$AB$826,21,FALSE)</f>
        <v>EPI</v>
      </c>
      <c r="AF794" s="29"/>
      <c r="AG794" s="81"/>
      <c r="AI794" s="312"/>
      <c r="AL794" s="81"/>
    </row>
    <row r="795" spans="1:38">
      <c r="A795" s="85" t="s">
        <v>2450</v>
      </c>
      <c r="B795" s="85" t="s">
        <v>2449</v>
      </c>
      <c r="C795" s="96" t="str">
        <f t="shared" si="85"/>
        <v>Yes</v>
      </c>
      <c r="D795" s="96" t="str">
        <f>VLOOKUP(A795,'Tox Summary'!$O$3:$R$824,3,FALSE)</f>
        <v>Yes</v>
      </c>
      <c r="E795" s="29">
        <v>100.21</v>
      </c>
      <c r="F795" s="29" t="s">
        <v>1620</v>
      </c>
      <c r="G795" s="93">
        <f>VLOOKUP(A795,'Parameters Summary'!$B$2:$AB$826,9,FALSE)</f>
        <v>46</v>
      </c>
      <c r="H795" s="93" t="str">
        <f>VLOOKUP(A795,'Parameters Summary'!$B$2:$AB$826,10,FALSE)</f>
        <v>PHYSPROP</v>
      </c>
      <c r="I795" s="93">
        <f>VLOOKUP(A795,'Parameters Summary'!$B$2:$AB$826,24,FALSE)</f>
        <v>3.4</v>
      </c>
      <c r="J795" s="97" t="str">
        <f>VLOOKUP(A795,'Parameters Summary'!$B$2:$AB$826,25,FALSE)</f>
        <v>PHYSPROP</v>
      </c>
      <c r="K795" s="97" t="str">
        <f>VLOOKUP(A795,'Tox Summary'!$O$4:$P$824,2,FALSE)</f>
        <v/>
      </c>
      <c r="L795" s="93">
        <f>VLOOKUP(A795,'Parameters Summary'!$B$2:$AB$826,7,FALSE)</f>
        <v>2</v>
      </c>
      <c r="M795" s="93" t="str">
        <f>VLOOKUP(A795,'Parameters Summary'!$B$2:$AB$826,8,FALSE)</f>
        <v>EPI</v>
      </c>
      <c r="N795" s="91">
        <f>VLOOKUP(A795,'Parameters Summary'!$B$2:$AB$826,6,FALSE)</f>
        <v>81.766148999999999</v>
      </c>
      <c r="O795" s="91" t="str">
        <f t="shared" si="88"/>
        <v/>
      </c>
      <c r="P795" s="91">
        <f t="shared" si="86"/>
        <v>81.766148999999999</v>
      </c>
      <c r="Q795" s="91" t="str">
        <f t="shared" si="79"/>
        <v/>
      </c>
      <c r="R795" s="91">
        <f t="shared" si="87"/>
        <v>81.766148999999999</v>
      </c>
      <c r="S795" s="91" t="str">
        <f t="shared" si="84"/>
        <v/>
      </c>
      <c r="T795" s="93">
        <f>VLOOKUP(A795,'Parameters Summary'!$B$2:$AB$826,15,FALSE)</f>
        <v>6.4921199999999998E-2</v>
      </c>
      <c r="U795" s="93" t="s">
        <v>2435</v>
      </c>
      <c r="V795" s="78">
        <v>7.5865000000000001E-6</v>
      </c>
      <c r="W795" s="93" t="s">
        <v>2435</v>
      </c>
      <c r="X795" s="296">
        <v>371.5</v>
      </c>
      <c r="Y795" s="77" t="s">
        <v>1620</v>
      </c>
      <c r="Z795" s="418" t="s">
        <v>1653</v>
      </c>
      <c r="AB795" s="96" t="s">
        <v>1651</v>
      </c>
      <c r="AD795" s="93">
        <f>VLOOKUP(A795,'Parameters Summary'!$B$2:$AB$826,20,FALSE)</f>
        <v>239.7</v>
      </c>
      <c r="AE795" s="97" t="str">
        <f>VLOOKUP(A795,'Parameters Summary'!$B$2:$AB$826,21,FALSE)</f>
        <v>EPI</v>
      </c>
      <c r="AF795" s="29"/>
      <c r="AG795" s="81"/>
      <c r="AI795" s="312"/>
      <c r="AL795" s="81"/>
    </row>
    <row r="796" spans="1:38">
      <c r="A796" s="85" t="s">
        <v>2452</v>
      </c>
      <c r="B796" s="85" t="s">
        <v>2451</v>
      </c>
      <c r="C796" s="96" t="str">
        <f t="shared" si="85"/>
        <v>No</v>
      </c>
      <c r="D796" s="96" t="str">
        <f>VLOOKUP(A796,'Tox Summary'!$O$3:$R$824,3,FALSE)</f>
        <v>No</v>
      </c>
      <c r="E796" s="29">
        <v>167.25</v>
      </c>
      <c r="F796" s="29" t="s">
        <v>553</v>
      </c>
      <c r="G796" s="93">
        <f>VLOOKUP(A796,'Parameters Summary'!$B$2:$AB$826,9,FALSE)</f>
        <v>4.64E-4</v>
      </c>
      <c r="H796" s="93" t="str">
        <f>VLOOKUP(A796,'Parameters Summary'!$B$2:$AB$826,10,FALSE)</f>
        <v>EPI</v>
      </c>
      <c r="I796" s="93">
        <f>VLOOKUP(A796,'Parameters Summary'!$B$2:$AB$826,24,FALSE)</f>
        <v>120</v>
      </c>
      <c r="J796" s="97" t="str">
        <f>VLOOKUP(A796,'Parameters Summary'!$B$2:$AB$826,25,FALSE)</f>
        <v>EPI</v>
      </c>
      <c r="K796" s="97" t="str">
        <f>VLOOKUP(A796,'Tox Summary'!$O$4:$P$824,2,FALSE)</f>
        <v/>
      </c>
      <c r="L796" s="93">
        <f>VLOOKUP(A796,'Parameters Summary'!$B$2:$AB$826,7,FALSE)</f>
        <v>3.6300000000000001E-8</v>
      </c>
      <c r="M796" s="93" t="str">
        <f>VLOOKUP(A796,'Parameters Summary'!$B$2:$AB$826,8,FALSE)</f>
        <v>EPI</v>
      </c>
      <c r="N796" s="91">
        <f>VLOOKUP(A796,'Parameters Summary'!$B$2:$AB$826,6,FALSE)</f>
        <v>1.4839999999999999E-6</v>
      </c>
      <c r="O796" s="91" t="str">
        <f t="shared" si="88"/>
        <v/>
      </c>
      <c r="P796" s="91">
        <f t="shared" si="86"/>
        <v>1.4839999999999999E-6</v>
      </c>
      <c r="Q796" s="91" t="str">
        <f t="shared" si="79"/>
        <v/>
      </c>
      <c r="R796" s="91">
        <f t="shared" si="87"/>
        <v>1.4839999999999999E-6</v>
      </c>
      <c r="S796" s="91" t="str">
        <f t="shared" si="84"/>
        <v/>
      </c>
      <c r="T796" s="93">
        <f>VLOOKUP(A796,'Parameters Summary'!$B$2:$AB$826,15,FALSE)</f>
        <v>4.6799100000000003E-2</v>
      </c>
      <c r="U796" s="93" t="s">
        <v>2435</v>
      </c>
      <c r="V796" s="78">
        <v>8.6820999999999994E-6</v>
      </c>
      <c r="W796" s="93" t="s">
        <v>2435</v>
      </c>
      <c r="X796" s="296">
        <v>574.79999999999995</v>
      </c>
      <c r="Y796" s="77" t="s">
        <v>553</v>
      </c>
      <c r="Z796" s="418" t="s">
        <v>1653</v>
      </c>
      <c r="AB796" s="96" t="s">
        <v>1651</v>
      </c>
      <c r="AD796" s="93">
        <f>VLOOKUP(A796,'Parameters Summary'!$B$2:$AB$826,20,FALSE)</f>
        <v>1360</v>
      </c>
      <c r="AE796" s="97" t="str">
        <f>VLOOKUP(A796,'Parameters Summary'!$B$2:$AB$826,21,FALSE)</f>
        <v>EPI</v>
      </c>
      <c r="AF796" s="29"/>
      <c r="AG796" s="81"/>
      <c r="AI796" s="312"/>
      <c r="AL796" s="81"/>
    </row>
    <row r="797" spans="1:38">
      <c r="A797" s="85" t="s">
        <v>2454</v>
      </c>
      <c r="B797" s="85" t="s">
        <v>2453</v>
      </c>
      <c r="C797" s="96" t="str">
        <f t="shared" si="85"/>
        <v>No</v>
      </c>
      <c r="D797" s="96" t="str">
        <f>VLOOKUP(A797,'Tox Summary'!$O$3:$R$824,3,FALSE)</f>
        <v>No</v>
      </c>
      <c r="E797" s="29">
        <v>299.10000000000002</v>
      </c>
      <c r="F797" s="29" t="s">
        <v>2470</v>
      </c>
      <c r="G797" s="93" t="s">
        <v>2439</v>
      </c>
      <c r="H797" s="93" t="str">
        <f>VLOOKUP(A797,'Parameters Summary'!$B$2:$AB$826,10,FALSE)</f>
        <v/>
      </c>
      <c r="I797" s="93">
        <f>VLOOKUP(A797,'Parameters Summary'!$B$2:$AB$826,24,FALSE)</f>
        <v>56600</v>
      </c>
      <c r="J797" s="97" t="str">
        <f>VLOOKUP(A797,'Parameters Summary'!$B$2:$AB$826,25,FALSE)</f>
        <v>CHR Australia</v>
      </c>
      <c r="K797" s="97" t="str">
        <f>VLOOKUP(A797,'Tox Summary'!$O$4:$P$824,2,FALSE)</f>
        <v/>
      </c>
      <c r="L797" s="93" t="s">
        <v>2298</v>
      </c>
      <c r="M797" s="93" t="str">
        <f>VLOOKUP(A797,'Parameters Summary'!$B$2:$AB$826,8,FALSE)</f>
        <v/>
      </c>
      <c r="N797" s="91" t="str">
        <f>VLOOKUP(A797,'Parameters Summary'!$B$2:$AB$826,6,FALSE)</f>
        <v xml:space="preserve"> </v>
      </c>
      <c r="O797" s="91" t="str">
        <f t="shared" si="88"/>
        <v/>
      </c>
      <c r="P797" s="91" t="str">
        <f t="shared" si="86"/>
        <v xml:space="preserve"> </v>
      </c>
      <c r="Q797" s="91" t="str">
        <f t="shared" si="79"/>
        <v/>
      </c>
      <c r="R797" s="91" t="str">
        <f t="shared" si="87"/>
        <v xml:space="preserve"> </v>
      </c>
      <c r="S797" s="91" t="str">
        <f t="shared" si="84"/>
        <v/>
      </c>
      <c r="T797" s="93">
        <f>VLOOKUP(A797,'Parameters Summary'!$B$2:$AB$826,15,FALSE)</f>
        <v>2.6999499999999999E-2</v>
      </c>
      <c r="U797" s="93" t="s">
        <v>2435</v>
      </c>
      <c r="V797" s="78">
        <v>7.1747000000000001E-6</v>
      </c>
      <c r="W797" s="93" t="s">
        <v>2435</v>
      </c>
      <c r="X797" s="296">
        <v>494</v>
      </c>
      <c r="Y797" s="77" t="s">
        <v>1620</v>
      </c>
      <c r="Z797" s="418" t="s">
        <v>1653</v>
      </c>
      <c r="AB797" s="96" t="s">
        <v>1651</v>
      </c>
      <c r="AD797" s="93">
        <f>VLOOKUP(A797,'Parameters Summary'!$B$2:$AB$826,20,FALSE)</f>
        <v>61.66</v>
      </c>
      <c r="AE797" s="97" t="str">
        <f>VLOOKUP(A797,'Parameters Summary'!$B$2:$AB$826,21,FALSE)</f>
        <v>Guelfo and Higgins</v>
      </c>
      <c r="AF797" s="29"/>
      <c r="AG797" s="81"/>
      <c r="AI797" s="312"/>
      <c r="AL797" s="81"/>
    </row>
    <row r="798" spans="1:38">
      <c r="A798" s="85" t="s">
        <v>2456</v>
      </c>
      <c r="B798" s="85" t="s">
        <v>2455</v>
      </c>
      <c r="C798" s="96" t="str">
        <f t="shared" si="85"/>
        <v>Yes</v>
      </c>
      <c r="D798" s="96" t="str">
        <f>VLOOKUP(A798,'Tox Summary'!$O$3:$R$824,3,FALSE)</f>
        <v>No</v>
      </c>
      <c r="E798" s="29">
        <v>135.19</v>
      </c>
      <c r="F798" s="29" t="s">
        <v>1620</v>
      </c>
      <c r="G798" s="93">
        <f>VLOOKUP(A798,'Parameters Summary'!$B$2:$AB$826,9,FALSE)</f>
        <v>1.5</v>
      </c>
      <c r="H798" s="93" t="str">
        <f>VLOOKUP(A798,'Parameters Summary'!$B$2:$AB$826,10,FALSE)</f>
        <v>PHYSPROP</v>
      </c>
      <c r="I798" s="93">
        <f>VLOOKUP(A798,'Parameters Summary'!$B$2:$AB$826,24,FALSE)</f>
        <v>89.9</v>
      </c>
      <c r="J798" s="97" t="str">
        <f>VLOOKUP(A798,'Parameters Summary'!$B$2:$AB$826,25,FALSE)</f>
        <v>PHYSPROP</v>
      </c>
      <c r="K798" s="97" t="str">
        <f>VLOOKUP(A798,'Tox Summary'!$O$4:$P$824,2,FALSE)</f>
        <v/>
      </c>
      <c r="L798" s="93">
        <f>VLOOKUP(A798,'Parameters Summary'!$B$2:$AB$826,7,FALSE)</f>
        <v>2.97E-3</v>
      </c>
      <c r="M798" s="93" t="str">
        <f>VLOOKUP(A798,'Parameters Summary'!$B$2:$AB$826,8,FALSE)</f>
        <v>EPI</v>
      </c>
      <c r="N798" s="91">
        <f>VLOOKUP(A798,'Parameters Summary'!$B$2:$AB$826,6,FALSE)</f>
        <v>0.12142269999999999</v>
      </c>
      <c r="O798" s="91" t="str">
        <f t="shared" si="88"/>
        <v/>
      </c>
      <c r="P798" s="91">
        <f t="shared" si="86"/>
        <v>0.12142269999999999</v>
      </c>
      <c r="Q798" s="91" t="str">
        <f t="shared" si="79"/>
        <v/>
      </c>
      <c r="R798" s="91">
        <f t="shared" si="87"/>
        <v>0.12142269999999999</v>
      </c>
      <c r="S798" s="91" t="str">
        <f t="shared" si="84"/>
        <v/>
      </c>
      <c r="T798" s="93">
        <f>VLOOKUP(A798,'Parameters Summary'!$B$2:$AB$826,15,FALSE)</f>
        <v>5.9149599999999997E-2</v>
      </c>
      <c r="U798" s="93" t="s">
        <v>2435</v>
      </c>
      <c r="V798" s="78">
        <v>8.6023999999999992E-6</v>
      </c>
      <c r="W798" s="93" t="s">
        <v>2435</v>
      </c>
      <c r="Z798" s="418" t="s">
        <v>1653</v>
      </c>
      <c r="AB798" s="96" t="s">
        <v>1651</v>
      </c>
      <c r="AD798" s="93">
        <f>VLOOKUP(A798,'Parameters Summary'!$B$2:$AB$826,20,FALSE)</f>
        <v>218.8</v>
      </c>
      <c r="AE798" s="97" t="str">
        <f>VLOOKUP(A798,'Parameters Summary'!$B$2:$AB$826,21,FALSE)</f>
        <v>EPI</v>
      </c>
      <c r="AF798" s="29"/>
      <c r="AG798" s="81"/>
      <c r="AI798" s="312"/>
      <c r="AL798" s="81"/>
    </row>
    <row r="799" spans="1:38">
      <c r="A799" s="85" t="s">
        <v>2458</v>
      </c>
      <c r="B799" s="85" t="s">
        <v>2457</v>
      </c>
      <c r="C799" s="96" t="str">
        <f t="shared" si="85"/>
        <v>No</v>
      </c>
      <c r="D799" s="96" t="str">
        <f>VLOOKUP(A799,'Tox Summary'!$O$3:$R$824,3,FALSE)</f>
        <v>No</v>
      </c>
      <c r="E799" s="29">
        <v>456.76499999999999</v>
      </c>
      <c r="F799" s="29" t="s">
        <v>1618</v>
      </c>
      <c r="G799" s="93" t="s">
        <v>2439</v>
      </c>
      <c r="H799" s="93" t="str">
        <f>VLOOKUP(A799,'Parameters Summary'!$B$2:$AB$826,10,FALSE)</f>
        <v/>
      </c>
      <c r="I799" s="93" t="s">
        <v>2440</v>
      </c>
      <c r="J799" s="97" t="str">
        <f>VLOOKUP(A799,'Parameters Summary'!$B$2:$AB$826,25,FALSE)</f>
        <v/>
      </c>
      <c r="K799" s="97" t="str">
        <f>VLOOKUP(A799,'Tox Summary'!$O$4:$P$824,2,FALSE)</f>
        <v/>
      </c>
      <c r="L799" s="93" t="s">
        <v>2298</v>
      </c>
      <c r="M799" s="93" t="str">
        <f>VLOOKUP(A799,'Parameters Summary'!$B$2:$AB$826,8,FALSE)</f>
        <v/>
      </c>
      <c r="N799" s="91" t="str">
        <f>VLOOKUP(A799,'Parameters Summary'!$B$2:$AB$826,6,FALSE)</f>
        <v xml:space="preserve"> </v>
      </c>
      <c r="O799" s="91" t="str">
        <f t="shared" si="88"/>
        <v/>
      </c>
      <c r="P799" s="91" t="str">
        <f t="shared" si="86"/>
        <v xml:space="preserve"> </v>
      </c>
      <c r="Q799" s="91" t="str">
        <f t="shared" si="79"/>
        <v/>
      </c>
      <c r="R799" s="91" t="str">
        <f t="shared" si="87"/>
        <v xml:space="preserve"> </v>
      </c>
      <c r="S799" s="91" t="str">
        <f t="shared" si="84"/>
        <v/>
      </c>
      <c r="T799" s="93" t="str">
        <f>VLOOKUP(A799,'Parameters Summary'!$B$2:$AB$826,15,FALSE)</f>
        <v xml:space="preserve"> </v>
      </c>
      <c r="U799" s="93"/>
      <c r="V799" s="78" t="s">
        <v>2436</v>
      </c>
      <c r="W799" s="93"/>
      <c r="Z799" s="418" t="s">
        <v>1653</v>
      </c>
      <c r="AB799" s="96" t="s">
        <v>1651</v>
      </c>
      <c r="AD799" s="93" t="str">
        <f>VLOOKUP(A799,'Parameters Summary'!$B$2:$AB$826,20,FALSE)</f>
        <v xml:space="preserve"> </v>
      </c>
      <c r="AE799" s="97" t="str">
        <f>VLOOKUP(A799,'Parameters Summary'!$B$2:$AB$826,21,FALSE)</f>
        <v/>
      </c>
      <c r="AF799" s="29"/>
      <c r="AG799" s="81"/>
      <c r="AI799" s="312"/>
      <c r="AL799" s="81"/>
    </row>
    <row r="800" spans="1:38">
      <c r="A800" s="85" t="s">
        <v>2460</v>
      </c>
      <c r="B800" s="85" t="s">
        <v>2459</v>
      </c>
      <c r="C800" s="96" t="str">
        <f t="shared" si="85"/>
        <v>No</v>
      </c>
      <c r="D800" s="96" t="str">
        <f>VLOOKUP(A800,'Tox Summary'!$O$3:$R$824,3,FALSE)</f>
        <v>No</v>
      </c>
      <c r="E800" s="29">
        <v>283.33999999999997</v>
      </c>
      <c r="F800" s="29" t="s">
        <v>553</v>
      </c>
      <c r="G800" s="93" t="s">
        <v>2439</v>
      </c>
      <c r="H800" s="93" t="str">
        <f>VLOOKUP(A800,'Parameters Summary'!$B$2:$AB$826,10,FALSE)</f>
        <v/>
      </c>
      <c r="I800" s="93" t="s">
        <v>2440</v>
      </c>
      <c r="J800" s="97" t="str">
        <f>VLOOKUP(A800,'Parameters Summary'!$B$2:$AB$826,25,FALSE)</f>
        <v/>
      </c>
      <c r="K800" s="97" t="str">
        <f>VLOOKUP(A800,'Tox Summary'!$O$4:$P$824,2,FALSE)</f>
        <v/>
      </c>
      <c r="L800" s="93" t="s">
        <v>2298</v>
      </c>
      <c r="M800" s="93" t="str">
        <f>VLOOKUP(A800,'Parameters Summary'!$B$2:$AB$826,8,FALSE)</f>
        <v/>
      </c>
      <c r="N800" s="91" t="str">
        <f>VLOOKUP(A800,'Parameters Summary'!$B$2:$AB$826,6,FALSE)</f>
        <v xml:space="preserve"> </v>
      </c>
      <c r="O800" s="91" t="str">
        <f t="shared" si="88"/>
        <v/>
      </c>
      <c r="P800" s="91" t="str">
        <f t="shared" si="86"/>
        <v xml:space="preserve"> </v>
      </c>
      <c r="Q800" s="91" t="str">
        <f t="shared" si="79"/>
        <v/>
      </c>
      <c r="R800" s="91" t="str">
        <f t="shared" si="87"/>
        <v xml:space="preserve"> </v>
      </c>
      <c r="S800" s="91" t="str">
        <f t="shared" si="84"/>
        <v/>
      </c>
      <c r="T800" s="93" t="str">
        <f>VLOOKUP(A800,'Parameters Summary'!$B$2:$AB$826,15,FALSE)</f>
        <v xml:space="preserve"> </v>
      </c>
      <c r="U800" s="93"/>
      <c r="V800" s="78" t="s">
        <v>2436</v>
      </c>
      <c r="W800" s="93"/>
      <c r="Z800" s="418" t="s">
        <v>1653</v>
      </c>
      <c r="AB800" s="96" t="s">
        <v>1651</v>
      </c>
      <c r="AD800" s="93" t="str">
        <f>VLOOKUP(A800,'Parameters Summary'!$B$2:$AB$826,20,FALSE)</f>
        <v xml:space="preserve"> </v>
      </c>
      <c r="AE800" s="97" t="str">
        <f>VLOOKUP(A800,'Parameters Summary'!$B$2:$AB$826,21,FALSE)</f>
        <v/>
      </c>
      <c r="AF800" s="29"/>
      <c r="AG800" s="81"/>
      <c r="AI800" s="312"/>
      <c r="AL800" s="81"/>
    </row>
    <row r="801" spans="1:38">
      <c r="A801" s="85" t="s">
        <v>2462</v>
      </c>
      <c r="B801" s="85" t="s">
        <v>2461</v>
      </c>
      <c r="C801" s="96" t="str">
        <f t="shared" si="85"/>
        <v>Yes</v>
      </c>
      <c r="D801" s="96" t="str">
        <f>VLOOKUP(A801,'Tox Summary'!$O$3:$R$824,3,FALSE)</f>
        <v>No</v>
      </c>
      <c r="E801" s="29">
        <v>174.16</v>
      </c>
      <c r="F801" s="29" t="s">
        <v>553</v>
      </c>
      <c r="G801" s="93">
        <f>VLOOKUP(A801,'Parameters Summary'!$B$2:$AB$826,9,FALSE)</f>
        <v>8.0000000000000002E-3</v>
      </c>
      <c r="H801" s="93" t="str">
        <f>VLOOKUP(A801,'Parameters Summary'!$B$2:$AB$826,10,FALSE)</f>
        <v>EPI</v>
      </c>
      <c r="I801" s="93">
        <f>VLOOKUP(A801,'Parameters Summary'!$B$2:$AB$826,24,FALSE)</f>
        <v>37.57</v>
      </c>
      <c r="J801" s="97" t="str">
        <f>VLOOKUP(A801,'Parameters Summary'!$B$2:$AB$826,25,FALSE)</f>
        <v>EPI</v>
      </c>
      <c r="K801" s="97" t="str">
        <f>VLOOKUP(A801,'Tox Summary'!$O$4:$P$824,2,FALSE)</f>
        <v/>
      </c>
      <c r="L801" s="93">
        <f>VLOOKUP(A801,'Parameters Summary'!$B$2:$AB$826,7,FALSE)</f>
        <v>1.11E-5</v>
      </c>
      <c r="M801" s="93" t="str">
        <f>VLOOKUP(A801,'Parameters Summary'!$B$2:$AB$826,8,FALSE)</f>
        <v>EPI</v>
      </c>
      <c r="N801" s="91">
        <f>VLOOKUP(A801,'Parameters Summary'!$B$2:$AB$826,6,FALSE)</f>
        <v>4.5380000000000003E-4</v>
      </c>
      <c r="O801" s="91" t="str">
        <f t="shared" si="88"/>
        <v/>
      </c>
      <c r="P801" s="91">
        <f t="shared" si="86"/>
        <v>4.5380000000000003E-4</v>
      </c>
      <c r="Q801" s="91" t="str">
        <f t="shared" si="79"/>
        <v/>
      </c>
      <c r="R801" s="91">
        <f t="shared" si="87"/>
        <v>4.5380000000000003E-4</v>
      </c>
      <c r="S801" s="91" t="str">
        <f t="shared" si="84"/>
        <v/>
      </c>
      <c r="T801" s="93">
        <f>VLOOKUP(A801,'Parameters Summary'!$B$2:$AB$826,15,FALSE)</f>
        <v>4.0256699999999999E-2</v>
      </c>
      <c r="U801" s="93" t="s">
        <v>2435</v>
      </c>
      <c r="V801" s="78">
        <v>7.7527999999999997E-6</v>
      </c>
      <c r="W801" s="93" t="s">
        <v>2435</v>
      </c>
      <c r="X801" s="296">
        <v>524</v>
      </c>
      <c r="Y801" s="77" t="s">
        <v>1620</v>
      </c>
      <c r="Z801" s="418" t="s">
        <v>1653</v>
      </c>
      <c r="AB801" s="96" t="s">
        <v>1651</v>
      </c>
      <c r="AD801" s="93">
        <f>VLOOKUP(A801,'Parameters Summary'!$B$2:$AB$826,20,FALSE)</f>
        <v>7424</v>
      </c>
      <c r="AE801" s="97" t="str">
        <f>VLOOKUP(A801,'Parameters Summary'!$B$2:$AB$826,21,FALSE)</f>
        <v>EPI</v>
      </c>
      <c r="AF801" s="29"/>
      <c r="AG801" s="81"/>
      <c r="AI801" s="312"/>
      <c r="AL801" s="81"/>
    </row>
    <row r="802" spans="1:38">
      <c r="A802" s="85" t="s">
        <v>2464</v>
      </c>
      <c r="B802" s="85" t="s">
        <v>2463</v>
      </c>
      <c r="C802" s="96" t="str">
        <f t="shared" si="85"/>
        <v>Yes</v>
      </c>
      <c r="D802" s="96" t="str">
        <f>VLOOKUP(A802,'Tox Summary'!$O$3:$R$824,3,FALSE)</f>
        <v>No</v>
      </c>
      <c r="E802" s="29">
        <v>174.16</v>
      </c>
      <c r="F802" s="29" t="s">
        <v>553</v>
      </c>
      <c r="G802" s="93">
        <f>VLOOKUP(A802,'Parameters Summary'!$B$2:$AB$826,9,FALSE)</f>
        <v>2.0899999999999998E-2</v>
      </c>
      <c r="H802" s="93" t="str">
        <f>VLOOKUP(A802,'Parameters Summary'!$B$2:$AB$826,10,FALSE)</f>
        <v>EPI</v>
      </c>
      <c r="I802" s="93">
        <f>VLOOKUP(A802,'Parameters Summary'!$B$2:$AB$826,24,FALSE)</f>
        <v>37.57</v>
      </c>
      <c r="J802" s="97" t="str">
        <f>VLOOKUP(A802,'Parameters Summary'!$B$2:$AB$826,25,FALSE)</f>
        <v>EPI</v>
      </c>
      <c r="K802" s="97" t="str">
        <f>VLOOKUP(A802,'Tox Summary'!$O$4:$P$824,2,FALSE)</f>
        <v/>
      </c>
      <c r="L802" s="93">
        <f>VLOOKUP(A802,'Parameters Summary'!$B$2:$AB$826,7,FALSE)</f>
        <v>1.11E-5</v>
      </c>
      <c r="M802" s="93" t="str">
        <f>VLOOKUP(A802,'Parameters Summary'!$B$2:$AB$826,8,FALSE)</f>
        <v>EPI</v>
      </c>
      <c r="N802" s="91">
        <f>VLOOKUP(A802,'Parameters Summary'!$B$2:$AB$826,6,FALSE)</f>
        <v>4.5380000000000003E-4</v>
      </c>
      <c r="O802" s="91" t="str">
        <f t="shared" si="88"/>
        <v/>
      </c>
      <c r="P802" s="91">
        <f t="shared" si="86"/>
        <v>4.5380000000000003E-4</v>
      </c>
      <c r="Q802" s="91" t="str">
        <f t="shared" si="79"/>
        <v/>
      </c>
      <c r="R802" s="91">
        <f t="shared" si="87"/>
        <v>4.5380000000000003E-4</v>
      </c>
      <c r="S802" s="91" t="str">
        <f t="shared" si="84"/>
        <v/>
      </c>
      <c r="T802" s="93">
        <f>VLOOKUP(A802,'Parameters Summary'!$B$2:$AB$826,15,FALSE)</f>
        <v>6.0923900000000003E-2</v>
      </c>
      <c r="U802" s="93" t="s">
        <v>2435</v>
      </c>
      <c r="V802" s="78">
        <v>7.1184999999999997E-6</v>
      </c>
      <c r="W802" s="93" t="s">
        <v>2435</v>
      </c>
      <c r="X802" s="296">
        <v>500.05</v>
      </c>
      <c r="Y802" s="77" t="s">
        <v>553</v>
      </c>
      <c r="Z802" s="418" t="s">
        <v>1653</v>
      </c>
      <c r="AB802" s="96" t="s">
        <v>1651</v>
      </c>
      <c r="AD802" s="93">
        <f>VLOOKUP(A802,'Parameters Summary'!$B$2:$AB$826,20,FALSE)</f>
        <v>7576</v>
      </c>
      <c r="AE802" s="97" t="str">
        <f>VLOOKUP(A802,'Parameters Summary'!$B$2:$AB$826,21,FALSE)</f>
        <v>EPI</v>
      </c>
      <c r="AF802" s="29"/>
      <c r="AG802" s="81"/>
      <c r="AI802" s="312"/>
      <c r="AL802" s="81"/>
    </row>
    <row r="803" spans="1:38">
      <c r="A803" s="85" t="s">
        <v>2466</v>
      </c>
      <c r="B803" s="85" t="s">
        <v>2465</v>
      </c>
      <c r="C803" s="96" t="str">
        <f t="shared" si="85"/>
        <v>No</v>
      </c>
      <c r="D803" s="96" t="str">
        <f>VLOOKUP(A803,'Tox Summary'!$O$3:$R$824,3,FALSE)</f>
        <v>No</v>
      </c>
      <c r="E803" s="29">
        <v>330.8</v>
      </c>
      <c r="F803" s="29" t="s">
        <v>1620</v>
      </c>
      <c r="G803" s="93">
        <f>VLOOKUP(A803,'Parameters Summary'!$B$2:$AB$826,9,FALSE)</f>
        <v>3.0299999999999999E-4</v>
      </c>
      <c r="H803" s="93" t="str">
        <f>VLOOKUP(A803,'Parameters Summary'!$B$2:$AB$826,10,FALSE)</f>
        <v>PHYSPROP</v>
      </c>
      <c r="I803" s="93">
        <f>VLOOKUP(A803,'Parameters Summary'!$B$2:$AB$826,24,FALSE)</f>
        <v>70</v>
      </c>
      <c r="J803" s="97" t="str">
        <f>VLOOKUP(A803,'Parameters Summary'!$B$2:$AB$826,25,FALSE)</f>
        <v>PHYSPROP</v>
      </c>
      <c r="K803" s="97" t="str">
        <f>VLOOKUP(A803,'Tox Summary'!$O$4:$P$824,2,FALSE)</f>
        <v/>
      </c>
      <c r="L803" s="93">
        <f>VLOOKUP(A803,'Parameters Summary'!$B$2:$AB$826,7,FALSE)</f>
        <v>3.55E-8</v>
      </c>
      <c r="M803" s="93" t="str">
        <f>VLOOKUP(A803,'Parameters Summary'!$B$2:$AB$826,8,FALSE)</f>
        <v>PHYSPROP</v>
      </c>
      <c r="N803" s="91">
        <f>VLOOKUP(A803,'Parameters Summary'!$B$2:$AB$826,6,FALSE)</f>
        <v>1.4513E-6</v>
      </c>
      <c r="O803" s="91" t="str">
        <f t="shared" si="88"/>
        <v/>
      </c>
      <c r="P803" s="91">
        <f t="shared" si="86"/>
        <v>1.4513E-6</v>
      </c>
      <c r="Q803" s="91" t="str">
        <f t="shared" si="79"/>
        <v/>
      </c>
      <c r="R803" s="91">
        <f t="shared" si="87"/>
        <v>1.4513E-6</v>
      </c>
      <c r="S803" s="91" t="str">
        <f t="shared" si="84"/>
        <v/>
      </c>
      <c r="T803" s="93">
        <f>VLOOKUP(A803,'Parameters Summary'!$B$2:$AB$826,15,FALSE)</f>
        <v>2.9726499999999999E-2</v>
      </c>
      <c r="U803" s="93" t="s">
        <v>2435</v>
      </c>
      <c r="V803" s="78">
        <v>8.1933E-6</v>
      </c>
      <c r="W803" s="93" t="s">
        <v>2435</v>
      </c>
      <c r="X803" s="296">
        <v>559</v>
      </c>
      <c r="Y803" s="77" t="s">
        <v>1620</v>
      </c>
      <c r="Z803" s="418" t="s">
        <v>1653</v>
      </c>
      <c r="AB803" s="96" t="s">
        <v>1651</v>
      </c>
      <c r="AD803" s="93">
        <f>VLOOKUP(A803,'Parameters Summary'!$B$2:$AB$826,20,FALSE)</f>
        <v>805.2</v>
      </c>
      <c r="AE803" s="97" t="str">
        <f>VLOOKUP(A803,'Parameters Summary'!$B$2:$AB$826,21,FALSE)</f>
        <v>EPI</v>
      </c>
      <c r="AF803" s="29"/>
      <c r="AG803" s="81"/>
      <c r="AI803" s="312"/>
      <c r="AL803" s="81"/>
    </row>
    <row r="804" spans="1:38" ht="12.75" customHeight="1">
      <c r="A804" s="95" t="s">
        <v>347</v>
      </c>
      <c r="B804" s="96" t="s">
        <v>1616</v>
      </c>
      <c r="C804" s="96" t="str">
        <f t="shared" si="83"/>
        <v>Yes</v>
      </c>
      <c r="D804" s="96" t="str">
        <f>VLOOKUP(A804,'Tox Summary'!$O$3:$R$824,3,FALSE)</f>
        <v>No</v>
      </c>
      <c r="E804" s="97">
        <v>106.17</v>
      </c>
      <c r="F804" s="97" t="s">
        <v>1620</v>
      </c>
      <c r="G804" s="93">
        <f>VLOOKUP(A804,'Parameters Summary'!$B$2:$AB$826,9,FALSE)</f>
        <v>7.99</v>
      </c>
      <c r="H804" s="93" t="str">
        <f>VLOOKUP(A804,'Parameters Summary'!$B$2:$AB$826,10,FALSE)</f>
        <v>PHYSPROP</v>
      </c>
      <c r="I804" s="93">
        <f>VLOOKUP(A804,'Parameters Summary'!$B$2:$AB$826,24,FALSE)</f>
        <v>106</v>
      </c>
      <c r="J804" s="97" t="str">
        <f>VLOOKUP(A804,'Parameters Summary'!$B$2:$AB$826,25,FALSE)</f>
        <v>PHYSPROP</v>
      </c>
      <c r="K804" s="97">
        <f>VLOOKUP(A804,'Tox Summary'!$O$4:$P$824,2,FALSE)</f>
        <v>10000</v>
      </c>
      <c r="L804" s="93">
        <f>VLOOKUP(A804,'Parameters Summary'!$B$2:$AB$826,7,FALSE)</f>
        <v>6.6299999999999996E-3</v>
      </c>
      <c r="M804" s="93" t="str">
        <f>VLOOKUP(A804,'Parameters Summary'!$B$2:$AB$826,8,FALSE)</f>
        <v>PHYSPROP</v>
      </c>
      <c r="N804" s="91">
        <f>VLOOKUP(A804,'Parameters Summary'!$B$2:$AB$826,6,FALSE)</f>
        <v>0.27105479999999998</v>
      </c>
      <c r="O804" s="91">
        <f t="shared" si="80"/>
        <v>0.27105479999999998</v>
      </c>
      <c r="P804" s="91">
        <f t="shared" si="81"/>
        <v>0.27105479999999998</v>
      </c>
      <c r="Q804" s="91">
        <f t="shared" si="79"/>
        <v>0.27105479999999998</v>
      </c>
      <c r="R804" s="91">
        <f t="shared" si="82"/>
        <v>0.27105479999999998</v>
      </c>
      <c r="S804" s="91">
        <f t="shared" si="84"/>
        <v>45645901.387919627</v>
      </c>
      <c r="T804" s="93">
        <f>VLOOKUP(A804,'Parameters Summary'!$B$2:$AB$826,15,FALSE)</f>
        <v>6.8514800000000001E-2</v>
      </c>
      <c r="U804" s="93" t="s">
        <v>2435</v>
      </c>
      <c r="V804" s="93">
        <v>8.4641000000000008E-6</v>
      </c>
      <c r="W804" s="379" t="s">
        <v>2435</v>
      </c>
      <c r="X804" s="290">
        <v>411.3</v>
      </c>
      <c r="Y804" s="96" t="s">
        <v>553</v>
      </c>
      <c r="Z804" s="96">
        <v>616.20000000000005</v>
      </c>
      <c r="AA804" s="96" t="s">
        <v>2227</v>
      </c>
      <c r="AB804" s="96">
        <v>8523</v>
      </c>
      <c r="AC804" s="96" t="s">
        <v>2227</v>
      </c>
      <c r="AD804" s="93">
        <f>VLOOKUP(A804,'Parameters Summary'!$B$2:$AB$826,20,FALSE)</f>
        <v>382.9</v>
      </c>
      <c r="AE804" s="97" t="str">
        <f>VLOOKUP(A804,'Parameters Summary'!$B$2:$AB$826,21,FALSE)</f>
        <v>EPI</v>
      </c>
      <c r="AF804" s="380"/>
      <c r="AG804" s="97"/>
      <c r="AH804" s="92"/>
      <c r="AI804" s="311"/>
      <c r="AJ804" s="263"/>
      <c r="AL804" s="81"/>
    </row>
    <row r="805" spans="1:38" ht="12.75" customHeight="1">
      <c r="A805" s="96" t="s">
        <v>351</v>
      </c>
      <c r="B805" s="96" t="s">
        <v>1617</v>
      </c>
      <c r="C805" s="96" t="str">
        <f t="shared" si="83"/>
        <v>No</v>
      </c>
      <c r="D805" s="96" t="s">
        <v>2433</v>
      </c>
      <c r="E805" s="97">
        <v>65.37</v>
      </c>
      <c r="F805" s="97" t="s">
        <v>1620</v>
      </c>
      <c r="G805" s="93" t="s">
        <v>2439</v>
      </c>
      <c r="H805" s="93" t="str">
        <f>VLOOKUP(A805,'Parameters Summary'!$B$2:$AB$826,10,FALSE)</f>
        <v/>
      </c>
      <c r="I805" s="93" t="s">
        <v>2440</v>
      </c>
      <c r="J805" s="97" t="str">
        <f>VLOOKUP(A805,'Parameters Summary'!$B$2:$AB$826,25,FALSE)</f>
        <v/>
      </c>
      <c r="K805" s="97" t="str">
        <f>VLOOKUP(A805,'Tox Summary'!$O$4:$P$824,2,FALSE)</f>
        <v/>
      </c>
      <c r="L805" s="93" t="s">
        <v>2298</v>
      </c>
      <c r="M805" s="93" t="str">
        <f>VLOOKUP(A805,'Parameters Summary'!$B$2:$AB$826,8,FALSE)</f>
        <v/>
      </c>
      <c r="N805" s="91" t="str">
        <f>VLOOKUP(A805,'Parameters Summary'!$B$2:$AB$826,6,FALSE)</f>
        <v xml:space="preserve"> </v>
      </c>
      <c r="O805" s="91" t="str">
        <f t="shared" si="80"/>
        <v/>
      </c>
      <c r="P805" s="91" t="str">
        <f t="shared" si="81"/>
        <v xml:space="preserve"> </v>
      </c>
      <c r="Q805" s="91" t="str">
        <f t="shared" si="79"/>
        <v/>
      </c>
      <c r="R805" s="91" t="str">
        <f t="shared" si="82"/>
        <v xml:space="preserve"> </v>
      </c>
      <c r="S805" s="91" t="str">
        <f t="shared" si="84"/>
        <v/>
      </c>
      <c r="T805" s="93" t="str">
        <f>VLOOKUP(A805,'Parameters Summary'!$B$2:$AB$826,15,FALSE)</f>
        <v xml:space="preserve"> </v>
      </c>
      <c r="U805" s="93" t="s">
        <v>1413</v>
      </c>
      <c r="V805" s="93" t="s">
        <v>2436</v>
      </c>
      <c r="W805" s="379" t="s">
        <v>1413</v>
      </c>
      <c r="X805" s="290">
        <v>1181.1500000000001</v>
      </c>
      <c r="Y805" s="96" t="s">
        <v>553</v>
      </c>
      <c r="Z805" s="96">
        <f>1.5*X805</f>
        <v>1771.7250000000001</v>
      </c>
      <c r="AA805" s="96" t="s">
        <v>2220</v>
      </c>
      <c r="AB805" s="96" t="s">
        <v>1651</v>
      </c>
      <c r="AC805" s="96"/>
      <c r="AD805" s="93" t="str">
        <f>VLOOKUP(A805,'Parameters Summary'!$B$2:$AB$826,20,FALSE)</f>
        <v xml:space="preserve"> </v>
      </c>
      <c r="AE805" s="97" t="str">
        <f>VLOOKUP(A805,'Parameters Summary'!$B$2:$AB$826,21,FALSE)</f>
        <v/>
      </c>
      <c r="AF805" s="97"/>
      <c r="AG805" s="94"/>
      <c r="AH805" s="92"/>
      <c r="AI805" s="311"/>
      <c r="AJ805" s="263"/>
      <c r="AL805" s="81"/>
    </row>
    <row r="806" spans="1:38" s="375" customFormat="1" ht="12.75" customHeight="1">
      <c r="A806" s="96" t="s">
        <v>800</v>
      </c>
      <c r="B806" s="96" t="s">
        <v>2370</v>
      </c>
      <c r="C806" s="96" t="str">
        <f t="shared" si="83"/>
        <v>No</v>
      </c>
      <c r="D806" s="96" t="str">
        <f>VLOOKUP(A806,'Tox Summary'!$O$3:$R$824,3,FALSE)</f>
        <v>Yes</v>
      </c>
      <c r="E806" s="97">
        <v>117.41</v>
      </c>
      <c r="F806" s="97" t="s">
        <v>1620</v>
      </c>
      <c r="G806" s="93" t="s">
        <v>2439</v>
      </c>
      <c r="H806" s="93" t="str">
        <f>VLOOKUP(A806,'Parameters Summary'!$B$2:$AB$826,10,FALSE)</f>
        <v/>
      </c>
      <c r="I806" s="93">
        <f>VLOOKUP(A806,'Parameters Summary'!$B$2:$AB$826,24,FALSE)</f>
        <v>4.7</v>
      </c>
      <c r="J806" s="97" t="str">
        <f>VLOOKUP(A806,'Parameters Summary'!$B$2:$AB$826,25,FALSE)</f>
        <v>CRC89</v>
      </c>
      <c r="K806" s="97" t="str">
        <f>VLOOKUP(A806,'Tox Summary'!$O$4:$P$824,2,FALSE)</f>
        <v/>
      </c>
      <c r="L806" s="93" t="s">
        <v>2298</v>
      </c>
      <c r="M806" s="93" t="str">
        <f>VLOOKUP(A806,'Parameters Summary'!$B$2:$AB$826,8,FALSE)</f>
        <v/>
      </c>
      <c r="N806" s="91" t="str">
        <f>VLOOKUP(A806,'Parameters Summary'!$B$2:$AB$826,6,FALSE)</f>
        <v xml:space="preserve"> </v>
      </c>
      <c r="O806" s="91" t="str">
        <f t="shared" si="80"/>
        <v/>
      </c>
      <c r="P806" s="91" t="str">
        <f t="shared" si="81"/>
        <v xml:space="preserve"> </v>
      </c>
      <c r="Q806" s="91" t="str">
        <f t="shared" si="79"/>
        <v/>
      </c>
      <c r="R806" s="91" t="str">
        <f t="shared" si="82"/>
        <v xml:space="preserve"> </v>
      </c>
      <c r="S806" s="91" t="str">
        <f t="shared" si="84"/>
        <v/>
      </c>
      <c r="T806" s="93" t="str">
        <f>VLOOKUP(A806,'Parameters Summary'!$B$2:$AB$826,15,FALSE)</f>
        <v xml:space="preserve"> </v>
      </c>
      <c r="U806" s="93" t="s">
        <v>1413</v>
      </c>
      <c r="V806" s="93" t="s">
        <v>2436</v>
      </c>
      <c r="W806" s="379" t="s">
        <v>1413</v>
      </c>
      <c r="X806" s="347"/>
      <c r="Y806" s="96"/>
      <c r="Z806" s="96" t="s">
        <v>1653</v>
      </c>
      <c r="AA806" s="96"/>
      <c r="AB806" s="96" t="s">
        <v>1651</v>
      </c>
      <c r="AC806" s="96"/>
      <c r="AD806" s="93" t="str">
        <f>VLOOKUP(A806,'Parameters Summary'!$B$2:$AB$826,20,FALSE)</f>
        <v xml:space="preserve"> </v>
      </c>
      <c r="AE806" s="97" t="str">
        <f>VLOOKUP(A806,'Parameters Summary'!$B$2:$AB$826,21,FALSE)</f>
        <v/>
      </c>
      <c r="AF806" s="97"/>
      <c r="AG806" s="94"/>
      <c r="AH806" s="372"/>
      <c r="AI806" s="373"/>
      <c r="AJ806" s="371"/>
      <c r="AK806" s="374"/>
    </row>
    <row r="807" spans="1:38" s="375" customFormat="1" ht="12.75" customHeight="1">
      <c r="A807" s="96" t="s">
        <v>352</v>
      </c>
      <c r="B807" s="96" t="s">
        <v>1395</v>
      </c>
      <c r="C807" s="96" t="str">
        <f t="shared" si="83"/>
        <v>No</v>
      </c>
      <c r="D807" s="96" t="s">
        <v>2433</v>
      </c>
      <c r="E807" s="97">
        <v>258.17500000000001</v>
      </c>
      <c r="F807" s="97" t="s">
        <v>1618</v>
      </c>
      <c r="G807" s="93" t="s">
        <v>2439</v>
      </c>
      <c r="H807" s="93" t="str">
        <f>VLOOKUP(A807,'Parameters Summary'!$B$2:$AB$826,10,FALSE)</f>
        <v/>
      </c>
      <c r="I807" s="93" t="s">
        <v>2440</v>
      </c>
      <c r="J807" s="97" t="str">
        <f>VLOOKUP(A807,'Parameters Summary'!$B$2:$AB$826,25,FALSE)</f>
        <v/>
      </c>
      <c r="K807" s="97" t="e">
        <f>VLOOKUP(A807,'Tox Summary'!$O$4:$P$824,2,FALSE)</f>
        <v>#N/A</v>
      </c>
      <c r="L807" s="93" t="s">
        <v>2298</v>
      </c>
      <c r="M807" s="93" t="str">
        <f>VLOOKUP(A807,'Parameters Summary'!$B$2:$AB$826,8,FALSE)</f>
        <v/>
      </c>
      <c r="N807" s="91" t="str">
        <f>VLOOKUP(A807,'Parameters Summary'!$B$2:$AB$826,6,FALSE)</f>
        <v xml:space="preserve"> </v>
      </c>
      <c r="O807" s="91" t="str">
        <f t="shared" si="80"/>
        <v/>
      </c>
      <c r="P807" s="91" t="str">
        <f t="shared" si="81"/>
        <v xml:space="preserve"> </v>
      </c>
      <c r="Q807" s="91" t="str">
        <f t="shared" si="79"/>
        <v/>
      </c>
      <c r="R807" s="91" t="str">
        <f t="shared" si="82"/>
        <v xml:space="preserve"> </v>
      </c>
      <c r="S807" s="91" t="str">
        <f t="shared" si="84"/>
        <v/>
      </c>
      <c r="T807" s="93" t="str">
        <f>VLOOKUP(A807,'Parameters Summary'!$B$2:$AB$826,15,FALSE)</f>
        <v xml:space="preserve"> </v>
      </c>
      <c r="U807" s="93" t="s">
        <v>1413</v>
      </c>
      <c r="V807" s="93" t="s">
        <v>2436</v>
      </c>
      <c r="W807" s="379" t="s">
        <v>1413</v>
      </c>
      <c r="X807" s="347"/>
      <c r="Y807" s="96"/>
      <c r="Z807" s="96" t="s">
        <v>1653</v>
      </c>
      <c r="AA807" s="96"/>
      <c r="AB807" s="96" t="s">
        <v>1651</v>
      </c>
      <c r="AC807" s="96"/>
      <c r="AD807" s="93" t="str">
        <f>VLOOKUP(A807,'Parameters Summary'!$B$2:$AB$826,20,FALSE)</f>
        <v xml:space="preserve"> </v>
      </c>
      <c r="AE807" s="97" t="str">
        <f>VLOOKUP(A807,'Parameters Summary'!$B$2:$AB$826,21,FALSE)</f>
        <v/>
      </c>
      <c r="AF807" s="97"/>
      <c r="AG807" s="94"/>
      <c r="AH807" s="372"/>
      <c r="AI807" s="373"/>
      <c r="AJ807" s="371"/>
      <c r="AK807" s="374"/>
    </row>
    <row r="808" spans="1:38" ht="12.75" customHeight="1">
      <c r="A808" s="96" t="s">
        <v>353</v>
      </c>
      <c r="B808" s="96" t="s">
        <v>1396</v>
      </c>
      <c r="C808" s="96" t="str">
        <f t="shared" si="83"/>
        <v>No</v>
      </c>
      <c r="D808" s="96" t="s">
        <v>2433</v>
      </c>
      <c r="E808" s="97">
        <v>275.73</v>
      </c>
      <c r="F808" s="97" t="s">
        <v>1620</v>
      </c>
      <c r="G808" s="93">
        <f>VLOOKUP(A808,'Parameters Summary'!$B$2:$AB$826,9,FALSE)</f>
        <v>7.4999999999999997E-8</v>
      </c>
      <c r="H808" s="93" t="str">
        <f>VLOOKUP(A808,'Parameters Summary'!$B$2:$AB$826,10,FALSE)</f>
        <v>PHYSPROP</v>
      </c>
      <c r="I808" s="93">
        <f>VLOOKUP(A808,'Parameters Summary'!$B$2:$AB$826,24,FALSE)</f>
        <v>10</v>
      </c>
      <c r="J808" s="97" t="str">
        <f>VLOOKUP(A808,'Parameters Summary'!$B$2:$AB$826,25,FALSE)</f>
        <v>PHYSPROP</v>
      </c>
      <c r="K808" s="97" t="e">
        <f>VLOOKUP(A808,'Tox Summary'!$O$4:$P$824,2,FALSE)</f>
        <v>#N/A</v>
      </c>
      <c r="L808" s="93">
        <f>VLOOKUP(A808,'Parameters Summary'!$B$2:$AB$826,7,FALSE)</f>
        <v>2.7200000000000001E-9</v>
      </c>
      <c r="M808" s="93" t="str">
        <f>VLOOKUP(A808,'Parameters Summary'!$B$2:$AB$826,8,FALSE)</f>
        <v>PHYSPROP</v>
      </c>
      <c r="N808" s="91">
        <f>VLOOKUP(A808,'Parameters Summary'!$B$2:$AB$826,6,FALSE)</f>
        <v>1.112E-7</v>
      </c>
      <c r="O808" s="91" t="str">
        <f t="shared" si="80"/>
        <v/>
      </c>
      <c r="P808" s="91">
        <f t="shared" si="81"/>
        <v>1.112E-7</v>
      </c>
      <c r="Q808" s="91" t="str">
        <f t="shared" si="79"/>
        <v/>
      </c>
      <c r="R808" s="91">
        <f t="shared" si="82"/>
        <v>1.112E-7</v>
      </c>
      <c r="S808" s="91" t="str">
        <f t="shared" si="84"/>
        <v/>
      </c>
      <c r="T808" s="93">
        <f>VLOOKUP(A808,'Parameters Summary'!$B$2:$AB$826,15,FALSE)</f>
        <v>4.48502E-2</v>
      </c>
      <c r="U808" s="93" t="s">
        <v>2435</v>
      </c>
      <c r="V808" s="93">
        <v>5.2403999999999998E-6</v>
      </c>
      <c r="W808" s="379" t="s">
        <v>2435</v>
      </c>
      <c r="X808" s="347"/>
      <c r="Y808" s="96"/>
      <c r="Z808" s="96" t="s">
        <v>1653</v>
      </c>
      <c r="AA808" s="96"/>
      <c r="AB808" s="96" t="s">
        <v>1651</v>
      </c>
      <c r="AC808" s="96"/>
      <c r="AD808" s="93">
        <f>VLOOKUP(A808,'Parameters Summary'!$B$2:$AB$826,20,FALSE)</f>
        <v>1345</v>
      </c>
      <c r="AE808" s="97" t="str">
        <f>VLOOKUP(A808,'Parameters Summary'!$B$2:$AB$826,21,FALSE)</f>
        <v>EPI</v>
      </c>
      <c r="AF808" s="97"/>
      <c r="AG808" s="94"/>
      <c r="AH808" s="92"/>
      <c r="AI808" s="311"/>
      <c r="AJ808" s="263"/>
      <c r="AL808" s="81"/>
    </row>
    <row r="809" spans="1:38" ht="12.75" customHeight="1">
      <c r="A809" s="96" t="s">
        <v>2017</v>
      </c>
      <c r="B809" s="96" t="s">
        <v>2016</v>
      </c>
      <c r="C809" s="96" t="str">
        <f t="shared" si="83"/>
        <v>No</v>
      </c>
      <c r="D809" s="96" t="s">
        <v>2433</v>
      </c>
      <c r="E809" s="97">
        <v>91.22</v>
      </c>
      <c r="F809" s="97" t="s">
        <v>553</v>
      </c>
      <c r="G809" s="93">
        <f>VLOOKUP(A809,'Parameters Summary'!$B$2:$AB$826,9,FALSE)</f>
        <v>0</v>
      </c>
      <c r="H809" s="93" t="str">
        <f>VLOOKUP(A809,'Parameters Summary'!$B$2:$AB$826,10,FALSE)</f>
        <v>NIOSH</v>
      </c>
      <c r="I809" s="93" t="s">
        <v>2440</v>
      </c>
      <c r="J809" s="97" t="str">
        <f>VLOOKUP(A809,'Parameters Summary'!$B$2:$AB$826,25,FALSE)</f>
        <v/>
      </c>
      <c r="K809" s="97" t="e">
        <f>VLOOKUP(A809,'Tox Summary'!$O$4:$P$824,2,FALSE)</f>
        <v>#N/A</v>
      </c>
      <c r="L809" s="93" t="str">
        <f>VLOOKUP(A809,'Parameters Summary'!$B$2:$AB$826,7,FALSE)</f>
        <v xml:space="preserve"> </v>
      </c>
      <c r="M809" s="93" t="str">
        <f>VLOOKUP(A809,'Parameters Summary'!$B$2:$AB$826,8,FALSE)</f>
        <v/>
      </c>
      <c r="N809" s="91" t="str">
        <f>VLOOKUP(A809,'Parameters Summary'!$B$2:$AB$826,6,FALSE)</f>
        <v xml:space="preserve"> </v>
      </c>
      <c r="O809" s="91" t="str">
        <f t="shared" si="80"/>
        <v/>
      </c>
      <c r="P809" s="91" t="str">
        <f t="shared" si="81"/>
        <v xml:space="preserve"> </v>
      </c>
      <c r="Q809" s="91" t="str">
        <f t="shared" si="79"/>
        <v/>
      </c>
      <c r="R809" s="91" t="str">
        <f t="shared" si="82"/>
        <v xml:space="preserve"> </v>
      </c>
      <c r="S809" s="91" t="str">
        <f t="shared" si="84"/>
        <v/>
      </c>
      <c r="T809" s="93" t="str">
        <f>VLOOKUP(A809,'Parameters Summary'!$B$2:$AB$826,15,FALSE)</f>
        <v xml:space="preserve"> </v>
      </c>
      <c r="U809" s="93" t="s">
        <v>1413</v>
      </c>
      <c r="V809" s="93" t="s">
        <v>2436</v>
      </c>
      <c r="W809" s="379" t="s">
        <v>1413</v>
      </c>
      <c r="X809" s="347"/>
      <c r="Y809" s="96"/>
      <c r="Z809" s="96" t="s">
        <v>1653</v>
      </c>
      <c r="AA809" s="96"/>
      <c r="AB809" s="96" t="s">
        <v>1651</v>
      </c>
      <c r="AC809" s="96"/>
      <c r="AD809" s="93" t="str">
        <f>VLOOKUP(A809,'Parameters Summary'!$B$2:$AB$826,20,FALSE)</f>
        <v xml:space="preserve"> </v>
      </c>
      <c r="AE809" s="97" t="str">
        <f>VLOOKUP(A809,'Parameters Summary'!$B$2:$AB$826,21,FALSE)</f>
        <v/>
      </c>
      <c r="AF809" s="97"/>
      <c r="AG809" s="382"/>
      <c r="AH809" s="92"/>
      <c r="AI809" s="311"/>
      <c r="AJ809" s="263"/>
      <c r="AL809" s="81"/>
    </row>
    <row r="810" spans="1:38" ht="12.75" customHeight="1">
      <c r="A810" s="263"/>
      <c r="B810" s="263"/>
      <c r="C810" s="263"/>
      <c r="D810" s="263"/>
      <c r="E810" s="297"/>
      <c r="F810" s="297"/>
      <c r="G810" s="301"/>
      <c r="H810" s="301"/>
      <c r="I810" s="301"/>
      <c r="J810" s="297"/>
      <c r="K810" s="297"/>
      <c r="L810" s="301"/>
      <c r="M810" s="301"/>
      <c r="N810" s="298"/>
      <c r="O810" s="298"/>
      <c r="P810" s="298"/>
      <c r="Q810" s="298"/>
      <c r="R810" s="298"/>
      <c r="S810" s="298"/>
      <c r="T810" s="301"/>
      <c r="U810" s="368"/>
      <c r="V810" s="301"/>
      <c r="W810" s="368"/>
      <c r="X810" s="300"/>
      <c r="Y810" s="263"/>
      <c r="Z810" s="263"/>
      <c r="AA810" s="263"/>
      <c r="AB810" s="263"/>
      <c r="AC810" s="263"/>
      <c r="AD810" s="301"/>
      <c r="AE810" s="297"/>
      <c r="AF810" s="297"/>
      <c r="AG810" s="92"/>
      <c r="AH810" s="92"/>
      <c r="AI810" s="311"/>
      <c r="AJ810" s="263"/>
      <c r="AL810" s="81"/>
    </row>
    <row r="811" spans="1:38" ht="12.75" customHeight="1">
      <c r="A811" s="263"/>
      <c r="B811" s="263"/>
      <c r="C811" s="263"/>
      <c r="D811" s="263"/>
      <c r="E811" s="297"/>
      <c r="F811" s="297"/>
      <c r="G811" s="301"/>
      <c r="H811" s="301"/>
      <c r="I811" s="301"/>
      <c r="J811" s="297"/>
      <c r="K811" s="297"/>
      <c r="L811" s="301"/>
      <c r="M811" s="301"/>
      <c r="N811" s="298"/>
      <c r="O811" s="298"/>
      <c r="P811" s="298"/>
      <c r="Q811" s="298"/>
      <c r="R811" s="298"/>
      <c r="S811" s="298"/>
      <c r="T811" s="301"/>
      <c r="U811" s="368"/>
      <c r="V811" s="301"/>
      <c r="W811" s="368"/>
      <c r="X811" s="300"/>
      <c r="Y811" s="263"/>
      <c r="Z811" s="263"/>
      <c r="AA811" s="263"/>
      <c r="AB811" s="263"/>
      <c r="AC811" s="263"/>
      <c r="AD811" s="301"/>
      <c r="AE811" s="297"/>
      <c r="AF811" s="297"/>
      <c r="AG811" s="92"/>
      <c r="AH811" s="92"/>
      <c r="AI811" s="311"/>
      <c r="AJ811" s="263"/>
      <c r="AL811" s="81"/>
    </row>
    <row r="812" spans="1:38" ht="12.75" customHeight="1">
      <c r="A812" s="263"/>
      <c r="B812" s="263"/>
      <c r="C812" s="263"/>
      <c r="D812" s="263"/>
      <c r="E812" s="297"/>
      <c r="F812" s="297"/>
      <c r="G812" s="301"/>
      <c r="H812" s="301"/>
      <c r="I812" s="301"/>
      <c r="J812" s="297"/>
      <c r="K812" s="297"/>
      <c r="L812" s="301"/>
      <c r="M812" s="301"/>
      <c r="N812" s="298"/>
      <c r="O812" s="298"/>
      <c r="P812" s="298"/>
      <c r="Q812" s="298"/>
      <c r="R812" s="298"/>
      <c r="S812" s="298"/>
      <c r="T812" s="301"/>
      <c r="U812" s="368"/>
      <c r="V812" s="301"/>
      <c r="W812" s="368"/>
      <c r="X812" s="300"/>
      <c r="Y812" s="263"/>
      <c r="Z812" s="263"/>
      <c r="AA812" s="263"/>
      <c r="AB812" s="263"/>
      <c r="AC812" s="263"/>
      <c r="AD812" s="301"/>
      <c r="AE812" s="297"/>
      <c r="AF812" s="297"/>
      <c r="AG812" s="92"/>
      <c r="AH812" s="92"/>
      <c r="AI812" s="311"/>
      <c r="AJ812" s="263"/>
      <c r="AL812" s="81"/>
    </row>
    <row r="813" spans="1:38" ht="12.75" customHeight="1">
      <c r="A813" s="263"/>
      <c r="B813" s="263"/>
      <c r="C813" s="263"/>
      <c r="D813" s="263"/>
      <c r="E813" s="297"/>
      <c r="F813" s="297"/>
      <c r="G813" s="301"/>
      <c r="H813" s="301"/>
      <c r="I813" s="301"/>
      <c r="J813" s="297"/>
      <c r="K813" s="297"/>
      <c r="L813" s="301"/>
      <c r="M813" s="301"/>
      <c r="N813" s="298"/>
      <c r="O813" s="298"/>
      <c r="P813" s="298"/>
      <c r="Q813" s="298"/>
      <c r="R813" s="298"/>
      <c r="S813" s="298"/>
      <c r="T813" s="301"/>
      <c r="U813" s="368"/>
      <c r="V813" s="301"/>
      <c r="W813" s="368"/>
      <c r="X813" s="300"/>
      <c r="Y813" s="263"/>
      <c r="Z813" s="263"/>
      <c r="AA813" s="263"/>
      <c r="AB813" s="263"/>
      <c r="AC813" s="263"/>
      <c r="AD813" s="301"/>
      <c r="AE813" s="297"/>
      <c r="AF813" s="297"/>
      <c r="AG813" s="92"/>
      <c r="AH813" s="92"/>
      <c r="AI813" s="311"/>
      <c r="AJ813" s="263"/>
      <c r="AL813" s="81"/>
    </row>
    <row r="814" spans="1:38" ht="12.75" customHeight="1">
      <c r="A814" s="263"/>
      <c r="B814" s="263"/>
      <c r="C814" s="263"/>
      <c r="D814" s="263"/>
      <c r="E814" s="297"/>
      <c r="F814" s="297"/>
      <c r="G814" s="301"/>
      <c r="H814" s="301"/>
      <c r="I814" s="301"/>
      <c r="J814" s="297"/>
      <c r="K814" s="297"/>
      <c r="L814" s="301"/>
      <c r="M814" s="301"/>
      <c r="N814" s="298"/>
      <c r="O814" s="298"/>
      <c r="P814" s="298"/>
      <c r="Q814" s="298"/>
      <c r="R814" s="298"/>
      <c r="S814" s="298"/>
      <c r="T814" s="301"/>
      <c r="U814" s="368"/>
      <c r="V814" s="301"/>
      <c r="W814" s="368"/>
      <c r="X814" s="300"/>
      <c r="Y814" s="263"/>
      <c r="Z814" s="263"/>
      <c r="AA814" s="263"/>
      <c r="AB814" s="263"/>
      <c r="AC814" s="263"/>
      <c r="AD814" s="301"/>
      <c r="AE814" s="297"/>
      <c r="AF814" s="297"/>
      <c r="AG814" s="92"/>
      <c r="AH814" s="92"/>
      <c r="AI814" s="311"/>
      <c r="AJ814" s="263"/>
      <c r="AL814" s="81"/>
    </row>
    <row r="815" spans="1:38" ht="12.75" customHeight="1">
      <c r="A815" s="263"/>
      <c r="B815" s="263"/>
      <c r="C815" s="263"/>
      <c r="D815" s="263"/>
      <c r="E815" s="297"/>
      <c r="F815" s="297"/>
      <c r="G815" s="301"/>
      <c r="H815" s="301"/>
      <c r="I815" s="301"/>
      <c r="J815" s="297"/>
      <c r="K815" s="297"/>
      <c r="L815" s="301"/>
      <c r="M815" s="301"/>
      <c r="N815" s="298"/>
      <c r="O815" s="298"/>
      <c r="P815" s="298"/>
      <c r="Q815" s="298"/>
      <c r="R815" s="298"/>
      <c r="S815" s="298"/>
      <c r="T815" s="301"/>
      <c r="U815" s="368"/>
      <c r="V815" s="301"/>
      <c r="W815" s="368"/>
      <c r="X815" s="300"/>
      <c r="Y815" s="263"/>
      <c r="Z815" s="263"/>
      <c r="AA815" s="263"/>
      <c r="AB815" s="263"/>
      <c r="AC815" s="263"/>
      <c r="AD815" s="301"/>
      <c r="AE815" s="297"/>
      <c r="AF815" s="297"/>
      <c r="AG815" s="92"/>
      <c r="AH815" s="92"/>
      <c r="AI815" s="311"/>
      <c r="AJ815" s="263"/>
      <c r="AL815" s="81"/>
    </row>
    <row r="816" spans="1:38">
      <c r="A816" s="263"/>
      <c r="B816" s="262"/>
      <c r="C816" s="263"/>
      <c r="D816" s="263"/>
      <c r="E816" s="297"/>
      <c r="F816" s="297"/>
      <c r="G816" s="301"/>
      <c r="H816" s="301"/>
      <c r="I816" s="301"/>
      <c r="J816" s="297"/>
      <c r="K816" s="297"/>
      <c r="L816" s="301"/>
      <c r="M816" s="301"/>
      <c r="N816" s="298"/>
      <c r="O816" s="298"/>
      <c r="P816" s="298"/>
      <c r="Q816" s="298"/>
      <c r="R816" s="298"/>
      <c r="S816" s="298"/>
      <c r="T816" s="301"/>
      <c r="U816" s="301"/>
      <c r="V816" s="301"/>
      <c r="W816" s="301"/>
      <c r="X816" s="300"/>
      <c r="Y816" s="263"/>
      <c r="Z816" s="263"/>
      <c r="AA816" s="263"/>
      <c r="AB816" s="263"/>
      <c r="AC816" s="263"/>
      <c r="AD816" s="301"/>
      <c r="AE816" s="297"/>
      <c r="AF816" s="297"/>
      <c r="AG816" s="92"/>
      <c r="AH816" s="92"/>
      <c r="AI816" s="311"/>
      <c r="AJ816" s="263"/>
      <c r="AL816" s="81"/>
    </row>
    <row r="817" spans="1:38" ht="13.8">
      <c r="A817" s="48"/>
      <c r="B817" s="299" t="s">
        <v>1670</v>
      </c>
      <c r="C817" s="48" t="s">
        <v>1754</v>
      </c>
      <c r="D817" s="48"/>
      <c r="E817" s="48"/>
      <c r="F817" s="48"/>
      <c r="G817" s="48"/>
      <c r="H817" s="98"/>
      <c r="I817" s="48"/>
      <c r="J817" s="48"/>
      <c r="K817" s="84"/>
      <c r="L817" s="85"/>
      <c r="M817" s="85"/>
      <c r="N817" s="85"/>
      <c r="O817" s="85"/>
      <c r="P817" s="85"/>
      <c r="Q817" s="48" t="s">
        <v>1754</v>
      </c>
      <c r="R817" s="84"/>
      <c r="S817" s="48"/>
      <c r="T817" s="48"/>
      <c r="U817" s="48"/>
      <c r="V817" s="301"/>
      <c r="W817" s="98"/>
      <c r="X817" s="288"/>
      <c r="Y817" s="84"/>
      <c r="Z817" s="84"/>
      <c r="AA817" s="84"/>
      <c r="AB817" s="84"/>
      <c r="AC817" s="84"/>
      <c r="AD817" s="85"/>
      <c r="AE817" s="85"/>
      <c r="AF817" s="48"/>
      <c r="AG817" s="81"/>
      <c r="AI817" s="312"/>
      <c r="AL817" s="81"/>
    </row>
    <row r="818" spans="1:38">
      <c r="A818" s="48"/>
      <c r="B818" s="284"/>
      <c r="C818" s="99" t="s">
        <v>1755</v>
      </c>
      <c r="D818" s="99"/>
      <c r="E818" s="48"/>
      <c r="F818" s="48"/>
      <c r="G818" s="48"/>
      <c r="H818" s="98"/>
      <c r="I818" s="48"/>
      <c r="J818" s="48"/>
      <c r="K818" s="84"/>
      <c r="L818" s="85"/>
      <c r="M818" s="85"/>
      <c r="N818" s="85"/>
      <c r="O818" s="85"/>
      <c r="P818" s="85"/>
      <c r="Q818" s="99" t="s">
        <v>1755</v>
      </c>
      <c r="R818" s="84"/>
      <c r="S818" s="19" t="s">
        <v>1753</v>
      </c>
      <c r="T818" s="48"/>
      <c r="U818" s="48"/>
      <c r="V818" s="301"/>
      <c r="W818" s="98"/>
      <c r="X818" s="288"/>
      <c r="Y818" s="84"/>
      <c r="Z818" s="84"/>
      <c r="AA818" s="84"/>
      <c r="AB818" s="84"/>
      <c r="AC818" s="84"/>
      <c r="AD818" s="85"/>
      <c r="AE818" s="85"/>
      <c r="AF818" s="48"/>
      <c r="AG818" s="81"/>
      <c r="AI818" s="312"/>
      <c r="AL818" s="81"/>
    </row>
    <row r="819" spans="1:38">
      <c r="A819" s="48"/>
      <c r="B819" s="341">
        <f>P77</f>
        <v>2.69E-5</v>
      </c>
      <c r="C819" s="92"/>
      <c r="D819" s="92"/>
      <c r="E819" s="101"/>
      <c r="F819" s="101"/>
      <c r="G819" s="101"/>
      <c r="H819" s="98"/>
      <c r="I819" s="101"/>
      <c r="J819" s="101"/>
      <c r="K819" s="84"/>
      <c r="L819" s="98"/>
      <c r="M819" s="98"/>
      <c r="N819" s="98"/>
      <c r="O819" s="98"/>
      <c r="P819" s="98"/>
      <c r="Q819" s="92"/>
      <c r="R819" s="100"/>
      <c r="S819" s="101"/>
      <c r="T819" s="101"/>
      <c r="U819" s="101"/>
      <c r="V819" s="301"/>
      <c r="W819" s="98"/>
      <c r="X819" s="291"/>
      <c r="Y819" s="100"/>
      <c r="Z819" s="84"/>
      <c r="AA819" s="100"/>
      <c r="AB819" s="100"/>
      <c r="AC819" s="100"/>
      <c r="AD819" s="98"/>
      <c r="AE819" s="98"/>
      <c r="AF819" s="101"/>
      <c r="AG819" s="81"/>
      <c r="AI819" s="312"/>
      <c r="AL819" s="81"/>
    </row>
    <row r="820" spans="1:38">
      <c r="A820" s="48"/>
      <c r="B820" s="284" t="s">
        <v>2253</v>
      </c>
      <c r="C820" s="48" t="s">
        <v>2075</v>
      </c>
      <c r="D820" s="48"/>
      <c r="E820" s="48"/>
      <c r="F820" s="48"/>
      <c r="G820" s="48"/>
      <c r="H820" s="98"/>
      <c r="I820" s="48"/>
      <c r="J820" s="48"/>
      <c r="K820" s="84"/>
      <c r="L820" s="85"/>
      <c r="M820" s="85"/>
      <c r="N820" s="85"/>
      <c r="O820" s="85"/>
      <c r="P820" s="85"/>
      <c r="Q820" s="48" t="s">
        <v>2075</v>
      </c>
      <c r="R820" s="84"/>
      <c r="S820" s="48"/>
      <c r="T820" s="48"/>
      <c r="U820" s="48"/>
      <c r="V820" s="301"/>
      <c r="W820" s="98"/>
      <c r="X820" s="292"/>
      <c r="Y820" s="84"/>
      <c r="Z820" s="84"/>
      <c r="AA820" s="84"/>
      <c r="AB820" s="84"/>
      <c r="AC820" s="84"/>
      <c r="AD820" s="85"/>
      <c r="AE820" s="85"/>
      <c r="AF820" s="48"/>
      <c r="AG820" s="81"/>
      <c r="AI820" s="312"/>
      <c r="AL820" s="81"/>
    </row>
    <row r="821" spans="1:38">
      <c r="A821" s="48"/>
      <c r="B821" s="286"/>
      <c r="C821" s="256" t="s">
        <v>1756</v>
      </c>
      <c r="D821" s="256"/>
      <c r="E821" s="101"/>
      <c r="F821" s="101"/>
      <c r="G821" s="101"/>
      <c r="H821" s="98"/>
      <c r="I821" s="101"/>
      <c r="J821" s="101"/>
      <c r="K821" s="100"/>
      <c r="L821" s="98"/>
      <c r="M821" s="98"/>
      <c r="N821" s="98"/>
      <c r="O821" s="98"/>
      <c r="P821" s="98"/>
      <c r="Q821" s="256" t="s">
        <v>1756</v>
      </c>
      <c r="R821" s="100"/>
      <c r="S821" s="257" t="s">
        <v>1693</v>
      </c>
      <c r="T821" s="101"/>
      <c r="U821" s="101"/>
      <c r="V821" s="301"/>
      <c r="W821" s="98"/>
      <c r="X821" s="291"/>
      <c r="Y821" s="100"/>
      <c r="Z821" s="100"/>
      <c r="AA821" s="100"/>
      <c r="AB821" s="100"/>
      <c r="AC821" s="100"/>
      <c r="AD821" s="98"/>
      <c r="AE821" s="98"/>
      <c r="AF821" s="101"/>
      <c r="AG821" s="81"/>
      <c r="AI821" s="312"/>
      <c r="AL821" s="81"/>
    </row>
    <row r="822" spans="1:38">
      <c r="A822" s="48"/>
      <c r="B822" s="284" t="s">
        <v>553</v>
      </c>
      <c r="C822" s="102" t="s">
        <v>1672</v>
      </c>
      <c r="D822" s="102"/>
      <c r="E822" s="103"/>
      <c r="F822" s="103"/>
      <c r="G822" s="103"/>
      <c r="H822" s="103"/>
      <c r="I822" s="103"/>
      <c r="J822" s="103"/>
      <c r="K822" s="84"/>
      <c r="L822" s="103"/>
      <c r="M822" s="103"/>
      <c r="N822" s="103"/>
      <c r="O822" s="103"/>
      <c r="P822" s="103"/>
      <c r="Q822" s="102" t="s">
        <v>1672</v>
      </c>
      <c r="R822" s="103"/>
      <c r="S822" s="103"/>
      <c r="T822" s="103"/>
      <c r="U822" s="103"/>
      <c r="V822" s="103"/>
      <c r="W822" s="103"/>
      <c r="X822" s="293"/>
      <c r="Y822" s="105"/>
      <c r="Z822" s="84"/>
      <c r="AA822" s="105"/>
      <c r="AB822" s="105"/>
      <c r="AC822" s="105"/>
      <c r="AD822" s="103"/>
      <c r="AE822" s="103"/>
      <c r="AF822" s="48"/>
      <c r="AG822" s="81"/>
      <c r="AI822" s="312"/>
      <c r="AL822" s="81"/>
    </row>
    <row r="823" spans="1:38">
      <c r="A823" s="48"/>
      <c r="B823" s="284"/>
      <c r="C823" s="104" t="s">
        <v>1755</v>
      </c>
      <c r="D823" s="104"/>
      <c r="E823" s="105"/>
      <c r="F823" s="105"/>
      <c r="G823" s="105"/>
      <c r="H823" s="105"/>
      <c r="I823" s="105"/>
      <c r="J823" s="105"/>
      <c r="K823" s="84"/>
      <c r="L823" s="105"/>
      <c r="M823" s="105"/>
      <c r="N823" s="105"/>
      <c r="O823" s="105"/>
      <c r="P823" s="105"/>
      <c r="Q823" s="104" t="s">
        <v>1755</v>
      </c>
      <c r="R823" s="105"/>
      <c r="S823" s="20" t="s">
        <v>1757</v>
      </c>
      <c r="T823" s="105"/>
      <c r="U823" s="105"/>
      <c r="V823" s="105"/>
      <c r="W823" s="105"/>
      <c r="X823" s="294"/>
      <c r="Y823" s="105"/>
      <c r="Z823" s="84"/>
      <c r="AA823" s="105"/>
      <c r="AB823" s="105"/>
      <c r="AC823" s="105"/>
      <c r="AD823" s="105"/>
      <c r="AE823" s="105"/>
      <c r="AF823" s="48"/>
      <c r="AG823" s="81"/>
      <c r="AI823" s="312"/>
      <c r="AL823" s="81"/>
    </row>
    <row r="824" spans="1:38">
      <c r="A824" s="48"/>
      <c r="B824" s="284"/>
      <c r="C824" s="277" t="s">
        <v>2109</v>
      </c>
      <c r="D824" s="277"/>
      <c r="E824" s="278"/>
      <c r="F824" s="278"/>
      <c r="G824" s="278"/>
      <c r="H824" s="278"/>
      <c r="I824" s="278"/>
      <c r="J824" s="278"/>
      <c r="K824" s="100"/>
      <c r="L824" s="278"/>
      <c r="M824" s="278"/>
      <c r="N824" s="278"/>
      <c r="O824" s="278"/>
      <c r="P824" s="278"/>
      <c r="Q824" s="277" t="s">
        <v>2109</v>
      </c>
      <c r="R824" s="278"/>
      <c r="S824" s="279"/>
      <c r="T824" s="278"/>
      <c r="U824" s="278"/>
      <c r="V824" s="278"/>
      <c r="W824" s="278"/>
      <c r="X824" s="295"/>
      <c r="Y824" s="278"/>
      <c r="Z824" s="100"/>
      <c r="AA824" s="278"/>
      <c r="AB824" s="278"/>
      <c r="AC824" s="278"/>
      <c r="AD824" s="278"/>
      <c r="AE824" s="278"/>
      <c r="AF824" s="101"/>
      <c r="AG824" s="81"/>
      <c r="AI824" s="312"/>
      <c r="AL824" s="81"/>
    </row>
    <row r="825" spans="1:38">
      <c r="A825" s="48"/>
      <c r="B825" s="284"/>
      <c r="C825" s="277" t="s">
        <v>2161</v>
      </c>
      <c r="D825" s="277"/>
      <c r="E825" s="48"/>
      <c r="F825" s="48"/>
      <c r="G825" s="48"/>
      <c r="H825" s="98"/>
      <c r="I825" s="48"/>
      <c r="J825" s="48"/>
      <c r="K825" s="84"/>
      <c r="L825" s="85"/>
      <c r="M825" s="85"/>
      <c r="N825" s="85"/>
      <c r="O825" s="85"/>
      <c r="P825" s="85"/>
      <c r="Q825" s="48" t="s">
        <v>1673</v>
      </c>
      <c r="R825" s="84"/>
      <c r="S825" s="48"/>
      <c r="T825" s="48"/>
      <c r="U825" s="48"/>
      <c r="V825" s="48"/>
      <c r="W825" s="98"/>
      <c r="X825" s="292"/>
      <c r="Y825" s="84"/>
      <c r="Z825" s="84"/>
      <c r="AA825" s="84"/>
      <c r="AB825" s="84"/>
      <c r="AC825" s="84"/>
      <c r="AD825" s="85"/>
      <c r="AE825" s="85"/>
      <c r="AF825" s="48"/>
      <c r="AG825" s="81"/>
      <c r="AI825" s="312"/>
      <c r="AL825" s="81"/>
    </row>
    <row r="826" spans="1:38">
      <c r="A826" s="101"/>
      <c r="B826" s="284" t="s">
        <v>2254</v>
      </c>
      <c r="C826" s="48" t="s">
        <v>1673</v>
      </c>
      <c r="D826" s="48"/>
      <c r="E826" s="48"/>
      <c r="F826" s="48"/>
      <c r="G826" s="48"/>
      <c r="H826" s="98"/>
      <c r="I826" s="48"/>
      <c r="J826" s="48"/>
      <c r="K826" s="84"/>
      <c r="L826" s="85"/>
      <c r="M826" s="85"/>
      <c r="N826" s="85"/>
      <c r="O826" s="85"/>
      <c r="P826" s="85"/>
      <c r="Q826" s="92" t="s">
        <v>1758</v>
      </c>
      <c r="R826" s="84"/>
      <c r="S826" s="48"/>
      <c r="T826" s="48"/>
      <c r="U826" s="48"/>
      <c r="V826" s="48"/>
      <c r="W826" s="98"/>
      <c r="X826" s="292"/>
      <c r="Y826" s="84"/>
      <c r="Z826" s="84"/>
      <c r="AA826" s="84"/>
      <c r="AB826" s="84"/>
      <c r="AC826" s="84"/>
      <c r="AD826" s="85"/>
      <c r="AE826" s="85"/>
      <c r="AF826" s="48"/>
      <c r="AG826" s="81"/>
      <c r="AI826" s="312"/>
      <c r="AL826" s="81"/>
    </row>
    <row r="827" spans="1:38">
      <c r="A827" s="48"/>
      <c r="B827" s="284" t="s">
        <v>2211</v>
      </c>
      <c r="C827" s="92" t="s">
        <v>1758</v>
      </c>
      <c r="D827" s="92"/>
      <c r="E827" s="48"/>
      <c r="F827" s="48"/>
      <c r="G827" s="48"/>
      <c r="H827" s="98"/>
      <c r="I827" s="48"/>
      <c r="J827" s="48"/>
      <c r="K827" s="84"/>
      <c r="L827" s="85"/>
      <c r="M827" s="85"/>
      <c r="N827" s="85"/>
      <c r="O827" s="85"/>
      <c r="P827" s="85"/>
      <c r="Q827" s="106" t="s">
        <v>1756</v>
      </c>
      <c r="R827" s="84"/>
      <c r="S827" s="19" t="s">
        <v>1759</v>
      </c>
      <c r="T827" s="48"/>
      <c r="U827" s="48"/>
      <c r="V827" s="48"/>
      <c r="W827" s="98"/>
      <c r="X827" s="292"/>
      <c r="Y827" s="84"/>
      <c r="Z827" s="84"/>
      <c r="AA827" s="84"/>
      <c r="AB827" s="84"/>
      <c r="AC827" s="84"/>
      <c r="AD827" s="85"/>
      <c r="AE827" s="85"/>
      <c r="AF827" s="48"/>
      <c r="AG827" s="81"/>
      <c r="AI827" s="312"/>
      <c r="AL827" s="81"/>
    </row>
    <row r="828" spans="1:38">
      <c r="A828" s="48" t="s">
        <v>1531</v>
      </c>
      <c r="B828" s="284"/>
      <c r="C828" s="106" t="s">
        <v>1756</v>
      </c>
      <c r="D828" s="106"/>
      <c r="E828" s="48"/>
      <c r="F828" s="48"/>
      <c r="G828" s="48"/>
      <c r="H828" s="98"/>
      <c r="I828" s="48"/>
      <c r="J828" s="101"/>
      <c r="K828" s="101"/>
      <c r="L828" s="78"/>
      <c r="M828" s="79"/>
      <c r="N828" s="85"/>
      <c r="O828" s="85"/>
      <c r="P828" s="85"/>
      <c r="Q828" s="92" t="s">
        <v>1989</v>
      </c>
      <c r="R828" s="84"/>
      <c r="S828" s="48"/>
      <c r="T828" s="48"/>
      <c r="U828" s="48"/>
      <c r="V828" s="48"/>
      <c r="W828" s="98"/>
      <c r="X828" s="292"/>
      <c r="Y828" s="100"/>
      <c r="Z828" s="100"/>
      <c r="AA828" s="100"/>
      <c r="AB828" s="84"/>
      <c r="AC828" s="100"/>
      <c r="AD828" s="85"/>
      <c r="AE828" s="101"/>
      <c r="AF828" s="23"/>
      <c r="AG828" s="81"/>
      <c r="AI828" s="312"/>
      <c r="AL828" s="81"/>
    </row>
    <row r="829" spans="1:38">
      <c r="A829" s="48"/>
      <c r="B829" s="284" t="s">
        <v>1620</v>
      </c>
      <c r="C829" s="92" t="s">
        <v>1989</v>
      </c>
      <c r="D829" s="92"/>
      <c r="E829" s="48"/>
      <c r="F829" s="48"/>
      <c r="G829" s="48"/>
      <c r="H829" s="98"/>
      <c r="I829" s="48"/>
      <c r="J829" s="101"/>
      <c r="K829" s="101"/>
      <c r="L829" s="78"/>
      <c r="M829" s="250"/>
      <c r="N829" s="85"/>
      <c r="O829" s="85"/>
      <c r="P829" s="85"/>
      <c r="Q829" s="106" t="s">
        <v>1756</v>
      </c>
      <c r="R829" s="84"/>
      <c r="S829" s="21" t="s">
        <v>1760</v>
      </c>
      <c r="T829" s="48"/>
      <c r="U829" s="48"/>
      <c r="V829" s="48"/>
      <c r="W829" s="98"/>
      <c r="X829" s="292"/>
      <c r="Y829" s="100"/>
      <c r="Z829" s="100"/>
      <c r="AA829" s="100"/>
      <c r="AB829" s="84"/>
      <c r="AC829" s="100"/>
      <c r="AD829" s="85"/>
      <c r="AE829" s="101"/>
      <c r="AF829" s="23"/>
      <c r="AG829" s="81"/>
      <c r="AI829" s="312"/>
      <c r="AL829" s="81"/>
    </row>
    <row r="830" spans="1:38">
      <c r="A830" s="48"/>
      <c r="B830" s="284"/>
      <c r="C830" s="106" t="s">
        <v>1756</v>
      </c>
      <c r="D830" s="106"/>
      <c r="E830" s="48"/>
      <c r="F830" s="48"/>
      <c r="G830" s="48"/>
      <c r="H830" s="98"/>
      <c r="I830" s="48"/>
      <c r="J830" s="48"/>
      <c r="K830" s="84"/>
      <c r="L830" s="85"/>
      <c r="M830" s="85"/>
      <c r="N830" s="85"/>
      <c r="O830" s="85"/>
      <c r="P830" s="85"/>
      <c r="Q830" s="92" t="s">
        <v>1674</v>
      </c>
      <c r="R830" s="84"/>
      <c r="S830" s="48"/>
      <c r="T830" s="48"/>
      <c r="U830" s="48"/>
      <c r="V830" s="48"/>
      <c r="W830" s="98"/>
      <c r="X830" s="292"/>
      <c r="Y830" s="84"/>
      <c r="Z830" s="84"/>
      <c r="AA830" s="84"/>
      <c r="AB830" s="84"/>
      <c r="AC830" s="84"/>
      <c r="AD830" s="85"/>
      <c r="AE830" s="85"/>
      <c r="AF830" s="48"/>
      <c r="AG830" s="81"/>
      <c r="AI830" s="313"/>
      <c r="AL830" s="81"/>
    </row>
    <row r="831" spans="1:38">
      <c r="A831" s="48"/>
      <c r="B831" s="284" t="s">
        <v>2221</v>
      </c>
      <c r="C831" s="92" t="s">
        <v>1674</v>
      </c>
      <c r="D831" s="92"/>
      <c r="E831" s="98"/>
      <c r="F831" s="101"/>
      <c r="G831" s="101"/>
      <c r="H831" s="98"/>
      <c r="I831" s="79"/>
      <c r="J831" s="85"/>
      <c r="K831" s="84"/>
      <c r="L831" s="85"/>
      <c r="M831" s="85"/>
      <c r="N831" s="85"/>
      <c r="O831" s="85"/>
      <c r="P831" s="85"/>
      <c r="Q831" s="92" t="s">
        <v>1988</v>
      </c>
      <c r="R831" s="101"/>
      <c r="S831" s="98"/>
      <c r="T831" s="98"/>
      <c r="U831" s="101"/>
      <c r="V831" s="101"/>
      <c r="W831" s="98"/>
      <c r="X831" s="291"/>
      <c r="Y831" s="100"/>
      <c r="AA831" s="251"/>
      <c r="AB831" s="84"/>
      <c r="AC831" s="84"/>
      <c r="AD831" s="85"/>
      <c r="AE831" s="85"/>
      <c r="AF831" s="48"/>
      <c r="AG831" s="81"/>
      <c r="AI831" s="313"/>
      <c r="AL831" s="81"/>
    </row>
    <row r="832" spans="1:38">
      <c r="A832" s="48"/>
      <c r="B832" s="284" t="s">
        <v>2213</v>
      </c>
      <c r="C832" s="92" t="s">
        <v>1988</v>
      </c>
      <c r="D832" s="92"/>
      <c r="E832" s="98"/>
      <c r="F832" s="101"/>
      <c r="G832" s="101"/>
      <c r="H832" s="98"/>
      <c r="I832" s="247"/>
      <c r="J832" s="85"/>
      <c r="K832" s="84"/>
      <c r="L832" s="85"/>
      <c r="M832" s="85"/>
      <c r="N832" s="85"/>
      <c r="O832" s="85"/>
      <c r="P832" s="85"/>
      <c r="Q832" s="106" t="s">
        <v>1756</v>
      </c>
      <c r="R832" s="101"/>
      <c r="S832" s="251" t="s">
        <v>1761</v>
      </c>
      <c r="T832" s="98"/>
      <c r="U832" s="101"/>
      <c r="V832" s="101"/>
      <c r="W832" s="98"/>
      <c r="X832" s="291"/>
      <c r="Y832" s="100"/>
      <c r="AA832" s="251"/>
      <c r="AB832" s="84"/>
      <c r="AC832" s="84"/>
      <c r="AD832" s="85"/>
      <c r="AE832" s="85"/>
      <c r="AF832" s="48"/>
      <c r="AG832" s="81"/>
      <c r="AI832" s="313"/>
      <c r="AL832" s="81"/>
    </row>
    <row r="833" spans="2:38">
      <c r="B833" s="284"/>
      <c r="C833" s="106" t="s">
        <v>1756</v>
      </c>
      <c r="D833" s="106"/>
      <c r="E833" s="101"/>
      <c r="F833" s="101"/>
      <c r="G833" s="101"/>
      <c r="H833" s="98"/>
      <c r="I833" s="101"/>
      <c r="J833" s="48"/>
      <c r="K833" s="84"/>
      <c r="L833" s="85"/>
      <c r="M833" s="85"/>
      <c r="N833" s="85"/>
      <c r="O833" s="85"/>
      <c r="P833" s="85"/>
      <c r="Q833" s="92" t="s">
        <v>1675</v>
      </c>
      <c r="R833" s="100"/>
      <c r="S833" s="101"/>
      <c r="T833" s="101"/>
      <c r="U833" s="101"/>
      <c r="V833" s="101"/>
      <c r="W833" s="98"/>
      <c r="X833" s="291"/>
      <c r="Y833" s="84"/>
      <c r="Z833" s="84"/>
      <c r="AA833" s="84"/>
      <c r="AB833" s="84"/>
      <c r="AC833" s="84"/>
      <c r="AD833" s="85"/>
      <c r="AE833" s="85"/>
      <c r="AF833" s="48"/>
      <c r="AG833" s="81"/>
      <c r="AI833" s="313"/>
      <c r="AL833" s="81"/>
    </row>
    <row r="834" spans="2:38">
      <c r="B834" s="284" t="s">
        <v>2255</v>
      </c>
      <c r="C834" s="92" t="s">
        <v>1675</v>
      </c>
      <c r="D834" s="92"/>
      <c r="E834" s="101"/>
      <c r="F834" s="101"/>
      <c r="G834" s="101"/>
      <c r="H834" s="98"/>
      <c r="I834" s="101"/>
      <c r="J834" s="48"/>
      <c r="K834" s="84"/>
      <c r="L834" s="85"/>
      <c r="M834" s="85"/>
      <c r="N834" s="85"/>
      <c r="O834" s="85"/>
      <c r="P834" s="85"/>
      <c r="Q834" s="107" t="s">
        <v>1676</v>
      </c>
      <c r="R834" s="100"/>
      <c r="S834" s="101"/>
      <c r="T834" s="101"/>
      <c r="U834" s="101"/>
      <c r="V834" s="101"/>
      <c r="W834" s="98"/>
      <c r="X834" s="291"/>
      <c r="Y834" s="84"/>
      <c r="Z834" s="84"/>
      <c r="AA834" s="84"/>
      <c r="AB834" s="84"/>
      <c r="AC834" s="84"/>
      <c r="AD834" s="85"/>
      <c r="AE834" s="85"/>
      <c r="AF834" s="48"/>
      <c r="AG834" s="81"/>
      <c r="AI834" s="313"/>
      <c r="AL834" s="81"/>
    </row>
    <row r="835" spans="2:38">
      <c r="B835" s="284" t="s">
        <v>2227</v>
      </c>
      <c r="C835" s="107" t="s">
        <v>1676</v>
      </c>
      <c r="D835" s="107"/>
      <c r="E835" s="101"/>
      <c r="F835" s="101"/>
      <c r="G835" s="101"/>
      <c r="H835" s="98"/>
      <c r="I835" s="101"/>
      <c r="J835" s="48"/>
      <c r="K835" s="84"/>
      <c r="L835" s="85"/>
      <c r="M835" s="85"/>
      <c r="N835" s="85"/>
      <c r="O835" s="85"/>
      <c r="P835" s="85"/>
      <c r="Q835" s="92" t="s">
        <v>1677</v>
      </c>
      <c r="R835" s="100"/>
      <c r="S835" s="101"/>
      <c r="T835" s="101"/>
      <c r="U835" s="101"/>
      <c r="V835" s="101"/>
      <c r="W835" s="98"/>
      <c r="X835" s="291"/>
      <c r="Y835" s="84"/>
      <c r="Z835" s="84"/>
      <c r="AA835" s="84"/>
      <c r="AB835" s="84"/>
      <c r="AC835" s="84"/>
      <c r="AD835" s="85"/>
      <c r="AE835" s="85"/>
      <c r="AF835" s="48"/>
      <c r="AG835" s="81"/>
      <c r="AI835" s="313"/>
      <c r="AL835" s="81"/>
    </row>
    <row r="836" spans="2:38">
      <c r="B836" s="284" t="s">
        <v>2256</v>
      </c>
      <c r="C836" s="92" t="s">
        <v>1677</v>
      </c>
      <c r="D836" s="92"/>
      <c r="E836" s="101"/>
      <c r="F836" s="101"/>
      <c r="G836" s="101"/>
      <c r="H836" s="98"/>
      <c r="I836" s="101"/>
      <c r="J836" s="48"/>
      <c r="K836" s="84"/>
      <c r="L836" s="85"/>
      <c r="M836" s="85"/>
      <c r="N836" s="85"/>
      <c r="O836" s="85"/>
      <c r="P836" s="85"/>
      <c r="Q836" s="92" t="s">
        <v>1786</v>
      </c>
      <c r="R836" s="100"/>
      <c r="S836" s="101"/>
      <c r="T836" s="101"/>
      <c r="U836" s="101"/>
      <c r="V836" s="101"/>
      <c r="W836" s="98"/>
      <c r="X836" s="291"/>
      <c r="Y836" s="84"/>
      <c r="Z836" s="84"/>
      <c r="AA836" s="84"/>
      <c r="AB836" s="84"/>
      <c r="AC836" s="84"/>
      <c r="AD836" s="85"/>
      <c r="AE836" s="85"/>
      <c r="AF836" s="48"/>
      <c r="AG836" s="81"/>
      <c r="AI836" s="313"/>
      <c r="AL836" s="81"/>
    </row>
    <row r="837" spans="2:38">
      <c r="B837" s="284" t="s">
        <v>2257</v>
      </c>
      <c r="C837" s="92" t="s">
        <v>2162</v>
      </c>
      <c r="D837" s="92"/>
      <c r="E837" s="101"/>
      <c r="F837" s="101"/>
      <c r="G837" s="101"/>
      <c r="H837" s="98"/>
      <c r="I837" s="101"/>
      <c r="J837" s="48"/>
      <c r="K837" s="84"/>
      <c r="L837" s="85"/>
      <c r="M837" s="85"/>
      <c r="N837" s="85"/>
      <c r="O837" s="85"/>
      <c r="P837" s="85"/>
      <c r="Q837" s="92"/>
      <c r="R837" s="100"/>
      <c r="S837" s="101"/>
      <c r="T837" s="101"/>
      <c r="U837" s="101"/>
      <c r="V837" s="101"/>
      <c r="W837" s="98"/>
      <c r="X837" s="291"/>
      <c r="Y837" s="84"/>
      <c r="Z837" s="84"/>
      <c r="AA837" s="84"/>
      <c r="AB837" s="84"/>
      <c r="AC837" s="84"/>
      <c r="AD837" s="85"/>
      <c r="AE837" s="85"/>
      <c r="AF837" s="48"/>
      <c r="AG837" s="81"/>
      <c r="AI837" s="313"/>
      <c r="AL837" s="81"/>
    </row>
    <row r="838" spans="2:38">
      <c r="B838" s="286" t="s">
        <v>2202</v>
      </c>
      <c r="C838" s="92" t="s">
        <v>1786</v>
      </c>
      <c r="D838" s="92"/>
      <c r="E838" s="101"/>
      <c r="F838" s="101"/>
      <c r="G838" s="101"/>
      <c r="H838" s="98"/>
      <c r="I838" s="101"/>
      <c r="J838" s="48"/>
      <c r="K838" s="84"/>
      <c r="L838" s="85"/>
      <c r="M838" s="85"/>
      <c r="N838" s="85"/>
      <c r="O838" s="85"/>
      <c r="P838" s="85"/>
      <c r="Q838" s="92" t="s">
        <v>1684</v>
      </c>
      <c r="R838" s="100"/>
      <c r="S838" s="101"/>
      <c r="T838" s="101"/>
      <c r="U838" s="101"/>
      <c r="V838" s="101"/>
      <c r="W838" s="98"/>
      <c r="X838" s="291"/>
      <c r="Y838" s="84"/>
      <c r="Z838" s="84"/>
      <c r="AA838" s="84"/>
      <c r="AB838" s="84"/>
      <c r="AC838" s="84"/>
      <c r="AD838" s="85"/>
      <c r="AE838" s="85"/>
      <c r="AF838" s="48"/>
      <c r="AG838" s="81"/>
      <c r="AI838" s="313"/>
      <c r="AL838" s="81"/>
    </row>
    <row r="839" spans="2:38">
      <c r="B839" s="284" t="s">
        <v>1671</v>
      </c>
      <c r="C839" s="92" t="s">
        <v>1684</v>
      </c>
      <c r="D839" s="92"/>
      <c r="E839" s="101"/>
      <c r="F839" s="101"/>
      <c r="G839" s="101"/>
      <c r="H839" s="98"/>
      <c r="I839" s="101"/>
      <c r="J839" s="48"/>
      <c r="K839" s="84"/>
      <c r="L839" s="85"/>
      <c r="M839" s="85"/>
      <c r="N839" s="85"/>
      <c r="O839" s="85"/>
      <c r="P839" s="85"/>
      <c r="Q839" s="101" t="s">
        <v>1678</v>
      </c>
      <c r="R839" s="100"/>
      <c r="S839" s="101"/>
      <c r="T839" s="101"/>
      <c r="U839" s="101"/>
      <c r="V839" s="101"/>
      <c r="W839" s="98"/>
      <c r="X839" s="291"/>
      <c r="Y839" s="84"/>
      <c r="Z839" s="84"/>
      <c r="AA839" s="84"/>
      <c r="AB839" s="84"/>
      <c r="AC839" s="84"/>
      <c r="AD839" s="85"/>
      <c r="AE839" s="85"/>
      <c r="AF839" s="48"/>
      <c r="AG839" s="81"/>
      <c r="AI839" s="313"/>
      <c r="AL839" s="81"/>
    </row>
    <row r="840" spans="2:38">
      <c r="B840" s="284" t="s">
        <v>2223</v>
      </c>
      <c r="C840" s="101" t="s">
        <v>1678</v>
      </c>
      <c r="D840" s="101"/>
      <c r="E840" s="101"/>
      <c r="F840" s="101"/>
      <c r="G840" s="101"/>
      <c r="H840" s="98"/>
      <c r="I840" s="101"/>
      <c r="J840" s="248"/>
      <c r="K840" s="79"/>
      <c r="L840" s="98"/>
      <c r="M840" s="98"/>
      <c r="N840" s="98"/>
      <c r="O840" s="98"/>
      <c r="P840" s="98"/>
      <c r="Q840" s="101" t="s">
        <v>1987</v>
      </c>
      <c r="R840" s="100"/>
      <c r="S840" s="101"/>
      <c r="T840" s="101"/>
      <c r="U840" s="101"/>
      <c r="V840" s="101"/>
      <c r="W840" s="98"/>
      <c r="X840" s="291"/>
      <c r="Y840" s="100"/>
      <c r="Z840" s="100"/>
      <c r="AA840" s="100"/>
      <c r="AB840" s="100"/>
      <c r="AC840" s="100"/>
      <c r="AD840" s="101"/>
      <c r="AE840" s="98"/>
      <c r="AF840" s="24"/>
      <c r="AG840" s="81"/>
      <c r="AI840" s="313"/>
      <c r="AL840" s="81"/>
    </row>
    <row r="841" spans="2:38">
      <c r="B841" s="284" t="s">
        <v>2215</v>
      </c>
      <c r="C841" s="101" t="s">
        <v>1987</v>
      </c>
      <c r="D841" s="101"/>
      <c r="E841" s="101"/>
      <c r="F841" s="101"/>
      <c r="G841" s="101"/>
      <c r="H841" s="98"/>
      <c r="I841" s="101"/>
      <c r="J841" s="248"/>
      <c r="K841" s="249"/>
      <c r="L841" s="98"/>
      <c r="M841" s="98"/>
      <c r="N841" s="98"/>
      <c r="O841" s="98"/>
      <c r="P841" s="98"/>
      <c r="Q841" s="106" t="s">
        <v>1756</v>
      </c>
      <c r="R841" s="100"/>
      <c r="S841" s="21" t="s">
        <v>1762</v>
      </c>
      <c r="T841" s="101"/>
      <c r="U841" s="101"/>
      <c r="V841" s="101"/>
      <c r="W841" s="98"/>
      <c r="X841" s="291"/>
      <c r="Y841" s="100"/>
      <c r="Z841" s="100"/>
      <c r="AA841" s="100"/>
      <c r="AB841" s="100"/>
      <c r="AC841" s="100"/>
      <c r="AD841" s="101"/>
      <c r="AE841" s="98"/>
      <c r="AF841" s="24"/>
      <c r="AG841" s="81"/>
      <c r="AI841" s="313"/>
      <c r="AL841" s="81"/>
    </row>
    <row r="842" spans="2:38">
      <c r="B842" s="284"/>
      <c r="C842" s="106" t="s">
        <v>1756</v>
      </c>
      <c r="D842" s="106"/>
      <c r="E842" s="101"/>
      <c r="F842" s="101"/>
      <c r="G842" s="101"/>
      <c r="H842" s="98"/>
      <c r="I842" s="101"/>
      <c r="J842" s="248"/>
      <c r="K842" s="275"/>
      <c r="L842" s="98"/>
      <c r="M842" s="98"/>
      <c r="N842" s="98"/>
      <c r="O842" s="98"/>
      <c r="P842" s="98"/>
      <c r="Q842" s="106" t="s">
        <v>2112</v>
      </c>
      <c r="R842" s="100"/>
      <c r="S842" s="251"/>
      <c r="T842" s="101"/>
      <c r="U842" s="101"/>
      <c r="V842" s="101"/>
      <c r="W842" s="98"/>
      <c r="X842" s="291"/>
      <c r="Y842" s="100"/>
      <c r="Z842" s="100"/>
      <c r="AA842" s="100"/>
      <c r="AB842" s="100"/>
      <c r="AC842" s="100"/>
      <c r="AD842" s="101"/>
      <c r="AE842" s="98"/>
      <c r="AF842" s="276"/>
      <c r="AG842" s="81"/>
      <c r="AI842" s="313"/>
      <c r="AL842" s="81"/>
    </row>
    <row r="843" spans="2:38">
      <c r="B843" s="284"/>
      <c r="C843" s="106" t="s">
        <v>2112</v>
      </c>
      <c r="D843" s="106"/>
      <c r="E843" s="101"/>
      <c r="F843" s="101"/>
      <c r="G843" s="101"/>
      <c r="H843" s="98"/>
      <c r="I843" s="101"/>
      <c r="J843" s="101"/>
      <c r="K843" s="84"/>
      <c r="L843" s="98"/>
      <c r="M843" s="98"/>
      <c r="N843" s="98"/>
      <c r="O843" s="98"/>
      <c r="P843" s="98"/>
      <c r="Q843" s="101" t="s">
        <v>1679</v>
      </c>
      <c r="R843" s="100"/>
      <c r="S843" s="101"/>
      <c r="T843" s="101"/>
      <c r="U843" s="101"/>
      <c r="V843" s="101"/>
      <c r="W843" s="98"/>
      <c r="X843" s="291"/>
      <c r="Y843" s="100"/>
      <c r="Z843" s="84"/>
      <c r="AA843" s="100"/>
      <c r="AB843" s="100"/>
      <c r="AC843" s="100"/>
      <c r="AD843" s="98"/>
      <c r="AE843" s="98"/>
      <c r="AF843" s="101"/>
      <c r="AG843" s="81"/>
      <c r="AI843" s="313"/>
      <c r="AL843" s="81"/>
    </row>
    <row r="844" spans="2:38">
      <c r="B844" s="284" t="s">
        <v>2224</v>
      </c>
      <c r="C844" s="101" t="s">
        <v>1679</v>
      </c>
      <c r="D844" s="101"/>
      <c r="E844" s="101"/>
      <c r="F844" s="101"/>
      <c r="G844" s="101"/>
      <c r="H844" s="98"/>
      <c r="I844" s="101"/>
      <c r="J844" s="101"/>
      <c r="K844" s="84"/>
      <c r="L844" s="98"/>
      <c r="M844" s="98"/>
      <c r="N844" s="98"/>
      <c r="O844" s="98"/>
      <c r="P844" s="98"/>
      <c r="Q844" s="101" t="s">
        <v>1680</v>
      </c>
      <c r="R844" s="100"/>
      <c r="S844" s="101"/>
      <c r="T844" s="101"/>
      <c r="U844" s="101"/>
      <c r="V844" s="101"/>
      <c r="W844" s="98"/>
      <c r="X844" s="291"/>
      <c r="Y844" s="100"/>
      <c r="Z844" s="84"/>
      <c r="AA844" s="100"/>
      <c r="AB844" s="100"/>
      <c r="AC844" s="100"/>
      <c r="AD844" s="98"/>
      <c r="AE844" s="98"/>
      <c r="AF844" s="101"/>
      <c r="AG844" s="81"/>
      <c r="AI844" s="313"/>
      <c r="AL844" s="81"/>
    </row>
    <row r="845" spans="2:38">
      <c r="B845" s="284" t="s">
        <v>2225</v>
      </c>
      <c r="C845" s="101" t="s">
        <v>1680</v>
      </c>
      <c r="D845" s="101"/>
      <c r="E845" s="101"/>
      <c r="F845" s="101"/>
      <c r="G845" s="101"/>
      <c r="H845" s="98"/>
      <c r="I845" s="101"/>
      <c r="J845" s="101"/>
      <c r="K845" s="84"/>
      <c r="L845" s="98"/>
      <c r="M845" s="98"/>
      <c r="N845" s="98"/>
      <c r="O845" s="98"/>
      <c r="P845" s="98"/>
      <c r="Q845" s="101" t="s">
        <v>1681</v>
      </c>
      <c r="R845" s="100"/>
      <c r="S845" s="101"/>
      <c r="T845" s="101"/>
      <c r="U845" s="101"/>
      <c r="V845" s="101"/>
      <c r="W845" s="98"/>
      <c r="X845" s="291"/>
      <c r="Y845" s="100"/>
      <c r="Z845" s="84"/>
      <c r="AA845" s="100"/>
      <c r="AB845" s="100"/>
      <c r="AC845" s="100"/>
      <c r="AD845" s="98"/>
      <c r="AE845" s="98"/>
      <c r="AF845" s="101"/>
      <c r="AG845" s="81"/>
      <c r="AI845" s="313"/>
      <c r="AL845" s="81"/>
    </row>
    <row r="846" spans="2:38">
      <c r="B846" s="284" t="s">
        <v>1636</v>
      </c>
      <c r="C846" s="101" t="s">
        <v>1681</v>
      </c>
      <c r="D846" s="101"/>
      <c r="E846" s="101"/>
      <c r="F846" s="101"/>
      <c r="G846" s="101"/>
      <c r="H846" s="98"/>
      <c r="I846" s="101"/>
      <c r="J846" s="101"/>
      <c r="K846" s="21"/>
      <c r="L846" s="98"/>
      <c r="M846" s="98"/>
      <c r="N846" s="98"/>
      <c r="O846" s="98"/>
      <c r="P846" s="98"/>
      <c r="Q846" s="101" t="s">
        <v>1896</v>
      </c>
      <c r="R846" s="100"/>
      <c r="S846" s="101"/>
      <c r="T846" s="101"/>
      <c r="U846" s="101"/>
      <c r="V846" s="101"/>
      <c r="W846" s="98"/>
      <c r="X846" s="291"/>
      <c r="Y846" s="100"/>
      <c r="Z846" s="100"/>
      <c r="AA846" s="100"/>
      <c r="AB846" s="100"/>
      <c r="AC846" s="100"/>
      <c r="AD846" s="101"/>
      <c r="AE846" s="98"/>
      <c r="AF846" s="22"/>
      <c r="AG846" s="81"/>
      <c r="AI846" s="313"/>
      <c r="AL846" s="81"/>
    </row>
    <row r="847" spans="2:38">
      <c r="B847" s="284" t="s">
        <v>2150</v>
      </c>
      <c r="C847" s="101" t="s">
        <v>2160</v>
      </c>
      <c r="D847" s="101"/>
      <c r="E847" s="101"/>
      <c r="F847" s="101"/>
      <c r="G847" s="101"/>
      <c r="H847" s="98"/>
      <c r="I847" s="101"/>
      <c r="J847" s="101"/>
      <c r="K847" s="84"/>
      <c r="L847" s="98"/>
      <c r="M847" s="98"/>
      <c r="N847" s="98"/>
      <c r="O847" s="98"/>
      <c r="P847" s="98"/>
      <c r="Q847" s="101" t="s">
        <v>1682</v>
      </c>
      <c r="R847" s="100"/>
      <c r="S847" s="101"/>
      <c r="T847" s="101"/>
      <c r="U847" s="101"/>
      <c r="V847" s="101"/>
      <c r="W847" s="98"/>
      <c r="X847" s="291"/>
      <c r="Y847" s="100"/>
      <c r="Z847" s="84"/>
      <c r="AA847" s="100"/>
      <c r="AB847" s="100"/>
      <c r="AC847" s="100"/>
      <c r="AD847" s="98"/>
      <c r="AE847" s="98"/>
      <c r="AF847" s="101"/>
      <c r="AG847" s="81"/>
      <c r="AI847" s="313"/>
      <c r="AL847" s="81"/>
    </row>
    <row r="848" spans="2:38">
      <c r="B848" s="284"/>
      <c r="C848" s="106" t="s">
        <v>1756</v>
      </c>
      <c r="D848" s="106"/>
      <c r="E848" s="101"/>
      <c r="F848" s="101"/>
      <c r="G848" s="101"/>
      <c r="H848" s="98"/>
      <c r="I848" s="101"/>
      <c r="J848" s="101"/>
      <c r="K848" s="84"/>
      <c r="L848" s="98"/>
      <c r="M848" s="98"/>
      <c r="N848" s="98"/>
      <c r="O848" s="98"/>
      <c r="P848" s="98"/>
      <c r="Q848" s="92" t="s">
        <v>303</v>
      </c>
      <c r="R848" s="100"/>
      <c r="S848" s="101"/>
      <c r="T848" s="101"/>
      <c r="U848" s="101"/>
      <c r="V848" s="101"/>
      <c r="W848" s="98"/>
      <c r="X848" s="291"/>
      <c r="Y848" s="100"/>
      <c r="Z848" s="84"/>
      <c r="AA848" s="100"/>
      <c r="AB848" s="100"/>
      <c r="AC848" s="100"/>
      <c r="AD848" s="98"/>
      <c r="AE848" s="98"/>
      <c r="AF848" s="101"/>
      <c r="AG848" s="81"/>
      <c r="AI848" s="313"/>
      <c r="AL848" s="81"/>
    </row>
    <row r="849" spans="2:38">
      <c r="B849" s="284" t="s">
        <v>1876</v>
      </c>
      <c r="C849" s="101" t="s">
        <v>1896</v>
      </c>
      <c r="D849" s="101"/>
      <c r="E849" s="29"/>
      <c r="F849" s="29"/>
      <c r="H849" s="83"/>
      <c r="L849" s="78"/>
      <c r="M849" s="78"/>
      <c r="AE849" s="29"/>
      <c r="AF849" s="29"/>
      <c r="AG849" s="81"/>
      <c r="AI849" s="313"/>
      <c r="AL849" s="81"/>
    </row>
    <row r="850" spans="2:38">
      <c r="B850" s="284" t="s">
        <v>1639</v>
      </c>
      <c r="C850" s="101" t="s">
        <v>1682</v>
      </c>
      <c r="D850" s="101"/>
      <c r="E850" s="29"/>
      <c r="F850" s="29"/>
      <c r="H850" s="83"/>
      <c r="L850" s="78"/>
      <c r="M850" s="78"/>
      <c r="AE850" s="29"/>
      <c r="AF850" s="29"/>
      <c r="AG850" s="81"/>
      <c r="AI850" s="313"/>
      <c r="AL850" s="81"/>
    </row>
    <row r="851" spans="2:38">
      <c r="B851" s="284"/>
      <c r="C851" s="92" t="s">
        <v>303</v>
      </c>
      <c r="D851" s="92"/>
      <c r="E851" s="29"/>
      <c r="F851" s="29"/>
      <c r="H851" s="83"/>
      <c r="L851" s="78"/>
      <c r="M851" s="78"/>
      <c r="AE851" s="29"/>
      <c r="AF851" s="29"/>
      <c r="AG851" s="81"/>
      <c r="AI851" s="313"/>
      <c r="AL851" s="81"/>
    </row>
    <row r="852" spans="2:38">
      <c r="B852" s="285"/>
      <c r="C852" s="82"/>
      <c r="D852" s="82"/>
      <c r="E852" s="29"/>
      <c r="F852" s="29"/>
      <c r="H852" s="83"/>
      <c r="L852" s="78"/>
      <c r="M852" s="78"/>
      <c r="AE852" s="29"/>
      <c r="AF852" s="29"/>
      <c r="AG852" s="81"/>
      <c r="AI852" s="313"/>
      <c r="AL852" s="81"/>
    </row>
    <row r="853" spans="2:38">
      <c r="B853" s="285"/>
      <c r="C853" s="82"/>
      <c r="D853" s="82"/>
      <c r="E853" s="29"/>
      <c r="F853" s="29"/>
      <c r="H853" s="83"/>
      <c r="L853" s="78"/>
      <c r="M853" s="78"/>
      <c r="AE853" s="29"/>
      <c r="AF853" s="29"/>
      <c r="AG853" s="81"/>
      <c r="AI853" s="313"/>
      <c r="AL853" s="81"/>
    </row>
    <row r="854" spans="2:38">
      <c r="B854" s="285"/>
      <c r="C854" s="82"/>
      <c r="D854" s="82"/>
      <c r="E854" s="29"/>
      <c r="F854" s="29"/>
      <c r="H854" s="83"/>
      <c r="L854" s="78"/>
      <c r="M854" s="78"/>
      <c r="AE854" s="29"/>
      <c r="AF854" s="29"/>
      <c r="AG854" s="81"/>
      <c r="AI854" s="313"/>
      <c r="AL854" s="81"/>
    </row>
    <row r="855" spans="2:38">
      <c r="B855" s="285"/>
      <c r="C855" s="82"/>
      <c r="D855" s="82"/>
      <c r="E855" s="29"/>
      <c r="F855" s="29"/>
      <c r="H855" s="83"/>
      <c r="L855" s="78"/>
      <c r="M855" s="78"/>
      <c r="AE855" s="29"/>
      <c r="AF855" s="29"/>
      <c r="AG855" s="81"/>
      <c r="AI855" s="313"/>
      <c r="AL855" s="81"/>
    </row>
    <row r="856" spans="2:38">
      <c r="B856" s="285"/>
      <c r="C856" s="82"/>
      <c r="D856" s="82"/>
      <c r="E856" s="29"/>
      <c r="F856" s="29"/>
      <c r="H856" s="83"/>
      <c r="L856" s="78"/>
      <c r="M856" s="78"/>
      <c r="AE856" s="29"/>
      <c r="AF856" s="29"/>
      <c r="AG856" s="81"/>
      <c r="AI856" s="313"/>
      <c r="AL856" s="81"/>
    </row>
    <row r="857" spans="2:38">
      <c r="B857" s="285"/>
      <c r="C857" s="82"/>
      <c r="D857" s="82"/>
      <c r="E857" s="29"/>
      <c r="F857" s="29"/>
      <c r="H857" s="83"/>
      <c r="L857" s="78"/>
      <c r="M857" s="78"/>
      <c r="AE857" s="29"/>
      <c r="AF857" s="29"/>
      <c r="AG857" s="81"/>
      <c r="AI857" s="313"/>
      <c r="AL857" s="81"/>
    </row>
    <row r="858" spans="2:38">
      <c r="B858" s="285"/>
      <c r="C858" s="82"/>
      <c r="D858" s="82"/>
      <c r="E858" s="29"/>
      <c r="F858" s="29"/>
      <c r="H858" s="78"/>
      <c r="L858" s="78"/>
      <c r="M858" s="78"/>
      <c r="AE858" s="29"/>
      <c r="AF858" s="29"/>
      <c r="AG858" s="81"/>
      <c r="AI858" s="312"/>
      <c r="AL858" s="81"/>
    </row>
    <row r="859" spans="2:38">
      <c r="B859" s="285"/>
      <c r="C859" s="82"/>
      <c r="D859" s="82"/>
      <c r="E859" s="29"/>
      <c r="F859" s="29"/>
      <c r="H859" s="78"/>
      <c r="L859" s="78"/>
      <c r="M859" s="78"/>
      <c r="AE859" s="29"/>
      <c r="AF859" s="29"/>
      <c r="AG859" s="81"/>
      <c r="AI859" s="312"/>
      <c r="AL859" s="81"/>
    </row>
    <row r="860" spans="2:38">
      <c r="C860" s="82"/>
      <c r="D860" s="82"/>
      <c r="E860" s="29"/>
      <c r="F860" s="29"/>
      <c r="H860" s="78"/>
      <c r="L860" s="78"/>
      <c r="M860" s="78"/>
      <c r="AE860" s="29"/>
      <c r="AF860" s="29"/>
      <c r="AG860" s="81"/>
      <c r="AI860" s="312"/>
      <c r="AL860" s="81"/>
    </row>
    <row r="861" spans="2:38">
      <c r="C861" s="82"/>
      <c r="D861" s="82"/>
      <c r="E861" s="29"/>
      <c r="F861" s="29"/>
      <c r="H861" s="78"/>
      <c r="L861" s="78"/>
      <c r="M861" s="78"/>
      <c r="AE861" s="29"/>
      <c r="AF861" s="29"/>
      <c r="AG861" s="81"/>
      <c r="AI861" s="312"/>
      <c r="AL861" s="81"/>
    </row>
    <row r="862" spans="2:38">
      <c r="C862" s="82"/>
      <c r="D862" s="82"/>
      <c r="E862" s="29"/>
      <c r="F862" s="29"/>
      <c r="H862" s="78"/>
      <c r="L862" s="78"/>
      <c r="M862" s="78"/>
      <c r="AE862" s="29"/>
      <c r="AF862" s="29"/>
      <c r="AG862" s="81"/>
      <c r="AI862" s="312"/>
      <c r="AL862" s="81"/>
    </row>
    <row r="863" spans="2:38">
      <c r="C863" s="82"/>
      <c r="D863" s="82"/>
      <c r="E863" s="29"/>
      <c r="F863" s="29"/>
      <c r="H863" s="78"/>
      <c r="L863" s="78"/>
      <c r="M863" s="78"/>
      <c r="AE863" s="29"/>
      <c r="AF863" s="29"/>
      <c r="AG863" s="81"/>
      <c r="AI863" s="312"/>
      <c r="AL863" s="81"/>
    </row>
    <row r="864" spans="2:38">
      <c r="C864" s="82"/>
      <c r="D864" s="82"/>
      <c r="E864" s="29"/>
      <c r="F864" s="29"/>
      <c r="H864" s="78"/>
      <c r="L864" s="78"/>
      <c r="M864" s="78"/>
      <c r="AE864" s="29"/>
      <c r="AF864" s="29"/>
      <c r="AG864" s="81"/>
      <c r="AI864" s="312"/>
      <c r="AL864" s="81"/>
    </row>
    <row r="865" spans="3:38">
      <c r="C865" s="82"/>
      <c r="D865" s="82"/>
      <c r="E865" s="29"/>
      <c r="F865" s="29"/>
      <c r="H865" s="78"/>
      <c r="L865" s="78"/>
      <c r="M865" s="78"/>
      <c r="AE865" s="29"/>
      <c r="AF865" s="29"/>
      <c r="AG865" s="81"/>
      <c r="AI865" s="312"/>
      <c r="AL865" s="81"/>
    </row>
    <row r="866" spans="3:38">
      <c r="C866" s="82"/>
      <c r="D866" s="82"/>
      <c r="E866" s="29"/>
      <c r="F866" s="29"/>
      <c r="H866" s="78"/>
      <c r="L866" s="78"/>
      <c r="M866" s="78"/>
      <c r="AE866" s="29"/>
      <c r="AF866" s="29"/>
      <c r="AG866" s="81"/>
      <c r="AI866" s="312"/>
      <c r="AL866" s="81"/>
    </row>
    <row r="867" spans="3:38">
      <c r="C867" s="82"/>
      <c r="D867" s="82"/>
      <c r="E867" s="29"/>
      <c r="F867" s="29"/>
      <c r="H867" s="78"/>
      <c r="L867" s="78"/>
      <c r="M867" s="78"/>
      <c r="AE867" s="29"/>
      <c r="AF867" s="29"/>
      <c r="AG867" s="81"/>
      <c r="AI867" s="312"/>
      <c r="AL867" s="81"/>
    </row>
    <row r="868" spans="3:38">
      <c r="C868" s="82"/>
      <c r="D868" s="82"/>
      <c r="E868" s="29"/>
      <c r="F868" s="29"/>
      <c r="H868" s="78"/>
      <c r="L868" s="78"/>
      <c r="M868" s="78"/>
      <c r="AE868" s="29"/>
      <c r="AF868" s="29"/>
      <c r="AG868" s="81"/>
      <c r="AI868" s="312"/>
      <c r="AL868" s="81"/>
    </row>
    <row r="869" spans="3:38">
      <c r="C869" s="82"/>
      <c r="D869" s="82"/>
      <c r="E869" s="29"/>
      <c r="F869" s="29"/>
      <c r="H869" s="78"/>
      <c r="L869" s="78"/>
      <c r="M869" s="78"/>
      <c r="AE869" s="29"/>
      <c r="AF869" s="29"/>
      <c r="AG869" s="81"/>
      <c r="AI869" s="312"/>
      <c r="AL869" s="81"/>
    </row>
    <row r="870" spans="3:38">
      <c r="C870" s="82"/>
      <c r="D870" s="82"/>
      <c r="E870" s="29"/>
      <c r="F870" s="29"/>
      <c r="H870" s="78"/>
      <c r="L870" s="78"/>
      <c r="M870" s="78"/>
      <c r="AE870" s="29"/>
      <c r="AF870" s="29"/>
      <c r="AG870" s="81"/>
      <c r="AI870" s="312"/>
      <c r="AL870" s="81"/>
    </row>
    <row r="871" spans="3:38">
      <c r="C871" s="82"/>
      <c r="D871" s="82"/>
      <c r="E871" s="29"/>
      <c r="F871" s="29"/>
      <c r="H871" s="78"/>
      <c r="L871" s="78"/>
      <c r="M871" s="78"/>
      <c r="AE871" s="29"/>
      <c r="AF871" s="29"/>
      <c r="AG871" s="81"/>
      <c r="AI871" s="312"/>
      <c r="AL871" s="81"/>
    </row>
    <row r="872" spans="3:38">
      <c r="C872" s="82"/>
      <c r="D872" s="82"/>
      <c r="E872" s="29"/>
      <c r="F872" s="29"/>
      <c r="H872" s="78"/>
      <c r="L872" s="78"/>
      <c r="M872" s="78"/>
      <c r="AE872" s="29"/>
      <c r="AF872" s="29"/>
      <c r="AG872" s="81"/>
      <c r="AI872" s="312"/>
      <c r="AL872" s="81"/>
    </row>
    <row r="873" spans="3:38">
      <c r="C873" s="82"/>
      <c r="D873" s="82"/>
      <c r="E873" s="29"/>
      <c r="F873" s="29"/>
      <c r="H873" s="78"/>
      <c r="L873" s="78"/>
      <c r="M873" s="78"/>
      <c r="AE873" s="29"/>
      <c r="AF873" s="29"/>
      <c r="AG873" s="81"/>
      <c r="AI873" s="312"/>
      <c r="AL873" s="81"/>
    </row>
    <row r="874" spans="3:38">
      <c r="C874" s="82"/>
      <c r="D874" s="82"/>
      <c r="E874" s="29"/>
      <c r="F874" s="29"/>
      <c r="H874" s="78"/>
      <c r="L874" s="78"/>
      <c r="M874" s="78"/>
      <c r="AE874" s="29"/>
      <c r="AF874" s="29"/>
      <c r="AG874" s="81"/>
      <c r="AI874" s="312"/>
      <c r="AL874" s="81"/>
    </row>
    <row r="875" spans="3:38">
      <c r="C875" s="82"/>
      <c r="D875" s="82"/>
      <c r="E875" s="29"/>
      <c r="F875" s="29"/>
      <c r="H875" s="78"/>
      <c r="L875" s="78"/>
      <c r="M875" s="78"/>
      <c r="AE875" s="29"/>
      <c r="AF875" s="29"/>
      <c r="AG875" s="81"/>
      <c r="AI875" s="312"/>
      <c r="AL875" s="81"/>
    </row>
    <row r="876" spans="3:38">
      <c r="C876" s="82"/>
      <c r="D876" s="82"/>
    </row>
    <row r="877" spans="3:38">
      <c r="C877" s="82"/>
      <c r="D877" s="82"/>
    </row>
    <row r="878" spans="3:38">
      <c r="C878" s="82"/>
      <c r="D878" s="82"/>
    </row>
  </sheetData>
  <sheetProtection algorithmName="SHA-512" hashValue="EJnPWtNCog/TQ8MY9jx/qe5AX4eVyRv+W657WcdBStzKMhi5Tn2vphd3aet9xdjW+dKdN3Ffy2AOwp6I2kkTGg==" saltValue="/ePzVpmMlSxoiCDjDmqa2w==" spinCount="100000" sheet="1" selectLockedCells="1" autoFilter="0"/>
  <autoFilter ref="A5:AM809"/>
  <sortState ref="A6:AG792">
    <sortCondition ref="B6:B792"/>
  </sortState>
  <mergeCells count="23">
    <mergeCell ref="AB4:AC4"/>
    <mergeCell ref="AB3:AC3"/>
    <mergeCell ref="AF3:AG3"/>
    <mergeCell ref="AF4:AG4"/>
    <mergeCell ref="AD4:AE4"/>
    <mergeCell ref="AD3:AE3"/>
    <mergeCell ref="Z3:AA3"/>
    <mergeCell ref="V4:W4"/>
    <mergeCell ref="Z4:AA4"/>
    <mergeCell ref="G3:H3"/>
    <mergeCell ref="X4:Y4"/>
    <mergeCell ref="I3:J3"/>
    <mergeCell ref="L3:M3"/>
    <mergeCell ref="L4:M4"/>
    <mergeCell ref="T3:U3"/>
    <mergeCell ref="V3:W3"/>
    <mergeCell ref="T4:U4"/>
    <mergeCell ref="X3:Y3"/>
    <mergeCell ref="C3:C5"/>
    <mergeCell ref="E4:F4"/>
    <mergeCell ref="E3:F3"/>
    <mergeCell ref="G4:H4"/>
    <mergeCell ref="I4:J4"/>
  </mergeCells>
  <phoneticPr fontId="0" type="noConversion"/>
  <hyperlinks>
    <hyperlink ref="S818" r:id="rId1"/>
    <hyperlink ref="S823" r:id="rId2"/>
    <hyperlink ref="S827" r:id="rId3"/>
    <hyperlink ref="S829" r:id="rId4"/>
    <hyperlink ref="S832" r:id="rId5"/>
    <hyperlink ref="S841" r:id="rId6"/>
  </hyperlinks>
  <pageMargins left="0.7" right="0.7" top="0.75" bottom="0.75" header="0.3" footer="0.3"/>
  <pageSetup scale="24" fitToHeight="0" orientation="landscape" r:id="rId7"/>
  <headerFooter>
    <oddHeader>&amp;CVISL Version 3.5
Updated October 2017
Current Toxicity Values from June 2017 RSL Update</oddHeader>
    <oddFooter>&amp;LVISL Calculator Version 3.5, June 2017 RSLs&amp;CUpdated October 2017&amp;RPage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827"/>
  <sheetViews>
    <sheetView topLeftCell="A28" zoomScaleNormal="100" workbookViewId="0">
      <selection activeCell="N40" sqref="N40"/>
    </sheetView>
  </sheetViews>
  <sheetFormatPr defaultColWidth="9.109375" defaultRowHeight="13.2"/>
  <cols>
    <col min="1" max="1" width="13.109375" style="338" bestFit="1" customWidth="1"/>
    <col min="2" max="2" width="2.33203125" style="338" bestFit="1" customWidth="1"/>
    <col min="3" max="3" width="11" style="338" bestFit="1" customWidth="1"/>
    <col min="4" max="4" width="2.33203125" style="338" bestFit="1" customWidth="1"/>
    <col min="5" max="5" width="11.88671875" style="338" bestFit="1" customWidth="1"/>
    <col min="6" max="6" width="2.33203125" style="338" bestFit="1" customWidth="1"/>
    <col min="7" max="7" width="8.44140625" style="338" bestFit="1" customWidth="1"/>
    <col min="8" max="9" width="2.33203125" style="338" bestFit="1" customWidth="1"/>
    <col min="10" max="11" width="6.33203125" style="338" bestFit="1" customWidth="1"/>
    <col min="12" max="12" width="6.5546875" style="338" bestFit="1" customWidth="1"/>
    <col min="13" max="13" width="8" style="338" bestFit="1" customWidth="1"/>
    <col min="14" max="14" width="45.6640625" style="338" customWidth="1"/>
    <col min="15" max="15" width="26.33203125" style="338" customWidth="1"/>
    <col min="16" max="16" width="14" style="338" customWidth="1"/>
    <col min="17" max="19" width="9.109375" style="338" hidden="1" customWidth="1"/>
    <col min="20" max="20" width="11" style="338" bestFit="1" customWidth="1"/>
    <col min="21" max="21" width="8.44140625" style="338" bestFit="1" customWidth="1"/>
    <col min="22" max="239" width="9.109375" style="338"/>
    <col min="240" max="240" width="13.109375" style="338" bestFit="1" customWidth="1"/>
    <col min="241" max="241" width="2.33203125" style="338" bestFit="1" customWidth="1"/>
    <col min="242" max="242" width="9" style="338" bestFit="1" customWidth="1"/>
    <col min="243" max="243" width="2.33203125" style="338" bestFit="1" customWidth="1"/>
    <col min="244" max="244" width="11.88671875" style="338" bestFit="1" customWidth="1"/>
    <col min="245" max="245" width="2.33203125" style="338" bestFit="1" customWidth="1"/>
    <col min="246" max="246" width="8.44140625" style="338" bestFit="1" customWidth="1"/>
    <col min="247" max="248" width="2.33203125" style="338" bestFit="1" customWidth="1"/>
    <col min="249" max="250" width="6.33203125" style="338" bestFit="1" customWidth="1"/>
    <col min="251" max="251" width="6.5546875" style="338" bestFit="1" customWidth="1"/>
    <col min="252" max="252" width="8" style="338" bestFit="1" customWidth="1"/>
    <col min="253" max="253" width="68.44140625" style="338" bestFit="1" customWidth="1"/>
    <col min="254" max="254" width="11.44140625" style="338" bestFit="1" customWidth="1"/>
    <col min="255" max="255" width="12.5546875" style="338" bestFit="1" customWidth="1"/>
    <col min="256" max="256" width="4.6640625" style="338" bestFit="1" customWidth="1"/>
    <col min="257" max="257" width="13.33203125" style="338" bestFit="1" customWidth="1"/>
    <col min="258" max="258" width="4.6640625" style="338" bestFit="1" customWidth="1"/>
    <col min="259" max="259" width="11.88671875" style="338" bestFit="1" customWidth="1"/>
    <col min="260" max="260" width="4.109375" style="338" bestFit="1" customWidth="1"/>
    <col min="261" max="261" width="12.44140625" style="338" bestFit="1" customWidth="1"/>
    <col min="262" max="262" width="4.109375" style="338" bestFit="1" customWidth="1"/>
    <col min="263" max="263" width="9.33203125" style="338" bestFit="1" customWidth="1"/>
    <col min="264" max="264" width="4.109375" style="338" bestFit="1" customWidth="1"/>
    <col min="265" max="265" width="10" style="338" bestFit="1" customWidth="1"/>
    <col min="266" max="266" width="13.109375" style="338" customWidth="1"/>
    <col min="267" max="267" width="4.109375" style="338" bestFit="1" customWidth="1"/>
    <col min="268" max="268" width="13.109375" style="338" customWidth="1"/>
    <col min="269" max="495" width="9.109375" style="338"/>
    <col min="496" max="496" width="13.109375" style="338" bestFit="1" customWidth="1"/>
    <col min="497" max="497" width="2.33203125" style="338" bestFit="1" customWidth="1"/>
    <col min="498" max="498" width="9" style="338" bestFit="1" customWidth="1"/>
    <col min="499" max="499" width="2.33203125" style="338" bestFit="1" customWidth="1"/>
    <col min="500" max="500" width="11.88671875" style="338" bestFit="1" customWidth="1"/>
    <col min="501" max="501" width="2.33203125" style="338" bestFit="1" customWidth="1"/>
    <col min="502" max="502" width="8.44140625" style="338" bestFit="1" customWidth="1"/>
    <col min="503" max="504" width="2.33203125" style="338" bestFit="1" customWidth="1"/>
    <col min="505" max="506" width="6.33203125" style="338" bestFit="1" customWidth="1"/>
    <col min="507" max="507" width="6.5546875" style="338" bestFit="1" customWidth="1"/>
    <col min="508" max="508" width="8" style="338" bestFit="1" customWidth="1"/>
    <col min="509" max="509" width="68.44140625" style="338" bestFit="1" customWidth="1"/>
    <col min="510" max="510" width="11.44140625" style="338" bestFit="1" customWidth="1"/>
    <col min="511" max="511" width="12.5546875" style="338" bestFit="1" customWidth="1"/>
    <col min="512" max="512" width="4.6640625" style="338" bestFit="1" customWidth="1"/>
    <col min="513" max="513" width="13.33203125" style="338" bestFit="1" customWidth="1"/>
    <col min="514" max="514" width="4.6640625" style="338" bestFit="1" customWidth="1"/>
    <col min="515" max="515" width="11.88671875" style="338" bestFit="1" customWidth="1"/>
    <col min="516" max="516" width="4.109375" style="338" bestFit="1" customWidth="1"/>
    <col min="517" max="517" width="12.44140625" style="338" bestFit="1" customWidth="1"/>
    <col min="518" max="518" width="4.109375" style="338" bestFit="1" customWidth="1"/>
    <col min="519" max="519" width="9.33203125" style="338" bestFit="1" customWidth="1"/>
    <col min="520" max="520" width="4.109375" style="338" bestFit="1" customWidth="1"/>
    <col min="521" max="521" width="10" style="338" bestFit="1" customWidth="1"/>
    <col min="522" max="522" width="13.109375" style="338" customWidth="1"/>
    <col min="523" max="523" width="4.109375" style="338" bestFit="1" customWidth="1"/>
    <col min="524" max="524" width="13.109375" style="338" customWidth="1"/>
    <col min="525" max="751" width="9.109375" style="338"/>
    <col min="752" max="752" width="13.109375" style="338" bestFit="1" customWidth="1"/>
    <col min="753" max="753" width="2.33203125" style="338" bestFit="1" customWidth="1"/>
    <col min="754" max="754" width="9" style="338" bestFit="1" customWidth="1"/>
    <col min="755" max="755" width="2.33203125" style="338" bestFit="1" customWidth="1"/>
    <col min="756" max="756" width="11.88671875" style="338" bestFit="1" customWidth="1"/>
    <col min="757" max="757" width="2.33203125" style="338" bestFit="1" customWidth="1"/>
    <col min="758" max="758" width="8.44140625" style="338" bestFit="1" customWidth="1"/>
    <col min="759" max="760" width="2.33203125" style="338" bestFit="1" customWidth="1"/>
    <col min="761" max="762" width="6.33203125" style="338" bestFit="1" customWidth="1"/>
    <col min="763" max="763" width="6.5546875" style="338" bestFit="1" customWidth="1"/>
    <col min="764" max="764" width="8" style="338" bestFit="1" customWidth="1"/>
    <col min="765" max="765" width="68.44140625" style="338" bestFit="1" customWidth="1"/>
    <col min="766" max="766" width="11.44140625" style="338" bestFit="1" customWidth="1"/>
    <col min="767" max="767" width="12.5546875" style="338" bestFit="1" customWidth="1"/>
    <col min="768" max="768" width="4.6640625" style="338" bestFit="1" customWidth="1"/>
    <col min="769" max="769" width="13.33203125" style="338" bestFit="1" customWidth="1"/>
    <col min="770" max="770" width="4.6640625" style="338" bestFit="1" customWidth="1"/>
    <col min="771" max="771" width="11.88671875" style="338" bestFit="1" customWidth="1"/>
    <col min="772" max="772" width="4.109375" style="338" bestFit="1" customWidth="1"/>
    <col min="773" max="773" width="12.44140625" style="338" bestFit="1" customWidth="1"/>
    <col min="774" max="774" width="4.109375" style="338" bestFit="1" customWidth="1"/>
    <col min="775" max="775" width="9.33203125" style="338" bestFit="1" customWidth="1"/>
    <col min="776" max="776" width="4.109375" style="338" bestFit="1" customWidth="1"/>
    <col min="777" max="777" width="10" style="338" bestFit="1" customWidth="1"/>
    <col min="778" max="778" width="13.109375" style="338" customWidth="1"/>
    <col min="779" max="779" width="4.109375" style="338" bestFit="1" customWidth="1"/>
    <col min="780" max="780" width="13.109375" style="338" customWidth="1"/>
    <col min="781" max="1007" width="9.109375" style="338"/>
    <col min="1008" max="1008" width="13.109375" style="338" bestFit="1" customWidth="1"/>
    <col min="1009" max="1009" width="2.33203125" style="338" bestFit="1" customWidth="1"/>
    <col min="1010" max="1010" width="9" style="338" bestFit="1" customWidth="1"/>
    <col min="1011" max="1011" width="2.33203125" style="338" bestFit="1" customWidth="1"/>
    <col min="1012" max="1012" width="11.88671875" style="338" bestFit="1" customWidth="1"/>
    <col min="1013" max="1013" width="2.33203125" style="338" bestFit="1" customWidth="1"/>
    <col min="1014" max="1014" width="8.44140625" style="338" bestFit="1" customWidth="1"/>
    <col min="1015" max="1016" width="2.33203125" style="338" bestFit="1" customWidth="1"/>
    <col min="1017" max="1018" width="6.33203125" style="338" bestFit="1" customWidth="1"/>
    <col min="1019" max="1019" width="6.5546875" style="338" bestFit="1" customWidth="1"/>
    <col min="1020" max="1020" width="8" style="338" bestFit="1" customWidth="1"/>
    <col min="1021" max="1021" width="68.44140625" style="338" bestFit="1" customWidth="1"/>
    <col min="1022" max="1022" width="11.44140625" style="338" bestFit="1" customWidth="1"/>
    <col min="1023" max="1023" width="12.5546875" style="338" bestFit="1" customWidth="1"/>
    <col min="1024" max="1024" width="4.6640625" style="338" bestFit="1" customWidth="1"/>
    <col min="1025" max="1025" width="13.33203125" style="338" bestFit="1" customWidth="1"/>
    <col min="1026" max="1026" width="4.6640625" style="338" bestFit="1" customWidth="1"/>
    <col min="1027" max="1027" width="11.88671875" style="338" bestFit="1" customWidth="1"/>
    <col min="1028" max="1028" width="4.109375" style="338" bestFit="1" customWidth="1"/>
    <col min="1029" max="1029" width="12.44140625" style="338" bestFit="1" customWidth="1"/>
    <col min="1030" max="1030" width="4.109375" style="338" bestFit="1" customWidth="1"/>
    <col min="1031" max="1031" width="9.33203125" style="338" bestFit="1" customWidth="1"/>
    <col min="1032" max="1032" width="4.109375" style="338" bestFit="1" customWidth="1"/>
    <col min="1033" max="1033" width="10" style="338" bestFit="1" customWidth="1"/>
    <col min="1034" max="1034" width="13.109375" style="338" customWidth="1"/>
    <col min="1035" max="1035" width="4.109375" style="338" bestFit="1" customWidth="1"/>
    <col min="1036" max="1036" width="13.109375" style="338" customWidth="1"/>
    <col min="1037" max="1263" width="9.109375" style="338"/>
    <col min="1264" max="1264" width="13.109375" style="338" bestFit="1" customWidth="1"/>
    <col min="1265" max="1265" width="2.33203125" style="338" bestFit="1" customWidth="1"/>
    <col min="1266" max="1266" width="9" style="338" bestFit="1" customWidth="1"/>
    <col min="1267" max="1267" width="2.33203125" style="338" bestFit="1" customWidth="1"/>
    <col min="1268" max="1268" width="11.88671875" style="338" bestFit="1" customWidth="1"/>
    <col min="1269" max="1269" width="2.33203125" style="338" bestFit="1" customWidth="1"/>
    <col min="1270" max="1270" width="8.44140625" style="338" bestFit="1" customWidth="1"/>
    <col min="1271" max="1272" width="2.33203125" style="338" bestFit="1" customWidth="1"/>
    <col min="1273" max="1274" width="6.33203125" style="338" bestFit="1" customWidth="1"/>
    <col min="1275" max="1275" width="6.5546875" style="338" bestFit="1" customWidth="1"/>
    <col min="1276" max="1276" width="8" style="338" bestFit="1" customWidth="1"/>
    <col min="1277" max="1277" width="68.44140625" style="338" bestFit="1" customWidth="1"/>
    <col min="1278" max="1278" width="11.44140625" style="338" bestFit="1" customWidth="1"/>
    <col min="1279" max="1279" width="12.5546875" style="338" bestFit="1" customWidth="1"/>
    <col min="1280" max="1280" width="4.6640625" style="338" bestFit="1" customWidth="1"/>
    <col min="1281" max="1281" width="13.33203125" style="338" bestFit="1" customWidth="1"/>
    <col min="1282" max="1282" width="4.6640625" style="338" bestFit="1" customWidth="1"/>
    <col min="1283" max="1283" width="11.88671875" style="338" bestFit="1" customWidth="1"/>
    <col min="1284" max="1284" width="4.109375" style="338" bestFit="1" customWidth="1"/>
    <col min="1285" max="1285" width="12.44140625" style="338" bestFit="1" customWidth="1"/>
    <col min="1286" max="1286" width="4.109375" style="338" bestFit="1" customWidth="1"/>
    <col min="1287" max="1287" width="9.33203125" style="338" bestFit="1" customWidth="1"/>
    <col min="1288" max="1288" width="4.109375" style="338" bestFit="1" customWidth="1"/>
    <col min="1289" max="1289" width="10" style="338" bestFit="1" customWidth="1"/>
    <col min="1290" max="1290" width="13.109375" style="338" customWidth="1"/>
    <col min="1291" max="1291" width="4.109375" style="338" bestFit="1" customWidth="1"/>
    <col min="1292" max="1292" width="13.109375" style="338" customWidth="1"/>
    <col min="1293" max="1519" width="9.109375" style="338"/>
    <col min="1520" max="1520" width="13.109375" style="338" bestFit="1" customWidth="1"/>
    <col min="1521" max="1521" width="2.33203125" style="338" bestFit="1" customWidth="1"/>
    <col min="1522" max="1522" width="9" style="338" bestFit="1" customWidth="1"/>
    <col min="1523" max="1523" width="2.33203125" style="338" bestFit="1" customWidth="1"/>
    <col min="1524" max="1524" width="11.88671875" style="338" bestFit="1" customWidth="1"/>
    <col min="1525" max="1525" width="2.33203125" style="338" bestFit="1" customWidth="1"/>
    <col min="1526" max="1526" width="8.44140625" style="338" bestFit="1" customWidth="1"/>
    <col min="1527" max="1528" width="2.33203125" style="338" bestFit="1" customWidth="1"/>
    <col min="1529" max="1530" width="6.33203125" style="338" bestFit="1" customWidth="1"/>
    <col min="1531" max="1531" width="6.5546875" style="338" bestFit="1" customWidth="1"/>
    <col min="1532" max="1532" width="8" style="338" bestFit="1" customWidth="1"/>
    <col min="1533" max="1533" width="68.44140625" style="338" bestFit="1" customWidth="1"/>
    <col min="1534" max="1534" width="11.44140625" style="338" bestFit="1" customWidth="1"/>
    <col min="1535" max="1535" width="12.5546875" style="338" bestFit="1" customWidth="1"/>
    <col min="1536" max="1536" width="4.6640625" style="338" bestFit="1" customWidth="1"/>
    <col min="1537" max="1537" width="13.33203125" style="338" bestFit="1" customWidth="1"/>
    <col min="1538" max="1538" width="4.6640625" style="338" bestFit="1" customWidth="1"/>
    <col min="1539" max="1539" width="11.88671875" style="338" bestFit="1" customWidth="1"/>
    <col min="1540" max="1540" width="4.109375" style="338" bestFit="1" customWidth="1"/>
    <col min="1541" max="1541" width="12.44140625" style="338" bestFit="1" customWidth="1"/>
    <col min="1542" max="1542" width="4.109375" style="338" bestFit="1" customWidth="1"/>
    <col min="1543" max="1543" width="9.33203125" style="338" bestFit="1" customWidth="1"/>
    <col min="1544" max="1544" width="4.109375" style="338" bestFit="1" customWidth="1"/>
    <col min="1545" max="1545" width="10" style="338" bestFit="1" customWidth="1"/>
    <col min="1546" max="1546" width="13.109375" style="338" customWidth="1"/>
    <col min="1547" max="1547" width="4.109375" style="338" bestFit="1" customWidth="1"/>
    <col min="1548" max="1548" width="13.109375" style="338" customWidth="1"/>
    <col min="1549" max="1775" width="9.109375" style="338"/>
    <col min="1776" max="1776" width="13.109375" style="338" bestFit="1" customWidth="1"/>
    <col min="1777" max="1777" width="2.33203125" style="338" bestFit="1" customWidth="1"/>
    <col min="1778" max="1778" width="9" style="338" bestFit="1" customWidth="1"/>
    <col min="1779" max="1779" width="2.33203125" style="338" bestFit="1" customWidth="1"/>
    <col min="1780" max="1780" width="11.88671875" style="338" bestFit="1" customWidth="1"/>
    <col min="1781" max="1781" width="2.33203125" style="338" bestFit="1" customWidth="1"/>
    <col min="1782" max="1782" width="8.44140625" style="338" bestFit="1" customWidth="1"/>
    <col min="1783" max="1784" width="2.33203125" style="338" bestFit="1" customWidth="1"/>
    <col min="1785" max="1786" width="6.33203125" style="338" bestFit="1" customWidth="1"/>
    <col min="1787" max="1787" width="6.5546875" style="338" bestFit="1" customWidth="1"/>
    <col min="1788" max="1788" width="8" style="338" bestFit="1" customWidth="1"/>
    <col min="1789" max="1789" width="68.44140625" style="338" bestFit="1" customWidth="1"/>
    <col min="1790" max="1790" width="11.44140625" style="338" bestFit="1" customWidth="1"/>
    <col min="1791" max="1791" width="12.5546875" style="338" bestFit="1" customWidth="1"/>
    <col min="1792" max="1792" width="4.6640625" style="338" bestFit="1" customWidth="1"/>
    <col min="1793" max="1793" width="13.33203125" style="338" bestFit="1" customWidth="1"/>
    <col min="1794" max="1794" width="4.6640625" style="338" bestFit="1" customWidth="1"/>
    <col min="1795" max="1795" width="11.88671875" style="338" bestFit="1" customWidth="1"/>
    <col min="1796" max="1796" width="4.109375" style="338" bestFit="1" customWidth="1"/>
    <col min="1797" max="1797" width="12.44140625" style="338" bestFit="1" customWidth="1"/>
    <col min="1798" max="1798" width="4.109375" style="338" bestFit="1" customWidth="1"/>
    <col min="1799" max="1799" width="9.33203125" style="338" bestFit="1" customWidth="1"/>
    <col min="1800" max="1800" width="4.109375" style="338" bestFit="1" customWidth="1"/>
    <col min="1801" max="1801" width="10" style="338" bestFit="1" customWidth="1"/>
    <col min="1802" max="1802" width="13.109375" style="338" customWidth="1"/>
    <col min="1803" max="1803" width="4.109375" style="338" bestFit="1" customWidth="1"/>
    <col min="1804" max="1804" width="13.109375" style="338" customWidth="1"/>
    <col min="1805" max="2031" width="9.109375" style="338"/>
    <col min="2032" max="2032" width="13.109375" style="338" bestFit="1" customWidth="1"/>
    <col min="2033" max="2033" width="2.33203125" style="338" bestFit="1" customWidth="1"/>
    <col min="2034" max="2034" width="9" style="338" bestFit="1" customWidth="1"/>
    <col min="2035" max="2035" width="2.33203125" style="338" bestFit="1" customWidth="1"/>
    <col min="2036" max="2036" width="11.88671875" style="338" bestFit="1" customWidth="1"/>
    <col min="2037" max="2037" width="2.33203125" style="338" bestFit="1" customWidth="1"/>
    <col min="2038" max="2038" width="8.44140625" style="338" bestFit="1" customWidth="1"/>
    <col min="2039" max="2040" width="2.33203125" style="338" bestFit="1" customWidth="1"/>
    <col min="2041" max="2042" width="6.33203125" style="338" bestFit="1" customWidth="1"/>
    <col min="2043" max="2043" width="6.5546875" style="338" bestFit="1" customWidth="1"/>
    <col min="2044" max="2044" width="8" style="338" bestFit="1" customWidth="1"/>
    <col min="2045" max="2045" width="68.44140625" style="338" bestFit="1" customWidth="1"/>
    <col min="2046" max="2046" width="11.44140625" style="338" bestFit="1" customWidth="1"/>
    <col min="2047" max="2047" width="12.5546875" style="338" bestFit="1" customWidth="1"/>
    <col min="2048" max="2048" width="4.6640625" style="338" bestFit="1" customWidth="1"/>
    <col min="2049" max="2049" width="13.33203125" style="338" bestFit="1" customWidth="1"/>
    <col min="2050" max="2050" width="4.6640625" style="338" bestFit="1" customWidth="1"/>
    <col min="2051" max="2051" width="11.88671875" style="338" bestFit="1" customWidth="1"/>
    <col min="2052" max="2052" width="4.109375" style="338" bestFit="1" customWidth="1"/>
    <col min="2053" max="2053" width="12.44140625" style="338" bestFit="1" customWidth="1"/>
    <col min="2054" max="2054" width="4.109375" style="338" bestFit="1" customWidth="1"/>
    <col min="2055" max="2055" width="9.33203125" style="338" bestFit="1" customWidth="1"/>
    <col min="2056" max="2056" width="4.109375" style="338" bestFit="1" customWidth="1"/>
    <col min="2057" max="2057" width="10" style="338" bestFit="1" customWidth="1"/>
    <col min="2058" max="2058" width="13.109375" style="338" customWidth="1"/>
    <col min="2059" max="2059" width="4.109375" style="338" bestFit="1" customWidth="1"/>
    <col min="2060" max="2060" width="13.109375" style="338" customWidth="1"/>
    <col min="2061" max="2287" width="9.109375" style="338"/>
    <col min="2288" max="2288" width="13.109375" style="338" bestFit="1" customWidth="1"/>
    <col min="2289" max="2289" width="2.33203125" style="338" bestFit="1" customWidth="1"/>
    <col min="2290" max="2290" width="9" style="338" bestFit="1" customWidth="1"/>
    <col min="2291" max="2291" width="2.33203125" style="338" bestFit="1" customWidth="1"/>
    <col min="2292" max="2292" width="11.88671875" style="338" bestFit="1" customWidth="1"/>
    <col min="2293" max="2293" width="2.33203125" style="338" bestFit="1" customWidth="1"/>
    <col min="2294" max="2294" width="8.44140625" style="338" bestFit="1" customWidth="1"/>
    <col min="2295" max="2296" width="2.33203125" style="338" bestFit="1" customWidth="1"/>
    <col min="2297" max="2298" width="6.33203125" style="338" bestFit="1" customWidth="1"/>
    <col min="2299" max="2299" width="6.5546875" style="338" bestFit="1" customWidth="1"/>
    <col min="2300" max="2300" width="8" style="338" bestFit="1" customWidth="1"/>
    <col min="2301" max="2301" width="68.44140625" style="338" bestFit="1" customWidth="1"/>
    <col min="2302" max="2302" width="11.44140625" style="338" bestFit="1" customWidth="1"/>
    <col min="2303" max="2303" width="12.5546875" style="338" bestFit="1" customWidth="1"/>
    <col min="2304" max="2304" width="4.6640625" style="338" bestFit="1" customWidth="1"/>
    <col min="2305" max="2305" width="13.33203125" style="338" bestFit="1" customWidth="1"/>
    <col min="2306" max="2306" width="4.6640625" style="338" bestFit="1" customWidth="1"/>
    <col min="2307" max="2307" width="11.88671875" style="338" bestFit="1" customWidth="1"/>
    <col min="2308" max="2308" width="4.109375" style="338" bestFit="1" customWidth="1"/>
    <col min="2309" max="2309" width="12.44140625" style="338" bestFit="1" customWidth="1"/>
    <col min="2310" max="2310" width="4.109375" style="338" bestFit="1" customWidth="1"/>
    <col min="2311" max="2311" width="9.33203125" style="338" bestFit="1" customWidth="1"/>
    <col min="2312" max="2312" width="4.109375" style="338" bestFit="1" customWidth="1"/>
    <col min="2313" max="2313" width="10" style="338" bestFit="1" customWidth="1"/>
    <col min="2314" max="2314" width="13.109375" style="338" customWidth="1"/>
    <col min="2315" max="2315" width="4.109375" style="338" bestFit="1" customWidth="1"/>
    <col min="2316" max="2316" width="13.109375" style="338" customWidth="1"/>
    <col min="2317" max="2543" width="9.109375" style="338"/>
    <col min="2544" max="2544" width="13.109375" style="338" bestFit="1" customWidth="1"/>
    <col min="2545" max="2545" width="2.33203125" style="338" bestFit="1" customWidth="1"/>
    <col min="2546" max="2546" width="9" style="338" bestFit="1" customWidth="1"/>
    <col min="2547" max="2547" width="2.33203125" style="338" bestFit="1" customWidth="1"/>
    <col min="2548" max="2548" width="11.88671875" style="338" bestFit="1" customWidth="1"/>
    <col min="2549" max="2549" width="2.33203125" style="338" bestFit="1" customWidth="1"/>
    <col min="2550" max="2550" width="8.44140625" style="338" bestFit="1" customWidth="1"/>
    <col min="2551" max="2552" width="2.33203125" style="338" bestFit="1" customWidth="1"/>
    <col min="2553" max="2554" width="6.33203125" style="338" bestFit="1" customWidth="1"/>
    <col min="2555" max="2555" width="6.5546875" style="338" bestFit="1" customWidth="1"/>
    <col min="2556" max="2556" width="8" style="338" bestFit="1" customWidth="1"/>
    <col min="2557" max="2557" width="68.44140625" style="338" bestFit="1" customWidth="1"/>
    <col min="2558" max="2558" width="11.44140625" style="338" bestFit="1" customWidth="1"/>
    <col min="2559" max="2559" width="12.5546875" style="338" bestFit="1" customWidth="1"/>
    <col min="2560" max="2560" width="4.6640625" style="338" bestFit="1" customWidth="1"/>
    <col min="2561" max="2561" width="13.33203125" style="338" bestFit="1" customWidth="1"/>
    <col min="2562" max="2562" width="4.6640625" style="338" bestFit="1" customWidth="1"/>
    <col min="2563" max="2563" width="11.88671875" style="338" bestFit="1" customWidth="1"/>
    <col min="2564" max="2564" width="4.109375" style="338" bestFit="1" customWidth="1"/>
    <col min="2565" max="2565" width="12.44140625" style="338" bestFit="1" customWidth="1"/>
    <col min="2566" max="2566" width="4.109375" style="338" bestFit="1" customWidth="1"/>
    <col min="2567" max="2567" width="9.33203125" style="338" bestFit="1" customWidth="1"/>
    <col min="2568" max="2568" width="4.109375" style="338" bestFit="1" customWidth="1"/>
    <col min="2569" max="2569" width="10" style="338" bestFit="1" customWidth="1"/>
    <col min="2570" max="2570" width="13.109375" style="338" customWidth="1"/>
    <col min="2571" max="2571" width="4.109375" style="338" bestFit="1" customWidth="1"/>
    <col min="2572" max="2572" width="13.109375" style="338" customWidth="1"/>
    <col min="2573" max="2799" width="9.109375" style="338"/>
    <col min="2800" max="2800" width="13.109375" style="338" bestFit="1" customWidth="1"/>
    <col min="2801" max="2801" width="2.33203125" style="338" bestFit="1" customWidth="1"/>
    <col min="2802" max="2802" width="9" style="338" bestFit="1" customWidth="1"/>
    <col min="2803" max="2803" width="2.33203125" style="338" bestFit="1" customWidth="1"/>
    <col min="2804" max="2804" width="11.88671875" style="338" bestFit="1" customWidth="1"/>
    <col min="2805" max="2805" width="2.33203125" style="338" bestFit="1" customWidth="1"/>
    <col min="2806" max="2806" width="8.44140625" style="338" bestFit="1" customWidth="1"/>
    <col min="2807" max="2808" width="2.33203125" style="338" bestFit="1" customWidth="1"/>
    <col min="2809" max="2810" width="6.33203125" style="338" bestFit="1" customWidth="1"/>
    <col min="2811" max="2811" width="6.5546875" style="338" bestFit="1" customWidth="1"/>
    <col min="2812" max="2812" width="8" style="338" bestFit="1" customWidth="1"/>
    <col min="2813" max="2813" width="68.44140625" style="338" bestFit="1" customWidth="1"/>
    <col min="2814" max="2814" width="11.44140625" style="338" bestFit="1" customWidth="1"/>
    <col min="2815" max="2815" width="12.5546875" style="338" bestFit="1" customWidth="1"/>
    <col min="2816" max="2816" width="4.6640625" style="338" bestFit="1" customWidth="1"/>
    <col min="2817" max="2817" width="13.33203125" style="338" bestFit="1" customWidth="1"/>
    <col min="2818" max="2818" width="4.6640625" style="338" bestFit="1" customWidth="1"/>
    <col min="2819" max="2819" width="11.88671875" style="338" bestFit="1" customWidth="1"/>
    <col min="2820" max="2820" width="4.109375" style="338" bestFit="1" customWidth="1"/>
    <col min="2821" max="2821" width="12.44140625" style="338" bestFit="1" customWidth="1"/>
    <col min="2822" max="2822" width="4.109375" style="338" bestFit="1" customWidth="1"/>
    <col min="2823" max="2823" width="9.33203125" style="338" bestFit="1" customWidth="1"/>
    <col min="2824" max="2824" width="4.109375" style="338" bestFit="1" customWidth="1"/>
    <col min="2825" max="2825" width="10" style="338" bestFit="1" customWidth="1"/>
    <col min="2826" max="2826" width="13.109375" style="338" customWidth="1"/>
    <col min="2827" max="2827" width="4.109375" style="338" bestFit="1" customWidth="1"/>
    <col min="2828" max="2828" width="13.109375" style="338" customWidth="1"/>
    <col min="2829" max="3055" width="9.109375" style="338"/>
    <col min="3056" max="3056" width="13.109375" style="338" bestFit="1" customWidth="1"/>
    <col min="3057" max="3057" width="2.33203125" style="338" bestFit="1" customWidth="1"/>
    <col min="3058" max="3058" width="9" style="338" bestFit="1" customWidth="1"/>
    <col min="3059" max="3059" width="2.33203125" style="338" bestFit="1" customWidth="1"/>
    <col min="3060" max="3060" width="11.88671875" style="338" bestFit="1" customWidth="1"/>
    <col min="3061" max="3061" width="2.33203125" style="338" bestFit="1" customWidth="1"/>
    <col min="3062" max="3062" width="8.44140625" style="338" bestFit="1" customWidth="1"/>
    <col min="3063" max="3064" width="2.33203125" style="338" bestFit="1" customWidth="1"/>
    <col min="3065" max="3066" width="6.33203125" style="338" bestFit="1" customWidth="1"/>
    <col min="3067" max="3067" width="6.5546875" style="338" bestFit="1" customWidth="1"/>
    <col min="3068" max="3068" width="8" style="338" bestFit="1" customWidth="1"/>
    <col min="3069" max="3069" width="68.44140625" style="338" bestFit="1" customWidth="1"/>
    <col min="3070" max="3070" width="11.44140625" style="338" bestFit="1" customWidth="1"/>
    <col min="3071" max="3071" width="12.5546875" style="338" bestFit="1" customWidth="1"/>
    <col min="3072" max="3072" width="4.6640625" style="338" bestFit="1" customWidth="1"/>
    <col min="3073" max="3073" width="13.33203125" style="338" bestFit="1" customWidth="1"/>
    <col min="3074" max="3074" width="4.6640625" style="338" bestFit="1" customWidth="1"/>
    <col min="3075" max="3075" width="11.88671875" style="338" bestFit="1" customWidth="1"/>
    <col min="3076" max="3076" width="4.109375" style="338" bestFit="1" customWidth="1"/>
    <col min="3077" max="3077" width="12.44140625" style="338" bestFit="1" customWidth="1"/>
    <col min="3078" max="3078" width="4.109375" style="338" bestFit="1" customWidth="1"/>
    <col min="3079" max="3079" width="9.33203125" style="338" bestFit="1" customWidth="1"/>
    <col min="3080" max="3080" width="4.109375" style="338" bestFit="1" customWidth="1"/>
    <col min="3081" max="3081" width="10" style="338" bestFit="1" customWidth="1"/>
    <col min="3082" max="3082" width="13.109375" style="338" customWidth="1"/>
    <col min="3083" max="3083" width="4.109375" style="338" bestFit="1" customWidth="1"/>
    <col min="3084" max="3084" width="13.109375" style="338" customWidth="1"/>
    <col min="3085" max="3311" width="9.109375" style="338"/>
    <col min="3312" max="3312" width="13.109375" style="338" bestFit="1" customWidth="1"/>
    <col min="3313" max="3313" width="2.33203125" style="338" bestFit="1" customWidth="1"/>
    <col min="3314" max="3314" width="9" style="338" bestFit="1" customWidth="1"/>
    <col min="3315" max="3315" width="2.33203125" style="338" bestFit="1" customWidth="1"/>
    <col min="3316" max="3316" width="11.88671875" style="338" bestFit="1" customWidth="1"/>
    <col min="3317" max="3317" width="2.33203125" style="338" bestFit="1" customWidth="1"/>
    <col min="3318" max="3318" width="8.44140625" style="338" bestFit="1" customWidth="1"/>
    <col min="3319" max="3320" width="2.33203125" style="338" bestFit="1" customWidth="1"/>
    <col min="3321" max="3322" width="6.33203125" style="338" bestFit="1" customWidth="1"/>
    <col min="3323" max="3323" width="6.5546875" style="338" bestFit="1" customWidth="1"/>
    <col min="3324" max="3324" width="8" style="338" bestFit="1" customWidth="1"/>
    <col min="3325" max="3325" width="68.44140625" style="338" bestFit="1" customWidth="1"/>
    <col min="3326" max="3326" width="11.44140625" style="338" bestFit="1" customWidth="1"/>
    <col min="3327" max="3327" width="12.5546875" style="338" bestFit="1" customWidth="1"/>
    <col min="3328" max="3328" width="4.6640625" style="338" bestFit="1" customWidth="1"/>
    <col min="3329" max="3329" width="13.33203125" style="338" bestFit="1" customWidth="1"/>
    <col min="3330" max="3330" width="4.6640625" style="338" bestFit="1" customWidth="1"/>
    <col min="3331" max="3331" width="11.88671875" style="338" bestFit="1" customWidth="1"/>
    <col min="3332" max="3332" width="4.109375" style="338" bestFit="1" customWidth="1"/>
    <col min="3333" max="3333" width="12.44140625" style="338" bestFit="1" customWidth="1"/>
    <col min="3334" max="3334" width="4.109375" style="338" bestFit="1" customWidth="1"/>
    <col min="3335" max="3335" width="9.33203125" style="338" bestFit="1" customWidth="1"/>
    <col min="3336" max="3336" width="4.109375" style="338" bestFit="1" customWidth="1"/>
    <col min="3337" max="3337" width="10" style="338" bestFit="1" customWidth="1"/>
    <col min="3338" max="3338" width="13.109375" style="338" customWidth="1"/>
    <col min="3339" max="3339" width="4.109375" style="338" bestFit="1" customWidth="1"/>
    <col min="3340" max="3340" width="13.109375" style="338" customWidth="1"/>
    <col min="3341" max="3567" width="9.109375" style="338"/>
    <col min="3568" max="3568" width="13.109375" style="338" bestFit="1" customWidth="1"/>
    <col min="3569" max="3569" width="2.33203125" style="338" bestFit="1" customWidth="1"/>
    <col min="3570" max="3570" width="9" style="338" bestFit="1" customWidth="1"/>
    <col min="3571" max="3571" width="2.33203125" style="338" bestFit="1" customWidth="1"/>
    <col min="3572" max="3572" width="11.88671875" style="338" bestFit="1" customWidth="1"/>
    <col min="3573" max="3573" width="2.33203125" style="338" bestFit="1" customWidth="1"/>
    <col min="3574" max="3574" width="8.44140625" style="338" bestFit="1" customWidth="1"/>
    <col min="3575" max="3576" width="2.33203125" style="338" bestFit="1" customWidth="1"/>
    <col min="3577" max="3578" width="6.33203125" style="338" bestFit="1" customWidth="1"/>
    <col min="3579" max="3579" width="6.5546875" style="338" bestFit="1" customWidth="1"/>
    <col min="3580" max="3580" width="8" style="338" bestFit="1" customWidth="1"/>
    <col min="3581" max="3581" width="68.44140625" style="338" bestFit="1" customWidth="1"/>
    <col min="3582" max="3582" width="11.44140625" style="338" bestFit="1" customWidth="1"/>
    <col min="3583" max="3583" width="12.5546875" style="338" bestFit="1" customWidth="1"/>
    <col min="3584" max="3584" width="4.6640625" style="338" bestFit="1" customWidth="1"/>
    <col min="3585" max="3585" width="13.33203125" style="338" bestFit="1" customWidth="1"/>
    <col min="3586" max="3586" width="4.6640625" style="338" bestFit="1" customWidth="1"/>
    <col min="3587" max="3587" width="11.88671875" style="338" bestFit="1" customWidth="1"/>
    <col min="3588" max="3588" width="4.109375" style="338" bestFit="1" customWidth="1"/>
    <col min="3589" max="3589" width="12.44140625" style="338" bestFit="1" customWidth="1"/>
    <col min="3590" max="3590" width="4.109375" style="338" bestFit="1" customWidth="1"/>
    <col min="3591" max="3591" width="9.33203125" style="338" bestFit="1" customWidth="1"/>
    <col min="3592" max="3592" width="4.109375" style="338" bestFit="1" customWidth="1"/>
    <col min="3593" max="3593" width="10" style="338" bestFit="1" customWidth="1"/>
    <col min="3594" max="3594" width="13.109375" style="338" customWidth="1"/>
    <col min="3595" max="3595" width="4.109375" style="338" bestFit="1" customWidth="1"/>
    <col min="3596" max="3596" width="13.109375" style="338" customWidth="1"/>
    <col min="3597" max="3823" width="9.109375" style="338"/>
    <col min="3824" max="3824" width="13.109375" style="338" bestFit="1" customWidth="1"/>
    <col min="3825" max="3825" width="2.33203125" style="338" bestFit="1" customWidth="1"/>
    <col min="3826" max="3826" width="9" style="338" bestFit="1" customWidth="1"/>
    <col min="3827" max="3827" width="2.33203125" style="338" bestFit="1" customWidth="1"/>
    <col min="3828" max="3828" width="11.88671875" style="338" bestFit="1" customWidth="1"/>
    <col min="3829" max="3829" width="2.33203125" style="338" bestFit="1" customWidth="1"/>
    <col min="3830" max="3830" width="8.44140625" style="338" bestFit="1" customWidth="1"/>
    <col min="3831" max="3832" width="2.33203125" style="338" bestFit="1" customWidth="1"/>
    <col min="3833" max="3834" width="6.33203125" style="338" bestFit="1" customWidth="1"/>
    <col min="3835" max="3835" width="6.5546875" style="338" bestFit="1" customWidth="1"/>
    <col min="3836" max="3836" width="8" style="338" bestFit="1" customWidth="1"/>
    <col min="3837" max="3837" width="68.44140625" style="338" bestFit="1" customWidth="1"/>
    <col min="3838" max="3838" width="11.44140625" style="338" bestFit="1" customWidth="1"/>
    <col min="3839" max="3839" width="12.5546875" style="338" bestFit="1" customWidth="1"/>
    <col min="3840" max="3840" width="4.6640625" style="338" bestFit="1" customWidth="1"/>
    <col min="3841" max="3841" width="13.33203125" style="338" bestFit="1" customWidth="1"/>
    <col min="3842" max="3842" width="4.6640625" style="338" bestFit="1" customWidth="1"/>
    <col min="3843" max="3843" width="11.88671875" style="338" bestFit="1" customWidth="1"/>
    <col min="3844" max="3844" width="4.109375" style="338" bestFit="1" customWidth="1"/>
    <col min="3845" max="3845" width="12.44140625" style="338" bestFit="1" customWidth="1"/>
    <col min="3846" max="3846" width="4.109375" style="338" bestFit="1" customWidth="1"/>
    <col min="3847" max="3847" width="9.33203125" style="338" bestFit="1" customWidth="1"/>
    <col min="3848" max="3848" width="4.109375" style="338" bestFit="1" customWidth="1"/>
    <col min="3849" max="3849" width="10" style="338" bestFit="1" customWidth="1"/>
    <col min="3850" max="3850" width="13.109375" style="338" customWidth="1"/>
    <col min="3851" max="3851" width="4.109375" style="338" bestFit="1" customWidth="1"/>
    <col min="3852" max="3852" width="13.109375" style="338" customWidth="1"/>
    <col min="3853" max="4079" width="9.109375" style="338"/>
    <col min="4080" max="4080" width="13.109375" style="338" bestFit="1" customWidth="1"/>
    <col min="4081" max="4081" width="2.33203125" style="338" bestFit="1" customWidth="1"/>
    <col min="4082" max="4082" width="9" style="338" bestFit="1" customWidth="1"/>
    <col min="4083" max="4083" width="2.33203125" style="338" bestFit="1" customWidth="1"/>
    <col min="4084" max="4084" width="11.88671875" style="338" bestFit="1" customWidth="1"/>
    <col min="4085" max="4085" width="2.33203125" style="338" bestFit="1" customWidth="1"/>
    <col min="4086" max="4086" width="8.44140625" style="338" bestFit="1" customWidth="1"/>
    <col min="4087" max="4088" width="2.33203125" style="338" bestFit="1" customWidth="1"/>
    <col min="4089" max="4090" width="6.33203125" style="338" bestFit="1" customWidth="1"/>
    <col min="4091" max="4091" width="6.5546875" style="338" bestFit="1" customWidth="1"/>
    <col min="4092" max="4092" width="8" style="338" bestFit="1" customWidth="1"/>
    <col min="4093" max="4093" width="68.44140625" style="338" bestFit="1" customWidth="1"/>
    <col min="4094" max="4094" width="11.44140625" style="338" bestFit="1" customWidth="1"/>
    <col min="4095" max="4095" width="12.5546875" style="338" bestFit="1" customWidth="1"/>
    <col min="4096" max="4096" width="4.6640625" style="338" bestFit="1" customWidth="1"/>
    <col min="4097" max="4097" width="13.33203125" style="338" bestFit="1" customWidth="1"/>
    <col min="4098" max="4098" width="4.6640625" style="338" bestFit="1" customWidth="1"/>
    <col min="4099" max="4099" width="11.88671875" style="338" bestFit="1" customWidth="1"/>
    <col min="4100" max="4100" width="4.109375" style="338" bestFit="1" customWidth="1"/>
    <col min="4101" max="4101" width="12.44140625" style="338" bestFit="1" customWidth="1"/>
    <col min="4102" max="4102" width="4.109375" style="338" bestFit="1" customWidth="1"/>
    <col min="4103" max="4103" width="9.33203125" style="338" bestFit="1" customWidth="1"/>
    <col min="4104" max="4104" width="4.109375" style="338" bestFit="1" customWidth="1"/>
    <col min="4105" max="4105" width="10" style="338" bestFit="1" customWidth="1"/>
    <col min="4106" max="4106" width="13.109375" style="338" customWidth="1"/>
    <col min="4107" max="4107" width="4.109375" style="338" bestFit="1" customWidth="1"/>
    <col min="4108" max="4108" width="13.109375" style="338" customWidth="1"/>
    <col min="4109" max="4335" width="9.109375" style="338"/>
    <col min="4336" max="4336" width="13.109375" style="338" bestFit="1" customWidth="1"/>
    <col min="4337" max="4337" width="2.33203125" style="338" bestFit="1" customWidth="1"/>
    <col min="4338" max="4338" width="9" style="338" bestFit="1" customWidth="1"/>
    <col min="4339" max="4339" width="2.33203125" style="338" bestFit="1" customWidth="1"/>
    <col min="4340" max="4340" width="11.88671875" style="338" bestFit="1" customWidth="1"/>
    <col min="4341" max="4341" width="2.33203125" style="338" bestFit="1" customWidth="1"/>
    <col min="4342" max="4342" width="8.44140625" style="338" bestFit="1" customWidth="1"/>
    <col min="4343" max="4344" width="2.33203125" style="338" bestFit="1" customWidth="1"/>
    <col min="4345" max="4346" width="6.33203125" style="338" bestFit="1" customWidth="1"/>
    <col min="4347" max="4347" width="6.5546875" style="338" bestFit="1" customWidth="1"/>
    <col min="4348" max="4348" width="8" style="338" bestFit="1" customWidth="1"/>
    <col min="4349" max="4349" width="68.44140625" style="338" bestFit="1" customWidth="1"/>
    <col min="4350" max="4350" width="11.44140625" style="338" bestFit="1" customWidth="1"/>
    <col min="4351" max="4351" width="12.5546875" style="338" bestFit="1" customWidth="1"/>
    <col min="4352" max="4352" width="4.6640625" style="338" bestFit="1" customWidth="1"/>
    <col min="4353" max="4353" width="13.33203125" style="338" bestFit="1" customWidth="1"/>
    <col min="4354" max="4354" width="4.6640625" style="338" bestFit="1" customWidth="1"/>
    <col min="4355" max="4355" width="11.88671875" style="338" bestFit="1" customWidth="1"/>
    <col min="4356" max="4356" width="4.109375" style="338" bestFit="1" customWidth="1"/>
    <col min="4357" max="4357" width="12.44140625" style="338" bestFit="1" customWidth="1"/>
    <col min="4358" max="4358" width="4.109375" style="338" bestFit="1" customWidth="1"/>
    <col min="4359" max="4359" width="9.33203125" style="338" bestFit="1" customWidth="1"/>
    <col min="4360" max="4360" width="4.109375" style="338" bestFit="1" customWidth="1"/>
    <col min="4361" max="4361" width="10" style="338" bestFit="1" customWidth="1"/>
    <col min="4362" max="4362" width="13.109375" style="338" customWidth="1"/>
    <col min="4363" max="4363" width="4.109375" style="338" bestFit="1" customWidth="1"/>
    <col min="4364" max="4364" width="13.109375" style="338" customWidth="1"/>
    <col min="4365" max="4591" width="9.109375" style="338"/>
    <col min="4592" max="4592" width="13.109375" style="338" bestFit="1" customWidth="1"/>
    <col min="4593" max="4593" width="2.33203125" style="338" bestFit="1" customWidth="1"/>
    <col min="4594" max="4594" width="9" style="338" bestFit="1" customWidth="1"/>
    <col min="4595" max="4595" width="2.33203125" style="338" bestFit="1" customWidth="1"/>
    <col min="4596" max="4596" width="11.88671875" style="338" bestFit="1" customWidth="1"/>
    <col min="4597" max="4597" width="2.33203125" style="338" bestFit="1" customWidth="1"/>
    <col min="4598" max="4598" width="8.44140625" style="338" bestFit="1" customWidth="1"/>
    <col min="4599" max="4600" width="2.33203125" style="338" bestFit="1" customWidth="1"/>
    <col min="4601" max="4602" width="6.33203125" style="338" bestFit="1" customWidth="1"/>
    <col min="4603" max="4603" width="6.5546875" style="338" bestFit="1" customWidth="1"/>
    <col min="4604" max="4604" width="8" style="338" bestFit="1" customWidth="1"/>
    <col min="4605" max="4605" width="68.44140625" style="338" bestFit="1" customWidth="1"/>
    <col min="4606" max="4606" width="11.44140625" style="338" bestFit="1" customWidth="1"/>
    <col min="4607" max="4607" width="12.5546875" style="338" bestFit="1" customWidth="1"/>
    <col min="4608" max="4608" width="4.6640625" style="338" bestFit="1" customWidth="1"/>
    <col min="4609" max="4609" width="13.33203125" style="338" bestFit="1" customWidth="1"/>
    <col min="4610" max="4610" width="4.6640625" style="338" bestFit="1" customWidth="1"/>
    <col min="4611" max="4611" width="11.88671875" style="338" bestFit="1" customWidth="1"/>
    <col min="4612" max="4612" width="4.109375" style="338" bestFit="1" customWidth="1"/>
    <col min="4613" max="4613" width="12.44140625" style="338" bestFit="1" customWidth="1"/>
    <col min="4614" max="4614" width="4.109375" style="338" bestFit="1" customWidth="1"/>
    <col min="4615" max="4615" width="9.33203125" style="338" bestFit="1" customWidth="1"/>
    <col min="4616" max="4616" width="4.109375" style="338" bestFit="1" customWidth="1"/>
    <col min="4617" max="4617" width="10" style="338" bestFit="1" customWidth="1"/>
    <col min="4618" max="4618" width="13.109375" style="338" customWidth="1"/>
    <col min="4619" max="4619" width="4.109375" style="338" bestFit="1" customWidth="1"/>
    <col min="4620" max="4620" width="13.109375" style="338" customWidth="1"/>
    <col min="4621" max="4847" width="9.109375" style="338"/>
    <col min="4848" max="4848" width="13.109375" style="338" bestFit="1" customWidth="1"/>
    <col min="4849" max="4849" width="2.33203125" style="338" bestFit="1" customWidth="1"/>
    <col min="4850" max="4850" width="9" style="338" bestFit="1" customWidth="1"/>
    <col min="4851" max="4851" width="2.33203125" style="338" bestFit="1" customWidth="1"/>
    <col min="4852" max="4852" width="11.88671875" style="338" bestFit="1" customWidth="1"/>
    <col min="4853" max="4853" width="2.33203125" style="338" bestFit="1" customWidth="1"/>
    <col min="4854" max="4854" width="8.44140625" style="338" bestFit="1" customWidth="1"/>
    <col min="4855" max="4856" width="2.33203125" style="338" bestFit="1" customWidth="1"/>
    <col min="4857" max="4858" width="6.33203125" style="338" bestFit="1" customWidth="1"/>
    <col min="4859" max="4859" width="6.5546875" style="338" bestFit="1" customWidth="1"/>
    <col min="4860" max="4860" width="8" style="338" bestFit="1" customWidth="1"/>
    <col min="4861" max="4861" width="68.44140625" style="338" bestFit="1" customWidth="1"/>
    <col min="4862" max="4862" width="11.44140625" style="338" bestFit="1" customWidth="1"/>
    <col min="4863" max="4863" width="12.5546875" style="338" bestFit="1" customWidth="1"/>
    <col min="4864" max="4864" width="4.6640625" style="338" bestFit="1" customWidth="1"/>
    <col min="4865" max="4865" width="13.33203125" style="338" bestFit="1" customWidth="1"/>
    <col min="4866" max="4866" width="4.6640625" style="338" bestFit="1" customWidth="1"/>
    <col min="4867" max="4867" width="11.88671875" style="338" bestFit="1" customWidth="1"/>
    <col min="4868" max="4868" width="4.109375" style="338" bestFit="1" customWidth="1"/>
    <col min="4869" max="4869" width="12.44140625" style="338" bestFit="1" customWidth="1"/>
    <col min="4870" max="4870" width="4.109375" style="338" bestFit="1" customWidth="1"/>
    <col min="4871" max="4871" width="9.33203125" style="338" bestFit="1" customWidth="1"/>
    <col min="4872" max="4872" width="4.109375" style="338" bestFit="1" customWidth="1"/>
    <col min="4873" max="4873" width="10" style="338" bestFit="1" customWidth="1"/>
    <col min="4874" max="4874" width="13.109375" style="338" customWidth="1"/>
    <col min="4875" max="4875" width="4.109375" style="338" bestFit="1" customWidth="1"/>
    <col min="4876" max="4876" width="13.109375" style="338" customWidth="1"/>
    <col min="4877" max="5103" width="9.109375" style="338"/>
    <col min="5104" max="5104" width="13.109375" style="338" bestFit="1" customWidth="1"/>
    <col min="5105" max="5105" width="2.33203125" style="338" bestFit="1" customWidth="1"/>
    <col min="5106" max="5106" width="9" style="338" bestFit="1" customWidth="1"/>
    <col min="5107" max="5107" width="2.33203125" style="338" bestFit="1" customWidth="1"/>
    <col min="5108" max="5108" width="11.88671875" style="338" bestFit="1" customWidth="1"/>
    <col min="5109" max="5109" width="2.33203125" style="338" bestFit="1" customWidth="1"/>
    <col min="5110" max="5110" width="8.44140625" style="338" bestFit="1" customWidth="1"/>
    <col min="5111" max="5112" width="2.33203125" style="338" bestFit="1" customWidth="1"/>
    <col min="5113" max="5114" width="6.33203125" style="338" bestFit="1" customWidth="1"/>
    <col min="5115" max="5115" width="6.5546875" style="338" bestFit="1" customWidth="1"/>
    <col min="5116" max="5116" width="8" style="338" bestFit="1" customWidth="1"/>
    <col min="5117" max="5117" width="68.44140625" style="338" bestFit="1" customWidth="1"/>
    <col min="5118" max="5118" width="11.44140625" style="338" bestFit="1" customWidth="1"/>
    <col min="5119" max="5119" width="12.5546875" style="338" bestFit="1" customWidth="1"/>
    <col min="5120" max="5120" width="4.6640625" style="338" bestFit="1" customWidth="1"/>
    <col min="5121" max="5121" width="13.33203125" style="338" bestFit="1" customWidth="1"/>
    <col min="5122" max="5122" width="4.6640625" style="338" bestFit="1" customWidth="1"/>
    <col min="5123" max="5123" width="11.88671875" style="338" bestFit="1" customWidth="1"/>
    <col min="5124" max="5124" width="4.109375" style="338" bestFit="1" customWidth="1"/>
    <col min="5125" max="5125" width="12.44140625" style="338" bestFit="1" customWidth="1"/>
    <col min="5126" max="5126" width="4.109375" style="338" bestFit="1" customWidth="1"/>
    <col min="5127" max="5127" width="9.33203125" style="338" bestFit="1" customWidth="1"/>
    <col min="5128" max="5128" width="4.109375" style="338" bestFit="1" customWidth="1"/>
    <col min="5129" max="5129" width="10" style="338" bestFit="1" customWidth="1"/>
    <col min="5130" max="5130" width="13.109375" style="338" customWidth="1"/>
    <col min="5131" max="5131" width="4.109375" style="338" bestFit="1" customWidth="1"/>
    <col min="5132" max="5132" width="13.109375" style="338" customWidth="1"/>
    <col min="5133" max="5359" width="9.109375" style="338"/>
    <col min="5360" max="5360" width="13.109375" style="338" bestFit="1" customWidth="1"/>
    <col min="5361" max="5361" width="2.33203125" style="338" bestFit="1" customWidth="1"/>
    <col min="5362" max="5362" width="9" style="338" bestFit="1" customWidth="1"/>
    <col min="5363" max="5363" width="2.33203125" style="338" bestFit="1" customWidth="1"/>
    <col min="5364" max="5364" width="11.88671875" style="338" bestFit="1" customWidth="1"/>
    <col min="5365" max="5365" width="2.33203125" style="338" bestFit="1" customWidth="1"/>
    <col min="5366" max="5366" width="8.44140625" style="338" bestFit="1" customWidth="1"/>
    <col min="5367" max="5368" width="2.33203125" style="338" bestFit="1" customWidth="1"/>
    <col min="5369" max="5370" width="6.33203125" style="338" bestFit="1" customWidth="1"/>
    <col min="5371" max="5371" width="6.5546875" style="338" bestFit="1" customWidth="1"/>
    <col min="5372" max="5372" width="8" style="338" bestFit="1" customWidth="1"/>
    <col min="5373" max="5373" width="68.44140625" style="338" bestFit="1" customWidth="1"/>
    <col min="5374" max="5374" width="11.44140625" style="338" bestFit="1" customWidth="1"/>
    <col min="5375" max="5375" width="12.5546875" style="338" bestFit="1" customWidth="1"/>
    <col min="5376" max="5376" width="4.6640625" style="338" bestFit="1" customWidth="1"/>
    <col min="5377" max="5377" width="13.33203125" style="338" bestFit="1" customWidth="1"/>
    <col min="5378" max="5378" width="4.6640625" style="338" bestFit="1" customWidth="1"/>
    <col min="5379" max="5379" width="11.88671875" style="338" bestFit="1" customWidth="1"/>
    <col min="5380" max="5380" width="4.109375" style="338" bestFit="1" customWidth="1"/>
    <col min="5381" max="5381" width="12.44140625" style="338" bestFit="1" customWidth="1"/>
    <col min="5382" max="5382" width="4.109375" style="338" bestFit="1" customWidth="1"/>
    <col min="5383" max="5383" width="9.33203125" style="338" bestFit="1" customWidth="1"/>
    <col min="5384" max="5384" width="4.109375" style="338" bestFit="1" customWidth="1"/>
    <col min="5385" max="5385" width="10" style="338" bestFit="1" customWidth="1"/>
    <col min="5386" max="5386" width="13.109375" style="338" customWidth="1"/>
    <col min="5387" max="5387" width="4.109375" style="338" bestFit="1" customWidth="1"/>
    <col min="5388" max="5388" width="13.109375" style="338" customWidth="1"/>
    <col min="5389" max="5615" width="9.109375" style="338"/>
    <col min="5616" max="5616" width="13.109375" style="338" bestFit="1" customWidth="1"/>
    <col min="5617" max="5617" width="2.33203125" style="338" bestFit="1" customWidth="1"/>
    <col min="5618" max="5618" width="9" style="338" bestFit="1" customWidth="1"/>
    <col min="5619" max="5619" width="2.33203125" style="338" bestFit="1" customWidth="1"/>
    <col min="5620" max="5620" width="11.88671875" style="338" bestFit="1" customWidth="1"/>
    <col min="5621" max="5621" width="2.33203125" style="338" bestFit="1" customWidth="1"/>
    <col min="5622" max="5622" width="8.44140625" style="338" bestFit="1" customWidth="1"/>
    <col min="5623" max="5624" width="2.33203125" style="338" bestFit="1" customWidth="1"/>
    <col min="5625" max="5626" width="6.33203125" style="338" bestFit="1" customWidth="1"/>
    <col min="5627" max="5627" width="6.5546875" style="338" bestFit="1" customWidth="1"/>
    <col min="5628" max="5628" width="8" style="338" bestFit="1" customWidth="1"/>
    <col min="5629" max="5629" width="68.44140625" style="338" bestFit="1" customWidth="1"/>
    <col min="5630" max="5630" width="11.44140625" style="338" bestFit="1" customWidth="1"/>
    <col min="5631" max="5631" width="12.5546875" style="338" bestFit="1" customWidth="1"/>
    <col min="5632" max="5632" width="4.6640625" style="338" bestFit="1" customWidth="1"/>
    <col min="5633" max="5633" width="13.33203125" style="338" bestFit="1" customWidth="1"/>
    <col min="5634" max="5634" width="4.6640625" style="338" bestFit="1" customWidth="1"/>
    <col min="5635" max="5635" width="11.88671875" style="338" bestFit="1" customWidth="1"/>
    <col min="5636" max="5636" width="4.109375" style="338" bestFit="1" customWidth="1"/>
    <col min="5637" max="5637" width="12.44140625" style="338" bestFit="1" customWidth="1"/>
    <col min="5638" max="5638" width="4.109375" style="338" bestFit="1" customWidth="1"/>
    <col min="5639" max="5639" width="9.33203125" style="338" bestFit="1" customWidth="1"/>
    <col min="5640" max="5640" width="4.109375" style="338" bestFit="1" customWidth="1"/>
    <col min="5641" max="5641" width="10" style="338" bestFit="1" customWidth="1"/>
    <col min="5642" max="5642" width="13.109375" style="338" customWidth="1"/>
    <col min="5643" max="5643" width="4.109375" style="338" bestFit="1" customWidth="1"/>
    <col min="5644" max="5644" width="13.109375" style="338" customWidth="1"/>
    <col min="5645" max="5871" width="9.109375" style="338"/>
    <col min="5872" max="5872" width="13.109375" style="338" bestFit="1" customWidth="1"/>
    <col min="5873" max="5873" width="2.33203125" style="338" bestFit="1" customWidth="1"/>
    <col min="5874" max="5874" width="9" style="338" bestFit="1" customWidth="1"/>
    <col min="5875" max="5875" width="2.33203125" style="338" bestFit="1" customWidth="1"/>
    <col min="5876" max="5876" width="11.88671875" style="338" bestFit="1" customWidth="1"/>
    <col min="5877" max="5877" width="2.33203125" style="338" bestFit="1" customWidth="1"/>
    <col min="5878" max="5878" width="8.44140625" style="338" bestFit="1" customWidth="1"/>
    <col min="5879" max="5880" width="2.33203125" style="338" bestFit="1" customWidth="1"/>
    <col min="5881" max="5882" width="6.33203125" style="338" bestFit="1" customWidth="1"/>
    <col min="5883" max="5883" width="6.5546875" style="338" bestFit="1" customWidth="1"/>
    <col min="5884" max="5884" width="8" style="338" bestFit="1" customWidth="1"/>
    <col min="5885" max="5885" width="68.44140625" style="338" bestFit="1" customWidth="1"/>
    <col min="5886" max="5886" width="11.44140625" style="338" bestFit="1" customWidth="1"/>
    <col min="5887" max="5887" width="12.5546875" style="338" bestFit="1" customWidth="1"/>
    <col min="5888" max="5888" width="4.6640625" style="338" bestFit="1" customWidth="1"/>
    <col min="5889" max="5889" width="13.33203125" style="338" bestFit="1" customWidth="1"/>
    <col min="5890" max="5890" width="4.6640625" style="338" bestFit="1" customWidth="1"/>
    <col min="5891" max="5891" width="11.88671875" style="338" bestFit="1" customWidth="1"/>
    <col min="5892" max="5892" width="4.109375" style="338" bestFit="1" customWidth="1"/>
    <col min="5893" max="5893" width="12.44140625" style="338" bestFit="1" customWidth="1"/>
    <col min="5894" max="5894" width="4.109375" style="338" bestFit="1" customWidth="1"/>
    <col min="5895" max="5895" width="9.33203125" style="338" bestFit="1" customWidth="1"/>
    <col min="5896" max="5896" width="4.109375" style="338" bestFit="1" customWidth="1"/>
    <col min="5897" max="5897" width="10" style="338" bestFit="1" customWidth="1"/>
    <col min="5898" max="5898" width="13.109375" style="338" customWidth="1"/>
    <col min="5899" max="5899" width="4.109375" style="338" bestFit="1" customWidth="1"/>
    <col min="5900" max="5900" width="13.109375" style="338" customWidth="1"/>
    <col min="5901" max="6127" width="9.109375" style="338"/>
    <col min="6128" max="6128" width="13.109375" style="338" bestFit="1" customWidth="1"/>
    <col min="6129" max="6129" width="2.33203125" style="338" bestFit="1" customWidth="1"/>
    <col min="6130" max="6130" width="9" style="338" bestFit="1" customWidth="1"/>
    <col min="6131" max="6131" width="2.33203125" style="338" bestFit="1" customWidth="1"/>
    <col min="6132" max="6132" width="11.88671875" style="338" bestFit="1" customWidth="1"/>
    <col min="6133" max="6133" width="2.33203125" style="338" bestFit="1" customWidth="1"/>
    <col min="6134" max="6134" width="8.44140625" style="338" bestFit="1" customWidth="1"/>
    <col min="6135" max="6136" width="2.33203125" style="338" bestFit="1" customWidth="1"/>
    <col min="6137" max="6138" width="6.33203125" style="338" bestFit="1" customWidth="1"/>
    <col min="6139" max="6139" width="6.5546875" style="338" bestFit="1" customWidth="1"/>
    <col min="6140" max="6140" width="8" style="338" bestFit="1" customWidth="1"/>
    <col min="6141" max="6141" width="68.44140625" style="338" bestFit="1" customWidth="1"/>
    <col min="6142" max="6142" width="11.44140625" style="338" bestFit="1" customWidth="1"/>
    <col min="6143" max="6143" width="12.5546875" style="338" bestFit="1" customWidth="1"/>
    <col min="6144" max="6144" width="4.6640625" style="338" bestFit="1" customWidth="1"/>
    <col min="6145" max="6145" width="13.33203125" style="338" bestFit="1" customWidth="1"/>
    <col min="6146" max="6146" width="4.6640625" style="338" bestFit="1" customWidth="1"/>
    <col min="6147" max="6147" width="11.88671875" style="338" bestFit="1" customWidth="1"/>
    <col min="6148" max="6148" width="4.109375" style="338" bestFit="1" customWidth="1"/>
    <col min="6149" max="6149" width="12.44140625" style="338" bestFit="1" customWidth="1"/>
    <col min="6150" max="6150" width="4.109375" style="338" bestFit="1" customWidth="1"/>
    <col min="6151" max="6151" width="9.33203125" style="338" bestFit="1" customWidth="1"/>
    <col min="6152" max="6152" width="4.109375" style="338" bestFit="1" customWidth="1"/>
    <col min="6153" max="6153" width="10" style="338" bestFit="1" customWidth="1"/>
    <col min="6154" max="6154" width="13.109375" style="338" customWidth="1"/>
    <col min="6155" max="6155" width="4.109375" style="338" bestFit="1" customWidth="1"/>
    <col min="6156" max="6156" width="13.109375" style="338" customWidth="1"/>
    <col min="6157" max="6383" width="9.109375" style="338"/>
    <col min="6384" max="6384" width="13.109375" style="338" bestFit="1" customWidth="1"/>
    <col min="6385" max="6385" width="2.33203125" style="338" bestFit="1" customWidth="1"/>
    <col min="6386" max="6386" width="9" style="338" bestFit="1" customWidth="1"/>
    <col min="6387" max="6387" width="2.33203125" style="338" bestFit="1" customWidth="1"/>
    <col min="6388" max="6388" width="11.88671875" style="338" bestFit="1" customWidth="1"/>
    <col min="6389" max="6389" width="2.33203125" style="338" bestFit="1" customWidth="1"/>
    <col min="6390" max="6390" width="8.44140625" style="338" bestFit="1" customWidth="1"/>
    <col min="6391" max="6392" width="2.33203125" style="338" bestFit="1" customWidth="1"/>
    <col min="6393" max="6394" width="6.33203125" style="338" bestFit="1" customWidth="1"/>
    <col min="6395" max="6395" width="6.5546875" style="338" bestFit="1" customWidth="1"/>
    <col min="6396" max="6396" width="8" style="338" bestFit="1" customWidth="1"/>
    <col min="6397" max="6397" width="68.44140625" style="338" bestFit="1" customWidth="1"/>
    <col min="6398" max="6398" width="11.44140625" style="338" bestFit="1" customWidth="1"/>
    <col min="6399" max="6399" width="12.5546875" style="338" bestFit="1" customWidth="1"/>
    <col min="6400" max="6400" width="4.6640625" style="338" bestFit="1" customWidth="1"/>
    <col min="6401" max="6401" width="13.33203125" style="338" bestFit="1" customWidth="1"/>
    <col min="6402" max="6402" width="4.6640625" style="338" bestFit="1" customWidth="1"/>
    <col min="6403" max="6403" width="11.88671875" style="338" bestFit="1" customWidth="1"/>
    <col min="6404" max="6404" width="4.109375" style="338" bestFit="1" customWidth="1"/>
    <col min="6405" max="6405" width="12.44140625" style="338" bestFit="1" customWidth="1"/>
    <col min="6406" max="6406" width="4.109375" style="338" bestFit="1" customWidth="1"/>
    <col min="6407" max="6407" width="9.33203125" style="338" bestFit="1" customWidth="1"/>
    <col min="6408" max="6408" width="4.109375" style="338" bestFit="1" customWidth="1"/>
    <col min="6409" max="6409" width="10" style="338" bestFit="1" customWidth="1"/>
    <col min="6410" max="6410" width="13.109375" style="338" customWidth="1"/>
    <col min="6411" max="6411" width="4.109375" style="338" bestFit="1" customWidth="1"/>
    <col min="6412" max="6412" width="13.109375" style="338" customWidth="1"/>
    <col min="6413" max="6639" width="9.109375" style="338"/>
    <col min="6640" max="6640" width="13.109375" style="338" bestFit="1" customWidth="1"/>
    <col min="6641" max="6641" width="2.33203125" style="338" bestFit="1" customWidth="1"/>
    <col min="6642" max="6642" width="9" style="338" bestFit="1" customWidth="1"/>
    <col min="6643" max="6643" width="2.33203125" style="338" bestFit="1" customWidth="1"/>
    <col min="6644" max="6644" width="11.88671875" style="338" bestFit="1" customWidth="1"/>
    <col min="6645" max="6645" width="2.33203125" style="338" bestFit="1" customWidth="1"/>
    <col min="6646" max="6646" width="8.44140625" style="338" bestFit="1" customWidth="1"/>
    <col min="6647" max="6648" width="2.33203125" style="338" bestFit="1" customWidth="1"/>
    <col min="6649" max="6650" width="6.33203125" style="338" bestFit="1" customWidth="1"/>
    <col min="6651" max="6651" width="6.5546875" style="338" bestFit="1" customWidth="1"/>
    <col min="6652" max="6652" width="8" style="338" bestFit="1" customWidth="1"/>
    <col min="6653" max="6653" width="68.44140625" style="338" bestFit="1" customWidth="1"/>
    <col min="6654" max="6654" width="11.44140625" style="338" bestFit="1" customWidth="1"/>
    <col min="6655" max="6655" width="12.5546875" style="338" bestFit="1" customWidth="1"/>
    <col min="6656" max="6656" width="4.6640625" style="338" bestFit="1" customWidth="1"/>
    <col min="6657" max="6657" width="13.33203125" style="338" bestFit="1" customWidth="1"/>
    <col min="6658" max="6658" width="4.6640625" style="338" bestFit="1" customWidth="1"/>
    <col min="6659" max="6659" width="11.88671875" style="338" bestFit="1" customWidth="1"/>
    <col min="6660" max="6660" width="4.109375" style="338" bestFit="1" customWidth="1"/>
    <col min="6661" max="6661" width="12.44140625" style="338" bestFit="1" customWidth="1"/>
    <col min="6662" max="6662" width="4.109375" style="338" bestFit="1" customWidth="1"/>
    <col min="6663" max="6663" width="9.33203125" style="338" bestFit="1" customWidth="1"/>
    <col min="6664" max="6664" width="4.109375" style="338" bestFit="1" customWidth="1"/>
    <col min="6665" max="6665" width="10" style="338" bestFit="1" customWidth="1"/>
    <col min="6666" max="6666" width="13.109375" style="338" customWidth="1"/>
    <col min="6667" max="6667" width="4.109375" style="338" bestFit="1" customWidth="1"/>
    <col min="6668" max="6668" width="13.109375" style="338" customWidth="1"/>
    <col min="6669" max="6895" width="9.109375" style="338"/>
    <col min="6896" max="6896" width="13.109375" style="338" bestFit="1" customWidth="1"/>
    <col min="6897" max="6897" width="2.33203125" style="338" bestFit="1" customWidth="1"/>
    <col min="6898" max="6898" width="9" style="338" bestFit="1" customWidth="1"/>
    <col min="6899" max="6899" width="2.33203125" style="338" bestFit="1" customWidth="1"/>
    <col min="6900" max="6900" width="11.88671875" style="338" bestFit="1" customWidth="1"/>
    <col min="6901" max="6901" width="2.33203125" style="338" bestFit="1" customWidth="1"/>
    <col min="6902" max="6902" width="8.44140625" style="338" bestFit="1" customWidth="1"/>
    <col min="6903" max="6904" width="2.33203125" style="338" bestFit="1" customWidth="1"/>
    <col min="6905" max="6906" width="6.33203125" style="338" bestFit="1" customWidth="1"/>
    <col min="6907" max="6907" width="6.5546875" style="338" bestFit="1" customWidth="1"/>
    <col min="6908" max="6908" width="8" style="338" bestFit="1" customWidth="1"/>
    <col min="6909" max="6909" width="68.44140625" style="338" bestFit="1" customWidth="1"/>
    <col min="6910" max="6910" width="11.44140625" style="338" bestFit="1" customWidth="1"/>
    <col min="6911" max="6911" width="12.5546875" style="338" bestFit="1" customWidth="1"/>
    <col min="6912" max="6912" width="4.6640625" style="338" bestFit="1" customWidth="1"/>
    <col min="6913" max="6913" width="13.33203125" style="338" bestFit="1" customWidth="1"/>
    <col min="6914" max="6914" width="4.6640625" style="338" bestFit="1" customWidth="1"/>
    <col min="6915" max="6915" width="11.88671875" style="338" bestFit="1" customWidth="1"/>
    <col min="6916" max="6916" width="4.109375" style="338" bestFit="1" customWidth="1"/>
    <col min="6917" max="6917" width="12.44140625" style="338" bestFit="1" customWidth="1"/>
    <col min="6918" max="6918" width="4.109375" style="338" bestFit="1" customWidth="1"/>
    <col min="6919" max="6919" width="9.33203125" style="338" bestFit="1" customWidth="1"/>
    <col min="6920" max="6920" width="4.109375" style="338" bestFit="1" customWidth="1"/>
    <col min="6921" max="6921" width="10" style="338" bestFit="1" customWidth="1"/>
    <col min="6922" max="6922" width="13.109375" style="338" customWidth="1"/>
    <col min="6923" max="6923" width="4.109375" style="338" bestFit="1" customWidth="1"/>
    <col min="6924" max="6924" width="13.109375" style="338" customWidth="1"/>
    <col min="6925" max="7151" width="9.109375" style="338"/>
    <col min="7152" max="7152" width="13.109375" style="338" bestFit="1" customWidth="1"/>
    <col min="7153" max="7153" width="2.33203125" style="338" bestFit="1" customWidth="1"/>
    <col min="7154" max="7154" width="9" style="338" bestFit="1" customWidth="1"/>
    <col min="7155" max="7155" width="2.33203125" style="338" bestFit="1" customWidth="1"/>
    <col min="7156" max="7156" width="11.88671875" style="338" bestFit="1" customWidth="1"/>
    <col min="7157" max="7157" width="2.33203125" style="338" bestFit="1" customWidth="1"/>
    <col min="7158" max="7158" width="8.44140625" style="338" bestFit="1" customWidth="1"/>
    <col min="7159" max="7160" width="2.33203125" style="338" bestFit="1" customWidth="1"/>
    <col min="7161" max="7162" width="6.33203125" style="338" bestFit="1" customWidth="1"/>
    <col min="7163" max="7163" width="6.5546875" style="338" bestFit="1" customWidth="1"/>
    <col min="7164" max="7164" width="8" style="338" bestFit="1" customWidth="1"/>
    <col min="7165" max="7165" width="68.44140625" style="338" bestFit="1" customWidth="1"/>
    <col min="7166" max="7166" width="11.44140625" style="338" bestFit="1" customWidth="1"/>
    <col min="7167" max="7167" width="12.5546875" style="338" bestFit="1" customWidth="1"/>
    <col min="7168" max="7168" width="4.6640625" style="338" bestFit="1" customWidth="1"/>
    <col min="7169" max="7169" width="13.33203125" style="338" bestFit="1" customWidth="1"/>
    <col min="7170" max="7170" width="4.6640625" style="338" bestFit="1" customWidth="1"/>
    <col min="7171" max="7171" width="11.88671875" style="338" bestFit="1" customWidth="1"/>
    <col min="7172" max="7172" width="4.109375" style="338" bestFit="1" customWidth="1"/>
    <col min="7173" max="7173" width="12.44140625" style="338" bestFit="1" customWidth="1"/>
    <col min="7174" max="7174" width="4.109375" style="338" bestFit="1" customWidth="1"/>
    <col min="7175" max="7175" width="9.33203125" style="338" bestFit="1" customWidth="1"/>
    <col min="7176" max="7176" width="4.109375" style="338" bestFit="1" customWidth="1"/>
    <col min="7177" max="7177" width="10" style="338" bestFit="1" customWidth="1"/>
    <col min="7178" max="7178" width="13.109375" style="338" customWidth="1"/>
    <col min="7179" max="7179" width="4.109375" style="338" bestFit="1" customWidth="1"/>
    <col min="7180" max="7180" width="13.109375" style="338" customWidth="1"/>
    <col min="7181" max="7407" width="9.109375" style="338"/>
    <col min="7408" max="7408" width="13.109375" style="338" bestFit="1" customWidth="1"/>
    <col min="7409" max="7409" width="2.33203125" style="338" bestFit="1" customWidth="1"/>
    <col min="7410" max="7410" width="9" style="338" bestFit="1" customWidth="1"/>
    <col min="7411" max="7411" width="2.33203125" style="338" bestFit="1" customWidth="1"/>
    <col min="7412" max="7412" width="11.88671875" style="338" bestFit="1" customWidth="1"/>
    <col min="7413" max="7413" width="2.33203125" style="338" bestFit="1" customWidth="1"/>
    <col min="7414" max="7414" width="8.44140625" style="338" bestFit="1" customWidth="1"/>
    <col min="7415" max="7416" width="2.33203125" style="338" bestFit="1" customWidth="1"/>
    <col min="7417" max="7418" width="6.33203125" style="338" bestFit="1" customWidth="1"/>
    <col min="7419" max="7419" width="6.5546875" style="338" bestFit="1" customWidth="1"/>
    <col min="7420" max="7420" width="8" style="338" bestFit="1" customWidth="1"/>
    <col min="7421" max="7421" width="68.44140625" style="338" bestFit="1" customWidth="1"/>
    <col min="7422" max="7422" width="11.44140625" style="338" bestFit="1" customWidth="1"/>
    <col min="7423" max="7423" width="12.5546875" style="338" bestFit="1" customWidth="1"/>
    <col min="7424" max="7424" width="4.6640625" style="338" bestFit="1" customWidth="1"/>
    <col min="7425" max="7425" width="13.33203125" style="338" bestFit="1" customWidth="1"/>
    <col min="7426" max="7426" width="4.6640625" style="338" bestFit="1" customWidth="1"/>
    <col min="7427" max="7427" width="11.88671875" style="338" bestFit="1" customWidth="1"/>
    <col min="7428" max="7428" width="4.109375" style="338" bestFit="1" customWidth="1"/>
    <col min="7429" max="7429" width="12.44140625" style="338" bestFit="1" customWidth="1"/>
    <col min="7430" max="7430" width="4.109375" style="338" bestFit="1" customWidth="1"/>
    <col min="7431" max="7431" width="9.33203125" style="338" bestFit="1" customWidth="1"/>
    <col min="7432" max="7432" width="4.109375" style="338" bestFit="1" customWidth="1"/>
    <col min="7433" max="7433" width="10" style="338" bestFit="1" customWidth="1"/>
    <col min="7434" max="7434" width="13.109375" style="338" customWidth="1"/>
    <col min="7435" max="7435" width="4.109375" style="338" bestFit="1" customWidth="1"/>
    <col min="7436" max="7436" width="13.109375" style="338" customWidth="1"/>
    <col min="7437" max="7663" width="9.109375" style="338"/>
    <col min="7664" max="7664" width="13.109375" style="338" bestFit="1" customWidth="1"/>
    <col min="7665" max="7665" width="2.33203125" style="338" bestFit="1" customWidth="1"/>
    <col min="7666" max="7666" width="9" style="338" bestFit="1" customWidth="1"/>
    <col min="7667" max="7667" width="2.33203125" style="338" bestFit="1" customWidth="1"/>
    <col min="7668" max="7668" width="11.88671875" style="338" bestFit="1" customWidth="1"/>
    <col min="7669" max="7669" width="2.33203125" style="338" bestFit="1" customWidth="1"/>
    <col min="7670" max="7670" width="8.44140625" style="338" bestFit="1" customWidth="1"/>
    <col min="7671" max="7672" width="2.33203125" style="338" bestFit="1" customWidth="1"/>
    <col min="7673" max="7674" width="6.33203125" style="338" bestFit="1" customWidth="1"/>
    <col min="7675" max="7675" width="6.5546875" style="338" bestFit="1" customWidth="1"/>
    <col min="7676" max="7676" width="8" style="338" bestFit="1" customWidth="1"/>
    <col min="7677" max="7677" width="68.44140625" style="338" bestFit="1" customWidth="1"/>
    <col min="7678" max="7678" width="11.44140625" style="338" bestFit="1" customWidth="1"/>
    <col min="7679" max="7679" width="12.5546875" style="338" bestFit="1" customWidth="1"/>
    <col min="7680" max="7680" width="4.6640625" style="338" bestFit="1" customWidth="1"/>
    <col min="7681" max="7681" width="13.33203125" style="338" bestFit="1" customWidth="1"/>
    <col min="7682" max="7682" width="4.6640625" style="338" bestFit="1" customWidth="1"/>
    <col min="7683" max="7683" width="11.88671875" style="338" bestFit="1" customWidth="1"/>
    <col min="7684" max="7684" width="4.109375" style="338" bestFit="1" customWidth="1"/>
    <col min="7685" max="7685" width="12.44140625" style="338" bestFit="1" customWidth="1"/>
    <col min="7686" max="7686" width="4.109375" style="338" bestFit="1" customWidth="1"/>
    <col min="7687" max="7687" width="9.33203125" style="338" bestFit="1" customWidth="1"/>
    <col min="7688" max="7688" width="4.109375" style="338" bestFit="1" customWidth="1"/>
    <col min="7689" max="7689" width="10" style="338" bestFit="1" customWidth="1"/>
    <col min="7690" max="7690" width="13.109375" style="338" customWidth="1"/>
    <col min="7691" max="7691" width="4.109375" style="338" bestFit="1" customWidth="1"/>
    <col min="7692" max="7692" width="13.109375" style="338" customWidth="1"/>
    <col min="7693" max="7919" width="9.109375" style="338"/>
    <col min="7920" max="7920" width="13.109375" style="338" bestFit="1" customWidth="1"/>
    <col min="7921" max="7921" width="2.33203125" style="338" bestFit="1" customWidth="1"/>
    <col min="7922" max="7922" width="9" style="338" bestFit="1" customWidth="1"/>
    <col min="7923" max="7923" width="2.33203125" style="338" bestFit="1" customWidth="1"/>
    <col min="7924" max="7924" width="11.88671875" style="338" bestFit="1" customWidth="1"/>
    <col min="7925" max="7925" width="2.33203125" style="338" bestFit="1" customWidth="1"/>
    <col min="7926" max="7926" width="8.44140625" style="338" bestFit="1" customWidth="1"/>
    <col min="7927" max="7928" width="2.33203125" style="338" bestFit="1" customWidth="1"/>
    <col min="7929" max="7930" width="6.33203125" style="338" bestFit="1" customWidth="1"/>
    <col min="7931" max="7931" width="6.5546875" style="338" bestFit="1" customWidth="1"/>
    <col min="7932" max="7932" width="8" style="338" bestFit="1" customWidth="1"/>
    <col min="7933" max="7933" width="68.44140625" style="338" bestFit="1" customWidth="1"/>
    <col min="7934" max="7934" width="11.44140625" style="338" bestFit="1" customWidth="1"/>
    <col min="7935" max="7935" width="12.5546875" style="338" bestFit="1" customWidth="1"/>
    <col min="7936" max="7936" width="4.6640625" style="338" bestFit="1" customWidth="1"/>
    <col min="7937" max="7937" width="13.33203125" style="338" bestFit="1" customWidth="1"/>
    <col min="7938" max="7938" width="4.6640625" style="338" bestFit="1" customWidth="1"/>
    <col min="7939" max="7939" width="11.88671875" style="338" bestFit="1" customWidth="1"/>
    <col min="7940" max="7940" width="4.109375" style="338" bestFit="1" customWidth="1"/>
    <col min="7941" max="7941" width="12.44140625" style="338" bestFit="1" customWidth="1"/>
    <col min="7942" max="7942" width="4.109375" style="338" bestFit="1" customWidth="1"/>
    <col min="7943" max="7943" width="9.33203125" style="338" bestFit="1" customWidth="1"/>
    <col min="7944" max="7944" width="4.109375" style="338" bestFit="1" customWidth="1"/>
    <col min="7945" max="7945" width="10" style="338" bestFit="1" customWidth="1"/>
    <col min="7946" max="7946" width="13.109375" style="338" customWidth="1"/>
    <col min="7947" max="7947" width="4.109375" style="338" bestFit="1" customWidth="1"/>
    <col min="7948" max="7948" width="13.109375" style="338" customWidth="1"/>
    <col min="7949" max="8175" width="9.109375" style="338"/>
    <col min="8176" max="8176" width="13.109375" style="338" bestFit="1" customWidth="1"/>
    <col min="8177" max="8177" width="2.33203125" style="338" bestFit="1" customWidth="1"/>
    <col min="8178" max="8178" width="9" style="338" bestFit="1" customWidth="1"/>
    <col min="8179" max="8179" width="2.33203125" style="338" bestFit="1" customWidth="1"/>
    <col min="8180" max="8180" width="11.88671875" style="338" bestFit="1" customWidth="1"/>
    <col min="8181" max="8181" width="2.33203125" style="338" bestFit="1" customWidth="1"/>
    <col min="8182" max="8182" width="8.44140625" style="338" bestFit="1" customWidth="1"/>
    <col min="8183" max="8184" width="2.33203125" style="338" bestFit="1" customWidth="1"/>
    <col min="8185" max="8186" width="6.33203125" style="338" bestFit="1" customWidth="1"/>
    <col min="8187" max="8187" width="6.5546875" style="338" bestFit="1" customWidth="1"/>
    <col min="8188" max="8188" width="8" style="338" bestFit="1" customWidth="1"/>
    <col min="8189" max="8189" width="68.44140625" style="338" bestFit="1" customWidth="1"/>
    <col min="8190" max="8190" width="11.44140625" style="338" bestFit="1" customWidth="1"/>
    <col min="8191" max="8191" width="12.5546875" style="338" bestFit="1" customWidth="1"/>
    <col min="8192" max="8192" width="4.6640625" style="338" bestFit="1" customWidth="1"/>
    <col min="8193" max="8193" width="13.33203125" style="338" bestFit="1" customWidth="1"/>
    <col min="8194" max="8194" width="4.6640625" style="338" bestFit="1" customWidth="1"/>
    <col min="8195" max="8195" width="11.88671875" style="338" bestFit="1" customWidth="1"/>
    <col min="8196" max="8196" width="4.109375" style="338" bestFit="1" customWidth="1"/>
    <col min="8197" max="8197" width="12.44140625" style="338" bestFit="1" customWidth="1"/>
    <col min="8198" max="8198" width="4.109375" style="338" bestFit="1" customWidth="1"/>
    <col min="8199" max="8199" width="9.33203125" style="338" bestFit="1" customWidth="1"/>
    <col min="8200" max="8200" width="4.109375" style="338" bestFit="1" customWidth="1"/>
    <col min="8201" max="8201" width="10" style="338" bestFit="1" customWidth="1"/>
    <col min="8202" max="8202" width="13.109375" style="338" customWidth="1"/>
    <col min="8203" max="8203" width="4.109375" style="338" bestFit="1" customWidth="1"/>
    <col min="8204" max="8204" width="13.109375" style="338" customWidth="1"/>
    <col min="8205" max="8431" width="9.109375" style="338"/>
    <col min="8432" max="8432" width="13.109375" style="338" bestFit="1" customWidth="1"/>
    <col min="8433" max="8433" width="2.33203125" style="338" bestFit="1" customWidth="1"/>
    <col min="8434" max="8434" width="9" style="338" bestFit="1" customWidth="1"/>
    <col min="8435" max="8435" width="2.33203125" style="338" bestFit="1" customWidth="1"/>
    <col min="8436" max="8436" width="11.88671875" style="338" bestFit="1" customWidth="1"/>
    <col min="8437" max="8437" width="2.33203125" style="338" bestFit="1" customWidth="1"/>
    <col min="8438" max="8438" width="8.44140625" style="338" bestFit="1" customWidth="1"/>
    <col min="8439" max="8440" width="2.33203125" style="338" bestFit="1" customWidth="1"/>
    <col min="8441" max="8442" width="6.33203125" style="338" bestFit="1" customWidth="1"/>
    <col min="8443" max="8443" width="6.5546875" style="338" bestFit="1" customWidth="1"/>
    <col min="8444" max="8444" width="8" style="338" bestFit="1" customWidth="1"/>
    <col min="8445" max="8445" width="68.44140625" style="338" bestFit="1" customWidth="1"/>
    <col min="8446" max="8446" width="11.44140625" style="338" bestFit="1" customWidth="1"/>
    <col min="8447" max="8447" width="12.5546875" style="338" bestFit="1" customWidth="1"/>
    <col min="8448" max="8448" width="4.6640625" style="338" bestFit="1" customWidth="1"/>
    <col min="8449" max="8449" width="13.33203125" style="338" bestFit="1" customWidth="1"/>
    <col min="8450" max="8450" width="4.6640625" style="338" bestFit="1" customWidth="1"/>
    <col min="8451" max="8451" width="11.88671875" style="338" bestFit="1" customWidth="1"/>
    <col min="8452" max="8452" width="4.109375" style="338" bestFit="1" customWidth="1"/>
    <col min="8453" max="8453" width="12.44140625" style="338" bestFit="1" customWidth="1"/>
    <col min="8454" max="8454" width="4.109375" style="338" bestFit="1" customWidth="1"/>
    <col min="8455" max="8455" width="9.33203125" style="338" bestFit="1" customWidth="1"/>
    <col min="8456" max="8456" width="4.109375" style="338" bestFit="1" customWidth="1"/>
    <col min="8457" max="8457" width="10" style="338" bestFit="1" customWidth="1"/>
    <col min="8458" max="8458" width="13.109375" style="338" customWidth="1"/>
    <col min="8459" max="8459" width="4.109375" style="338" bestFit="1" customWidth="1"/>
    <col min="8460" max="8460" width="13.109375" style="338" customWidth="1"/>
    <col min="8461" max="8687" width="9.109375" style="338"/>
    <col min="8688" max="8688" width="13.109375" style="338" bestFit="1" customWidth="1"/>
    <col min="8689" max="8689" width="2.33203125" style="338" bestFit="1" customWidth="1"/>
    <col min="8690" max="8690" width="9" style="338" bestFit="1" customWidth="1"/>
    <col min="8691" max="8691" width="2.33203125" style="338" bestFit="1" customWidth="1"/>
    <col min="8692" max="8692" width="11.88671875" style="338" bestFit="1" customWidth="1"/>
    <col min="8693" max="8693" width="2.33203125" style="338" bestFit="1" customWidth="1"/>
    <col min="8694" max="8694" width="8.44140625" style="338" bestFit="1" customWidth="1"/>
    <col min="8695" max="8696" width="2.33203125" style="338" bestFit="1" customWidth="1"/>
    <col min="8697" max="8698" width="6.33203125" style="338" bestFit="1" customWidth="1"/>
    <col min="8699" max="8699" width="6.5546875" style="338" bestFit="1" customWidth="1"/>
    <col min="8700" max="8700" width="8" style="338" bestFit="1" customWidth="1"/>
    <col min="8701" max="8701" width="68.44140625" style="338" bestFit="1" customWidth="1"/>
    <col min="8702" max="8702" width="11.44140625" style="338" bestFit="1" customWidth="1"/>
    <col min="8703" max="8703" width="12.5546875" style="338" bestFit="1" customWidth="1"/>
    <col min="8704" max="8704" width="4.6640625" style="338" bestFit="1" customWidth="1"/>
    <col min="8705" max="8705" width="13.33203125" style="338" bestFit="1" customWidth="1"/>
    <col min="8706" max="8706" width="4.6640625" style="338" bestFit="1" customWidth="1"/>
    <col min="8707" max="8707" width="11.88671875" style="338" bestFit="1" customWidth="1"/>
    <col min="8708" max="8708" width="4.109375" style="338" bestFit="1" customWidth="1"/>
    <col min="8709" max="8709" width="12.44140625" style="338" bestFit="1" customWidth="1"/>
    <col min="8710" max="8710" width="4.109375" style="338" bestFit="1" customWidth="1"/>
    <col min="8711" max="8711" width="9.33203125" style="338" bestFit="1" customWidth="1"/>
    <col min="8712" max="8712" width="4.109375" style="338" bestFit="1" customWidth="1"/>
    <col min="8713" max="8713" width="10" style="338" bestFit="1" customWidth="1"/>
    <col min="8714" max="8714" width="13.109375" style="338" customWidth="1"/>
    <col min="8715" max="8715" width="4.109375" style="338" bestFit="1" customWidth="1"/>
    <col min="8716" max="8716" width="13.109375" style="338" customWidth="1"/>
    <col min="8717" max="8943" width="9.109375" style="338"/>
    <col min="8944" max="8944" width="13.109375" style="338" bestFit="1" customWidth="1"/>
    <col min="8945" max="8945" width="2.33203125" style="338" bestFit="1" customWidth="1"/>
    <col min="8946" max="8946" width="9" style="338" bestFit="1" customWidth="1"/>
    <col min="8947" max="8947" width="2.33203125" style="338" bestFit="1" customWidth="1"/>
    <col min="8948" max="8948" width="11.88671875" style="338" bestFit="1" customWidth="1"/>
    <col min="8949" max="8949" width="2.33203125" style="338" bestFit="1" customWidth="1"/>
    <col min="8950" max="8950" width="8.44140625" style="338" bestFit="1" customWidth="1"/>
    <col min="8951" max="8952" width="2.33203125" style="338" bestFit="1" customWidth="1"/>
    <col min="8953" max="8954" width="6.33203125" style="338" bestFit="1" customWidth="1"/>
    <col min="8955" max="8955" width="6.5546875" style="338" bestFit="1" customWidth="1"/>
    <col min="8956" max="8956" width="8" style="338" bestFit="1" customWidth="1"/>
    <col min="8957" max="8957" width="68.44140625" style="338" bestFit="1" customWidth="1"/>
    <col min="8958" max="8958" width="11.44140625" style="338" bestFit="1" customWidth="1"/>
    <col min="8959" max="8959" width="12.5546875" style="338" bestFit="1" customWidth="1"/>
    <col min="8960" max="8960" width="4.6640625" style="338" bestFit="1" customWidth="1"/>
    <col min="8961" max="8961" width="13.33203125" style="338" bestFit="1" customWidth="1"/>
    <col min="8962" max="8962" width="4.6640625" style="338" bestFit="1" customWidth="1"/>
    <col min="8963" max="8963" width="11.88671875" style="338" bestFit="1" customWidth="1"/>
    <col min="8964" max="8964" width="4.109375" style="338" bestFit="1" customWidth="1"/>
    <col min="8965" max="8965" width="12.44140625" style="338" bestFit="1" customWidth="1"/>
    <col min="8966" max="8966" width="4.109375" style="338" bestFit="1" customWidth="1"/>
    <col min="8967" max="8967" width="9.33203125" style="338" bestFit="1" customWidth="1"/>
    <col min="8968" max="8968" width="4.109375" style="338" bestFit="1" customWidth="1"/>
    <col min="8969" max="8969" width="10" style="338" bestFit="1" customWidth="1"/>
    <col min="8970" max="8970" width="13.109375" style="338" customWidth="1"/>
    <col min="8971" max="8971" width="4.109375" style="338" bestFit="1" customWidth="1"/>
    <col min="8972" max="8972" width="13.109375" style="338" customWidth="1"/>
    <col min="8973" max="9199" width="9.109375" style="338"/>
    <col min="9200" max="9200" width="13.109375" style="338" bestFit="1" customWidth="1"/>
    <col min="9201" max="9201" width="2.33203125" style="338" bestFit="1" customWidth="1"/>
    <col min="9202" max="9202" width="9" style="338" bestFit="1" customWidth="1"/>
    <col min="9203" max="9203" width="2.33203125" style="338" bestFit="1" customWidth="1"/>
    <col min="9204" max="9204" width="11.88671875" style="338" bestFit="1" customWidth="1"/>
    <col min="9205" max="9205" width="2.33203125" style="338" bestFit="1" customWidth="1"/>
    <col min="9206" max="9206" width="8.44140625" style="338" bestFit="1" customWidth="1"/>
    <col min="9207" max="9208" width="2.33203125" style="338" bestFit="1" customWidth="1"/>
    <col min="9209" max="9210" width="6.33203125" style="338" bestFit="1" customWidth="1"/>
    <col min="9211" max="9211" width="6.5546875" style="338" bestFit="1" customWidth="1"/>
    <col min="9212" max="9212" width="8" style="338" bestFit="1" customWidth="1"/>
    <col min="9213" max="9213" width="68.44140625" style="338" bestFit="1" customWidth="1"/>
    <col min="9214" max="9214" width="11.44140625" style="338" bestFit="1" customWidth="1"/>
    <col min="9215" max="9215" width="12.5546875" style="338" bestFit="1" customWidth="1"/>
    <col min="9216" max="9216" width="4.6640625" style="338" bestFit="1" customWidth="1"/>
    <col min="9217" max="9217" width="13.33203125" style="338" bestFit="1" customWidth="1"/>
    <col min="9218" max="9218" width="4.6640625" style="338" bestFit="1" customWidth="1"/>
    <col min="9219" max="9219" width="11.88671875" style="338" bestFit="1" customWidth="1"/>
    <col min="9220" max="9220" width="4.109375" style="338" bestFit="1" customWidth="1"/>
    <col min="9221" max="9221" width="12.44140625" style="338" bestFit="1" customWidth="1"/>
    <col min="9222" max="9222" width="4.109375" style="338" bestFit="1" customWidth="1"/>
    <col min="9223" max="9223" width="9.33203125" style="338" bestFit="1" customWidth="1"/>
    <col min="9224" max="9224" width="4.109375" style="338" bestFit="1" customWidth="1"/>
    <col min="9225" max="9225" width="10" style="338" bestFit="1" customWidth="1"/>
    <col min="9226" max="9226" width="13.109375" style="338" customWidth="1"/>
    <col min="9227" max="9227" width="4.109375" style="338" bestFit="1" customWidth="1"/>
    <col min="9228" max="9228" width="13.109375" style="338" customWidth="1"/>
    <col min="9229" max="9455" width="9.109375" style="338"/>
    <col min="9456" max="9456" width="13.109375" style="338" bestFit="1" customWidth="1"/>
    <col min="9457" max="9457" width="2.33203125" style="338" bestFit="1" customWidth="1"/>
    <col min="9458" max="9458" width="9" style="338" bestFit="1" customWidth="1"/>
    <col min="9459" max="9459" width="2.33203125" style="338" bestFit="1" customWidth="1"/>
    <col min="9460" max="9460" width="11.88671875" style="338" bestFit="1" customWidth="1"/>
    <col min="9461" max="9461" width="2.33203125" style="338" bestFit="1" customWidth="1"/>
    <col min="9462" max="9462" width="8.44140625" style="338" bestFit="1" customWidth="1"/>
    <col min="9463" max="9464" width="2.33203125" style="338" bestFit="1" customWidth="1"/>
    <col min="9465" max="9466" width="6.33203125" style="338" bestFit="1" customWidth="1"/>
    <col min="9467" max="9467" width="6.5546875" style="338" bestFit="1" customWidth="1"/>
    <col min="9468" max="9468" width="8" style="338" bestFit="1" customWidth="1"/>
    <col min="9469" max="9469" width="68.44140625" style="338" bestFit="1" customWidth="1"/>
    <col min="9470" max="9470" width="11.44140625" style="338" bestFit="1" customWidth="1"/>
    <col min="9471" max="9471" width="12.5546875" style="338" bestFit="1" customWidth="1"/>
    <col min="9472" max="9472" width="4.6640625" style="338" bestFit="1" customWidth="1"/>
    <col min="9473" max="9473" width="13.33203125" style="338" bestFit="1" customWidth="1"/>
    <col min="9474" max="9474" width="4.6640625" style="338" bestFit="1" customWidth="1"/>
    <col min="9475" max="9475" width="11.88671875" style="338" bestFit="1" customWidth="1"/>
    <col min="9476" max="9476" width="4.109375" style="338" bestFit="1" customWidth="1"/>
    <col min="9477" max="9477" width="12.44140625" style="338" bestFit="1" customWidth="1"/>
    <col min="9478" max="9478" width="4.109375" style="338" bestFit="1" customWidth="1"/>
    <col min="9479" max="9479" width="9.33203125" style="338" bestFit="1" customWidth="1"/>
    <col min="9480" max="9480" width="4.109375" style="338" bestFit="1" customWidth="1"/>
    <col min="9481" max="9481" width="10" style="338" bestFit="1" customWidth="1"/>
    <col min="9482" max="9482" width="13.109375" style="338" customWidth="1"/>
    <col min="9483" max="9483" width="4.109375" style="338" bestFit="1" customWidth="1"/>
    <col min="9484" max="9484" width="13.109375" style="338" customWidth="1"/>
    <col min="9485" max="9711" width="9.109375" style="338"/>
    <col min="9712" max="9712" width="13.109375" style="338" bestFit="1" customWidth="1"/>
    <col min="9713" max="9713" width="2.33203125" style="338" bestFit="1" customWidth="1"/>
    <col min="9714" max="9714" width="9" style="338" bestFit="1" customWidth="1"/>
    <col min="9715" max="9715" width="2.33203125" style="338" bestFit="1" customWidth="1"/>
    <col min="9716" max="9716" width="11.88671875" style="338" bestFit="1" customWidth="1"/>
    <col min="9717" max="9717" width="2.33203125" style="338" bestFit="1" customWidth="1"/>
    <col min="9718" max="9718" width="8.44140625" style="338" bestFit="1" customWidth="1"/>
    <col min="9719" max="9720" width="2.33203125" style="338" bestFit="1" customWidth="1"/>
    <col min="9721" max="9722" width="6.33203125" style="338" bestFit="1" customWidth="1"/>
    <col min="9723" max="9723" width="6.5546875" style="338" bestFit="1" customWidth="1"/>
    <col min="9724" max="9724" width="8" style="338" bestFit="1" customWidth="1"/>
    <col min="9725" max="9725" width="68.44140625" style="338" bestFit="1" customWidth="1"/>
    <col min="9726" max="9726" width="11.44140625" style="338" bestFit="1" customWidth="1"/>
    <col min="9727" max="9727" width="12.5546875" style="338" bestFit="1" customWidth="1"/>
    <col min="9728" max="9728" width="4.6640625" style="338" bestFit="1" customWidth="1"/>
    <col min="9729" max="9729" width="13.33203125" style="338" bestFit="1" customWidth="1"/>
    <col min="9730" max="9730" width="4.6640625" style="338" bestFit="1" customWidth="1"/>
    <col min="9731" max="9731" width="11.88671875" style="338" bestFit="1" customWidth="1"/>
    <col min="9732" max="9732" width="4.109375" style="338" bestFit="1" customWidth="1"/>
    <col min="9733" max="9733" width="12.44140625" style="338" bestFit="1" customWidth="1"/>
    <col min="9734" max="9734" width="4.109375" style="338" bestFit="1" customWidth="1"/>
    <col min="9735" max="9735" width="9.33203125" style="338" bestFit="1" customWidth="1"/>
    <col min="9736" max="9736" width="4.109375" style="338" bestFit="1" customWidth="1"/>
    <col min="9737" max="9737" width="10" style="338" bestFit="1" customWidth="1"/>
    <col min="9738" max="9738" width="13.109375" style="338" customWidth="1"/>
    <col min="9739" max="9739" width="4.109375" style="338" bestFit="1" customWidth="1"/>
    <col min="9740" max="9740" width="13.109375" style="338" customWidth="1"/>
    <col min="9741" max="9967" width="9.109375" style="338"/>
    <col min="9968" max="9968" width="13.109375" style="338" bestFit="1" customWidth="1"/>
    <col min="9969" max="9969" width="2.33203125" style="338" bestFit="1" customWidth="1"/>
    <col min="9970" max="9970" width="9" style="338" bestFit="1" customWidth="1"/>
    <col min="9971" max="9971" width="2.33203125" style="338" bestFit="1" customWidth="1"/>
    <col min="9972" max="9972" width="11.88671875" style="338" bestFit="1" customWidth="1"/>
    <col min="9973" max="9973" width="2.33203125" style="338" bestFit="1" customWidth="1"/>
    <col min="9974" max="9974" width="8.44140625" style="338" bestFit="1" customWidth="1"/>
    <col min="9975" max="9976" width="2.33203125" style="338" bestFit="1" customWidth="1"/>
    <col min="9977" max="9978" width="6.33203125" style="338" bestFit="1" customWidth="1"/>
    <col min="9979" max="9979" width="6.5546875" style="338" bestFit="1" customWidth="1"/>
    <col min="9980" max="9980" width="8" style="338" bestFit="1" customWidth="1"/>
    <col min="9981" max="9981" width="68.44140625" style="338" bestFit="1" customWidth="1"/>
    <col min="9982" max="9982" width="11.44140625" style="338" bestFit="1" customWidth="1"/>
    <col min="9983" max="9983" width="12.5546875" style="338" bestFit="1" customWidth="1"/>
    <col min="9984" max="9984" width="4.6640625" style="338" bestFit="1" customWidth="1"/>
    <col min="9985" max="9985" width="13.33203125" style="338" bestFit="1" customWidth="1"/>
    <col min="9986" max="9986" width="4.6640625" style="338" bestFit="1" customWidth="1"/>
    <col min="9987" max="9987" width="11.88671875" style="338" bestFit="1" customWidth="1"/>
    <col min="9988" max="9988" width="4.109375" style="338" bestFit="1" customWidth="1"/>
    <col min="9989" max="9989" width="12.44140625" style="338" bestFit="1" customWidth="1"/>
    <col min="9990" max="9990" width="4.109375" style="338" bestFit="1" customWidth="1"/>
    <col min="9991" max="9991" width="9.33203125" style="338" bestFit="1" customWidth="1"/>
    <col min="9992" max="9992" width="4.109375" style="338" bestFit="1" customWidth="1"/>
    <col min="9993" max="9993" width="10" style="338" bestFit="1" customWidth="1"/>
    <col min="9994" max="9994" width="13.109375" style="338" customWidth="1"/>
    <col min="9995" max="9995" width="4.109375" style="338" bestFit="1" customWidth="1"/>
    <col min="9996" max="9996" width="13.109375" style="338" customWidth="1"/>
    <col min="9997" max="10223" width="9.109375" style="338"/>
    <col min="10224" max="10224" width="13.109375" style="338" bestFit="1" customWidth="1"/>
    <col min="10225" max="10225" width="2.33203125" style="338" bestFit="1" customWidth="1"/>
    <col min="10226" max="10226" width="9" style="338" bestFit="1" customWidth="1"/>
    <col min="10227" max="10227" width="2.33203125" style="338" bestFit="1" customWidth="1"/>
    <col min="10228" max="10228" width="11.88671875" style="338" bestFit="1" customWidth="1"/>
    <col min="10229" max="10229" width="2.33203125" style="338" bestFit="1" customWidth="1"/>
    <col min="10230" max="10230" width="8.44140625" style="338" bestFit="1" customWidth="1"/>
    <col min="10231" max="10232" width="2.33203125" style="338" bestFit="1" customWidth="1"/>
    <col min="10233" max="10234" width="6.33203125" style="338" bestFit="1" customWidth="1"/>
    <col min="10235" max="10235" width="6.5546875" style="338" bestFit="1" customWidth="1"/>
    <col min="10236" max="10236" width="8" style="338" bestFit="1" customWidth="1"/>
    <col min="10237" max="10237" width="68.44140625" style="338" bestFit="1" customWidth="1"/>
    <col min="10238" max="10238" width="11.44140625" style="338" bestFit="1" customWidth="1"/>
    <col min="10239" max="10239" width="12.5546875" style="338" bestFit="1" customWidth="1"/>
    <col min="10240" max="10240" width="4.6640625" style="338" bestFit="1" customWidth="1"/>
    <col min="10241" max="10241" width="13.33203125" style="338" bestFit="1" customWidth="1"/>
    <col min="10242" max="10242" width="4.6640625" style="338" bestFit="1" customWidth="1"/>
    <col min="10243" max="10243" width="11.88671875" style="338" bestFit="1" customWidth="1"/>
    <col min="10244" max="10244" width="4.109375" style="338" bestFit="1" customWidth="1"/>
    <col min="10245" max="10245" width="12.44140625" style="338" bestFit="1" customWidth="1"/>
    <col min="10246" max="10246" width="4.109375" style="338" bestFit="1" customWidth="1"/>
    <col min="10247" max="10247" width="9.33203125" style="338" bestFit="1" customWidth="1"/>
    <col min="10248" max="10248" width="4.109375" style="338" bestFit="1" customWidth="1"/>
    <col min="10249" max="10249" width="10" style="338" bestFit="1" customWidth="1"/>
    <col min="10250" max="10250" width="13.109375" style="338" customWidth="1"/>
    <col min="10251" max="10251" width="4.109375" style="338" bestFit="1" customWidth="1"/>
    <col min="10252" max="10252" width="13.109375" style="338" customWidth="1"/>
    <col min="10253" max="10479" width="9.109375" style="338"/>
    <col min="10480" max="10480" width="13.109375" style="338" bestFit="1" customWidth="1"/>
    <col min="10481" max="10481" width="2.33203125" style="338" bestFit="1" customWidth="1"/>
    <col min="10482" max="10482" width="9" style="338" bestFit="1" customWidth="1"/>
    <col min="10483" max="10483" width="2.33203125" style="338" bestFit="1" customWidth="1"/>
    <col min="10484" max="10484" width="11.88671875" style="338" bestFit="1" customWidth="1"/>
    <col min="10485" max="10485" width="2.33203125" style="338" bestFit="1" customWidth="1"/>
    <col min="10486" max="10486" width="8.44140625" style="338" bestFit="1" customWidth="1"/>
    <col min="10487" max="10488" width="2.33203125" style="338" bestFit="1" customWidth="1"/>
    <col min="10489" max="10490" width="6.33203125" style="338" bestFit="1" customWidth="1"/>
    <col min="10491" max="10491" width="6.5546875" style="338" bestFit="1" customWidth="1"/>
    <col min="10492" max="10492" width="8" style="338" bestFit="1" customWidth="1"/>
    <col min="10493" max="10493" width="68.44140625" style="338" bestFit="1" customWidth="1"/>
    <col min="10494" max="10494" width="11.44140625" style="338" bestFit="1" customWidth="1"/>
    <col min="10495" max="10495" width="12.5546875" style="338" bestFit="1" customWidth="1"/>
    <col min="10496" max="10496" width="4.6640625" style="338" bestFit="1" customWidth="1"/>
    <col min="10497" max="10497" width="13.33203125" style="338" bestFit="1" customWidth="1"/>
    <col min="10498" max="10498" width="4.6640625" style="338" bestFit="1" customWidth="1"/>
    <col min="10499" max="10499" width="11.88671875" style="338" bestFit="1" customWidth="1"/>
    <col min="10500" max="10500" width="4.109375" style="338" bestFit="1" customWidth="1"/>
    <col min="10501" max="10501" width="12.44140625" style="338" bestFit="1" customWidth="1"/>
    <col min="10502" max="10502" width="4.109375" style="338" bestFit="1" customWidth="1"/>
    <col min="10503" max="10503" width="9.33203125" style="338" bestFit="1" customWidth="1"/>
    <col min="10504" max="10504" width="4.109375" style="338" bestFit="1" customWidth="1"/>
    <col min="10505" max="10505" width="10" style="338" bestFit="1" customWidth="1"/>
    <col min="10506" max="10506" width="13.109375" style="338" customWidth="1"/>
    <col min="10507" max="10507" width="4.109375" style="338" bestFit="1" customWidth="1"/>
    <col min="10508" max="10508" width="13.109375" style="338" customWidth="1"/>
    <col min="10509" max="10735" width="9.109375" style="338"/>
    <col min="10736" max="10736" width="13.109375" style="338" bestFit="1" customWidth="1"/>
    <col min="10737" max="10737" width="2.33203125" style="338" bestFit="1" customWidth="1"/>
    <col min="10738" max="10738" width="9" style="338" bestFit="1" customWidth="1"/>
    <col min="10739" max="10739" width="2.33203125" style="338" bestFit="1" customWidth="1"/>
    <col min="10740" max="10740" width="11.88671875" style="338" bestFit="1" customWidth="1"/>
    <col min="10741" max="10741" width="2.33203125" style="338" bestFit="1" customWidth="1"/>
    <col min="10742" max="10742" width="8.44140625" style="338" bestFit="1" customWidth="1"/>
    <col min="10743" max="10744" width="2.33203125" style="338" bestFit="1" customWidth="1"/>
    <col min="10745" max="10746" width="6.33203125" style="338" bestFit="1" customWidth="1"/>
    <col min="10747" max="10747" width="6.5546875" style="338" bestFit="1" customWidth="1"/>
    <col min="10748" max="10748" width="8" style="338" bestFit="1" customWidth="1"/>
    <col min="10749" max="10749" width="68.44140625" style="338" bestFit="1" customWidth="1"/>
    <col min="10750" max="10750" width="11.44140625" style="338" bestFit="1" customWidth="1"/>
    <col min="10751" max="10751" width="12.5546875" style="338" bestFit="1" customWidth="1"/>
    <col min="10752" max="10752" width="4.6640625" style="338" bestFit="1" customWidth="1"/>
    <col min="10753" max="10753" width="13.33203125" style="338" bestFit="1" customWidth="1"/>
    <col min="10754" max="10754" width="4.6640625" style="338" bestFit="1" customWidth="1"/>
    <col min="10755" max="10755" width="11.88671875" style="338" bestFit="1" customWidth="1"/>
    <col min="10756" max="10756" width="4.109375" style="338" bestFit="1" customWidth="1"/>
    <col min="10757" max="10757" width="12.44140625" style="338" bestFit="1" customWidth="1"/>
    <col min="10758" max="10758" width="4.109375" style="338" bestFit="1" customWidth="1"/>
    <col min="10759" max="10759" width="9.33203125" style="338" bestFit="1" customWidth="1"/>
    <col min="10760" max="10760" width="4.109375" style="338" bestFit="1" customWidth="1"/>
    <col min="10761" max="10761" width="10" style="338" bestFit="1" customWidth="1"/>
    <col min="10762" max="10762" width="13.109375" style="338" customWidth="1"/>
    <col min="10763" max="10763" width="4.109375" style="338" bestFit="1" customWidth="1"/>
    <col min="10764" max="10764" width="13.109375" style="338" customWidth="1"/>
    <col min="10765" max="10991" width="9.109375" style="338"/>
    <col min="10992" max="10992" width="13.109375" style="338" bestFit="1" customWidth="1"/>
    <col min="10993" max="10993" width="2.33203125" style="338" bestFit="1" customWidth="1"/>
    <col min="10994" max="10994" width="9" style="338" bestFit="1" customWidth="1"/>
    <col min="10995" max="10995" width="2.33203125" style="338" bestFit="1" customWidth="1"/>
    <col min="10996" max="10996" width="11.88671875" style="338" bestFit="1" customWidth="1"/>
    <col min="10997" max="10997" width="2.33203125" style="338" bestFit="1" customWidth="1"/>
    <col min="10998" max="10998" width="8.44140625" style="338" bestFit="1" customWidth="1"/>
    <col min="10999" max="11000" width="2.33203125" style="338" bestFit="1" customWidth="1"/>
    <col min="11001" max="11002" width="6.33203125" style="338" bestFit="1" customWidth="1"/>
    <col min="11003" max="11003" width="6.5546875" style="338" bestFit="1" customWidth="1"/>
    <col min="11004" max="11004" width="8" style="338" bestFit="1" customWidth="1"/>
    <col min="11005" max="11005" width="68.44140625" style="338" bestFit="1" customWidth="1"/>
    <col min="11006" max="11006" width="11.44140625" style="338" bestFit="1" customWidth="1"/>
    <col min="11007" max="11007" width="12.5546875" style="338" bestFit="1" customWidth="1"/>
    <col min="11008" max="11008" width="4.6640625" style="338" bestFit="1" customWidth="1"/>
    <col min="11009" max="11009" width="13.33203125" style="338" bestFit="1" customWidth="1"/>
    <col min="11010" max="11010" width="4.6640625" style="338" bestFit="1" customWidth="1"/>
    <col min="11011" max="11011" width="11.88671875" style="338" bestFit="1" customWidth="1"/>
    <col min="11012" max="11012" width="4.109375" style="338" bestFit="1" customWidth="1"/>
    <col min="11013" max="11013" width="12.44140625" style="338" bestFit="1" customWidth="1"/>
    <col min="11014" max="11014" width="4.109375" style="338" bestFit="1" customWidth="1"/>
    <col min="11015" max="11015" width="9.33203125" style="338" bestFit="1" customWidth="1"/>
    <col min="11016" max="11016" width="4.109375" style="338" bestFit="1" customWidth="1"/>
    <col min="11017" max="11017" width="10" style="338" bestFit="1" customWidth="1"/>
    <col min="11018" max="11018" width="13.109375" style="338" customWidth="1"/>
    <col min="11019" max="11019" width="4.109375" style="338" bestFit="1" customWidth="1"/>
    <col min="11020" max="11020" width="13.109375" style="338" customWidth="1"/>
    <col min="11021" max="11247" width="9.109375" style="338"/>
    <col min="11248" max="11248" width="13.109375" style="338" bestFit="1" customWidth="1"/>
    <col min="11249" max="11249" width="2.33203125" style="338" bestFit="1" customWidth="1"/>
    <col min="11250" max="11250" width="9" style="338" bestFit="1" customWidth="1"/>
    <col min="11251" max="11251" width="2.33203125" style="338" bestFit="1" customWidth="1"/>
    <col min="11252" max="11252" width="11.88671875" style="338" bestFit="1" customWidth="1"/>
    <col min="11253" max="11253" width="2.33203125" style="338" bestFit="1" customWidth="1"/>
    <col min="11254" max="11254" width="8.44140625" style="338" bestFit="1" customWidth="1"/>
    <col min="11255" max="11256" width="2.33203125" style="338" bestFit="1" customWidth="1"/>
    <col min="11257" max="11258" width="6.33203125" style="338" bestFit="1" customWidth="1"/>
    <col min="11259" max="11259" width="6.5546875" style="338" bestFit="1" customWidth="1"/>
    <col min="11260" max="11260" width="8" style="338" bestFit="1" customWidth="1"/>
    <col min="11261" max="11261" width="68.44140625" style="338" bestFit="1" customWidth="1"/>
    <col min="11262" max="11262" width="11.44140625" style="338" bestFit="1" customWidth="1"/>
    <col min="11263" max="11263" width="12.5546875" style="338" bestFit="1" customWidth="1"/>
    <col min="11264" max="11264" width="4.6640625" style="338" bestFit="1" customWidth="1"/>
    <col min="11265" max="11265" width="13.33203125" style="338" bestFit="1" customWidth="1"/>
    <col min="11266" max="11266" width="4.6640625" style="338" bestFit="1" customWidth="1"/>
    <col min="11267" max="11267" width="11.88671875" style="338" bestFit="1" customWidth="1"/>
    <col min="11268" max="11268" width="4.109375" style="338" bestFit="1" customWidth="1"/>
    <col min="11269" max="11269" width="12.44140625" style="338" bestFit="1" customWidth="1"/>
    <col min="11270" max="11270" width="4.109375" style="338" bestFit="1" customWidth="1"/>
    <col min="11271" max="11271" width="9.33203125" style="338" bestFit="1" customWidth="1"/>
    <col min="11272" max="11272" width="4.109375" style="338" bestFit="1" customWidth="1"/>
    <col min="11273" max="11273" width="10" style="338" bestFit="1" customWidth="1"/>
    <col min="11274" max="11274" width="13.109375" style="338" customWidth="1"/>
    <col min="11275" max="11275" width="4.109375" style="338" bestFit="1" customWidth="1"/>
    <col min="11276" max="11276" width="13.109375" style="338" customWidth="1"/>
    <col min="11277" max="11503" width="9.109375" style="338"/>
    <col min="11504" max="11504" width="13.109375" style="338" bestFit="1" customWidth="1"/>
    <col min="11505" max="11505" width="2.33203125" style="338" bestFit="1" customWidth="1"/>
    <col min="11506" max="11506" width="9" style="338" bestFit="1" customWidth="1"/>
    <col min="11507" max="11507" width="2.33203125" style="338" bestFit="1" customWidth="1"/>
    <col min="11508" max="11508" width="11.88671875" style="338" bestFit="1" customWidth="1"/>
    <col min="11509" max="11509" width="2.33203125" style="338" bestFit="1" customWidth="1"/>
    <col min="11510" max="11510" width="8.44140625" style="338" bestFit="1" customWidth="1"/>
    <col min="11511" max="11512" width="2.33203125" style="338" bestFit="1" customWidth="1"/>
    <col min="11513" max="11514" width="6.33203125" style="338" bestFit="1" customWidth="1"/>
    <col min="11515" max="11515" width="6.5546875" style="338" bestFit="1" customWidth="1"/>
    <col min="11516" max="11516" width="8" style="338" bestFit="1" customWidth="1"/>
    <col min="11517" max="11517" width="68.44140625" style="338" bestFit="1" customWidth="1"/>
    <col min="11518" max="11518" width="11.44140625" style="338" bestFit="1" customWidth="1"/>
    <col min="11519" max="11519" width="12.5546875" style="338" bestFit="1" customWidth="1"/>
    <col min="11520" max="11520" width="4.6640625" style="338" bestFit="1" customWidth="1"/>
    <col min="11521" max="11521" width="13.33203125" style="338" bestFit="1" customWidth="1"/>
    <col min="11522" max="11522" width="4.6640625" style="338" bestFit="1" customWidth="1"/>
    <col min="11523" max="11523" width="11.88671875" style="338" bestFit="1" customWidth="1"/>
    <col min="11524" max="11524" width="4.109375" style="338" bestFit="1" customWidth="1"/>
    <col min="11525" max="11525" width="12.44140625" style="338" bestFit="1" customWidth="1"/>
    <col min="11526" max="11526" width="4.109375" style="338" bestFit="1" customWidth="1"/>
    <col min="11527" max="11527" width="9.33203125" style="338" bestFit="1" customWidth="1"/>
    <col min="11528" max="11528" width="4.109375" style="338" bestFit="1" customWidth="1"/>
    <col min="11529" max="11529" width="10" style="338" bestFit="1" customWidth="1"/>
    <col min="11530" max="11530" width="13.109375" style="338" customWidth="1"/>
    <col min="11531" max="11531" width="4.109375" style="338" bestFit="1" customWidth="1"/>
    <col min="11532" max="11532" width="13.109375" style="338" customWidth="1"/>
    <col min="11533" max="11759" width="9.109375" style="338"/>
    <col min="11760" max="11760" width="13.109375" style="338" bestFit="1" customWidth="1"/>
    <col min="11761" max="11761" width="2.33203125" style="338" bestFit="1" customWidth="1"/>
    <col min="11762" max="11762" width="9" style="338" bestFit="1" customWidth="1"/>
    <col min="11763" max="11763" width="2.33203125" style="338" bestFit="1" customWidth="1"/>
    <col min="11764" max="11764" width="11.88671875" style="338" bestFit="1" customWidth="1"/>
    <col min="11765" max="11765" width="2.33203125" style="338" bestFit="1" customWidth="1"/>
    <col min="11766" max="11766" width="8.44140625" style="338" bestFit="1" customWidth="1"/>
    <col min="11767" max="11768" width="2.33203125" style="338" bestFit="1" customWidth="1"/>
    <col min="11769" max="11770" width="6.33203125" style="338" bestFit="1" customWidth="1"/>
    <col min="11771" max="11771" width="6.5546875" style="338" bestFit="1" customWidth="1"/>
    <col min="11772" max="11772" width="8" style="338" bestFit="1" customWidth="1"/>
    <col min="11773" max="11773" width="68.44140625" style="338" bestFit="1" customWidth="1"/>
    <col min="11774" max="11774" width="11.44140625" style="338" bestFit="1" customWidth="1"/>
    <col min="11775" max="11775" width="12.5546875" style="338" bestFit="1" customWidth="1"/>
    <col min="11776" max="11776" width="4.6640625" style="338" bestFit="1" customWidth="1"/>
    <col min="11777" max="11777" width="13.33203125" style="338" bestFit="1" customWidth="1"/>
    <col min="11778" max="11778" width="4.6640625" style="338" bestFit="1" customWidth="1"/>
    <col min="11779" max="11779" width="11.88671875" style="338" bestFit="1" customWidth="1"/>
    <col min="11780" max="11780" width="4.109375" style="338" bestFit="1" customWidth="1"/>
    <col min="11781" max="11781" width="12.44140625" style="338" bestFit="1" customWidth="1"/>
    <col min="11782" max="11782" width="4.109375" style="338" bestFit="1" customWidth="1"/>
    <col min="11783" max="11783" width="9.33203125" style="338" bestFit="1" customWidth="1"/>
    <col min="11784" max="11784" width="4.109375" style="338" bestFit="1" customWidth="1"/>
    <col min="11785" max="11785" width="10" style="338" bestFit="1" customWidth="1"/>
    <col min="11786" max="11786" width="13.109375" style="338" customWidth="1"/>
    <col min="11787" max="11787" width="4.109375" style="338" bestFit="1" customWidth="1"/>
    <col min="11788" max="11788" width="13.109375" style="338" customWidth="1"/>
    <col min="11789" max="12015" width="9.109375" style="338"/>
    <col min="12016" max="12016" width="13.109375" style="338" bestFit="1" customWidth="1"/>
    <col min="12017" max="12017" width="2.33203125" style="338" bestFit="1" customWidth="1"/>
    <col min="12018" max="12018" width="9" style="338" bestFit="1" customWidth="1"/>
    <col min="12019" max="12019" width="2.33203125" style="338" bestFit="1" customWidth="1"/>
    <col min="12020" max="12020" width="11.88671875" style="338" bestFit="1" customWidth="1"/>
    <col min="12021" max="12021" width="2.33203125" style="338" bestFit="1" customWidth="1"/>
    <col min="12022" max="12022" width="8.44140625" style="338" bestFit="1" customWidth="1"/>
    <col min="12023" max="12024" width="2.33203125" style="338" bestFit="1" customWidth="1"/>
    <col min="12025" max="12026" width="6.33203125" style="338" bestFit="1" customWidth="1"/>
    <col min="12027" max="12027" width="6.5546875" style="338" bestFit="1" customWidth="1"/>
    <col min="12028" max="12028" width="8" style="338" bestFit="1" customWidth="1"/>
    <col min="12029" max="12029" width="68.44140625" style="338" bestFit="1" customWidth="1"/>
    <col min="12030" max="12030" width="11.44140625" style="338" bestFit="1" customWidth="1"/>
    <col min="12031" max="12031" width="12.5546875" style="338" bestFit="1" customWidth="1"/>
    <col min="12032" max="12032" width="4.6640625" style="338" bestFit="1" customWidth="1"/>
    <col min="12033" max="12033" width="13.33203125" style="338" bestFit="1" customWidth="1"/>
    <col min="12034" max="12034" width="4.6640625" style="338" bestFit="1" customWidth="1"/>
    <col min="12035" max="12035" width="11.88671875" style="338" bestFit="1" customWidth="1"/>
    <col min="12036" max="12036" width="4.109375" style="338" bestFit="1" customWidth="1"/>
    <col min="12037" max="12037" width="12.44140625" style="338" bestFit="1" customWidth="1"/>
    <col min="12038" max="12038" width="4.109375" style="338" bestFit="1" customWidth="1"/>
    <col min="12039" max="12039" width="9.33203125" style="338" bestFit="1" customWidth="1"/>
    <col min="12040" max="12040" width="4.109375" style="338" bestFit="1" customWidth="1"/>
    <col min="12041" max="12041" width="10" style="338" bestFit="1" customWidth="1"/>
    <col min="12042" max="12042" width="13.109375" style="338" customWidth="1"/>
    <col min="12043" max="12043" width="4.109375" style="338" bestFit="1" customWidth="1"/>
    <col min="12044" max="12044" width="13.109375" style="338" customWidth="1"/>
    <col min="12045" max="12271" width="9.109375" style="338"/>
    <col min="12272" max="12272" width="13.109375" style="338" bestFit="1" customWidth="1"/>
    <col min="12273" max="12273" width="2.33203125" style="338" bestFit="1" customWidth="1"/>
    <col min="12274" max="12274" width="9" style="338" bestFit="1" customWidth="1"/>
    <col min="12275" max="12275" width="2.33203125" style="338" bestFit="1" customWidth="1"/>
    <col min="12276" max="12276" width="11.88671875" style="338" bestFit="1" customWidth="1"/>
    <col min="12277" max="12277" width="2.33203125" style="338" bestFit="1" customWidth="1"/>
    <col min="12278" max="12278" width="8.44140625" style="338" bestFit="1" customWidth="1"/>
    <col min="12279" max="12280" width="2.33203125" style="338" bestFit="1" customWidth="1"/>
    <col min="12281" max="12282" width="6.33203125" style="338" bestFit="1" customWidth="1"/>
    <col min="12283" max="12283" width="6.5546875" style="338" bestFit="1" customWidth="1"/>
    <col min="12284" max="12284" width="8" style="338" bestFit="1" customWidth="1"/>
    <col min="12285" max="12285" width="68.44140625" style="338" bestFit="1" customWidth="1"/>
    <col min="12286" max="12286" width="11.44140625" style="338" bestFit="1" customWidth="1"/>
    <col min="12287" max="12287" width="12.5546875" style="338" bestFit="1" customWidth="1"/>
    <col min="12288" max="12288" width="4.6640625" style="338" bestFit="1" customWidth="1"/>
    <col min="12289" max="12289" width="13.33203125" style="338" bestFit="1" customWidth="1"/>
    <col min="12290" max="12290" width="4.6640625" style="338" bestFit="1" customWidth="1"/>
    <col min="12291" max="12291" width="11.88671875" style="338" bestFit="1" customWidth="1"/>
    <col min="12292" max="12292" width="4.109375" style="338" bestFit="1" customWidth="1"/>
    <col min="12293" max="12293" width="12.44140625" style="338" bestFit="1" customWidth="1"/>
    <col min="12294" max="12294" width="4.109375" style="338" bestFit="1" customWidth="1"/>
    <col min="12295" max="12295" width="9.33203125" style="338" bestFit="1" customWidth="1"/>
    <col min="12296" max="12296" width="4.109375" style="338" bestFit="1" customWidth="1"/>
    <col min="12297" max="12297" width="10" style="338" bestFit="1" customWidth="1"/>
    <col min="12298" max="12298" width="13.109375" style="338" customWidth="1"/>
    <col min="12299" max="12299" width="4.109375" style="338" bestFit="1" customWidth="1"/>
    <col min="12300" max="12300" width="13.109375" style="338" customWidth="1"/>
    <col min="12301" max="12527" width="9.109375" style="338"/>
    <col min="12528" max="12528" width="13.109375" style="338" bestFit="1" customWidth="1"/>
    <col min="12529" max="12529" width="2.33203125" style="338" bestFit="1" customWidth="1"/>
    <col min="12530" max="12530" width="9" style="338" bestFit="1" customWidth="1"/>
    <col min="12531" max="12531" width="2.33203125" style="338" bestFit="1" customWidth="1"/>
    <col min="12532" max="12532" width="11.88671875" style="338" bestFit="1" customWidth="1"/>
    <col min="12533" max="12533" width="2.33203125" style="338" bestFit="1" customWidth="1"/>
    <col min="12534" max="12534" width="8.44140625" style="338" bestFit="1" customWidth="1"/>
    <col min="12535" max="12536" width="2.33203125" style="338" bestFit="1" customWidth="1"/>
    <col min="12537" max="12538" width="6.33203125" style="338" bestFit="1" customWidth="1"/>
    <col min="12539" max="12539" width="6.5546875" style="338" bestFit="1" customWidth="1"/>
    <col min="12540" max="12540" width="8" style="338" bestFit="1" customWidth="1"/>
    <col min="12541" max="12541" width="68.44140625" style="338" bestFit="1" customWidth="1"/>
    <col min="12542" max="12542" width="11.44140625" style="338" bestFit="1" customWidth="1"/>
    <col min="12543" max="12543" width="12.5546875" style="338" bestFit="1" customWidth="1"/>
    <col min="12544" max="12544" width="4.6640625" style="338" bestFit="1" customWidth="1"/>
    <col min="12545" max="12545" width="13.33203125" style="338" bestFit="1" customWidth="1"/>
    <col min="12546" max="12546" width="4.6640625" style="338" bestFit="1" customWidth="1"/>
    <col min="12547" max="12547" width="11.88671875" style="338" bestFit="1" customWidth="1"/>
    <col min="12548" max="12548" width="4.109375" style="338" bestFit="1" customWidth="1"/>
    <col min="12549" max="12549" width="12.44140625" style="338" bestFit="1" customWidth="1"/>
    <col min="12550" max="12550" width="4.109375" style="338" bestFit="1" customWidth="1"/>
    <col min="12551" max="12551" width="9.33203125" style="338" bestFit="1" customWidth="1"/>
    <col min="12552" max="12552" width="4.109375" style="338" bestFit="1" customWidth="1"/>
    <col min="12553" max="12553" width="10" style="338" bestFit="1" customWidth="1"/>
    <col min="12554" max="12554" width="13.109375" style="338" customWidth="1"/>
    <col min="12555" max="12555" width="4.109375" style="338" bestFit="1" customWidth="1"/>
    <col min="12556" max="12556" width="13.109375" style="338" customWidth="1"/>
    <col min="12557" max="12783" width="9.109375" style="338"/>
    <col min="12784" max="12784" width="13.109375" style="338" bestFit="1" customWidth="1"/>
    <col min="12785" max="12785" width="2.33203125" style="338" bestFit="1" customWidth="1"/>
    <col min="12786" max="12786" width="9" style="338" bestFit="1" customWidth="1"/>
    <col min="12787" max="12787" width="2.33203125" style="338" bestFit="1" customWidth="1"/>
    <col min="12788" max="12788" width="11.88671875" style="338" bestFit="1" customWidth="1"/>
    <col min="12789" max="12789" width="2.33203125" style="338" bestFit="1" customWidth="1"/>
    <col min="12790" max="12790" width="8.44140625" style="338" bestFit="1" customWidth="1"/>
    <col min="12791" max="12792" width="2.33203125" style="338" bestFit="1" customWidth="1"/>
    <col min="12793" max="12794" width="6.33203125" style="338" bestFit="1" customWidth="1"/>
    <col min="12795" max="12795" width="6.5546875" style="338" bestFit="1" customWidth="1"/>
    <col min="12796" max="12796" width="8" style="338" bestFit="1" customWidth="1"/>
    <col min="12797" max="12797" width="68.44140625" style="338" bestFit="1" customWidth="1"/>
    <col min="12798" max="12798" width="11.44140625" style="338" bestFit="1" customWidth="1"/>
    <col min="12799" max="12799" width="12.5546875" style="338" bestFit="1" customWidth="1"/>
    <col min="12800" max="12800" width="4.6640625" style="338" bestFit="1" customWidth="1"/>
    <col min="12801" max="12801" width="13.33203125" style="338" bestFit="1" customWidth="1"/>
    <col min="12802" max="12802" width="4.6640625" style="338" bestFit="1" customWidth="1"/>
    <col min="12803" max="12803" width="11.88671875" style="338" bestFit="1" customWidth="1"/>
    <col min="12804" max="12804" width="4.109375" style="338" bestFit="1" customWidth="1"/>
    <col min="12805" max="12805" width="12.44140625" style="338" bestFit="1" customWidth="1"/>
    <col min="12806" max="12806" width="4.109375" style="338" bestFit="1" customWidth="1"/>
    <col min="12807" max="12807" width="9.33203125" style="338" bestFit="1" customWidth="1"/>
    <col min="12808" max="12808" width="4.109375" style="338" bestFit="1" customWidth="1"/>
    <col min="12809" max="12809" width="10" style="338" bestFit="1" customWidth="1"/>
    <col min="12810" max="12810" width="13.109375" style="338" customWidth="1"/>
    <col min="12811" max="12811" width="4.109375" style="338" bestFit="1" customWidth="1"/>
    <col min="12812" max="12812" width="13.109375" style="338" customWidth="1"/>
    <col min="12813" max="13039" width="9.109375" style="338"/>
    <col min="13040" max="13040" width="13.109375" style="338" bestFit="1" customWidth="1"/>
    <col min="13041" max="13041" width="2.33203125" style="338" bestFit="1" customWidth="1"/>
    <col min="13042" max="13042" width="9" style="338" bestFit="1" customWidth="1"/>
    <col min="13043" max="13043" width="2.33203125" style="338" bestFit="1" customWidth="1"/>
    <col min="13044" max="13044" width="11.88671875" style="338" bestFit="1" customWidth="1"/>
    <col min="13045" max="13045" width="2.33203125" style="338" bestFit="1" customWidth="1"/>
    <col min="13046" max="13046" width="8.44140625" style="338" bestFit="1" customWidth="1"/>
    <col min="13047" max="13048" width="2.33203125" style="338" bestFit="1" customWidth="1"/>
    <col min="13049" max="13050" width="6.33203125" style="338" bestFit="1" customWidth="1"/>
    <col min="13051" max="13051" width="6.5546875" style="338" bestFit="1" customWidth="1"/>
    <col min="13052" max="13052" width="8" style="338" bestFit="1" customWidth="1"/>
    <col min="13053" max="13053" width="68.44140625" style="338" bestFit="1" customWidth="1"/>
    <col min="13054" max="13054" width="11.44140625" style="338" bestFit="1" customWidth="1"/>
    <col min="13055" max="13055" width="12.5546875" style="338" bestFit="1" customWidth="1"/>
    <col min="13056" max="13056" width="4.6640625" style="338" bestFit="1" customWidth="1"/>
    <col min="13057" max="13057" width="13.33203125" style="338" bestFit="1" customWidth="1"/>
    <col min="13058" max="13058" width="4.6640625" style="338" bestFit="1" customWidth="1"/>
    <col min="13059" max="13059" width="11.88671875" style="338" bestFit="1" customWidth="1"/>
    <col min="13060" max="13060" width="4.109375" style="338" bestFit="1" customWidth="1"/>
    <col min="13061" max="13061" width="12.44140625" style="338" bestFit="1" customWidth="1"/>
    <col min="13062" max="13062" width="4.109375" style="338" bestFit="1" customWidth="1"/>
    <col min="13063" max="13063" width="9.33203125" style="338" bestFit="1" customWidth="1"/>
    <col min="13064" max="13064" width="4.109375" style="338" bestFit="1" customWidth="1"/>
    <col min="13065" max="13065" width="10" style="338" bestFit="1" customWidth="1"/>
    <col min="13066" max="13066" width="13.109375" style="338" customWidth="1"/>
    <col min="13067" max="13067" width="4.109375" style="338" bestFit="1" customWidth="1"/>
    <col min="13068" max="13068" width="13.109375" style="338" customWidth="1"/>
    <col min="13069" max="13295" width="9.109375" style="338"/>
    <col min="13296" max="13296" width="13.109375" style="338" bestFit="1" customWidth="1"/>
    <col min="13297" max="13297" width="2.33203125" style="338" bestFit="1" customWidth="1"/>
    <col min="13298" max="13298" width="9" style="338" bestFit="1" customWidth="1"/>
    <col min="13299" max="13299" width="2.33203125" style="338" bestFit="1" customWidth="1"/>
    <col min="13300" max="13300" width="11.88671875" style="338" bestFit="1" customWidth="1"/>
    <col min="13301" max="13301" width="2.33203125" style="338" bestFit="1" customWidth="1"/>
    <col min="13302" max="13302" width="8.44140625" style="338" bestFit="1" customWidth="1"/>
    <col min="13303" max="13304" width="2.33203125" style="338" bestFit="1" customWidth="1"/>
    <col min="13305" max="13306" width="6.33203125" style="338" bestFit="1" customWidth="1"/>
    <col min="13307" max="13307" width="6.5546875" style="338" bestFit="1" customWidth="1"/>
    <col min="13308" max="13308" width="8" style="338" bestFit="1" customWidth="1"/>
    <col min="13309" max="13309" width="68.44140625" style="338" bestFit="1" customWidth="1"/>
    <col min="13310" max="13310" width="11.44140625" style="338" bestFit="1" customWidth="1"/>
    <col min="13311" max="13311" width="12.5546875" style="338" bestFit="1" customWidth="1"/>
    <col min="13312" max="13312" width="4.6640625" style="338" bestFit="1" customWidth="1"/>
    <col min="13313" max="13313" width="13.33203125" style="338" bestFit="1" customWidth="1"/>
    <col min="13314" max="13314" width="4.6640625" style="338" bestFit="1" customWidth="1"/>
    <col min="13315" max="13315" width="11.88671875" style="338" bestFit="1" customWidth="1"/>
    <col min="13316" max="13316" width="4.109375" style="338" bestFit="1" customWidth="1"/>
    <col min="13317" max="13317" width="12.44140625" style="338" bestFit="1" customWidth="1"/>
    <col min="13318" max="13318" width="4.109375" style="338" bestFit="1" customWidth="1"/>
    <col min="13319" max="13319" width="9.33203125" style="338" bestFit="1" customWidth="1"/>
    <col min="13320" max="13320" width="4.109375" style="338" bestFit="1" customWidth="1"/>
    <col min="13321" max="13321" width="10" style="338" bestFit="1" customWidth="1"/>
    <col min="13322" max="13322" width="13.109375" style="338" customWidth="1"/>
    <col min="13323" max="13323" width="4.109375" style="338" bestFit="1" customWidth="1"/>
    <col min="13324" max="13324" width="13.109375" style="338" customWidth="1"/>
    <col min="13325" max="13551" width="9.109375" style="338"/>
    <col min="13552" max="13552" width="13.109375" style="338" bestFit="1" customWidth="1"/>
    <col min="13553" max="13553" width="2.33203125" style="338" bestFit="1" customWidth="1"/>
    <col min="13554" max="13554" width="9" style="338" bestFit="1" customWidth="1"/>
    <col min="13555" max="13555" width="2.33203125" style="338" bestFit="1" customWidth="1"/>
    <col min="13556" max="13556" width="11.88671875" style="338" bestFit="1" customWidth="1"/>
    <col min="13557" max="13557" width="2.33203125" style="338" bestFit="1" customWidth="1"/>
    <col min="13558" max="13558" width="8.44140625" style="338" bestFit="1" customWidth="1"/>
    <col min="13559" max="13560" width="2.33203125" style="338" bestFit="1" customWidth="1"/>
    <col min="13561" max="13562" width="6.33203125" style="338" bestFit="1" customWidth="1"/>
    <col min="13563" max="13563" width="6.5546875" style="338" bestFit="1" customWidth="1"/>
    <col min="13564" max="13564" width="8" style="338" bestFit="1" customWidth="1"/>
    <col min="13565" max="13565" width="68.44140625" style="338" bestFit="1" customWidth="1"/>
    <col min="13566" max="13566" width="11.44140625" style="338" bestFit="1" customWidth="1"/>
    <col min="13567" max="13567" width="12.5546875" style="338" bestFit="1" customWidth="1"/>
    <col min="13568" max="13568" width="4.6640625" style="338" bestFit="1" customWidth="1"/>
    <col min="13569" max="13569" width="13.33203125" style="338" bestFit="1" customWidth="1"/>
    <col min="13570" max="13570" width="4.6640625" style="338" bestFit="1" customWidth="1"/>
    <col min="13571" max="13571" width="11.88671875" style="338" bestFit="1" customWidth="1"/>
    <col min="13572" max="13572" width="4.109375" style="338" bestFit="1" customWidth="1"/>
    <col min="13573" max="13573" width="12.44140625" style="338" bestFit="1" customWidth="1"/>
    <col min="13574" max="13574" width="4.109375" style="338" bestFit="1" customWidth="1"/>
    <col min="13575" max="13575" width="9.33203125" style="338" bestFit="1" customWidth="1"/>
    <col min="13576" max="13576" width="4.109375" style="338" bestFit="1" customWidth="1"/>
    <col min="13577" max="13577" width="10" style="338" bestFit="1" customWidth="1"/>
    <col min="13578" max="13578" width="13.109375" style="338" customWidth="1"/>
    <col min="13579" max="13579" width="4.109375" style="338" bestFit="1" customWidth="1"/>
    <col min="13580" max="13580" width="13.109375" style="338" customWidth="1"/>
    <col min="13581" max="13807" width="9.109375" style="338"/>
    <col min="13808" max="13808" width="13.109375" style="338" bestFit="1" customWidth="1"/>
    <col min="13809" max="13809" width="2.33203125" style="338" bestFit="1" customWidth="1"/>
    <col min="13810" max="13810" width="9" style="338" bestFit="1" customWidth="1"/>
    <col min="13811" max="13811" width="2.33203125" style="338" bestFit="1" customWidth="1"/>
    <col min="13812" max="13812" width="11.88671875" style="338" bestFit="1" customWidth="1"/>
    <col min="13813" max="13813" width="2.33203125" style="338" bestFit="1" customWidth="1"/>
    <col min="13814" max="13814" width="8.44140625" style="338" bestFit="1" customWidth="1"/>
    <col min="13815" max="13816" width="2.33203125" style="338" bestFit="1" customWidth="1"/>
    <col min="13817" max="13818" width="6.33203125" style="338" bestFit="1" customWidth="1"/>
    <col min="13819" max="13819" width="6.5546875" style="338" bestFit="1" customWidth="1"/>
    <col min="13820" max="13820" width="8" style="338" bestFit="1" customWidth="1"/>
    <col min="13821" max="13821" width="68.44140625" style="338" bestFit="1" customWidth="1"/>
    <col min="13822" max="13822" width="11.44140625" style="338" bestFit="1" customWidth="1"/>
    <col min="13823" max="13823" width="12.5546875" style="338" bestFit="1" customWidth="1"/>
    <col min="13824" max="13824" width="4.6640625" style="338" bestFit="1" customWidth="1"/>
    <col min="13825" max="13825" width="13.33203125" style="338" bestFit="1" customWidth="1"/>
    <col min="13826" max="13826" width="4.6640625" style="338" bestFit="1" customWidth="1"/>
    <col min="13827" max="13827" width="11.88671875" style="338" bestFit="1" customWidth="1"/>
    <col min="13828" max="13828" width="4.109375" style="338" bestFit="1" customWidth="1"/>
    <col min="13829" max="13829" width="12.44140625" style="338" bestFit="1" customWidth="1"/>
    <col min="13830" max="13830" width="4.109375" style="338" bestFit="1" customWidth="1"/>
    <col min="13831" max="13831" width="9.33203125" style="338" bestFit="1" customWidth="1"/>
    <col min="13832" max="13832" width="4.109375" style="338" bestFit="1" customWidth="1"/>
    <col min="13833" max="13833" width="10" style="338" bestFit="1" customWidth="1"/>
    <col min="13834" max="13834" width="13.109375" style="338" customWidth="1"/>
    <col min="13835" max="13835" width="4.109375" style="338" bestFit="1" customWidth="1"/>
    <col min="13836" max="13836" width="13.109375" style="338" customWidth="1"/>
    <col min="13837" max="14063" width="9.109375" style="338"/>
    <col min="14064" max="14064" width="13.109375" style="338" bestFit="1" customWidth="1"/>
    <col min="14065" max="14065" width="2.33203125" style="338" bestFit="1" customWidth="1"/>
    <col min="14066" max="14066" width="9" style="338" bestFit="1" customWidth="1"/>
    <col min="14067" max="14067" width="2.33203125" style="338" bestFit="1" customWidth="1"/>
    <col min="14068" max="14068" width="11.88671875" style="338" bestFit="1" customWidth="1"/>
    <col min="14069" max="14069" width="2.33203125" style="338" bestFit="1" customWidth="1"/>
    <col min="14070" max="14070" width="8.44140625" style="338" bestFit="1" customWidth="1"/>
    <col min="14071" max="14072" width="2.33203125" style="338" bestFit="1" customWidth="1"/>
    <col min="14073" max="14074" width="6.33203125" style="338" bestFit="1" customWidth="1"/>
    <col min="14075" max="14075" width="6.5546875" style="338" bestFit="1" customWidth="1"/>
    <col min="14076" max="14076" width="8" style="338" bestFit="1" customWidth="1"/>
    <col min="14077" max="14077" width="68.44140625" style="338" bestFit="1" customWidth="1"/>
    <col min="14078" max="14078" width="11.44140625" style="338" bestFit="1" customWidth="1"/>
    <col min="14079" max="14079" width="12.5546875" style="338" bestFit="1" customWidth="1"/>
    <col min="14080" max="14080" width="4.6640625" style="338" bestFit="1" customWidth="1"/>
    <col min="14081" max="14081" width="13.33203125" style="338" bestFit="1" customWidth="1"/>
    <col min="14082" max="14082" width="4.6640625" style="338" bestFit="1" customWidth="1"/>
    <col min="14083" max="14083" width="11.88671875" style="338" bestFit="1" customWidth="1"/>
    <col min="14084" max="14084" width="4.109375" style="338" bestFit="1" customWidth="1"/>
    <col min="14085" max="14085" width="12.44140625" style="338" bestFit="1" customWidth="1"/>
    <col min="14086" max="14086" width="4.109375" style="338" bestFit="1" customWidth="1"/>
    <col min="14087" max="14087" width="9.33203125" style="338" bestFit="1" customWidth="1"/>
    <col min="14088" max="14088" width="4.109375" style="338" bestFit="1" customWidth="1"/>
    <col min="14089" max="14089" width="10" style="338" bestFit="1" customWidth="1"/>
    <col min="14090" max="14090" width="13.109375" style="338" customWidth="1"/>
    <col min="14091" max="14091" width="4.109375" style="338" bestFit="1" customWidth="1"/>
    <col min="14092" max="14092" width="13.109375" style="338" customWidth="1"/>
    <col min="14093" max="14319" width="9.109375" style="338"/>
    <col min="14320" max="14320" width="13.109375" style="338" bestFit="1" customWidth="1"/>
    <col min="14321" max="14321" width="2.33203125" style="338" bestFit="1" customWidth="1"/>
    <col min="14322" max="14322" width="9" style="338" bestFit="1" customWidth="1"/>
    <col min="14323" max="14323" width="2.33203125" style="338" bestFit="1" customWidth="1"/>
    <col min="14324" max="14324" width="11.88671875" style="338" bestFit="1" customWidth="1"/>
    <col min="14325" max="14325" width="2.33203125" style="338" bestFit="1" customWidth="1"/>
    <col min="14326" max="14326" width="8.44140625" style="338" bestFit="1" customWidth="1"/>
    <col min="14327" max="14328" width="2.33203125" style="338" bestFit="1" customWidth="1"/>
    <col min="14329" max="14330" width="6.33203125" style="338" bestFit="1" customWidth="1"/>
    <col min="14331" max="14331" width="6.5546875" style="338" bestFit="1" customWidth="1"/>
    <col min="14332" max="14332" width="8" style="338" bestFit="1" customWidth="1"/>
    <col min="14333" max="14333" width="68.44140625" style="338" bestFit="1" customWidth="1"/>
    <col min="14334" max="14334" width="11.44140625" style="338" bestFit="1" customWidth="1"/>
    <col min="14335" max="14335" width="12.5546875" style="338" bestFit="1" customWidth="1"/>
    <col min="14336" max="14336" width="4.6640625" style="338" bestFit="1" customWidth="1"/>
    <col min="14337" max="14337" width="13.33203125" style="338" bestFit="1" customWidth="1"/>
    <col min="14338" max="14338" width="4.6640625" style="338" bestFit="1" customWidth="1"/>
    <col min="14339" max="14339" width="11.88671875" style="338" bestFit="1" customWidth="1"/>
    <col min="14340" max="14340" width="4.109375" style="338" bestFit="1" customWidth="1"/>
    <col min="14341" max="14341" width="12.44140625" style="338" bestFit="1" customWidth="1"/>
    <col min="14342" max="14342" width="4.109375" style="338" bestFit="1" customWidth="1"/>
    <col min="14343" max="14343" width="9.33203125" style="338" bestFit="1" customWidth="1"/>
    <col min="14344" max="14344" width="4.109375" style="338" bestFit="1" customWidth="1"/>
    <col min="14345" max="14345" width="10" style="338" bestFit="1" customWidth="1"/>
    <col min="14346" max="14346" width="13.109375" style="338" customWidth="1"/>
    <col min="14347" max="14347" width="4.109375" style="338" bestFit="1" customWidth="1"/>
    <col min="14348" max="14348" width="13.109375" style="338" customWidth="1"/>
    <col min="14349" max="14575" width="9.109375" style="338"/>
    <col min="14576" max="14576" width="13.109375" style="338" bestFit="1" customWidth="1"/>
    <col min="14577" max="14577" width="2.33203125" style="338" bestFit="1" customWidth="1"/>
    <col min="14578" max="14578" width="9" style="338" bestFit="1" customWidth="1"/>
    <col min="14579" max="14579" width="2.33203125" style="338" bestFit="1" customWidth="1"/>
    <col min="14580" max="14580" width="11.88671875" style="338" bestFit="1" customWidth="1"/>
    <col min="14581" max="14581" width="2.33203125" style="338" bestFit="1" customWidth="1"/>
    <col min="14582" max="14582" width="8.44140625" style="338" bestFit="1" customWidth="1"/>
    <col min="14583" max="14584" width="2.33203125" style="338" bestFit="1" customWidth="1"/>
    <col min="14585" max="14586" width="6.33203125" style="338" bestFit="1" customWidth="1"/>
    <col min="14587" max="14587" width="6.5546875" style="338" bestFit="1" customWidth="1"/>
    <col min="14588" max="14588" width="8" style="338" bestFit="1" customWidth="1"/>
    <col min="14589" max="14589" width="68.44140625" style="338" bestFit="1" customWidth="1"/>
    <col min="14590" max="14590" width="11.44140625" style="338" bestFit="1" customWidth="1"/>
    <col min="14591" max="14591" width="12.5546875" style="338" bestFit="1" customWidth="1"/>
    <col min="14592" max="14592" width="4.6640625" style="338" bestFit="1" customWidth="1"/>
    <col min="14593" max="14593" width="13.33203125" style="338" bestFit="1" customWidth="1"/>
    <col min="14594" max="14594" width="4.6640625" style="338" bestFit="1" customWidth="1"/>
    <col min="14595" max="14595" width="11.88671875" style="338" bestFit="1" customWidth="1"/>
    <col min="14596" max="14596" width="4.109375" style="338" bestFit="1" customWidth="1"/>
    <col min="14597" max="14597" width="12.44140625" style="338" bestFit="1" customWidth="1"/>
    <col min="14598" max="14598" width="4.109375" style="338" bestFit="1" customWidth="1"/>
    <col min="14599" max="14599" width="9.33203125" style="338" bestFit="1" customWidth="1"/>
    <col min="14600" max="14600" width="4.109375" style="338" bestFit="1" customWidth="1"/>
    <col min="14601" max="14601" width="10" style="338" bestFit="1" customWidth="1"/>
    <col min="14602" max="14602" width="13.109375" style="338" customWidth="1"/>
    <col min="14603" max="14603" width="4.109375" style="338" bestFit="1" customWidth="1"/>
    <col min="14604" max="14604" width="13.109375" style="338" customWidth="1"/>
    <col min="14605" max="14831" width="9.109375" style="338"/>
    <col min="14832" max="14832" width="13.109375" style="338" bestFit="1" customWidth="1"/>
    <col min="14833" max="14833" width="2.33203125" style="338" bestFit="1" customWidth="1"/>
    <col min="14834" max="14834" width="9" style="338" bestFit="1" customWidth="1"/>
    <col min="14835" max="14835" width="2.33203125" style="338" bestFit="1" customWidth="1"/>
    <col min="14836" max="14836" width="11.88671875" style="338" bestFit="1" customWidth="1"/>
    <col min="14837" max="14837" width="2.33203125" style="338" bestFit="1" customWidth="1"/>
    <col min="14838" max="14838" width="8.44140625" style="338" bestFit="1" customWidth="1"/>
    <col min="14839" max="14840" width="2.33203125" style="338" bestFit="1" customWidth="1"/>
    <col min="14841" max="14842" width="6.33203125" style="338" bestFit="1" customWidth="1"/>
    <col min="14843" max="14843" width="6.5546875" style="338" bestFit="1" customWidth="1"/>
    <col min="14844" max="14844" width="8" style="338" bestFit="1" customWidth="1"/>
    <col min="14845" max="14845" width="68.44140625" style="338" bestFit="1" customWidth="1"/>
    <col min="14846" max="14846" width="11.44140625" style="338" bestFit="1" customWidth="1"/>
    <col min="14847" max="14847" width="12.5546875" style="338" bestFit="1" customWidth="1"/>
    <col min="14848" max="14848" width="4.6640625" style="338" bestFit="1" customWidth="1"/>
    <col min="14849" max="14849" width="13.33203125" style="338" bestFit="1" customWidth="1"/>
    <col min="14850" max="14850" width="4.6640625" style="338" bestFit="1" customWidth="1"/>
    <col min="14851" max="14851" width="11.88671875" style="338" bestFit="1" customWidth="1"/>
    <col min="14852" max="14852" width="4.109375" style="338" bestFit="1" customWidth="1"/>
    <col min="14853" max="14853" width="12.44140625" style="338" bestFit="1" customWidth="1"/>
    <col min="14854" max="14854" width="4.109375" style="338" bestFit="1" customWidth="1"/>
    <col min="14855" max="14855" width="9.33203125" style="338" bestFit="1" customWidth="1"/>
    <col min="14856" max="14856" width="4.109375" style="338" bestFit="1" customWidth="1"/>
    <col min="14857" max="14857" width="10" style="338" bestFit="1" customWidth="1"/>
    <col min="14858" max="14858" width="13.109375" style="338" customWidth="1"/>
    <col min="14859" max="14859" width="4.109375" style="338" bestFit="1" customWidth="1"/>
    <col min="14860" max="14860" width="13.109375" style="338" customWidth="1"/>
    <col min="14861" max="15087" width="9.109375" style="338"/>
    <col min="15088" max="15088" width="13.109375" style="338" bestFit="1" customWidth="1"/>
    <col min="15089" max="15089" width="2.33203125" style="338" bestFit="1" customWidth="1"/>
    <col min="15090" max="15090" width="9" style="338" bestFit="1" customWidth="1"/>
    <col min="15091" max="15091" width="2.33203125" style="338" bestFit="1" customWidth="1"/>
    <col min="15092" max="15092" width="11.88671875" style="338" bestFit="1" customWidth="1"/>
    <col min="15093" max="15093" width="2.33203125" style="338" bestFit="1" customWidth="1"/>
    <col min="15094" max="15094" width="8.44140625" style="338" bestFit="1" customWidth="1"/>
    <col min="15095" max="15096" width="2.33203125" style="338" bestFit="1" customWidth="1"/>
    <col min="15097" max="15098" width="6.33203125" style="338" bestFit="1" customWidth="1"/>
    <col min="15099" max="15099" width="6.5546875" style="338" bestFit="1" customWidth="1"/>
    <col min="15100" max="15100" width="8" style="338" bestFit="1" customWidth="1"/>
    <col min="15101" max="15101" width="68.44140625" style="338" bestFit="1" customWidth="1"/>
    <col min="15102" max="15102" width="11.44140625" style="338" bestFit="1" customWidth="1"/>
    <col min="15103" max="15103" width="12.5546875" style="338" bestFit="1" customWidth="1"/>
    <col min="15104" max="15104" width="4.6640625" style="338" bestFit="1" customWidth="1"/>
    <col min="15105" max="15105" width="13.33203125" style="338" bestFit="1" customWidth="1"/>
    <col min="15106" max="15106" width="4.6640625" style="338" bestFit="1" customWidth="1"/>
    <col min="15107" max="15107" width="11.88671875" style="338" bestFit="1" customWidth="1"/>
    <col min="15108" max="15108" width="4.109375" style="338" bestFit="1" customWidth="1"/>
    <col min="15109" max="15109" width="12.44140625" style="338" bestFit="1" customWidth="1"/>
    <col min="15110" max="15110" width="4.109375" style="338" bestFit="1" customWidth="1"/>
    <col min="15111" max="15111" width="9.33203125" style="338" bestFit="1" customWidth="1"/>
    <col min="15112" max="15112" width="4.109375" style="338" bestFit="1" customWidth="1"/>
    <col min="15113" max="15113" width="10" style="338" bestFit="1" customWidth="1"/>
    <col min="15114" max="15114" width="13.109375" style="338" customWidth="1"/>
    <col min="15115" max="15115" width="4.109375" style="338" bestFit="1" customWidth="1"/>
    <col min="15116" max="15116" width="13.109375" style="338" customWidth="1"/>
    <col min="15117" max="15343" width="9.109375" style="338"/>
    <col min="15344" max="15344" width="13.109375" style="338" bestFit="1" customWidth="1"/>
    <col min="15345" max="15345" width="2.33203125" style="338" bestFit="1" customWidth="1"/>
    <col min="15346" max="15346" width="9" style="338" bestFit="1" customWidth="1"/>
    <col min="15347" max="15347" width="2.33203125" style="338" bestFit="1" customWidth="1"/>
    <col min="15348" max="15348" width="11.88671875" style="338" bestFit="1" customWidth="1"/>
    <col min="15349" max="15349" width="2.33203125" style="338" bestFit="1" customWidth="1"/>
    <col min="15350" max="15350" width="8.44140625" style="338" bestFit="1" customWidth="1"/>
    <col min="15351" max="15352" width="2.33203125" style="338" bestFit="1" customWidth="1"/>
    <col min="15353" max="15354" width="6.33203125" style="338" bestFit="1" customWidth="1"/>
    <col min="15355" max="15355" width="6.5546875" style="338" bestFit="1" customWidth="1"/>
    <col min="15356" max="15356" width="8" style="338" bestFit="1" customWidth="1"/>
    <col min="15357" max="15357" width="68.44140625" style="338" bestFit="1" customWidth="1"/>
    <col min="15358" max="15358" width="11.44140625" style="338" bestFit="1" customWidth="1"/>
    <col min="15359" max="15359" width="12.5546875" style="338" bestFit="1" customWidth="1"/>
    <col min="15360" max="15360" width="4.6640625" style="338" bestFit="1" customWidth="1"/>
    <col min="15361" max="15361" width="13.33203125" style="338" bestFit="1" customWidth="1"/>
    <col min="15362" max="15362" width="4.6640625" style="338" bestFit="1" customWidth="1"/>
    <col min="15363" max="15363" width="11.88671875" style="338" bestFit="1" customWidth="1"/>
    <col min="15364" max="15364" width="4.109375" style="338" bestFit="1" customWidth="1"/>
    <col min="15365" max="15365" width="12.44140625" style="338" bestFit="1" customWidth="1"/>
    <col min="15366" max="15366" width="4.109375" style="338" bestFit="1" customWidth="1"/>
    <col min="15367" max="15367" width="9.33203125" style="338" bestFit="1" customWidth="1"/>
    <col min="15368" max="15368" width="4.109375" style="338" bestFit="1" customWidth="1"/>
    <col min="15369" max="15369" width="10" style="338" bestFit="1" customWidth="1"/>
    <col min="15370" max="15370" width="13.109375" style="338" customWidth="1"/>
    <col min="15371" max="15371" width="4.109375" style="338" bestFit="1" customWidth="1"/>
    <col min="15372" max="15372" width="13.109375" style="338" customWidth="1"/>
    <col min="15373" max="15599" width="9.109375" style="338"/>
    <col min="15600" max="15600" width="13.109375" style="338" bestFit="1" customWidth="1"/>
    <col min="15601" max="15601" width="2.33203125" style="338" bestFit="1" customWidth="1"/>
    <col min="15602" max="15602" width="9" style="338" bestFit="1" customWidth="1"/>
    <col min="15603" max="15603" width="2.33203125" style="338" bestFit="1" customWidth="1"/>
    <col min="15604" max="15604" width="11.88671875" style="338" bestFit="1" customWidth="1"/>
    <col min="15605" max="15605" width="2.33203125" style="338" bestFit="1" customWidth="1"/>
    <col min="15606" max="15606" width="8.44140625" style="338" bestFit="1" customWidth="1"/>
    <col min="15607" max="15608" width="2.33203125" style="338" bestFit="1" customWidth="1"/>
    <col min="15609" max="15610" width="6.33203125" style="338" bestFit="1" customWidth="1"/>
    <col min="15611" max="15611" width="6.5546875" style="338" bestFit="1" customWidth="1"/>
    <col min="15612" max="15612" width="8" style="338" bestFit="1" customWidth="1"/>
    <col min="15613" max="15613" width="68.44140625" style="338" bestFit="1" customWidth="1"/>
    <col min="15614" max="15614" width="11.44140625" style="338" bestFit="1" customWidth="1"/>
    <col min="15615" max="15615" width="12.5546875" style="338" bestFit="1" customWidth="1"/>
    <col min="15616" max="15616" width="4.6640625" style="338" bestFit="1" customWidth="1"/>
    <col min="15617" max="15617" width="13.33203125" style="338" bestFit="1" customWidth="1"/>
    <col min="15618" max="15618" width="4.6640625" style="338" bestFit="1" customWidth="1"/>
    <col min="15619" max="15619" width="11.88671875" style="338" bestFit="1" customWidth="1"/>
    <col min="15620" max="15620" width="4.109375" style="338" bestFit="1" customWidth="1"/>
    <col min="15621" max="15621" width="12.44140625" style="338" bestFit="1" customWidth="1"/>
    <col min="15622" max="15622" width="4.109375" style="338" bestFit="1" customWidth="1"/>
    <col min="15623" max="15623" width="9.33203125" style="338" bestFit="1" customWidth="1"/>
    <col min="15624" max="15624" width="4.109375" style="338" bestFit="1" customWidth="1"/>
    <col min="15625" max="15625" width="10" style="338" bestFit="1" customWidth="1"/>
    <col min="15626" max="15626" width="13.109375" style="338" customWidth="1"/>
    <col min="15627" max="15627" width="4.109375" style="338" bestFit="1" customWidth="1"/>
    <col min="15628" max="15628" width="13.109375" style="338" customWidth="1"/>
    <col min="15629" max="15855" width="9.109375" style="338"/>
    <col min="15856" max="15856" width="13.109375" style="338" bestFit="1" customWidth="1"/>
    <col min="15857" max="15857" width="2.33203125" style="338" bestFit="1" customWidth="1"/>
    <col min="15858" max="15858" width="9" style="338" bestFit="1" customWidth="1"/>
    <col min="15859" max="15859" width="2.33203125" style="338" bestFit="1" customWidth="1"/>
    <col min="15860" max="15860" width="11.88671875" style="338" bestFit="1" customWidth="1"/>
    <col min="15861" max="15861" width="2.33203125" style="338" bestFit="1" customWidth="1"/>
    <col min="15862" max="15862" width="8.44140625" style="338" bestFit="1" customWidth="1"/>
    <col min="15863" max="15864" width="2.33203125" style="338" bestFit="1" customWidth="1"/>
    <col min="15865" max="15866" width="6.33203125" style="338" bestFit="1" customWidth="1"/>
    <col min="15867" max="15867" width="6.5546875" style="338" bestFit="1" customWidth="1"/>
    <col min="15868" max="15868" width="8" style="338" bestFit="1" customWidth="1"/>
    <col min="15869" max="15869" width="68.44140625" style="338" bestFit="1" customWidth="1"/>
    <col min="15870" max="15870" width="11.44140625" style="338" bestFit="1" customWidth="1"/>
    <col min="15871" max="15871" width="12.5546875" style="338" bestFit="1" customWidth="1"/>
    <col min="15872" max="15872" width="4.6640625" style="338" bestFit="1" customWidth="1"/>
    <col min="15873" max="15873" width="13.33203125" style="338" bestFit="1" customWidth="1"/>
    <col min="15874" max="15874" width="4.6640625" style="338" bestFit="1" customWidth="1"/>
    <col min="15875" max="15875" width="11.88671875" style="338" bestFit="1" customWidth="1"/>
    <col min="15876" max="15876" width="4.109375" style="338" bestFit="1" customWidth="1"/>
    <col min="15877" max="15877" width="12.44140625" style="338" bestFit="1" customWidth="1"/>
    <col min="15878" max="15878" width="4.109375" style="338" bestFit="1" customWidth="1"/>
    <col min="15879" max="15879" width="9.33203125" style="338" bestFit="1" customWidth="1"/>
    <col min="15880" max="15880" width="4.109375" style="338" bestFit="1" customWidth="1"/>
    <col min="15881" max="15881" width="10" style="338" bestFit="1" customWidth="1"/>
    <col min="15882" max="15882" width="13.109375" style="338" customWidth="1"/>
    <col min="15883" max="15883" width="4.109375" style="338" bestFit="1" customWidth="1"/>
    <col min="15884" max="15884" width="13.109375" style="338" customWidth="1"/>
    <col min="15885" max="16111" width="9.109375" style="338"/>
    <col min="16112" max="16112" width="13.109375" style="338" bestFit="1" customWidth="1"/>
    <col min="16113" max="16113" width="2.33203125" style="338" bestFit="1" customWidth="1"/>
    <col min="16114" max="16114" width="9" style="338" bestFit="1" customWidth="1"/>
    <col min="16115" max="16115" width="2.33203125" style="338" bestFit="1" customWidth="1"/>
    <col min="16116" max="16116" width="11.88671875" style="338" bestFit="1" customWidth="1"/>
    <col min="16117" max="16117" width="2.33203125" style="338" bestFit="1" customWidth="1"/>
    <col min="16118" max="16118" width="8.44140625" style="338" bestFit="1" customWidth="1"/>
    <col min="16119" max="16120" width="2.33203125" style="338" bestFit="1" customWidth="1"/>
    <col min="16121" max="16122" width="6.33203125" style="338" bestFit="1" customWidth="1"/>
    <col min="16123" max="16123" width="6.5546875" style="338" bestFit="1" customWidth="1"/>
    <col min="16124" max="16124" width="8" style="338" bestFit="1" customWidth="1"/>
    <col min="16125" max="16125" width="68.44140625" style="338" bestFit="1" customWidth="1"/>
    <col min="16126" max="16126" width="11.44140625" style="338" bestFit="1" customWidth="1"/>
    <col min="16127" max="16127" width="12.5546875" style="338" bestFit="1" customWidth="1"/>
    <col min="16128" max="16128" width="4.6640625" style="338" bestFit="1" customWidth="1"/>
    <col min="16129" max="16129" width="13.33203125" style="338" bestFit="1" customWidth="1"/>
    <col min="16130" max="16130" width="4.6640625" style="338" bestFit="1" customWidth="1"/>
    <col min="16131" max="16131" width="11.88671875" style="338" bestFit="1" customWidth="1"/>
    <col min="16132" max="16132" width="4.109375" style="338" bestFit="1" customWidth="1"/>
    <col min="16133" max="16133" width="12.44140625" style="338" bestFit="1" customWidth="1"/>
    <col min="16134" max="16134" width="4.109375" style="338" bestFit="1" customWidth="1"/>
    <col min="16135" max="16135" width="9.33203125" style="338" bestFit="1" customWidth="1"/>
    <col min="16136" max="16136" width="4.109375" style="338" bestFit="1" customWidth="1"/>
    <col min="16137" max="16137" width="10" style="338" bestFit="1" customWidth="1"/>
    <col min="16138" max="16138" width="13.109375" style="338" customWidth="1"/>
    <col min="16139" max="16139" width="4.109375" style="338" bestFit="1" customWidth="1"/>
    <col min="16140" max="16140" width="13.109375" style="338" customWidth="1"/>
    <col min="16141" max="16384" width="9.109375" style="338"/>
  </cols>
  <sheetData>
    <row r="1" spans="1:21" ht="33.75" customHeight="1" thickBot="1">
      <c r="A1" s="591" t="s">
        <v>2076</v>
      </c>
      <c r="B1" s="592"/>
      <c r="C1" s="592"/>
      <c r="D1" s="592"/>
      <c r="E1" s="592"/>
      <c r="F1" s="592"/>
      <c r="G1" s="592"/>
      <c r="H1" s="592"/>
      <c r="I1" s="592"/>
      <c r="J1" s="592"/>
      <c r="K1" s="592"/>
      <c r="L1" s="592"/>
      <c r="M1" s="592"/>
      <c r="N1" s="592"/>
      <c r="O1" s="592"/>
      <c r="P1" s="592"/>
    </row>
    <row r="2" spans="1:21" ht="15.75" customHeight="1" thickBot="1">
      <c r="A2" s="591" t="s">
        <v>965</v>
      </c>
      <c r="B2" s="592"/>
      <c r="C2" s="592"/>
      <c r="D2" s="592"/>
      <c r="E2" s="592"/>
      <c r="F2" s="592"/>
      <c r="G2" s="592"/>
      <c r="H2" s="592"/>
      <c r="I2" s="592"/>
      <c r="J2" s="592"/>
      <c r="K2" s="592"/>
      <c r="L2" s="592"/>
      <c r="M2" s="593"/>
      <c r="N2" s="591" t="s">
        <v>964</v>
      </c>
      <c r="O2" s="593"/>
      <c r="P2" s="339"/>
    </row>
    <row r="3" spans="1:21" ht="52.2" thickBot="1">
      <c r="A3" s="422" t="s">
        <v>2485</v>
      </c>
      <c r="B3" s="423" t="s">
        <v>354</v>
      </c>
      <c r="C3" s="422" t="s">
        <v>2486</v>
      </c>
      <c r="D3" s="423" t="s">
        <v>354</v>
      </c>
      <c r="E3" s="422" t="s">
        <v>2487</v>
      </c>
      <c r="F3" s="423" t="s">
        <v>354</v>
      </c>
      <c r="G3" s="422" t="s">
        <v>2488</v>
      </c>
      <c r="H3" s="423" t="s">
        <v>354</v>
      </c>
      <c r="I3" s="423" t="s">
        <v>2489</v>
      </c>
      <c r="J3" s="423" t="s">
        <v>355</v>
      </c>
      <c r="K3" s="423" t="s">
        <v>356</v>
      </c>
      <c r="L3" s="423" t="s">
        <v>357</v>
      </c>
      <c r="M3" s="422" t="s">
        <v>2490</v>
      </c>
      <c r="N3" s="424" t="s">
        <v>966</v>
      </c>
      <c r="O3" s="424" t="s">
        <v>967</v>
      </c>
      <c r="P3" s="428" t="s">
        <v>358</v>
      </c>
      <c r="Q3" s="338" t="s">
        <v>2165</v>
      </c>
      <c r="R3" s="338" t="s">
        <v>2166</v>
      </c>
      <c r="S3" s="423" t="s">
        <v>2539</v>
      </c>
      <c r="T3" s="422" t="s">
        <v>2486</v>
      </c>
      <c r="U3" s="422" t="s">
        <v>2488</v>
      </c>
    </row>
    <row r="4" spans="1:21" ht="15">
      <c r="A4" s="403" t="s">
        <v>1531</v>
      </c>
      <c r="B4" s="404" t="s">
        <v>1413</v>
      </c>
      <c r="C4" s="398" t="s">
        <v>1531</v>
      </c>
      <c r="D4" s="404" t="s">
        <v>1413</v>
      </c>
      <c r="E4" s="394">
        <v>0.06</v>
      </c>
      <c r="F4" s="405" t="s">
        <v>1412</v>
      </c>
      <c r="G4" s="398" t="s">
        <v>1531</v>
      </c>
      <c r="H4" s="404" t="s">
        <v>1413</v>
      </c>
      <c r="I4" s="405" t="s">
        <v>969</v>
      </c>
      <c r="J4" s="404" t="s">
        <v>1413</v>
      </c>
      <c r="K4" s="405">
        <v>1</v>
      </c>
      <c r="L4" s="405">
        <v>0.13</v>
      </c>
      <c r="M4" s="406" t="s">
        <v>1531</v>
      </c>
      <c r="N4" s="425" t="s">
        <v>2325</v>
      </c>
      <c r="O4" s="391" t="s">
        <v>201</v>
      </c>
      <c r="P4" s="414" t="s">
        <v>1413</v>
      </c>
      <c r="Q4" s="340" t="s">
        <v>2433</v>
      </c>
      <c r="R4" s="338">
        <v>1</v>
      </c>
      <c r="S4" s="404" t="s">
        <v>1413</v>
      </c>
      <c r="T4" s="398" t="s">
        <v>1531</v>
      </c>
      <c r="U4" s="398" t="s">
        <v>1531</v>
      </c>
    </row>
    <row r="5" spans="1:21" ht="15">
      <c r="A5" s="403" t="s">
        <v>1531</v>
      </c>
      <c r="B5" s="404" t="s">
        <v>1413</v>
      </c>
      <c r="C5" s="398" t="s">
        <v>1531</v>
      </c>
      <c r="D5" s="404" t="s">
        <v>1413</v>
      </c>
      <c r="E5" s="394">
        <v>1.1999999999999999E-3</v>
      </c>
      <c r="F5" s="405" t="s">
        <v>1474</v>
      </c>
      <c r="G5" s="398" t="s">
        <v>1531</v>
      </c>
      <c r="H5" s="404" t="s">
        <v>1413</v>
      </c>
      <c r="I5" s="404" t="s">
        <v>1413</v>
      </c>
      <c r="J5" s="404" t="s">
        <v>1413</v>
      </c>
      <c r="K5" s="405">
        <v>1</v>
      </c>
      <c r="L5" s="405">
        <v>0.1</v>
      </c>
      <c r="M5" s="406" t="s">
        <v>1531</v>
      </c>
      <c r="N5" s="425" t="s">
        <v>968</v>
      </c>
      <c r="O5" s="391" t="s">
        <v>632</v>
      </c>
      <c r="P5" s="414" t="s">
        <v>1413</v>
      </c>
      <c r="Q5" s="340" t="s">
        <v>2433</v>
      </c>
      <c r="R5" s="338">
        <v>1</v>
      </c>
      <c r="S5" s="404" t="s">
        <v>1413</v>
      </c>
      <c r="T5" s="398" t="s">
        <v>1531</v>
      </c>
      <c r="U5" s="398" t="s">
        <v>1531</v>
      </c>
    </row>
    <row r="6" spans="1:21" ht="15.6" thickBot="1">
      <c r="A6" s="407" t="s">
        <v>1531</v>
      </c>
      <c r="B6" s="408" t="s">
        <v>1413</v>
      </c>
      <c r="C6" s="396">
        <v>2.2000000000000001E-6</v>
      </c>
      <c r="D6" s="409" t="s">
        <v>1412</v>
      </c>
      <c r="E6" s="399" t="s">
        <v>1531</v>
      </c>
      <c r="F6" s="408" t="s">
        <v>1413</v>
      </c>
      <c r="G6" s="396">
        <v>8.9999999999999993E-3</v>
      </c>
      <c r="H6" s="409" t="s">
        <v>1412</v>
      </c>
      <c r="I6" s="409" t="s">
        <v>969</v>
      </c>
      <c r="J6" s="408" t="s">
        <v>1413</v>
      </c>
      <c r="K6" s="409">
        <v>1</v>
      </c>
      <c r="L6" s="413" t="s">
        <v>1531</v>
      </c>
      <c r="M6" s="397">
        <v>107000</v>
      </c>
      <c r="N6" s="426" t="s">
        <v>1428</v>
      </c>
      <c r="O6" s="393" t="s">
        <v>633</v>
      </c>
      <c r="P6" s="416" t="s">
        <v>1413</v>
      </c>
      <c r="Q6" s="340" t="s">
        <v>2434</v>
      </c>
      <c r="R6" s="338">
        <v>1</v>
      </c>
      <c r="S6" s="408" t="s">
        <v>1413</v>
      </c>
      <c r="T6" s="396">
        <v>2.2000000000000001E-6</v>
      </c>
      <c r="U6" s="396">
        <v>8.9999999999999993E-3</v>
      </c>
    </row>
    <row r="7" spans="1:21" ht="15">
      <c r="A7" s="403" t="s">
        <v>1531</v>
      </c>
      <c r="B7" s="404" t="s">
        <v>1413</v>
      </c>
      <c r="C7" s="398" t="s">
        <v>1531</v>
      </c>
      <c r="D7" s="404" t="s">
        <v>1413</v>
      </c>
      <c r="E7" s="394">
        <v>0.02</v>
      </c>
      <c r="F7" s="405" t="s">
        <v>1412</v>
      </c>
      <c r="G7" s="398" t="s">
        <v>1531</v>
      </c>
      <c r="H7" s="404" t="s">
        <v>1413</v>
      </c>
      <c r="I7" s="404" t="s">
        <v>1413</v>
      </c>
      <c r="J7" s="404" t="s">
        <v>1413</v>
      </c>
      <c r="K7" s="405">
        <v>1</v>
      </c>
      <c r="L7" s="405">
        <v>0.1</v>
      </c>
      <c r="M7" s="406" t="s">
        <v>1531</v>
      </c>
      <c r="N7" s="425" t="s">
        <v>970</v>
      </c>
      <c r="O7" s="391" t="s">
        <v>634</v>
      </c>
      <c r="P7" s="414" t="s">
        <v>1413</v>
      </c>
      <c r="Q7" s="340" t="s">
        <v>2433</v>
      </c>
      <c r="R7" s="338">
        <v>1</v>
      </c>
      <c r="S7" s="404" t="s">
        <v>1413</v>
      </c>
      <c r="T7" s="398" t="s">
        <v>1531</v>
      </c>
      <c r="U7" s="398" t="s">
        <v>1531</v>
      </c>
    </row>
    <row r="8" spans="1:21" ht="15">
      <c r="A8" s="403" t="s">
        <v>1531</v>
      </c>
      <c r="B8" s="404" t="s">
        <v>1413</v>
      </c>
      <c r="C8" s="398" t="s">
        <v>1531</v>
      </c>
      <c r="D8" s="404" t="s">
        <v>1413</v>
      </c>
      <c r="E8" s="394">
        <v>0.9</v>
      </c>
      <c r="F8" s="405" t="s">
        <v>1412</v>
      </c>
      <c r="G8" s="394">
        <v>31</v>
      </c>
      <c r="H8" s="405" t="s">
        <v>1414</v>
      </c>
      <c r="I8" s="405" t="s">
        <v>969</v>
      </c>
      <c r="J8" s="404" t="s">
        <v>1413</v>
      </c>
      <c r="K8" s="405">
        <v>1</v>
      </c>
      <c r="L8" s="411" t="s">
        <v>1531</v>
      </c>
      <c r="M8" s="395">
        <v>114000</v>
      </c>
      <c r="N8" s="425" t="s">
        <v>424</v>
      </c>
      <c r="O8" s="391" t="s">
        <v>635</v>
      </c>
      <c r="P8" s="414" t="s">
        <v>1413</v>
      </c>
      <c r="Q8" s="340" t="s">
        <v>2434</v>
      </c>
      <c r="R8" s="338">
        <v>1</v>
      </c>
      <c r="S8" s="404" t="s">
        <v>1413</v>
      </c>
      <c r="T8" s="398" t="s">
        <v>1531</v>
      </c>
      <c r="U8" s="394">
        <v>31</v>
      </c>
    </row>
    <row r="9" spans="1:21" ht="15.6" thickBot="1">
      <c r="A9" s="407" t="s">
        <v>1531</v>
      </c>
      <c r="B9" s="408" t="s">
        <v>1413</v>
      </c>
      <c r="C9" s="399" t="s">
        <v>1531</v>
      </c>
      <c r="D9" s="408" t="s">
        <v>1413</v>
      </c>
      <c r="E9" s="399" t="s">
        <v>1531</v>
      </c>
      <c r="F9" s="408" t="s">
        <v>1413</v>
      </c>
      <c r="G9" s="396">
        <v>2E-3</v>
      </c>
      <c r="H9" s="409" t="s">
        <v>961</v>
      </c>
      <c r="I9" s="408" t="s">
        <v>1413</v>
      </c>
      <c r="J9" s="408" t="s">
        <v>1413</v>
      </c>
      <c r="K9" s="409">
        <v>1</v>
      </c>
      <c r="L9" s="409">
        <v>0.1</v>
      </c>
      <c r="M9" s="410" t="s">
        <v>1531</v>
      </c>
      <c r="N9" s="426" t="s">
        <v>971</v>
      </c>
      <c r="O9" s="393" t="s">
        <v>636</v>
      </c>
      <c r="P9" s="416" t="s">
        <v>1413</v>
      </c>
      <c r="Q9" s="340" t="s">
        <v>2434</v>
      </c>
      <c r="R9" s="338">
        <v>1</v>
      </c>
      <c r="S9" s="408" t="s">
        <v>1413</v>
      </c>
      <c r="T9" s="399" t="s">
        <v>1531</v>
      </c>
      <c r="U9" s="396">
        <v>2E-3</v>
      </c>
    </row>
    <row r="10" spans="1:21" ht="15">
      <c r="A10" s="403" t="s">
        <v>1531</v>
      </c>
      <c r="B10" s="404" t="s">
        <v>1413</v>
      </c>
      <c r="C10" s="398" t="s">
        <v>1531</v>
      </c>
      <c r="D10" s="404" t="s">
        <v>1413</v>
      </c>
      <c r="E10" s="398" t="s">
        <v>1531</v>
      </c>
      <c r="F10" s="404" t="s">
        <v>1413</v>
      </c>
      <c r="G10" s="394">
        <v>0.06</v>
      </c>
      <c r="H10" s="405" t="s">
        <v>1412</v>
      </c>
      <c r="I10" s="405" t="s">
        <v>969</v>
      </c>
      <c r="J10" s="404" t="s">
        <v>1413</v>
      </c>
      <c r="K10" s="405">
        <v>1</v>
      </c>
      <c r="L10" s="411" t="s">
        <v>1531</v>
      </c>
      <c r="M10" s="395">
        <v>128000</v>
      </c>
      <c r="N10" s="425" t="s">
        <v>1429</v>
      </c>
      <c r="O10" s="391" t="s">
        <v>637</v>
      </c>
      <c r="P10" s="414" t="s">
        <v>1413</v>
      </c>
      <c r="Q10" s="340" t="s">
        <v>2434</v>
      </c>
      <c r="R10" s="338">
        <v>1</v>
      </c>
      <c r="S10" s="404" t="s">
        <v>1413</v>
      </c>
      <c r="T10" s="398" t="s">
        <v>1531</v>
      </c>
      <c r="U10" s="394">
        <v>0.06</v>
      </c>
    </row>
    <row r="11" spans="1:21" ht="15">
      <c r="A11" s="403" t="s">
        <v>1531</v>
      </c>
      <c r="B11" s="404" t="s">
        <v>1413</v>
      </c>
      <c r="C11" s="398" t="s">
        <v>1531</v>
      </c>
      <c r="D11" s="404" t="s">
        <v>1413</v>
      </c>
      <c r="E11" s="394">
        <v>0.1</v>
      </c>
      <c r="F11" s="405" t="s">
        <v>1412</v>
      </c>
      <c r="G11" s="398" t="s">
        <v>1531</v>
      </c>
      <c r="H11" s="404" t="s">
        <v>1413</v>
      </c>
      <c r="I11" s="405" t="s">
        <v>969</v>
      </c>
      <c r="J11" s="404" t="s">
        <v>1413</v>
      </c>
      <c r="K11" s="405">
        <v>1</v>
      </c>
      <c r="L11" s="411" t="s">
        <v>1531</v>
      </c>
      <c r="M11" s="395">
        <v>2520</v>
      </c>
      <c r="N11" s="425" t="s">
        <v>1430</v>
      </c>
      <c r="O11" s="391" t="s">
        <v>638</v>
      </c>
      <c r="P11" s="414" t="s">
        <v>1413</v>
      </c>
      <c r="Q11" s="340" t="s">
        <v>2433</v>
      </c>
      <c r="R11" s="338">
        <v>1</v>
      </c>
      <c r="S11" s="404" t="s">
        <v>1413</v>
      </c>
      <c r="T11" s="398" t="s">
        <v>1531</v>
      </c>
      <c r="U11" s="398" t="s">
        <v>1531</v>
      </c>
    </row>
    <row r="12" spans="1:21" ht="15.6" thickBot="1">
      <c r="A12" s="412">
        <v>3.8</v>
      </c>
      <c r="B12" s="409" t="s">
        <v>521</v>
      </c>
      <c r="C12" s="396">
        <v>1.2999999999999999E-3</v>
      </c>
      <c r="D12" s="409" t="s">
        <v>521</v>
      </c>
      <c r="E12" s="399" t="s">
        <v>1531</v>
      </c>
      <c r="F12" s="408" t="s">
        <v>1413</v>
      </c>
      <c r="G12" s="399" t="s">
        <v>1531</v>
      </c>
      <c r="H12" s="408" t="s">
        <v>1413</v>
      </c>
      <c r="I12" s="408" t="s">
        <v>1413</v>
      </c>
      <c r="J12" s="408" t="s">
        <v>1413</v>
      </c>
      <c r="K12" s="409">
        <v>1</v>
      </c>
      <c r="L12" s="409">
        <v>0.1</v>
      </c>
      <c r="M12" s="410" t="s">
        <v>1531</v>
      </c>
      <c r="N12" s="426" t="s">
        <v>558</v>
      </c>
      <c r="O12" s="393" t="s">
        <v>639</v>
      </c>
      <c r="P12" s="416" t="s">
        <v>1413</v>
      </c>
      <c r="Q12" s="340" t="s">
        <v>2434</v>
      </c>
      <c r="R12" s="338">
        <v>1</v>
      </c>
      <c r="S12" s="408" t="s">
        <v>1413</v>
      </c>
      <c r="T12" s="396">
        <v>1.2999999999999999E-3</v>
      </c>
      <c r="U12" s="399" t="s">
        <v>1531</v>
      </c>
    </row>
    <row r="13" spans="1:21" ht="15">
      <c r="A13" s="403" t="s">
        <v>1531</v>
      </c>
      <c r="B13" s="404" t="s">
        <v>1413</v>
      </c>
      <c r="C13" s="398" t="s">
        <v>1531</v>
      </c>
      <c r="D13" s="404" t="s">
        <v>1413</v>
      </c>
      <c r="E13" s="394">
        <v>5.0000000000000001E-4</v>
      </c>
      <c r="F13" s="405" t="s">
        <v>1412</v>
      </c>
      <c r="G13" s="394">
        <v>2.0000000000000002E-5</v>
      </c>
      <c r="H13" s="405" t="s">
        <v>1412</v>
      </c>
      <c r="I13" s="405" t="s">
        <v>969</v>
      </c>
      <c r="J13" s="404" t="s">
        <v>1413</v>
      </c>
      <c r="K13" s="405">
        <v>1</v>
      </c>
      <c r="L13" s="411" t="s">
        <v>1531</v>
      </c>
      <c r="M13" s="395">
        <v>22700</v>
      </c>
      <c r="N13" s="425" t="s">
        <v>1431</v>
      </c>
      <c r="O13" s="391" t="s">
        <v>640</v>
      </c>
      <c r="P13" s="414" t="s">
        <v>1413</v>
      </c>
      <c r="Q13" s="340" t="s">
        <v>2434</v>
      </c>
      <c r="R13" s="338">
        <v>1</v>
      </c>
      <c r="S13" s="404" t="s">
        <v>1413</v>
      </c>
      <c r="T13" s="398" t="s">
        <v>1531</v>
      </c>
      <c r="U13" s="394">
        <v>2.0000000000000002E-5</v>
      </c>
    </row>
    <row r="14" spans="1:21" ht="15">
      <c r="A14" s="427">
        <v>0.5</v>
      </c>
      <c r="B14" s="405" t="s">
        <v>1412</v>
      </c>
      <c r="C14" s="394">
        <v>1E-4</v>
      </c>
      <c r="D14" s="405" t="s">
        <v>1412</v>
      </c>
      <c r="E14" s="394">
        <v>2E-3</v>
      </c>
      <c r="F14" s="405" t="s">
        <v>1412</v>
      </c>
      <c r="G14" s="394">
        <v>6.0000000000000001E-3</v>
      </c>
      <c r="H14" s="405" t="s">
        <v>1412</v>
      </c>
      <c r="I14" s="404" t="s">
        <v>1413</v>
      </c>
      <c r="J14" s="405" t="s">
        <v>522</v>
      </c>
      <c r="K14" s="405">
        <v>1</v>
      </c>
      <c r="L14" s="405">
        <v>0.1</v>
      </c>
      <c r="M14" s="406" t="s">
        <v>1531</v>
      </c>
      <c r="N14" s="425" t="s">
        <v>1397</v>
      </c>
      <c r="O14" s="391" t="s">
        <v>641</v>
      </c>
      <c r="P14" s="414" t="s">
        <v>1413</v>
      </c>
      <c r="Q14" s="340" t="s">
        <v>2434</v>
      </c>
      <c r="R14" s="338">
        <v>1</v>
      </c>
      <c r="S14" s="405" t="s">
        <v>2424</v>
      </c>
      <c r="T14" s="394">
        <v>1E-4</v>
      </c>
      <c r="U14" s="394">
        <v>6.0000000000000001E-3</v>
      </c>
    </row>
    <row r="15" spans="1:21" ht="15.6" thickBot="1">
      <c r="A15" s="407" t="s">
        <v>1531</v>
      </c>
      <c r="B15" s="408" t="s">
        <v>1413</v>
      </c>
      <c r="C15" s="399" t="s">
        <v>1531</v>
      </c>
      <c r="D15" s="408" t="s">
        <v>1413</v>
      </c>
      <c r="E15" s="396">
        <v>0.5</v>
      </c>
      <c r="F15" s="409" t="s">
        <v>1412</v>
      </c>
      <c r="G15" s="396">
        <v>1E-3</v>
      </c>
      <c r="H15" s="409" t="s">
        <v>1412</v>
      </c>
      <c r="I15" s="409" t="s">
        <v>969</v>
      </c>
      <c r="J15" s="408" t="s">
        <v>1413</v>
      </c>
      <c r="K15" s="409">
        <v>1</v>
      </c>
      <c r="L15" s="413" t="s">
        <v>1531</v>
      </c>
      <c r="M15" s="397">
        <v>109000</v>
      </c>
      <c r="N15" s="426" t="s">
        <v>972</v>
      </c>
      <c r="O15" s="507" t="s">
        <v>642</v>
      </c>
      <c r="P15" s="416" t="s">
        <v>1413</v>
      </c>
      <c r="Q15" s="340" t="s">
        <v>2434</v>
      </c>
      <c r="R15" s="338">
        <v>1</v>
      </c>
      <c r="S15" s="408" t="s">
        <v>1413</v>
      </c>
      <c r="T15" s="399" t="s">
        <v>1531</v>
      </c>
      <c r="U15" s="396">
        <v>1E-3</v>
      </c>
    </row>
    <row r="16" spans="1:21" ht="15">
      <c r="A16" s="427">
        <v>0.54</v>
      </c>
      <c r="B16" s="405" t="s">
        <v>1412</v>
      </c>
      <c r="C16" s="394">
        <v>6.7999999999999999E-5</v>
      </c>
      <c r="D16" s="405" t="s">
        <v>1412</v>
      </c>
      <c r="E16" s="394">
        <v>0.04</v>
      </c>
      <c r="F16" s="405" t="s">
        <v>1414</v>
      </c>
      <c r="G16" s="394">
        <v>2E-3</v>
      </c>
      <c r="H16" s="405" t="s">
        <v>1412</v>
      </c>
      <c r="I16" s="405" t="s">
        <v>969</v>
      </c>
      <c r="J16" s="404" t="s">
        <v>1413</v>
      </c>
      <c r="K16" s="405">
        <v>1</v>
      </c>
      <c r="L16" s="411" t="s">
        <v>1531</v>
      </c>
      <c r="M16" s="395">
        <v>11300</v>
      </c>
      <c r="N16" s="425" t="s">
        <v>1432</v>
      </c>
      <c r="O16" s="391" t="s">
        <v>643</v>
      </c>
      <c r="P16" s="414" t="s">
        <v>1413</v>
      </c>
      <c r="Q16" s="340" t="s">
        <v>2434</v>
      </c>
      <c r="R16" s="338">
        <v>1</v>
      </c>
      <c r="S16" s="404" t="s">
        <v>1413</v>
      </c>
      <c r="T16" s="394">
        <v>6.7999999999999999E-5</v>
      </c>
      <c r="U16" s="394">
        <v>2E-3</v>
      </c>
    </row>
    <row r="17" spans="1:21" ht="15">
      <c r="A17" s="403" t="s">
        <v>1531</v>
      </c>
      <c r="B17" s="404" t="s">
        <v>1413</v>
      </c>
      <c r="C17" s="398" t="s">
        <v>1531</v>
      </c>
      <c r="D17" s="404" t="s">
        <v>1413</v>
      </c>
      <c r="E17" s="398" t="s">
        <v>1531</v>
      </c>
      <c r="F17" s="404" t="s">
        <v>1413</v>
      </c>
      <c r="G17" s="394">
        <v>6.0000000000000001E-3</v>
      </c>
      <c r="H17" s="405" t="s">
        <v>520</v>
      </c>
      <c r="I17" s="404" t="s">
        <v>1413</v>
      </c>
      <c r="J17" s="404" t="s">
        <v>1413</v>
      </c>
      <c r="K17" s="405">
        <v>1</v>
      </c>
      <c r="L17" s="405">
        <v>0.1</v>
      </c>
      <c r="M17" s="406" t="s">
        <v>1531</v>
      </c>
      <c r="N17" s="425" t="s">
        <v>973</v>
      </c>
      <c r="O17" s="391" t="s">
        <v>644</v>
      </c>
      <c r="P17" s="414" t="s">
        <v>1413</v>
      </c>
      <c r="Q17" s="340" t="s">
        <v>2434</v>
      </c>
      <c r="R17" s="338">
        <v>1</v>
      </c>
      <c r="S17" s="404" t="s">
        <v>1413</v>
      </c>
      <c r="T17" s="398" t="s">
        <v>1531</v>
      </c>
      <c r="U17" s="394">
        <v>6.0000000000000001E-3</v>
      </c>
    </row>
    <row r="18" spans="1:21" ht="15.6" thickBot="1">
      <c r="A18" s="412">
        <v>5.6000000000000001E-2</v>
      </c>
      <c r="B18" s="409" t="s">
        <v>521</v>
      </c>
      <c r="C18" s="399" t="s">
        <v>1531</v>
      </c>
      <c r="D18" s="408" t="s">
        <v>1413</v>
      </c>
      <c r="E18" s="396">
        <v>0.01</v>
      </c>
      <c r="F18" s="409" t="s">
        <v>1412</v>
      </c>
      <c r="G18" s="399" t="s">
        <v>1531</v>
      </c>
      <c r="H18" s="408" t="s">
        <v>1413</v>
      </c>
      <c r="I18" s="408" t="s">
        <v>1413</v>
      </c>
      <c r="J18" s="408" t="s">
        <v>1413</v>
      </c>
      <c r="K18" s="409">
        <v>1</v>
      </c>
      <c r="L18" s="409">
        <v>0.1</v>
      </c>
      <c r="M18" s="410" t="s">
        <v>1531</v>
      </c>
      <c r="N18" s="426" t="s">
        <v>974</v>
      </c>
      <c r="O18" s="393" t="s">
        <v>645</v>
      </c>
      <c r="P18" s="415">
        <v>2</v>
      </c>
      <c r="Q18" s="340" t="s">
        <v>2433</v>
      </c>
      <c r="R18" s="338">
        <v>1</v>
      </c>
      <c r="S18" s="408" t="s">
        <v>1413</v>
      </c>
      <c r="T18" s="399" t="s">
        <v>1531</v>
      </c>
      <c r="U18" s="399" t="s">
        <v>1531</v>
      </c>
    </row>
    <row r="19" spans="1:21" ht="15">
      <c r="A19" s="403" t="s">
        <v>1531</v>
      </c>
      <c r="B19" s="404" t="s">
        <v>1413</v>
      </c>
      <c r="C19" s="398" t="s">
        <v>1531</v>
      </c>
      <c r="D19" s="404" t="s">
        <v>1413</v>
      </c>
      <c r="E19" s="394">
        <v>1E-3</v>
      </c>
      <c r="F19" s="405" t="s">
        <v>1412</v>
      </c>
      <c r="G19" s="398" t="s">
        <v>1531</v>
      </c>
      <c r="H19" s="404" t="s">
        <v>1413</v>
      </c>
      <c r="I19" s="404" t="s">
        <v>1413</v>
      </c>
      <c r="J19" s="404" t="s">
        <v>1413</v>
      </c>
      <c r="K19" s="405">
        <v>1</v>
      </c>
      <c r="L19" s="405">
        <v>0.1</v>
      </c>
      <c r="M19" s="406" t="s">
        <v>1531</v>
      </c>
      <c r="N19" s="425" t="s">
        <v>975</v>
      </c>
      <c r="O19" s="391" t="s">
        <v>646</v>
      </c>
      <c r="P19" s="429">
        <v>3</v>
      </c>
      <c r="Q19" s="340" t="s">
        <v>2433</v>
      </c>
      <c r="R19" s="338">
        <v>1</v>
      </c>
      <c r="S19" s="404" t="s">
        <v>1413</v>
      </c>
      <c r="T19" s="398" t="s">
        <v>1531</v>
      </c>
      <c r="U19" s="398" t="s">
        <v>1531</v>
      </c>
    </row>
    <row r="20" spans="1:21" ht="15">
      <c r="A20" s="403" t="s">
        <v>1531</v>
      </c>
      <c r="B20" s="404" t="s">
        <v>1413</v>
      </c>
      <c r="C20" s="398" t="s">
        <v>1531</v>
      </c>
      <c r="D20" s="404" t="s">
        <v>1413</v>
      </c>
      <c r="E20" s="394">
        <v>1E-3</v>
      </c>
      <c r="F20" s="405" t="s">
        <v>1412</v>
      </c>
      <c r="G20" s="398" t="s">
        <v>1531</v>
      </c>
      <c r="H20" s="404" t="s">
        <v>1413</v>
      </c>
      <c r="I20" s="404" t="s">
        <v>1413</v>
      </c>
      <c r="J20" s="404" t="s">
        <v>1413</v>
      </c>
      <c r="K20" s="405">
        <v>1</v>
      </c>
      <c r="L20" s="405">
        <v>0.1</v>
      </c>
      <c r="M20" s="406" t="s">
        <v>1531</v>
      </c>
      <c r="N20" s="425" t="s">
        <v>976</v>
      </c>
      <c r="O20" s="391" t="s">
        <v>647</v>
      </c>
      <c r="P20" s="429">
        <v>2</v>
      </c>
      <c r="Q20" s="340" t="s">
        <v>2433</v>
      </c>
      <c r="R20" s="338">
        <v>1</v>
      </c>
      <c r="S20" s="404" t="s">
        <v>1413</v>
      </c>
      <c r="T20" s="398" t="s">
        <v>1531</v>
      </c>
      <c r="U20" s="398" t="s">
        <v>1531</v>
      </c>
    </row>
    <row r="21" spans="1:21" ht="15.6" thickBot="1">
      <c r="A21" s="407" t="s">
        <v>1531</v>
      </c>
      <c r="B21" s="408" t="s">
        <v>1413</v>
      </c>
      <c r="C21" s="399" t="s">
        <v>1531</v>
      </c>
      <c r="D21" s="408" t="s">
        <v>1413</v>
      </c>
      <c r="E21" s="399" t="s">
        <v>1531</v>
      </c>
      <c r="F21" s="408" t="s">
        <v>1413</v>
      </c>
      <c r="G21" s="399" t="s">
        <v>1531</v>
      </c>
      <c r="H21" s="408" t="s">
        <v>1413</v>
      </c>
      <c r="I21" s="408" t="s">
        <v>1413</v>
      </c>
      <c r="J21" s="408" t="s">
        <v>1413</v>
      </c>
      <c r="K21" s="409">
        <v>1</v>
      </c>
      <c r="L21" s="409">
        <v>0.1</v>
      </c>
      <c r="M21" s="410" t="s">
        <v>1531</v>
      </c>
      <c r="N21" s="426" t="s">
        <v>1994</v>
      </c>
      <c r="O21" s="393" t="s">
        <v>1995</v>
      </c>
      <c r="P21" s="415">
        <v>4</v>
      </c>
      <c r="Q21" s="340" t="s">
        <v>2433</v>
      </c>
      <c r="R21" s="338">
        <v>1</v>
      </c>
      <c r="S21" s="408" t="s">
        <v>1413</v>
      </c>
      <c r="T21" s="399" t="s">
        <v>1531</v>
      </c>
      <c r="U21" s="399" t="s">
        <v>1531</v>
      </c>
    </row>
    <row r="22" spans="1:21" ht="15">
      <c r="A22" s="427">
        <v>17</v>
      </c>
      <c r="B22" s="405" t="s">
        <v>1412</v>
      </c>
      <c r="C22" s="394">
        <v>4.8999999999999998E-3</v>
      </c>
      <c r="D22" s="405" t="s">
        <v>1412</v>
      </c>
      <c r="E22" s="394">
        <v>3.0000000000000001E-5</v>
      </c>
      <c r="F22" s="405" t="s">
        <v>1412</v>
      </c>
      <c r="G22" s="398" t="s">
        <v>1531</v>
      </c>
      <c r="H22" s="404" t="s">
        <v>1413</v>
      </c>
      <c r="I22" s="405" t="s">
        <v>969</v>
      </c>
      <c r="J22" s="404" t="s">
        <v>1413</v>
      </c>
      <c r="K22" s="405">
        <v>1</v>
      </c>
      <c r="L22" s="411" t="s">
        <v>1531</v>
      </c>
      <c r="M22" s="406" t="s">
        <v>1531</v>
      </c>
      <c r="N22" s="425" t="s">
        <v>425</v>
      </c>
      <c r="O22" s="391" t="s">
        <v>648</v>
      </c>
      <c r="P22" s="414" t="s">
        <v>1413</v>
      </c>
      <c r="Q22" s="340" t="s">
        <v>2434</v>
      </c>
      <c r="R22" s="338">
        <v>1</v>
      </c>
      <c r="S22" s="404" t="s">
        <v>1413</v>
      </c>
      <c r="T22" s="394">
        <v>4.8999999999999998E-3</v>
      </c>
      <c r="U22" s="398" t="s">
        <v>1531</v>
      </c>
    </row>
    <row r="23" spans="1:21" ht="15">
      <c r="A23" s="403" t="s">
        <v>1531</v>
      </c>
      <c r="B23" s="404" t="s">
        <v>1413</v>
      </c>
      <c r="C23" s="398" t="s">
        <v>1531</v>
      </c>
      <c r="D23" s="404" t="s">
        <v>1413</v>
      </c>
      <c r="E23" s="394">
        <v>5.0000000000000001E-3</v>
      </c>
      <c r="F23" s="405" t="s">
        <v>1412</v>
      </c>
      <c r="G23" s="394">
        <v>1E-4</v>
      </c>
      <c r="H23" s="405" t="s">
        <v>961</v>
      </c>
      <c r="I23" s="405" t="s">
        <v>969</v>
      </c>
      <c r="J23" s="404" t="s">
        <v>1413</v>
      </c>
      <c r="K23" s="405">
        <v>1</v>
      </c>
      <c r="L23" s="411" t="s">
        <v>1531</v>
      </c>
      <c r="M23" s="395">
        <v>111000</v>
      </c>
      <c r="N23" s="425" t="s">
        <v>977</v>
      </c>
      <c r="O23" s="391" t="s">
        <v>650</v>
      </c>
      <c r="P23" s="414" t="s">
        <v>1413</v>
      </c>
      <c r="Q23" s="340" t="s">
        <v>2434</v>
      </c>
      <c r="R23" s="338">
        <v>1</v>
      </c>
      <c r="S23" s="404" t="s">
        <v>1413</v>
      </c>
      <c r="T23" s="398" t="s">
        <v>1531</v>
      </c>
      <c r="U23" s="394">
        <v>1E-4</v>
      </c>
    </row>
    <row r="24" spans="1:21" ht="15.6" thickBot="1">
      <c r="A24" s="412">
        <v>2.1000000000000001E-2</v>
      </c>
      <c r="B24" s="409" t="s">
        <v>521</v>
      </c>
      <c r="C24" s="396">
        <v>6.0000000000000002E-6</v>
      </c>
      <c r="D24" s="409" t="s">
        <v>521</v>
      </c>
      <c r="E24" s="399" t="s">
        <v>1531</v>
      </c>
      <c r="F24" s="408" t="s">
        <v>1413</v>
      </c>
      <c r="G24" s="396">
        <v>1E-3</v>
      </c>
      <c r="H24" s="409" t="s">
        <v>1412</v>
      </c>
      <c r="I24" s="409" t="s">
        <v>969</v>
      </c>
      <c r="J24" s="408" t="s">
        <v>1413</v>
      </c>
      <c r="K24" s="409">
        <v>1</v>
      </c>
      <c r="L24" s="413" t="s">
        <v>1531</v>
      </c>
      <c r="M24" s="397">
        <v>1420</v>
      </c>
      <c r="N24" s="426" t="s">
        <v>978</v>
      </c>
      <c r="O24" s="393" t="s">
        <v>651</v>
      </c>
      <c r="P24" s="416" t="s">
        <v>1413</v>
      </c>
      <c r="Q24" s="340" t="s">
        <v>2434</v>
      </c>
      <c r="R24" s="338">
        <v>1</v>
      </c>
      <c r="S24" s="408" t="s">
        <v>1413</v>
      </c>
      <c r="T24" s="396">
        <v>6.0000000000000002E-6</v>
      </c>
      <c r="U24" s="396">
        <v>1E-3</v>
      </c>
    </row>
    <row r="25" spans="1:21" ht="15">
      <c r="A25" s="403" t="s">
        <v>1531</v>
      </c>
      <c r="B25" s="404" t="s">
        <v>1413</v>
      </c>
      <c r="C25" s="398" t="s">
        <v>1531</v>
      </c>
      <c r="D25" s="404" t="s">
        <v>1413</v>
      </c>
      <c r="E25" s="394">
        <v>1</v>
      </c>
      <c r="F25" s="405" t="s">
        <v>520</v>
      </c>
      <c r="G25" s="394">
        <v>5.0000000000000001E-3</v>
      </c>
      <c r="H25" s="405" t="s">
        <v>520</v>
      </c>
      <c r="I25" s="404" t="s">
        <v>1413</v>
      </c>
      <c r="J25" s="404" t="s">
        <v>1413</v>
      </c>
      <c r="K25" s="405">
        <v>1</v>
      </c>
      <c r="L25" s="411" t="s">
        <v>1531</v>
      </c>
      <c r="M25" s="406" t="s">
        <v>1531</v>
      </c>
      <c r="N25" s="425" t="s">
        <v>979</v>
      </c>
      <c r="O25" s="391" t="s">
        <v>652</v>
      </c>
      <c r="P25" s="414" t="s">
        <v>1413</v>
      </c>
      <c r="Q25" s="340" t="s">
        <v>2434</v>
      </c>
      <c r="R25" s="338">
        <v>1</v>
      </c>
      <c r="S25" s="404" t="s">
        <v>1413</v>
      </c>
      <c r="T25" s="398" t="s">
        <v>1531</v>
      </c>
      <c r="U25" s="394">
        <v>5.0000000000000001E-3</v>
      </c>
    </row>
    <row r="26" spans="1:21" ht="15">
      <c r="A26" s="403" t="s">
        <v>1531</v>
      </c>
      <c r="B26" s="404" t="s">
        <v>1413</v>
      </c>
      <c r="C26" s="398" t="s">
        <v>1531</v>
      </c>
      <c r="D26" s="404" t="s">
        <v>1413</v>
      </c>
      <c r="E26" s="394">
        <v>49</v>
      </c>
      <c r="F26" s="405" t="s">
        <v>520</v>
      </c>
      <c r="G26" s="398" t="s">
        <v>1531</v>
      </c>
      <c r="H26" s="404" t="s">
        <v>1413</v>
      </c>
      <c r="I26" s="404" t="s">
        <v>1413</v>
      </c>
      <c r="J26" s="404" t="s">
        <v>1413</v>
      </c>
      <c r="K26" s="405">
        <v>1</v>
      </c>
      <c r="L26" s="411" t="s">
        <v>1531</v>
      </c>
      <c r="M26" s="406" t="s">
        <v>1531</v>
      </c>
      <c r="N26" s="425" t="s">
        <v>2381</v>
      </c>
      <c r="O26" s="391" t="s">
        <v>1581</v>
      </c>
      <c r="P26" s="414" t="s">
        <v>1413</v>
      </c>
      <c r="Q26" s="340" t="s">
        <v>2433</v>
      </c>
      <c r="R26" s="338">
        <v>1</v>
      </c>
      <c r="S26" s="404" t="s">
        <v>1413</v>
      </c>
      <c r="T26" s="398" t="s">
        <v>1531</v>
      </c>
      <c r="U26" s="398" t="s">
        <v>1531</v>
      </c>
    </row>
    <row r="27" spans="1:21" ht="15.6" thickBot="1">
      <c r="A27" s="407" t="s">
        <v>1531</v>
      </c>
      <c r="B27" s="408" t="s">
        <v>1413</v>
      </c>
      <c r="C27" s="399" t="s">
        <v>1531</v>
      </c>
      <c r="D27" s="408" t="s">
        <v>1413</v>
      </c>
      <c r="E27" s="396">
        <v>4.0000000000000002E-4</v>
      </c>
      <c r="F27" s="409" t="s">
        <v>1412</v>
      </c>
      <c r="G27" s="399" t="s">
        <v>1531</v>
      </c>
      <c r="H27" s="408" t="s">
        <v>1413</v>
      </c>
      <c r="I27" s="408" t="s">
        <v>1413</v>
      </c>
      <c r="J27" s="408" t="s">
        <v>1413</v>
      </c>
      <c r="K27" s="409">
        <v>1</v>
      </c>
      <c r="L27" s="413" t="s">
        <v>1531</v>
      </c>
      <c r="M27" s="410" t="s">
        <v>1531</v>
      </c>
      <c r="N27" s="426" t="s">
        <v>980</v>
      </c>
      <c r="O27" s="393" t="s">
        <v>653</v>
      </c>
      <c r="P27" s="416" t="s">
        <v>1413</v>
      </c>
      <c r="Q27" s="340" t="s">
        <v>2433</v>
      </c>
      <c r="R27" s="338">
        <v>1</v>
      </c>
      <c r="S27" s="408" t="s">
        <v>1413</v>
      </c>
      <c r="T27" s="399" t="s">
        <v>1531</v>
      </c>
      <c r="U27" s="399" t="s">
        <v>1531</v>
      </c>
    </row>
    <row r="28" spans="1:21" ht="15">
      <c r="A28" s="403" t="s">
        <v>1531</v>
      </c>
      <c r="B28" s="404" t="s">
        <v>1413</v>
      </c>
      <c r="C28" s="398" t="s">
        <v>1531</v>
      </c>
      <c r="D28" s="404" t="s">
        <v>1413</v>
      </c>
      <c r="E28" s="394">
        <v>8.9999999999999993E-3</v>
      </c>
      <c r="F28" s="405" t="s">
        <v>1412</v>
      </c>
      <c r="G28" s="398" t="s">
        <v>1531</v>
      </c>
      <c r="H28" s="404" t="s">
        <v>1413</v>
      </c>
      <c r="I28" s="404" t="s">
        <v>1413</v>
      </c>
      <c r="J28" s="404" t="s">
        <v>1413</v>
      </c>
      <c r="K28" s="405">
        <v>1</v>
      </c>
      <c r="L28" s="405">
        <v>0.1</v>
      </c>
      <c r="M28" s="406" t="s">
        <v>1531</v>
      </c>
      <c r="N28" s="425" t="s">
        <v>981</v>
      </c>
      <c r="O28" s="391" t="s">
        <v>655</v>
      </c>
      <c r="P28" s="414" t="s">
        <v>1413</v>
      </c>
      <c r="Q28" s="340" t="s">
        <v>2433</v>
      </c>
      <c r="R28" s="338">
        <v>1</v>
      </c>
      <c r="S28" s="404" t="s">
        <v>1413</v>
      </c>
      <c r="T28" s="398" t="s">
        <v>1531</v>
      </c>
      <c r="U28" s="398" t="s">
        <v>1531</v>
      </c>
    </row>
    <row r="29" spans="1:21" ht="15">
      <c r="A29" s="427">
        <v>21</v>
      </c>
      <c r="B29" s="405" t="s">
        <v>521</v>
      </c>
      <c r="C29" s="394">
        <v>6.0000000000000001E-3</v>
      </c>
      <c r="D29" s="405" t="s">
        <v>521</v>
      </c>
      <c r="E29" s="398" t="s">
        <v>1531</v>
      </c>
      <c r="F29" s="404" t="s">
        <v>1413</v>
      </c>
      <c r="G29" s="398" t="s">
        <v>1531</v>
      </c>
      <c r="H29" s="404" t="s">
        <v>1413</v>
      </c>
      <c r="I29" s="404" t="s">
        <v>1413</v>
      </c>
      <c r="J29" s="404" t="s">
        <v>1413</v>
      </c>
      <c r="K29" s="405">
        <v>1</v>
      </c>
      <c r="L29" s="405">
        <v>0.1</v>
      </c>
      <c r="M29" s="406" t="s">
        <v>1531</v>
      </c>
      <c r="N29" s="425" t="s">
        <v>559</v>
      </c>
      <c r="O29" s="391" t="s">
        <v>656</v>
      </c>
      <c r="P29" s="414" t="s">
        <v>1413</v>
      </c>
      <c r="Q29" s="340" t="s">
        <v>2434</v>
      </c>
      <c r="R29" s="338">
        <v>1</v>
      </c>
      <c r="S29" s="404" t="s">
        <v>1413</v>
      </c>
      <c r="T29" s="394">
        <v>6.0000000000000001E-3</v>
      </c>
      <c r="U29" s="398" t="s">
        <v>1531</v>
      </c>
    </row>
    <row r="30" spans="1:21" ht="15.6" thickBot="1">
      <c r="A30" s="407" t="s">
        <v>1531</v>
      </c>
      <c r="B30" s="408" t="s">
        <v>1413</v>
      </c>
      <c r="C30" s="399" t="s">
        <v>1531</v>
      </c>
      <c r="D30" s="408" t="s">
        <v>1413</v>
      </c>
      <c r="E30" s="396">
        <v>0.08</v>
      </c>
      <c r="F30" s="409" t="s">
        <v>520</v>
      </c>
      <c r="G30" s="399" t="s">
        <v>1531</v>
      </c>
      <c r="H30" s="408" t="s">
        <v>1413</v>
      </c>
      <c r="I30" s="408" t="s">
        <v>1413</v>
      </c>
      <c r="J30" s="408" t="s">
        <v>1413</v>
      </c>
      <c r="K30" s="409">
        <v>1</v>
      </c>
      <c r="L30" s="409">
        <v>0.1</v>
      </c>
      <c r="M30" s="410" t="s">
        <v>1531</v>
      </c>
      <c r="N30" s="426" t="s">
        <v>982</v>
      </c>
      <c r="O30" s="393" t="s">
        <v>657</v>
      </c>
      <c r="P30" s="416" t="s">
        <v>1413</v>
      </c>
      <c r="Q30" s="340" t="s">
        <v>2433</v>
      </c>
      <c r="R30" s="338">
        <v>1</v>
      </c>
      <c r="S30" s="408" t="s">
        <v>1413</v>
      </c>
      <c r="T30" s="399" t="s">
        <v>1531</v>
      </c>
      <c r="U30" s="399" t="s">
        <v>1531</v>
      </c>
    </row>
    <row r="31" spans="1:21" ht="15">
      <c r="A31" s="403" t="s">
        <v>1531</v>
      </c>
      <c r="B31" s="404" t="s">
        <v>1413</v>
      </c>
      <c r="C31" s="398" t="s">
        <v>1531</v>
      </c>
      <c r="D31" s="404" t="s">
        <v>1413</v>
      </c>
      <c r="E31" s="394">
        <v>4.0000000000000001E-3</v>
      </c>
      <c r="F31" s="405" t="s">
        <v>961</v>
      </c>
      <c r="G31" s="398" t="s">
        <v>1531</v>
      </c>
      <c r="H31" s="404" t="s">
        <v>1413</v>
      </c>
      <c r="I31" s="404" t="s">
        <v>1413</v>
      </c>
      <c r="J31" s="404" t="s">
        <v>1413</v>
      </c>
      <c r="K31" s="405">
        <v>1</v>
      </c>
      <c r="L31" s="405">
        <v>0.1</v>
      </c>
      <c r="M31" s="406" t="s">
        <v>1531</v>
      </c>
      <c r="N31" s="425" t="s">
        <v>2443</v>
      </c>
      <c r="O31" s="391" t="s">
        <v>2444</v>
      </c>
      <c r="P31" s="414" t="s">
        <v>1413</v>
      </c>
      <c r="Q31" s="340" t="s">
        <v>2433</v>
      </c>
      <c r="R31" s="338">
        <v>1</v>
      </c>
      <c r="S31" s="404" t="s">
        <v>1413</v>
      </c>
      <c r="T31" s="398" t="s">
        <v>1531</v>
      </c>
      <c r="U31" s="398" t="s">
        <v>1531</v>
      </c>
    </row>
    <row r="32" spans="1:21" ht="15">
      <c r="A32" s="403" t="s">
        <v>1531</v>
      </c>
      <c r="B32" s="404" t="s">
        <v>1413</v>
      </c>
      <c r="C32" s="398" t="s">
        <v>1531</v>
      </c>
      <c r="D32" s="404" t="s">
        <v>1413</v>
      </c>
      <c r="E32" s="394">
        <v>0.02</v>
      </c>
      <c r="F32" s="405" t="s">
        <v>520</v>
      </c>
      <c r="G32" s="398" t="s">
        <v>1531</v>
      </c>
      <c r="H32" s="404" t="s">
        <v>1413</v>
      </c>
      <c r="I32" s="404" t="s">
        <v>1413</v>
      </c>
      <c r="J32" s="404" t="s">
        <v>1413</v>
      </c>
      <c r="K32" s="405">
        <v>1</v>
      </c>
      <c r="L32" s="405">
        <v>0.1</v>
      </c>
      <c r="M32" s="406" t="s">
        <v>1531</v>
      </c>
      <c r="N32" s="425" t="s">
        <v>983</v>
      </c>
      <c r="O32" s="391" t="s">
        <v>658</v>
      </c>
      <c r="P32" s="414" t="s">
        <v>1413</v>
      </c>
      <c r="Q32" s="340" t="s">
        <v>2433</v>
      </c>
      <c r="R32" s="338">
        <v>1</v>
      </c>
      <c r="S32" s="404" t="s">
        <v>1413</v>
      </c>
      <c r="T32" s="398" t="s">
        <v>1531</v>
      </c>
      <c r="U32" s="398" t="s">
        <v>1531</v>
      </c>
    </row>
    <row r="33" spans="1:21" ht="15.6" thickBot="1">
      <c r="A33" s="407" t="s">
        <v>1531</v>
      </c>
      <c r="B33" s="408" t="s">
        <v>1413</v>
      </c>
      <c r="C33" s="399" t="s">
        <v>1531</v>
      </c>
      <c r="D33" s="408" t="s">
        <v>1413</v>
      </c>
      <c r="E33" s="396">
        <v>2.5000000000000001E-3</v>
      </c>
      <c r="F33" s="409" t="s">
        <v>1412</v>
      </c>
      <c r="G33" s="399" t="s">
        <v>1531</v>
      </c>
      <c r="H33" s="408" t="s">
        <v>1413</v>
      </c>
      <c r="I33" s="408" t="s">
        <v>1413</v>
      </c>
      <c r="J33" s="408" t="s">
        <v>1413</v>
      </c>
      <c r="K33" s="409">
        <v>1</v>
      </c>
      <c r="L33" s="409">
        <v>0.1</v>
      </c>
      <c r="M33" s="410" t="s">
        <v>1531</v>
      </c>
      <c r="N33" s="426" t="s">
        <v>984</v>
      </c>
      <c r="O33" s="393" t="s">
        <v>659</v>
      </c>
      <c r="P33" s="416" t="s">
        <v>1413</v>
      </c>
      <c r="Q33" s="340" t="s">
        <v>2434</v>
      </c>
      <c r="R33" s="338">
        <v>1</v>
      </c>
      <c r="S33" s="408" t="s">
        <v>1413</v>
      </c>
      <c r="T33" s="399" t="s">
        <v>1531</v>
      </c>
      <c r="U33" s="399" t="s">
        <v>1531</v>
      </c>
    </row>
    <row r="34" spans="1:21" ht="15">
      <c r="A34" s="403" t="s">
        <v>1531</v>
      </c>
      <c r="B34" s="404" t="s">
        <v>1413</v>
      </c>
      <c r="C34" s="398" t="s">
        <v>1531</v>
      </c>
      <c r="D34" s="404" t="s">
        <v>1413</v>
      </c>
      <c r="E34" s="398" t="s">
        <v>1531</v>
      </c>
      <c r="F34" s="404" t="s">
        <v>1413</v>
      </c>
      <c r="G34" s="394">
        <v>0.5</v>
      </c>
      <c r="H34" s="405" t="s">
        <v>1412</v>
      </c>
      <c r="I34" s="405" t="s">
        <v>969</v>
      </c>
      <c r="J34" s="404" t="s">
        <v>1413</v>
      </c>
      <c r="K34" s="405">
        <v>1</v>
      </c>
      <c r="L34" s="411" t="s">
        <v>1531</v>
      </c>
      <c r="M34" s="406" t="s">
        <v>1531</v>
      </c>
      <c r="N34" s="425" t="s">
        <v>985</v>
      </c>
      <c r="O34" s="391" t="s">
        <v>660</v>
      </c>
      <c r="P34" s="414" t="s">
        <v>1413</v>
      </c>
      <c r="Q34" s="340" t="s">
        <v>2433</v>
      </c>
      <c r="R34" s="338">
        <v>1</v>
      </c>
      <c r="S34" s="404" t="s">
        <v>1413</v>
      </c>
      <c r="T34" s="398" t="s">
        <v>1531</v>
      </c>
      <c r="U34" s="394">
        <v>0.5</v>
      </c>
    </row>
    <row r="35" spans="1:21" ht="15">
      <c r="A35" s="403" t="s">
        <v>1531</v>
      </c>
      <c r="B35" s="404" t="s">
        <v>1413</v>
      </c>
      <c r="C35" s="398" t="s">
        <v>1531</v>
      </c>
      <c r="D35" s="404" t="s">
        <v>1413</v>
      </c>
      <c r="E35" s="394">
        <v>6.9999999999999999E-4</v>
      </c>
      <c r="F35" s="405" t="s">
        <v>1412</v>
      </c>
      <c r="G35" s="398" t="s">
        <v>1531</v>
      </c>
      <c r="H35" s="404" t="s">
        <v>1413</v>
      </c>
      <c r="I35" s="404" t="s">
        <v>1413</v>
      </c>
      <c r="J35" s="404" t="s">
        <v>1413</v>
      </c>
      <c r="K35" s="405">
        <v>1</v>
      </c>
      <c r="L35" s="411" t="s">
        <v>1531</v>
      </c>
      <c r="M35" s="406" t="s">
        <v>1531</v>
      </c>
      <c r="N35" s="425" t="s">
        <v>2376</v>
      </c>
      <c r="O35" s="391" t="s">
        <v>661</v>
      </c>
      <c r="P35" s="414" t="s">
        <v>1413</v>
      </c>
      <c r="Q35" s="340" t="s">
        <v>2434</v>
      </c>
      <c r="R35" s="338">
        <v>1</v>
      </c>
      <c r="S35" s="404" t="s">
        <v>1413</v>
      </c>
      <c r="T35" s="398" t="s">
        <v>1531</v>
      </c>
      <c r="U35" s="398" t="s">
        <v>1531</v>
      </c>
    </row>
    <row r="36" spans="1:21" ht="15.6" thickBot="1">
      <c r="A36" s="407" t="s">
        <v>1531</v>
      </c>
      <c r="B36" s="408" t="s">
        <v>1413</v>
      </c>
      <c r="C36" s="399" t="s">
        <v>1531</v>
      </c>
      <c r="D36" s="408" t="s">
        <v>1413</v>
      </c>
      <c r="E36" s="396">
        <v>49</v>
      </c>
      <c r="F36" s="409" t="s">
        <v>520</v>
      </c>
      <c r="G36" s="399" t="s">
        <v>1531</v>
      </c>
      <c r="H36" s="408" t="s">
        <v>1413</v>
      </c>
      <c r="I36" s="408" t="s">
        <v>1413</v>
      </c>
      <c r="J36" s="408" t="s">
        <v>1413</v>
      </c>
      <c r="K36" s="409">
        <v>1</v>
      </c>
      <c r="L36" s="413" t="s">
        <v>1531</v>
      </c>
      <c r="M36" s="410" t="s">
        <v>1531</v>
      </c>
      <c r="N36" s="426" t="s">
        <v>2382</v>
      </c>
      <c r="O36" s="393" t="s">
        <v>1582</v>
      </c>
      <c r="P36" s="416" t="s">
        <v>1413</v>
      </c>
      <c r="Q36" s="340" t="s">
        <v>2433</v>
      </c>
      <c r="R36" s="338">
        <v>1</v>
      </c>
      <c r="S36" s="408" t="s">
        <v>1413</v>
      </c>
      <c r="T36" s="399" t="s">
        <v>1531</v>
      </c>
      <c r="U36" s="399" t="s">
        <v>1531</v>
      </c>
    </row>
    <row r="37" spans="1:21" ht="15">
      <c r="A37" s="403" t="s">
        <v>1531</v>
      </c>
      <c r="B37" s="404" t="s">
        <v>1413</v>
      </c>
      <c r="C37" s="398" t="s">
        <v>1531</v>
      </c>
      <c r="D37" s="404" t="s">
        <v>1413</v>
      </c>
      <c r="E37" s="394">
        <v>0.2</v>
      </c>
      <c r="F37" s="405" t="s">
        <v>1412</v>
      </c>
      <c r="G37" s="398" t="s">
        <v>1531</v>
      </c>
      <c r="H37" s="404" t="s">
        <v>1413</v>
      </c>
      <c r="I37" s="404" t="s">
        <v>1413</v>
      </c>
      <c r="J37" s="404" t="s">
        <v>1413</v>
      </c>
      <c r="K37" s="405">
        <v>1</v>
      </c>
      <c r="L37" s="411" t="s">
        <v>1531</v>
      </c>
      <c r="M37" s="406" t="s">
        <v>1531</v>
      </c>
      <c r="N37" s="425" t="s">
        <v>986</v>
      </c>
      <c r="O37" s="391" t="s">
        <v>662</v>
      </c>
      <c r="P37" s="414" t="s">
        <v>1413</v>
      </c>
      <c r="Q37" s="340" t="s">
        <v>2434</v>
      </c>
      <c r="R37" s="338">
        <v>1</v>
      </c>
      <c r="S37" s="404" t="s">
        <v>1413</v>
      </c>
      <c r="T37" s="398" t="s">
        <v>1531</v>
      </c>
      <c r="U37" s="398" t="s">
        <v>1531</v>
      </c>
    </row>
    <row r="38" spans="1:21" ht="15">
      <c r="A38" s="403" t="s">
        <v>1531</v>
      </c>
      <c r="B38" s="404" t="s">
        <v>1413</v>
      </c>
      <c r="C38" s="398" t="s">
        <v>1531</v>
      </c>
      <c r="D38" s="404" t="s">
        <v>1413</v>
      </c>
      <c r="E38" s="398" t="s">
        <v>1531</v>
      </c>
      <c r="F38" s="404" t="s">
        <v>1413</v>
      </c>
      <c r="G38" s="394">
        <v>3.0000000000000001E-3</v>
      </c>
      <c r="H38" s="405" t="s">
        <v>961</v>
      </c>
      <c r="I38" s="405" t="s">
        <v>969</v>
      </c>
      <c r="J38" s="404" t="s">
        <v>1413</v>
      </c>
      <c r="K38" s="405">
        <v>1</v>
      </c>
      <c r="L38" s="411" t="s">
        <v>1531</v>
      </c>
      <c r="M38" s="395">
        <v>13700</v>
      </c>
      <c r="N38" s="425" t="s">
        <v>2040</v>
      </c>
      <c r="O38" s="391" t="s">
        <v>2041</v>
      </c>
      <c r="P38" s="414" t="s">
        <v>1413</v>
      </c>
      <c r="Q38" s="340" t="s">
        <v>2434</v>
      </c>
      <c r="R38" s="338">
        <v>1</v>
      </c>
      <c r="S38" s="404" t="s">
        <v>1413</v>
      </c>
      <c r="T38" s="398" t="s">
        <v>1531</v>
      </c>
      <c r="U38" s="394">
        <v>3.0000000000000001E-3</v>
      </c>
    </row>
    <row r="39" spans="1:21" ht="15.6" thickBot="1">
      <c r="A39" s="412">
        <v>5.7000000000000002E-3</v>
      </c>
      <c r="B39" s="409" t="s">
        <v>1412</v>
      </c>
      <c r="C39" s="396">
        <v>1.5999999999999999E-6</v>
      </c>
      <c r="D39" s="409" t="s">
        <v>521</v>
      </c>
      <c r="E39" s="396">
        <v>7.0000000000000001E-3</v>
      </c>
      <c r="F39" s="409" t="s">
        <v>520</v>
      </c>
      <c r="G39" s="396">
        <v>1E-3</v>
      </c>
      <c r="H39" s="409" t="s">
        <v>1412</v>
      </c>
      <c r="I39" s="408" t="s">
        <v>1413</v>
      </c>
      <c r="J39" s="408" t="s">
        <v>1413</v>
      </c>
      <c r="K39" s="409">
        <v>1</v>
      </c>
      <c r="L39" s="409">
        <v>0.1</v>
      </c>
      <c r="M39" s="410" t="s">
        <v>1531</v>
      </c>
      <c r="N39" s="426" t="s">
        <v>1433</v>
      </c>
      <c r="O39" s="393" t="s">
        <v>663</v>
      </c>
      <c r="P39" s="416" t="s">
        <v>1413</v>
      </c>
      <c r="Q39" s="340" t="s">
        <v>2433</v>
      </c>
      <c r="R39" s="338">
        <v>1</v>
      </c>
      <c r="S39" s="408" t="s">
        <v>1413</v>
      </c>
      <c r="T39" s="396">
        <v>1.5999999999999999E-6</v>
      </c>
      <c r="U39" s="396">
        <v>1E-3</v>
      </c>
    </row>
    <row r="40" spans="1:21" ht="15">
      <c r="A40" s="403" t="s">
        <v>1531</v>
      </c>
      <c r="B40" s="404" t="s">
        <v>1413</v>
      </c>
      <c r="C40" s="398" t="s">
        <v>1531</v>
      </c>
      <c r="D40" s="404" t="s">
        <v>1413</v>
      </c>
      <c r="E40" s="394">
        <v>0.3</v>
      </c>
      <c r="F40" s="405" t="s">
        <v>1412</v>
      </c>
      <c r="G40" s="398" t="s">
        <v>1531</v>
      </c>
      <c r="H40" s="404" t="s">
        <v>1413</v>
      </c>
      <c r="I40" s="405" t="s">
        <v>969</v>
      </c>
      <c r="J40" s="404" t="s">
        <v>1413</v>
      </c>
      <c r="K40" s="405">
        <v>1</v>
      </c>
      <c r="L40" s="405">
        <v>0.13</v>
      </c>
      <c r="M40" s="406" t="s">
        <v>1531</v>
      </c>
      <c r="N40" s="425" t="s">
        <v>2326</v>
      </c>
      <c r="O40" s="391" t="s">
        <v>202</v>
      </c>
      <c r="P40" s="414" t="s">
        <v>1413</v>
      </c>
      <c r="Q40" s="340" t="s">
        <v>2434</v>
      </c>
      <c r="R40" s="338">
        <v>1</v>
      </c>
      <c r="S40" s="404" t="s">
        <v>1413</v>
      </c>
      <c r="T40" s="398" t="s">
        <v>1531</v>
      </c>
      <c r="U40" s="398" t="s">
        <v>1531</v>
      </c>
    </row>
    <row r="41" spans="1:21" ht="15">
      <c r="A41" s="427">
        <v>0.04</v>
      </c>
      <c r="B41" s="405" t="s">
        <v>520</v>
      </c>
      <c r="C41" s="398" t="s">
        <v>1531</v>
      </c>
      <c r="D41" s="404" t="s">
        <v>1413</v>
      </c>
      <c r="E41" s="394">
        <v>2E-3</v>
      </c>
      <c r="F41" s="405" t="s">
        <v>961</v>
      </c>
      <c r="G41" s="398" t="s">
        <v>1531</v>
      </c>
      <c r="H41" s="404" t="s">
        <v>1413</v>
      </c>
      <c r="I41" s="404" t="s">
        <v>1413</v>
      </c>
      <c r="J41" s="404" t="s">
        <v>1413</v>
      </c>
      <c r="K41" s="405">
        <v>1</v>
      </c>
      <c r="L41" s="405">
        <v>0.1</v>
      </c>
      <c r="M41" s="406" t="s">
        <v>1531</v>
      </c>
      <c r="N41" s="425" t="s">
        <v>1557</v>
      </c>
      <c r="O41" s="391" t="s">
        <v>1558</v>
      </c>
      <c r="P41" s="414" t="s">
        <v>1413</v>
      </c>
      <c r="Q41" s="340" t="s">
        <v>2433</v>
      </c>
      <c r="R41" s="338">
        <v>1</v>
      </c>
      <c r="S41" s="404" t="s">
        <v>1413</v>
      </c>
      <c r="T41" s="398" t="s">
        <v>1531</v>
      </c>
      <c r="U41" s="398" t="s">
        <v>1531</v>
      </c>
    </row>
    <row r="42" spans="1:21" ht="15.6" thickBot="1">
      <c r="A42" s="407" t="s">
        <v>1531</v>
      </c>
      <c r="B42" s="408" t="s">
        <v>1413</v>
      </c>
      <c r="C42" s="399" t="s">
        <v>1531</v>
      </c>
      <c r="D42" s="408" t="s">
        <v>1413</v>
      </c>
      <c r="E42" s="396">
        <v>4.0000000000000002E-4</v>
      </c>
      <c r="F42" s="409" t="s">
        <v>1412</v>
      </c>
      <c r="G42" s="399" t="s">
        <v>1531</v>
      </c>
      <c r="H42" s="408" t="s">
        <v>1413</v>
      </c>
      <c r="I42" s="408" t="s">
        <v>1413</v>
      </c>
      <c r="J42" s="408" t="s">
        <v>1413</v>
      </c>
      <c r="K42" s="409">
        <v>0.15</v>
      </c>
      <c r="L42" s="413" t="s">
        <v>1531</v>
      </c>
      <c r="M42" s="410" t="s">
        <v>1531</v>
      </c>
      <c r="N42" s="426" t="s">
        <v>987</v>
      </c>
      <c r="O42" s="393" t="s">
        <v>664</v>
      </c>
      <c r="P42" s="415">
        <v>6</v>
      </c>
      <c r="Q42" s="340" t="s">
        <v>2433</v>
      </c>
      <c r="R42" s="338">
        <v>1</v>
      </c>
      <c r="S42" s="408" t="s">
        <v>1413</v>
      </c>
      <c r="T42" s="399" t="s">
        <v>1531</v>
      </c>
      <c r="U42" s="399" t="s">
        <v>1531</v>
      </c>
    </row>
    <row r="43" spans="1:21" ht="15">
      <c r="A43" s="403" t="s">
        <v>1531</v>
      </c>
      <c r="B43" s="404" t="s">
        <v>1413</v>
      </c>
      <c r="C43" s="398" t="s">
        <v>1531</v>
      </c>
      <c r="D43" s="404" t="s">
        <v>1413</v>
      </c>
      <c r="E43" s="394">
        <v>5.0000000000000001E-4</v>
      </c>
      <c r="F43" s="405" t="s">
        <v>406</v>
      </c>
      <c r="G43" s="398" t="s">
        <v>1531</v>
      </c>
      <c r="H43" s="404" t="s">
        <v>1413</v>
      </c>
      <c r="I43" s="404" t="s">
        <v>1413</v>
      </c>
      <c r="J43" s="404" t="s">
        <v>1413</v>
      </c>
      <c r="K43" s="405">
        <v>0.15</v>
      </c>
      <c r="L43" s="411" t="s">
        <v>1531</v>
      </c>
      <c r="M43" s="406" t="s">
        <v>1531</v>
      </c>
      <c r="N43" s="425" t="s">
        <v>988</v>
      </c>
      <c r="O43" s="391" t="s">
        <v>665</v>
      </c>
      <c r="P43" s="414" t="s">
        <v>1413</v>
      </c>
      <c r="Q43" s="340" t="s">
        <v>2433</v>
      </c>
      <c r="R43" s="338">
        <v>1</v>
      </c>
      <c r="S43" s="404" t="s">
        <v>1413</v>
      </c>
      <c r="T43" s="398" t="s">
        <v>1531</v>
      </c>
      <c r="U43" s="398" t="s">
        <v>1531</v>
      </c>
    </row>
    <row r="44" spans="1:21" ht="15">
      <c r="A44" s="403" t="s">
        <v>1531</v>
      </c>
      <c r="B44" s="404" t="s">
        <v>1413</v>
      </c>
      <c r="C44" s="398" t="s">
        <v>1531</v>
      </c>
      <c r="D44" s="404" t="s">
        <v>1413</v>
      </c>
      <c r="E44" s="394">
        <v>4.0000000000000002E-4</v>
      </c>
      <c r="F44" s="405" t="s">
        <v>406</v>
      </c>
      <c r="G44" s="398" t="s">
        <v>1531</v>
      </c>
      <c r="H44" s="404" t="s">
        <v>1413</v>
      </c>
      <c r="I44" s="404" t="s">
        <v>1413</v>
      </c>
      <c r="J44" s="404" t="s">
        <v>1413</v>
      </c>
      <c r="K44" s="405">
        <v>0.15</v>
      </c>
      <c r="L44" s="411" t="s">
        <v>1531</v>
      </c>
      <c r="M44" s="406" t="s">
        <v>1531</v>
      </c>
      <c r="N44" s="425" t="s">
        <v>989</v>
      </c>
      <c r="O44" s="391" t="s">
        <v>666</v>
      </c>
      <c r="P44" s="414" t="s">
        <v>1413</v>
      </c>
      <c r="Q44" s="340" t="s">
        <v>2434</v>
      </c>
      <c r="R44" s="338">
        <v>1</v>
      </c>
      <c r="S44" s="404" t="s">
        <v>1413</v>
      </c>
      <c r="T44" s="398" t="s">
        <v>1531</v>
      </c>
      <c r="U44" s="398" t="s">
        <v>1531</v>
      </c>
    </row>
    <row r="45" spans="1:21" ht="15.6" thickBot="1">
      <c r="A45" s="407" t="s">
        <v>1531</v>
      </c>
      <c r="B45" s="408" t="s">
        <v>1413</v>
      </c>
      <c r="C45" s="399" t="s">
        <v>1531</v>
      </c>
      <c r="D45" s="408" t="s">
        <v>1413</v>
      </c>
      <c r="E45" s="399" t="s">
        <v>1531</v>
      </c>
      <c r="F45" s="408" t="s">
        <v>1413</v>
      </c>
      <c r="G45" s="396">
        <v>2.0000000000000001E-4</v>
      </c>
      <c r="H45" s="409" t="s">
        <v>1412</v>
      </c>
      <c r="I45" s="408" t="s">
        <v>1413</v>
      </c>
      <c r="J45" s="408" t="s">
        <v>1413</v>
      </c>
      <c r="K45" s="409">
        <v>0.15</v>
      </c>
      <c r="L45" s="413" t="s">
        <v>1531</v>
      </c>
      <c r="M45" s="410" t="s">
        <v>1531</v>
      </c>
      <c r="N45" s="426" t="s">
        <v>990</v>
      </c>
      <c r="O45" s="393" t="s">
        <v>667</v>
      </c>
      <c r="P45" s="416" t="s">
        <v>1413</v>
      </c>
      <c r="Q45" s="340" t="s">
        <v>2434</v>
      </c>
      <c r="R45" s="338">
        <v>1</v>
      </c>
      <c r="S45" s="408" t="s">
        <v>1413</v>
      </c>
      <c r="T45" s="399" t="s">
        <v>1531</v>
      </c>
      <c r="U45" s="396">
        <v>2.0000000000000001E-4</v>
      </c>
    </row>
    <row r="46" spans="1:21" ht="15">
      <c r="A46" s="427">
        <v>7.0000000000000007E-2</v>
      </c>
      <c r="B46" s="405" t="s">
        <v>405</v>
      </c>
      <c r="C46" s="394">
        <v>2.0000000000000002E-5</v>
      </c>
      <c r="D46" s="405" t="s">
        <v>405</v>
      </c>
      <c r="E46" s="394">
        <v>6.9999999999999994E-5</v>
      </c>
      <c r="F46" s="405" t="s">
        <v>1412</v>
      </c>
      <c r="G46" s="398" t="s">
        <v>1531</v>
      </c>
      <c r="H46" s="404" t="s">
        <v>1413</v>
      </c>
      <c r="I46" s="405" t="s">
        <v>969</v>
      </c>
      <c r="J46" s="404" t="s">
        <v>1413</v>
      </c>
      <c r="K46" s="405">
        <v>1</v>
      </c>
      <c r="L46" s="405">
        <v>0.14000000000000001</v>
      </c>
      <c r="M46" s="406" t="s">
        <v>1531</v>
      </c>
      <c r="N46" s="425" t="s">
        <v>2228</v>
      </c>
      <c r="O46" s="391" t="s">
        <v>181</v>
      </c>
      <c r="P46" s="414" t="s">
        <v>1413</v>
      </c>
      <c r="Q46" s="340" t="s">
        <v>2434</v>
      </c>
      <c r="R46" s="338">
        <v>1</v>
      </c>
      <c r="S46" s="404" t="s">
        <v>1413</v>
      </c>
      <c r="T46" s="394">
        <v>2.0000000000000002E-5</v>
      </c>
      <c r="U46" s="398" t="s">
        <v>1531</v>
      </c>
    </row>
    <row r="47" spans="1:21" ht="15">
      <c r="A47" s="427">
        <v>2</v>
      </c>
      <c r="B47" s="405" t="s">
        <v>405</v>
      </c>
      <c r="C47" s="394">
        <v>5.6999999999999998E-4</v>
      </c>
      <c r="D47" s="405" t="s">
        <v>405</v>
      </c>
      <c r="E47" s="398" t="s">
        <v>1531</v>
      </c>
      <c r="F47" s="404" t="s">
        <v>1413</v>
      </c>
      <c r="G47" s="398" t="s">
        <v>1531</v>
      </c>
      <c r="H47" s="404" t="s">
        <v>1413</v>
      </c>
      <c r="I47" s="405" t="s">
        <v>969</v>
      </c>
      <c r="J47" s="404" t="s">
        <v>1413</v>
      </c>
      <c r="K47" s="405">
        <v>1</v>
      </c>
      <c r="L47" s="405">
        <v>0.14000000000000001</v>
      </c>
      <c r="M47" s="406" t="s">
        <v>1531</v>
      </c>
      <c r="N47" s="425" t="s">
        <v>2229</v>
      </c>
      <c r="O47" s="391" t="s">
        <v>182</v>
      </c>
      <c r="P47" s="414" t="s">
        <v>1413</v>
      </c>
      <c r="Q47" s="340" t="s">
        <v>2434</v>
      </c>
      <c r="R47" s="338">
        <v>1</v>
      </c>
      <c r="S47" s="404" t="s">
        <v>1413</v>
      </c>
      <c r="T47" s="394">
        <v>5.6999999999999998E-4</v>
      </c>
      <c r="U47" s="398" t="s">
        <v>1531</v>
      </c>
    </row>
    <row r="48" spans="1:21" ht="15.6" thickBot="1">
      <c r="A48" s="412">
        <v>2</v>
      </c>
      <c r="B48" s="409" t="s">
        <v>405</v>
      </c>
      <c r="C48" s="396">
        <v>5.6999999999999998E-4</v>
      </c>
      <c r="D48" s="409" t="s">
        <v>405</v>
      </c>
      <c r="E48" s="399" t="s">
        <v>1531</v>
      </c>
      <c r="F48" s="408" t="s">
        <v>1413</v>
      </c>
      <c r="G48" s="399" t="s">
        <v>1531</v>
      </c>
      <c r="H48" s="408" t="s">
        <v>1413</v>
      </c>
      <c r="I48" s="409" t="s">
        <v>969</v>
      </c>
      <c r="J48" s="408" t="s">
        <v>1413</v>
      </c>
      <c r="K48" s="409">
        <v>1</v>
      </c>
      <c r="L48" s="409">
        <v>0.14000000000000001</v>
      </c>
      <c r="M48" s="410" t="s">
        <v>1531</v>
      </c>
      <c r="N48" s="426" t="s">
        <v>2230</v>
      </c>
      <c r="O48" s="393" t="s">
        <v>183</v>
      </c>
      <c r="P48" s="416" t="s">
        <v>1413</v>
      </c>
      <c r="Q48" s="340" t="s">
        <v>2434</v>
      </c>
      <c r="R48" s="338">
        <v>1</v>
      </c>
      <c r="S48" s="408" t="s">
        <v>1413</v>
      </c>
      <c r="T48" s="396">
        <v>5.6999999999999998E-4</v>
      </c>
      <c r="U48" s="399" t="s">
        <v>1531</v>
      </c>
    </row>
    <row r="49" spans="1:21" ht="15">
      <c r="A49" s="427">
        <v>2</v>
      </c>
      <c r="B49" s="405" t="s">
        <v>405</v>
      </c>
      <c r="C49" s="394">
        <v>5.6999999999999998E-4</v>
      </c>
      <c r="D49" s="405" t="s">
        <v>405</v>
      </c>
      <c r="E49" s="398" t="s">
        <v>1531</v>
      </c>
      <c r="F49" s="404" t="s">
        <v>1413</v>
      </c>
      <c r="G49" s="398" t="s">
        <v>1531</v>
      </c>
      <c r="H49" s="404" t="s">
        <v>1413</v>
      </c>
      <c r="I49" s="405" t="s">
        <v>969</v>
      </c>
      <c r="J49" s="404" t="s">
        <v>1413</v>
      </c>
      <c r="K49" s="405">
        <v>1</v>
      </c>
      <c r="L49" s="405">
        <v>0.14000000000000001</v>
      </c>
      <c r="M49" s="406" t="s">
        <v>1531</v>
      </c>
      <c r="N49" s="425" t="s">
        <v>2231</v>
      </c>
      <c r="O49" s="391" t="s">
        <v>184</v>
      </c>
      <c r="P49" s="414" t="s">
        <v>1413</v>
      </c>
      <c r="Q49" s="340" t="s">
        <v>2434</v>
      </c>
      <c r="R49" s="338">
        <v>1</v>
      </c>
      <c r="S49" s="404" t="s">
        <v>1413</v>
      </c>
      <c r="T49" s="394">
        <v>5.6999999999999998E-4</v>
      </c>
      <c r="U49" s="398" t="s">
        <v>1531</v>
      </c>
    </row>
    <row r="50" spans="1:21" ht="15">
      <c r="A50" s="427">
        <v>2</v>
      </c>
      <c r="B50" s="405" t="s">
        <v>405</v>
      </c>
      <c r="C50" s="394">
        <v>5.6999999999999998E-4</v>
      </c>
      <c r="D50" s="405" t="s">
        <v>405</v>
      </c>
      <c r="E50" s="398" t="s">
        <v>1531</v>
      </c>
      <c r="F50" s="404" t="s">
        <v>1413</v>
      </c>
      <c r="G50" s="398" t="s">
        <v>1531</v>
      </c>
      <c r="H50" s="404" t="s">
        <v>1413</v>
      </c>
      <c r="I50" s="405" t="s">
        <v>969</v>
      </c>
      <c r="J50" s="404" t="s">
        <v>1413</v>
      </c>
      <c r="K50" s="405">
        <v>1</v>
      </c>
      <c r="L50" s="405">
        <v>0.14000000000000001</v>
      </c>
      <c r="M50" s="406" t="s">
        <v>1531</v>
      </c>
      <c r="N50" s="425" t="s">
        <v>2232</v>
      </c>
      <c r="O50" s="391" t="s">
        <v>185</v>
      </c>
      <c r="P50" s="414" t="s">
        <v>1413</v>
      </c>
      <c r="Q50" s="340" t="s">
        <v>2434</v>
      </c>
      <c r="R50" s="338">
        <v>1</v>
      </c>
      <c r="S50" s="404" t="s">
        <v>1413</v>
      </c>
      <c r="T50" s="394">
        <v>5.6999999999999998E-4</v>
      </c>
      <c r="U50" s="398" t="s">
        <v>1531</v>
      </c>
    </row>
    <row r="51" spans="1:21" ht="15.6" thickBot="1">
      <c r="A51" s="412">
        <v>2</v>
      </c>
      <c r="B51" s="409" t="s">
        <v>405</v>
      </c>
      <c r="C51" s="396">
        <v>5.6999999999999998E-4</v>
      </c>
      <c r="D51" s="409" t="s">
        <v>405</v>
      </c>
      <c r="E51" s="396">
        <v>2.0000000000000002E-5</v>
      </c>
      <c r="F51" s="409" t="s">
        <v>1412</v>
      </c>
      <c r="G51" s="399" t="s">
        <v>1531</v>
      </c>
      <c r="H51" s="408" t="s">
        <v>1413</v>
      </c>
      <c r="I51" s="409" t="s">
        <v>969</v>
      </c>
      <c r="J51" s="408" t="s">
        <v>1413</v>
      </c>
      <c r="K51" s="409">
        <v>1</v>
      </c>
      <c r="L51" s="409">
        <v>0.14000000000000001</v>
      </c>
      <c r="M51" s="410" t="s">
        <v>1531</v>
      </c>
      <c r="N51" s="426" t="s">
        <v>2233</v>
      </c>
      <c r="O51" s="393" t="s">
        <v>186</v>
      </c>
      <c r="P51" s="416" t="s">
        <v>1413</v>
      </c>
      <c r="Q51" s="340" t="s">
        <v>2434</v>
      </c>
      <c r="R51" s="338">
        <v>0</v>
      </c>
      <c r="S51" s="408" t="s">
        <v>1413</v>
      </c>
      <c r="T51" s="396">
        <v>5.6999999999999998E-4</v>
      </c>
      <c r="U51" s="399" t="s">
        <v>1531</v>
      </c>
    </row>
    <row r="52" spans="1:21" ht="15">
      <c r="A52" s="427">
        <v>2</v>
      </c>
      <c r="B52" s="405" t="s">
        <v>405</v>
      </c>
      <c r="C52" s="394">
        <v>5.6999999999999998E-4</v>
      </c>
      <c r="D52" s="405" t="s">
        <v>405</v>
      </c>
      <c r="E52" s="398" t="s">
        <v>1531</v>
      </c>
      <c r="F52" s="404" t="s">
        <v>1413</v>
      </c>
      <c r="G52" s="398" t="s">
        <v>1531</v>
      </c>
      <c r="H52" s="404" t="s">
        <v>1413</v>
      </c>
      <c r="I52" s="405" t="s">
        <v>969</v>
      </c>
      <c r="J52" s="404" t="s">
        <v>1413</v>
      </c>
      <c r="K52" s="405">
        <v>1</v>
      </c>
      <c r="L52" s="405">
        <v>0.14000000000000001</v>
      </c>
      <c r="M52" s="406" t="s">
        <v>1531</v>
      </c>
      <c r="N52" s="425" t="s">
        <v>2234</v>
      </c>
      <c r="O52" s="391" t="s">
        <v>187</v>
      </c>
      <c r="P52" s="414" t="s">
        <v>1413</v>
      </c>
      <c r="Q52" s="340" t="s">
        <v>2434</v>
      </c>
      <c r="R52" s="338">
        <v>0</v>
      </c>
      <c r="S52" s="404" t="s">
        <v>1413</v>
      </c>
      <c r="T52" s="394">
        <v>5.6999999999999998E-4</v>
      </c>
      <c r="U52" s="398" t="s">
        <v>1531</v>
      </c>
    </row>
    <row r="53" spans="1:21" ht="15">
      <c r="A53" s="403" t="s">
        <v>1531</v>
      </c>
      <c r="B53" s="404" t="s">
        <v>1413</v>
      </c>
      <c r="C53" s="398" t="s">
        <v>1531</v>
      </c>
      <c r="D53" s="404" t="s">
        <v>1413</v>
      </c>
      <c r="E53" s="394">
        <v>5.9999999999999995E-4</v>
      </c>
      <c r="F53" s="405" t="s">
        <v>961</v>
      </c>
      <c r="G53" s="398" t="s">
        <v>1531</v>
      </c>
      <c r="H53" s="404" t="s">
        <v>1413</v>
      </c>
      <c r="I53" s="405" t="s">
        <v>969</v>
      </c>
      <c r="J53" s="404" t="s">
        <v>1413</v>
      </c>
      <c r="K53" s="405">
        <v>1</v>
      </c>
      <c r="L53" s="405">
        <v>0.14000000000000001</v>
      </c>
      <c r="M53" s="406" t="s">
        <v>1531</v>
      </c>
      <c r="N53" s="425" t="s">
        <v>2347</v>
      </c>
      <c r="O53" s="391" t="s">
        <v>2084</v>
      </c>
      <c r="P53" s="414" t="s">
        <v>1413</v>
      </c>
      <c r="Q53" s="340" t="s">
        <v>2434</v>
      </c>
      <c r="R53" s="338">
        <v>0</v>
      </c>
      <c r="S53" s="404" t="s">
        <v>1413</v>
      </c>
      <c r="T53" s="398" t="s">
        <v>1531</v>
      </c>
      <c r="U53" s="398" t="s">
        <v>1531</v>
      </c>
    </row>
    <row r="54" spans="1:21" ht="15.6" thickBot="1">
      <c r="A54" s="412">
        <v>1.5</v>
      </c>
      <c r="B54" s="409" t="s">
        <v>1412</v>
      </c>
      <c r="C54" s="396">
        <v>4.3E-3</v>
      </c>
      <c r="D54" s="409" t="s">
        <v>1412</v>
      </c>
      <c r="E54" s="396">
        <v>2.9999999999999997E-4</v>
      </c>
      <c r="F54" s="409" t="s">
        <v>1412</v>
      </c>
      <c r="G54" s="396">
        <v>1.5E-5</v>
      </c>
      <c r="H54" s="409" t="s">
        <v>521</v>
      </c>
      <c r="I54" s="408" t="s">
        <v>1413</v>
      </c>
      <c r="J54" s="408" t="s">
        <v>1413</v>
      </c>
      <c r="K54" s="409">
        <v>1</v>
      </c>
      <c r="L54" s="409">
        <v>0.03</v>
      </c>
      <c r="M54" s="410" t="s">
        <v>1531</v>
      </c>
      <c r="N54" s="426" t="s">
        <v>991</v>
      </c>
      <c r="O54" s="393" t="s">
        <v>670</v>
      </c>
      <c r="P54" s="415">
        <v>10</v>
      </c>
      <c r="Q54" s="340" t="s">
        <v>2434</v>
      </c>
      <c r="R54" s="338">
        <v>1</v>
      </c>
      <c r="S54" s="408" t="s">
        <v>1413</v>
      </c>
      <c r="T54" s="396">
        <v>4.3E-3</v>
      </c>
      <c r="U54" s="396">
        <v>1.5E-5</v>
      </c>
    </row>
    <row r="55" spans="1:21" ht="15">
      <c r="A55" s="403" t="s">
        <v>1531</v>
      </c>
      <c r="B55" s="404" t="s">
        <v>1413</v>
      </c>
      <c r="C55" s="398" t="s">
        <v>1531</v>
      </c>
      <c r="D55" s="404" t="s">
        <v>1413</v>
      </c>
      <c r="E55" s="394">
        <v>3.4999999999999999E-6</v>
      </c>
      <c r="F55" s="405" t="s">
        <v>521</v>
      </c>
      <c r="G55" s="394">
        <v>5.0000000000000002E-5</v>
      </c>
      <c r="H55" s="405" t="s">
        <v>1412</v>
      </c>
      <c r="I55" s="404" t="s">
        <v>1413</v>
      </c>
      <c r="J55" s="404" t="s">
        <v>1413</v>
      </c>
      <c r="K55" s="405">
        <v>1</v>
      </c>
      <c r="L55" s="411" t="s">
        <v>1531</v>
      </c>
      <c r="M55" s="406" t="s">
        <v>1531</v>
      </c>
      <c r="N55" s="425" t="s">
        <v>992</v>
      </c>
      <c r="O55" s="391" t="s">
        <v>671</v>
      </c>
      <c r="P55" s="414" t="s">
        <v>1413</v>
      </c>
      <c r="Q55" s="340" t="s">
        <v>2433</v>
      </c>
      <c r="R55" s="338">
        <v>1</v>
      </c>
      <c r="S55" s="404" t="s">
        <v>1413</v>
      </c>
      <c r="T55" s="398" t="s">
        <v>1531</v>
      </c>
      <c r="U55" s="394">
        <v>5.0000000000000002E-5</v>
      </c>
    </row>
    <row r="56" spans="1:21" ht="15">
      <c r="A56" s="403" t="s">
        <v>1531</v>
      </c>
      <c r="B56" s="404" t="s">
        <v>1413</v>
      </c>
      <c r="C56" s="398" t="s">
        <v>1531</v>
      </c>
      <c r="D56" s="404" t="s">
        <v>1413</v>
      </c>
      <c r="E56" s="394">
        <v>3.5999999999999997E-2</v>
      </c>
      <c r="F56" s="405" t="s">
        <v>1474</v>
      </c>
      <c r="G56" s="398" t="s">
        <v>1531</v>
      </c>
      <c r="H56" s="404" t="s">
        <v>1413</v>
      </c>
      <c r="I56" s="404" t="s">
        <v>1413</v>
      </c>
      <c r="J56" s="404" t="s">
        <v>1413</v>
      </c>
      <c r="K56" s="405">
        <v>1</v>
      </c>
      <c r="L56" s="405">
        <v>0.1</v>
      </c>
      <c r="M56" s="406" t="s">
        <v>1531</v>
      </c>
      <c r="N56" s="425" t="s">
        <v>993</v>
      </c>
      <c r="O56" s="391" t="s">
        <v>673</v>
      </c>
      <c r="P56" s="414" t="s">
        <v>1413</v>
      </c>
      <c r="Q56" s="340" t="s">
        <v>2433</v>
      </c>
      <c r="R56" s="338">
        <v>1</v>
      </c>
      <c r="S56" s="404" t="s">
        <v>1413</v>
      </c>
      <c r="T56" s="398" t="s">
        <v>1531</v>
      </c>
      <c r="U56" s="398" t="s">
        <v>1531</v>
      </c>
    </row>
    <row r="57" spans="1:21" ht="15.6" thickBot="1">
      <c r="A57" s="412">
        <v>0.23</v>
      </c>
      <c r="B57" s="409" t="s">
        <v>521</v>
      </c>
      <c r="C57" s="399" t="s">
        <v>1531</v>
      </c>
      <c r="D57" s="408" t="s">
        <v>1413</v>
      </c>
      <c r="E57" s="396">
        <v>3.5000000000000003E-2</v>
      </c>
      <c r="F57" s="409" t="s">
        <v>1412</v>
      </c>
      <c r="G57" s="399" t="s">
        <v>1531</v>
      </c>
      <c r="H57" s="408" t="s">
        <v>1413</v>
      </c>
      <c r="I57" s="408" t="s">
        <v>1413</v>
      </c>
      <c r="J57" s="408" t="s">
        <v>1413</v>
      </c>
      <c r="K57" s="409">
        <v>1</v>
      </c>
      <c r="L57" s="409">
        <v>0.1</v>
      </c>
      <c r="M57" s="410" t="s">
        <v>1531</v>
      </c>
      <c r="N57" s="426" t="s">
        <v>994</v>
      </c>
      <c r="O57" s="393" t="s">
        <v>674</v>
      </c>
      <c r="P57" s="415">
        <v>3</v>
      </c>
      <c r="Q57" s="340" t="s">
        <v>2434</v>
      </c>
      <c r="R57" s="338">
        <v>1</v>
      </c>
      <c r="S57" s="408" t="s">
        <v>1413</v>
      </c>
      <c r="T57" s="399" t="s">
        <v>1531</v>
      </c>
      <c r="U57" s="399" t="s">
        <v>1531</v>
      </c>
    </row>
    <row r="58" spans="1:21" ht="15">
      <c r="A58" s="427">
        <v>0.88</v>
      </c>
      <c r="B58" s="405" t="s">
        <v>521</v>
      </c>
      <c r="C58" s="394">
        <v>2.5000000000000001E-4</v>
      </c>
      <c r="D58" s="405" t="s">
        <v>521</v>
      </c>
      <c r="E58" s="398" t="s">
        <v>1531</v>
      </c>
      <c r="F58" s="404" t="s">
        <v>1413</v>
      </c>
      <c r="G58" s="398" t="s">
        <v>1531</v>
      </c>
      <c r="H58" s="404" t="s">
        <v>1413</v>
      </c>
      <c r="I58" s="404" t="s">
        <v>1413</v>
      </c>
      <c r="J58" s="404" t="s">
        <v>1413</v>
      </c>
      <c r="K58" s="405">
        <v>1</v>
      </c>
      <c r="L58" s="405">
        <v>0.1</v>
      </c>
      <c r="M58" s="406" t="s">
        <v>1531</v>
      </c>
      <c r="N58" s="425" t="s">
        <v>560</v>
      </c>
      <c r="O58" s="391" t="s">
        <v>675</v>
      </c>
      <c r="P58" s="414" t="s">
        <v>1413</v>
      </c>
      <c r="Q58" s="340" t="s">
        <v>2433</v>
      </c>
      <c r="R58" s="338">
        <v>1</v>
      </c>
      <c r="S58" s="404" t="s">
        <v>1413</v>
      </c>
      <c r="T58" s="394">
        <v>2.5000000000000001E-4</v>
      </c>
      <c r="U58" s="398" t="s">
        <v>1531</v>
      </c>
    </row>
    <row r="59" spans="1:21" ht="15">
      <c r="A59" s="403" t="s">
        <v>1531</v>
      </c>
      <c r="B59" s="404" t="s">
        <v>1413</v>
      </c>
      <c r="C59" s="398" t="s">
        <v>1531</v>
      </c>
      <c r="D59" s="404" t="s">
        <v>1413</v>
      </c>
      <c r="E59" s="394">
        <v>4.0000000000000002E-4</v>
      </c>
      <c r="F59" s="405" t="s">
        <v>1412</v>
      </c>
      <c r="G59" s="398" t="s">
        <v>1531</v>
      </c>
      <c r="H59" s="404" t="s">
        <v>1413</v>
      </c>
      <c r="I59" s="404" t="s">
        <v>1413</v>
      </c>
      <c r="J59" s="404" t="s">
        <v>1413</v>
      </c>
      <c r="K59" s="405">
        <v>1</v>
      </c>
      <c r="L59" s="405">
        <v>0.1</v>
      </c>
      <c r="M59" s="406" t="s">
        <v>1531</v>
      </c>
      <c r="N59" s="425" t="s">
        <v>995</v>
      </c>
      <c r="O59" s="391" t="s">
        <v>676</v>
      </c>
      <c r="P59" s="414" t="s">
        <v>1413</v>
      </c>
      <c r="Q59" s="340" t="s">
        <v>2434</v>
      </c>
      <c r="R59" s="338">
        <v>1</v>
      </c>
      <c r="S59" s="404" t="s">
        <v>1413</v>
      </c>
      <c r="T59" s="398" t="s">
        <v>1531</v>
      </c>
      <c r="U59" s="398" t="s">
        <v>1531</v>
      </c>
    </row>
    <row r="60" spans="1:21" ht="15.6" thickBot="1">
      <c r="A60" s="407" t="s">
        <v>1531</v>
      </c>
      <c r="B60" s="408" t="s">
        <v>1413</v>
      </c>
      <c r="C60" s="399" t="s">
        <v>1531</v>
      </c>
      <c r="D60" s="408" t="s">
        <v>1413</v>
      </c>
      <c r="E60" s="396">
        <v>3.0000000000000001E-3</v>
      </c>
      <c r="F60" s="409" t="s">
        <v>1414</v>
      </c>
      <c r="G60" s="396">
        <v>0.01</v>
      </c>
      <c r="H60" s="409" t="s">
        <v>1414</v>
      </c>
      <c r="I60" s="408" t="s">
        <v>1413</v>
      </c>
      <c r="J60" s="408" t="s">
        <v>1413</v>
      </c>
      <c r="K60" s="409">
        <v>1</v>
      </c>
      <c r="L60" s="409">
        <v>0.1</v>
      </c>
      <c r="M60" s="410" t="s">
        <v>1531</v>
      </c>
      <c r="N60" s="426" t="s">
        <v>2299</v>
      </c>
      <c r="O60" s="393" t="s">
        <v>956</v>
      </c>
      <c r="P60" s="416" t="s">
        <v>1413</v>
      </c>
      <c r="Q60" s="340" t="s">
        <v>2434</v>
      </c>
      <c r="R60" s="338">
        <v>1</v>
      </c>
      <c r="S60" s="408" t="s">
        <v>1413</v>
      </c>
      <c r="T60" s="399" t="s">
        <v>1531</v>
      </c>
      <c r="U60" s="396">
        <v>0.01</v>
      </c>
    </row>
    <row r="61" spans="1:21" ht="15">
      <c r="A61" s="427">
        <v>0.11</v>
      </c>
      <c r="B61" s="405" t="s">
        <v>1412</v>
      </c>
      <c r="C61" s="394">
        <v>3.1000000000000001E-5</v>
      </c>
      <c r="D61" s="405" t="s">
        <v>1412</v>
      </c>
      <c r="E61" s="398" t="s">
        <v>1531</v>
      </c>
      <c r="F61" s="404" t="s">
        <v>1413</v>
      </c>
      <c r="G61" s="398" t="s">
        <v>1531</v>
      </c>
      <c r="H61" s="404" t="s">
        <v>1413</v>
      </c>
      <c r="I61" s="405" t="s">
        <v>969</v>
      </c>
      <c r="J61" s="404" t="s">
        <v>1413</v>
      </c>
      <c r="K61" s="405">
        <v>1</v>
      </c>
      <c r="L61" s="411" t="s">
        <v>1531</v>
      </c>
      <c r="M61" s="406" t="s">
        <v>1531</v>
      </c>
      <c r="N61" s="425" t="s">
        <v>1398</v>
      </c>
      <c r="O61" s="391" t="s">
        <v>677</v>
      </c>
      <c r="P61" s="414" t="s">
        <v>1413</v>
      </c>
      <c r="Q61" s="340" t="s">
        <v>2434</v>
      </c>
      <c r="R61" s="338">
        <v>1</v>
      </c>
      <c r="S61" s="404" t="s">
        <v>1413</v>
      </c>
      <c r="T61" s="394">
        <v>3.1000000000000001E-5</v>
      </c>
      <c r="U61" s="398" t="s">
        <v>1531</v>
      </c>
    </row>
    <row r="62" spans="1:21" ht="15">
      <c r="A62" s="403" t="s">
        <v>1531</v>
      </c>
      <c r="B62" s="404" t="s">
        <v>1413</v>
      </c>
      <c r="C62" s="398" t="s">
        <v>1531</v>
      </c>
      <c r="D62" s="404" t="s">
        <v>1413</v>
      </c>
      <c r="E62" s="394">
        <v>1</v>
      </c>
      <c r="F62" s="405" t="s">
        <v>520</v>
      </c>
      <c r="G62" s="394">
        <v>6.9999999999999999E-6</v>
      </c>
      <c r="H62" s="405" t="s">
        <v>520</v>
      </c>
      <c r="I62" s="404" t="s">
        <v>1413</v>
      </c>
      <c r="J62" s="404" t="s">
        <v>1413</v>
      </c>
      <c r="K62" s="405">
        <v>1</v>
      </c>
      <c r="L62" s="405">
        <v>0.1</v>
      </c>
      <c r="M62" s="406" t="s">
        <v>1531</v>
      </c>
      <c r="N62" s="425" t="s">
        <v>2077</v>
      </c>
      <c r="O62" s="391" t="s">
        <v>2078</v>
      </c>
      <c r="P62" s="414" t="s">
        <v>1413</v>
      </c>
      <c r="Q62" s="340" t="s">
        <v>2434</v>
      </c>
      <c r="R62" s="338">
        <v>1</v>
      </c>
      <c r="S62" s="404" t="s">
        <v>1413</v>
      </c>
      <c r="T62" s="398" t="s">
        <v>1531</v>
      </c>
      <c r="U62" s="394">
        <v>6.9999999999999999E-6</v>
      </c>
    </row>
    <row r="63" spans="1:21" ht="15.6" thickBot="1">
      <c r="A63" s="407" t="s">
        <v>1531</v>
      </c>
      <c r="B63" s="408" t="s">
        <v>1413</v>
      </c>
      <c r="C63" s="399" t="s">
        <v>1531</v>
      </c>
      <c r="D63" s="408" t="s">
        <v>1413</v>
      </c>
      <c r="E63" s="396">
        <v>0.2</v>
      </c>
      <c r="F63" s="409" t="s">
        <v>1412</v>
      </c>
      <c r="G63" s="396">
        <v>5.0000000000000001E-4</v>
      </c>
      <c r="H63" s="409" t="s">
        <v>406</v>
      </c>
      <c r="I63" s="408" t="s">
        <v>1413</v>
      </c>
      <c r="J63" s="408" t="s">
        <v>1413</v>
      </c>
      <c r="K63" s="409">
        <v>7.0000000000000007E-2</v>
      </c>
      <c r="L63" s="413" t="s">
        <v>1531</v>
      </c>
      <c r="M63" s="410" t="s">
        <v>1531</v>
      </c>
      <c r="N63" s="426" t="s">
        <v>996</v>
      </c>
      <c r="O63" s="393" t="s">
        <v>678</v>
      </c>
      <c r="P63" s="415">
        <v>2000</v>
      </c>
      <c r="Q63" s="340" t="s">
        <v>2434</v>
      </c>
      <c r="R63" s="338">
        <v>1</v>
      </c>
      <c r="S63" s="408" t="s">
        <v>1413</v>
      </c>
      <c r="T63" s="399" t="s">
        <v>1531</v>
      </c>
      <c r="U63" s="396">
        <v>5.0000000000000001E-4</v>
      </c>
    </row>
    <row r="64" spans="1:21" ht="15">
      <c r="A64" s="403" t="s">
        <v>1531</v>
      </c>
      <c r="B64" s="404" t="s">
        <v>1413</v>
      </c>
      <c r="C64" s="398" t="s">
        <v>1531</v>
      </c>
      <c r="D64" s="404" t="s">
        <v>1413</v>
      </c>
      <c r="E64" s="394">
        <v>5.0000000000000001E-3</v>
      </c>
      <c r="F64" s="405" t="s">
        <v>1474</v>
      </c>
      <c r="G64" s="398" t="s">
        <v>1531</v>
      </c>
      <c r="H64" s="404" t="s">
        <v>1413</v>
      </c>
      <c r="I64" s="405" t="s">
        <v>969</v>
      </c>
      <c r="J64" s="404" t="s">
        <v>1413</v>
      </c>
      <c r="K64" s="405">
        <v>1</v>
      </c>
      <c r="L64" s="411" t="s">
        <v>1531</v>
      </c>
      <c r="M64" s="406" t="s">
        <v>1531</v>
      </c>
      <c r="N64" s="425" t="s">
        <v>2300</v>
      </c>
      <c r="O64" s="391" t="s">
        <v>682</v>
      </c>
      <c r="P64" s="414" t="s">
        <v>1413</v>
      </c>
      <c r="Q64" s="340" t="s">
        <v>2433</v>
      </c>
      <c r="R64" s="338">
        <v>1</v>
      </c>
      <c r="S64" s="404" t="s">
        <v>1413</v>
      </c>
      <c r="T64" s="398" t="s">
        <v>1531</v>
      </c>
      <c r="U64" s="398" t="s">
        <v>1531</v>
      </c>
    </row>
    <row r="65" spans="1:21" ht="15">
      <c r="A65" s="403" t="s">
        <v>1531</v>
      </c>
      <c r="B65" s="404" t="s">
        <v>1413</v>
      </c>
      <c r="C65" s="398" t="s">
        <v>1531</v>
      </c>
      <c r="D65" s="404" t="s">
        <v>1413</v>
      </c>
      <c r="E65" s="394">
        <v>0.05</v>
      </c>
      <c r="F65" s="405" t="s">
        <v>1412</v>
      </c>
      <c r="G65" s="398" t="s">
        <v>1531</v>
      </c>
      <c r="H65" s="404" t="s">
        <v>1413</v>
      </c>
      <c r="I65" s="404" t="s">
        <v>1413</v>
      </c>
      <c r="J65" s="404" t="s">
        <v>1413</v>
      </c>
      <c r="K65" s="405">
        <v>1</v>
      </c>
      <c r="L65" s="405">
        <v>0.1</v>
      </c>
      <c r="M65" s="406" t="s">
        <v>1531</v>
      </c>
      <c r="N65" s="425" t="s">
        <v>997</v>
      </c>
      <c r="O65" s="391" t="s">
        <v>683</v>
      </c>
      <c r="P65" s="414" t="s">
        <v>1413</v>
      </c>
      <c r="Q65" s="340" t="s">
        <v>2433</v>
      </c>
      <c r="R65" s="338">
        <v>1</v>
      </c>
      <c r="S65" s="404" t="s">
        <v>1413</v>
      </c>
      <c r="T65" s="398" t="s">
        <v>1531</v>
      </c>
      <c r="U65" s="398" t="s">
        <v>1531</v>
      </c>
    </row>
    <row r="66" spans="1:21" ht="15.6" thickBot="1">
      <c r="A66" s="407" t="s">
        <v>1531</v>
      </c>
      <c r="B66" s="408" t="s">
        <v>1413</v>
      </c>
      <c r="C66" s="399" t="s">
        <v>1531</v>
      </c>
      <c r="D66" s="408" t="s">
        <v>1413</v>
      </c>
      <c r="E66" s="396">
        <v>0.2</v>
      </c>
      <c r="F66" s="409" t="s">
        <v>1412</v>
      </c>
      <c r="G66" s="399" t="s">
        <v>1531</v>
      </c>
      <c r="H66" s="408" t="s">
        <v>1413</v>
      </c>
      <c r="I66" s="408" t="s">
        <v>1413</v>
      </c>
      <c r="J66" s="408" t="s">
        <v>1413</v>
      </c>
      <c r="K66" s="409">
        <v>1</v>
      </c>
      <c r="L66" s="409">
        <v>0.1</v>
      </c>
      <c r="M66" s="410" t="s">
        <v>1531</v>
      </c>
      <c r="N66" s="426" t="s">
        <v>2301</v>
      </c>
      <c r="O66" s="393" t="s">
        <v>45</v>
      </c>
      <c r="P66" s="416" t="s">
        <v>1413</v>
      </c>
      <c r="Q66" s="340" t="s">
        <v>2433</v>
      </c>
      <c r="R66" s="338">
        <v>1</v>
      </c>
      <c r="S66" s="408" t="s">
        <v>1413</v>
      </c>
      <c r="T66" s="399" t="s">
        <v>1531</v>
      </c>
      <c r="U66" s="399" t="s">
        <v>1531</v>
      </c>
    </row>
    <row r="67" spans="1:21" ht="15">
      <c r="A67" s="403" t="s">
        <v>1531</v>
      </c>
      <c r="B67" s="404" t="s">
        <v>1413</v>
      </c>
      <c r="C67" s="398" t="s">
        <v>1531</v>
      </c>
      <c r="D67" s="404" t="s">
        <v>1413</v>
      </c>
      <c r="E67" s="394">
        <v>0.03</v>
      </c>
      <c r="F67" s="405" t="s">
        <v>1412</v>
      </c>
      <c r="G67" s="398" t="s">
        <v>1531</v>
      </c>
      <c r="H67" s="404" t="s">
        <v>1413</v>
      </c>
      <c r="I67" s="404" t="s">
        <v>1413</v>
      </c>
      <c r="J67" s="404" t="s">
        <v>1413</v>
      </c>
      <c r="K67" s="405">
        <v>1</v>
      </c>
      <c r="L67" s="405">
        <v>0.1</v>
      </c>
      <c r="M67" s="406" t="s">
        <v>1531</v>
      </c>
      <c r="N67" s="425" t="s">
        <v>998</v>
      </c>
      <c r="O67" s="391" t="s">
        <v>684</v>
      </c>
      <c r="P67" s="414" t="s">
        <v>1413</v>
      </c>
      <c r="Q67" s="340" t="s">
        <v>2433</v>
      </c>
      <c r="R67" s="338">
        <v>1</v>
      </c>
      <c r="S67" s="404" t="s">
        <v>1413</v>
      </c>
      <c r="T67" s="398" t="s">
        <v>1531</v>
      </c>
      <c r="U67" s="398" t="s">
        <v>1531</v>
      </c>
    </row>
    <row r="68" spans="1:21" ht="15">
      <c r="A68" s="427">
        <v>0.1</v>
      </c>
      <c r="B68" s="405" t="s">
        <v>360</v>
      </c>
      <c r="C68" s="394">
        <v>6.0000000000000002E-5</v>
      </c>
      <c r="D68" s="405" t="s">
        <v>360</v>
      </c>
      <c r="E68" s="398" t="s">
        <v>1531</v>
      </c>
      <c r="F68" s="404" t="s">
        <v>1413</v>
      </c>
      <c r="G68" s="398" t="s">
        <v>1531</v>
      </c>
      <c r="H68" s="404" t="s">
        <v>1413</v>
      </c>
      <c r="I68" s="405" t="s">
        <v>969</v>
      </c>
      <c r="J68" s="405" t="s">
        <v>522</v>
      </c>
      <c r="K68" s="405">
        <v>1</v>
      </c>
      <c r="L68" s="405">
        <v>0.13</v>
      </c>
      <c r="M68" s="406" t="s">
        <v>1531</v>
      </c>
      <c r="N68" s="425" t="s">
        <v>2235</v>
      </c>
      <c r="O68" s="391" t="s">
        <v>203</v>
      </c>
      <c r="P68" s="414" t="s">
        <v>1413</v>
      </c>
      <c r="Q68" s="340" t="s">
        <v>2433</v>
      </c>
      <c r="R68" s="338">
        <v>1</v>
      </c>
      <c r="S68" s="405" t="s">
        <v>2424</v>
      </c>
      <c r="T68" s="394">
        <v>6.0000000000000002E-5</v>
      </c>
      <c r="U68" s="398" t="s">
        <v>1531</v>
      </c>
    </row>
    <row r="69" spans="1:21" ht="15.6" thickBot="1">
      <c r="A69" s="412">
        <v>4.0000000000000001E-3</v>
      </c>
      <c r="B69" s="409" t="s">
        <v>520</v>
      </c>
      <c r="C69" s="399" t="s">
        <v>1531</v>
      </c>
      <c r="D69" s="408" t="s">
        <v>1413</v>
      </c>
      <c r="E69" s="396">
        <v>0.1</v>
      </c>
      <c r="F69" s="409" t="s">
        <v>1412</v>
      </c>
      <c r="G69" s="399" t="s">
        <v>1531</v>
      </c>
      <c r="H69" s="408" t="s">
        <v>1413</v>
      </c>
      <c r="I69" s="409" t="s">
        <v>969</v>
      </c>
      <c r="J69" s="408" t="s">
        <v>1413</v>
      </c>
      <c r="K69" s="409">
        <v>1</v>
      </c>
      <c r="L69" s="413" t="s">
        <v>1531</v>
      </c>
      <c r="M69" s="397">
        <v>1160</v>
      </c>
      <c r="N69" s="426" t="s">
        <v>1415</v>
      </c>
      <c r="O69" s="393" t="s">
        <v>685</v>
      </c>
      <c r="P69" s="416" t="s">
        <v>1413</v>
      </c>
      <c r="Q69" s="340" t="s">
        <v>2433</v>
      </c>
      <c r="R69" s="338">
        <v>1</v>
      </c>
      <c r="S69" s="408" t="s">
        <v>1413</v>
      </c>
      <c r="T69" s="399" t="s">
        <v>1531</v>
      </c>
      <c r="U69" s="399" t="s">
        <v>1531</v>
      </c>
    </row>
    <row r="70" spans="1:21" ht="15">
      <c r="A70" s="427">
        <v>5.5E-2</v>
      </c>
      <c r="B70" s="405" t="s">
        <v>1412</v>
      </c>
      <c r="C70" s="394">
        <v>7.7999999999999999E-6</v>
      </c>
      <c r="D70" s="405" t="s">
        <v>1412</v>
      </c>
      <c r="E70" s="394">
        <v>4.0000000000000001E-3</v>
      </c>
      <c r="F70" s="405" t="s">
        <v>1412</v>
      </c>
      <c r="G70" s="394">
        <v>0.03</v>
      </c>
      <c r="H70" s="405" t="s">
        <v>1412</v>
      </c>
      <c r="I70" s="405" t="s">
        <v>969</v>
      </c>
      <c r="J70" s="404" t="s">
        <v>1413</v>
      </c>
      <c r="K70" s="405">
        <v>1</v>
      </c>
      <c r="L70" s="411" t="s">
        <v>1531</v>
      </c>
      <c r="M70" s="395">
        <v>1820</v>
      </c>
      <c r="N70" s="425" t="s">
        <v>426</v>
      </c>
      <c r="O70" s="391" t="s">
        <v>686</v>
      </c>
      <c r="P70" s="429">
        <v>5</v>
      </c>
      <c r="Q70" s="340" t="s">
        <v>2434</v>
      </c>
      <c r="R70" s="338">
        <v>1</v>
      </c>
      <c r="S70" s="404" t="s">
        <v>1413</v>
      </c>
      <c r="T70" s="394">
        <v>7.7999999999999999E-6</v>
      </c>
      <c r="U70" s="394">
        <v>0.03</v>
      </c>
    </row>
    <row r="71" spans="1:21" ht="15">
      <c r="A71" s="427">
        <v>0.1</v>
      </c>
      <c r="B71" s="405" t="s">
        <v>961</v>
      </c>
      <c r="C71" s="398" t="s">
        <v>1531</v>
      </c>
      <c r="D71" s="404" t="s">
        <v>1413</v>
      </c>
      <c r="E71" s="394">
        <v>2.9999999999999997E-4</v>
      </c>
      <c r="F71" s="405" t="s">
        <v>961</v>
      </c>
      <c r="G71" s="398" t="s">
        <v>1531</v>
      </c>
      <c r="H71" s="404" t="s">
        <v>1413</v>
      </c>
      <c r="I71" s="404" t="s">
        <v>1413</v>
      </c>
      <c r="J71" s="404" t="s">
        <v>1413</v>
      </c>
      <c r="K71" s="405">
        <v>1</v>
      </c>
      <c r="L71" s="405">
        <v>0.1</v>
      </c>
      <c r="M71" s="406" t="s">
        <v>1531</v>
      </c>
      <c r="N71" s="425" t="s">
        <v>1559</v>
      </c>
      <c r="O71" s="391" t="s">
        <v>1560</v>
      </c>
      <c r="P71" s="414" t="s">
        <v>1413</v>
      </c>
      <c r="Q71" s="340" t="s">
        <v>2433</v>
      </c>
      <c r="R71" s="338">
        <v>1</v>
      </c>
      <c r="S71" s="404" t="s">
        <v>1413</v>
      </c>
      <c r="T71" s="398" t="s">
        <v>1531</v>
      </c>
      <c r="U71" s="398" t="s">
        <v>1531</v>
      </c>
    </row>
    <row r="72" spans="1:21" ht="15.6" thickBot="1">
      <c r="A72" s="407" t="s">
        <v>1531</v>
      </c>
      <c r="B72" s="408" t="s">
        <v>1413</v>
      </c>
      <c r="C72" s="399" t="s">
        <v>1531</v>
      </c>
      <c r="D72" s="408" t="s">
        <v>1413</v>
      </c>
      <c r="E72" s="396">
        <v>1E-3</v>
      </c>
      <c r="F72" s="409" t="s">
        <v>520</v>
      </c>
      <c r="G72" s="399" t="s">
        <v>1531</v>
      </c>
      <c r="H72" s="408" t="s">
        <v>1413</v>
      </c>
      <c r="I72" s="409" t="s">
        <v>969</v>
      </c>
      <c r="J72" s="408" t="s">
        <v>1413</v>
      </c>
      <c r="K72" s="409">
        <v>1</v>
      </c>
      <c r="L72" s="413" t="s">
        <v>1531</v>
      </c>
      <c r="M72" s="397">
        <v>1260</v>
      </c>
      <c r="N72" s="426" t="s">
        <v>999</v>
      </c>
      <c r="O72" s="393" t="s">
        <v>687</v>
      </c>
      <c r="P72" s="416" t="s">
        <v>1413</v>
      </c>
      <c r="Q72" s="340" t="s">
        <v>2433</v>
      </c>
      <c r="R72" s="338">
        <v>1</v>
      </c>
      <c r="S72" s="408" t="s">
        <v>1413</v>
      </c>
      <c r="T72" s="399" t="s">
        <v>1531</v>
      </c>
      <c r="U72" s="399" t="s">
        <v>1531</v>
      </c>
    </row>
    <row r="73" spans="1:21" ht="15">
      <c r="A73" s="427">
        <v>230</v>
      </c>
      <c r="B73" s="405" t="s">
        <v>1412</v>
      </c>
      <c r="C73" s="394">
        <v>6.7000000000000004E-2</v>
      </c>
      <c r="D73" s="405" t="s">
        <v>1412</v>
      </c>
      <c r="E73" s="394">
        <v>3.0000000000000001E-3</v>
      </c>
      <c r="F73" s="405" t="s">
        <v>1412</v>
      </c>
      <c r="G73" s="398" t="s">
        <v>1531</v>
      </c>
      <c r="H73" s="404" t="s">
        <v>1413</v>
      </c>
      <c r="I73" s="404" t="s">
        <v>1413</v>
      </c>
      <c r="J73" s="405" t="s">
        <v>522</v>
      </c>
      <c r="K73" s="405">
        <v>1</v>
      </c>
      <c r="L73" s="405">
        <v>0.1</v>
      </c>
      <c r="M73" s="406" t="s">
        <v>1531</v>
      </c>
      <c r="N73" s="425" t="s">
        <v>1399</v>
      </c>
      <c r="O73" s="391" t="s">
        <v>688</v>
      </c>
      <c r="P73" s="414" t="s">
        <v>1413</v>
      </c>
      <c r="Q73" s="340" t="s">
        <v>2434</v>
      </c>
      <c r="R73" s="338">
        <v>1</v>
      </c>
      <c r="S73" s="405" t="s">
        <v>2424</v>
      </c>
      <c r="T73" s="394">
        <v>6.7000000000000004E-2</v>
      </c>
      <c r="U73" s="398" t="s">
        <v>1531</v>
      </c>
    </row>
    <row r="74" spans="1:21" ht="15">
      <c r="A74" s="427">
        <v>1.2</v>
      </c>
      <c r="B74" s="405" t="s">
        <v>521</v>
      </c>
      <c r="C74" s="394">
        <v>1.1E-4</v>
      </c>
      <c r="D74" s="405" t="s">
        <v>521</v>
      </c>
      <c r="E74" s="398" t="s">
        <v>1531</v>
      </c>
      <c r="F74" s="404" t="s">
        <v>1413</v>
      </c>
      <c r="G74" s="398" t="s">
        <v>1531</v>
      </c>
      <c r="H74" s="404" t="s">
        <v>1413</v>
      </c>
      <c r="I74" s="404" t="s">
        <v>1413</v>
      </c>
      <c r="J74" s="404" t="s">
        <v>1413</v>
      </c>
      <c r="K74" s="405">
        <v>1</v>
      </c>
      <c r="L74" s="405">
        <v>0.13</v>
      </c>
      <c r="M74" s="406" t="s">
        <v>1531</v>
      </c>
      <c r="N74" s="425" t="s">
        <v>2348</v>
      </c>
      <c r="O74" s="391" t="s">
        <v>204</v>
      </c>
      <c r="P74" s="414" t="s">
        <v>1413</v>
      </c>
      <c r="Q74" s="340" t="s">
        <v>2433</v>
      </c>
      <c r="R74" s="338">
        <v>1</v>
      </c>
      <c r="S74" s="404" t="s">
        <v>1413</v>
      </c>
      <c r="T74" s="394">
        <v>1.1E-4</v>
      </c>
      <c r="U74" s="398" t="s">
        <v>1531</v>
      </c>
    </row>
    <row r="75" spans="1:21" ht="15.6" thickBot="1">
      <c r="A75" s="412">
        <v>1</v>
      </c>
      <c r="B75" s="409" t="s">
        <v>1412</v>
      </c>
      <c r="C75" s="396">
        <v>5.9999999999999995E-4</v>
      </c>
      <c r="D75" s="409" t="s">
        <v>1412</v>
      </c>
      <c r="E75" s="396">
        <v>2.9999999999999997E-4</v>
      </c>
      <c r="F75" s="409" t="s">
        <v>1412</v>
      </c>
      <c r="G75" s="396">
        <v>1.9999999999999999E-6</v>
      </c>
      <c r="H75" s="409" t="s">
        <v>1412</v>
      </c>
      <c r="I75" s="408" t="s">
        <v>1413</v>
      </c>
      <c r="J75" s="409" t="s">
        <v>522</v>
      </c>
      <c r="K75" s="409">
        <v>1</v>
      </c>
      <c r="L75" s="409">
        <v>0.13</v>
      </c>
      <c r="M75" s="410" t="s">
        <v>1531</v>
      </c>
      <c r="N75" s="426" t="s">
        <v>2349</v>
      </c>
      <c r="O75" s="393" t="s">
        <v>205</v>
      </c>
      <c r="P75" s="415">
        <v>0.2</v>
      </c>
      <c r="Q75" s="340" t="s">
        <v>2434</v>
      </c>
      <c r="R75" s="338">
        <v>1</v>
      </c>
      <c r="S75" s="409" t="s">
        <v>2424</v>
      </c>
      <c r="T75" s="396">
        <v>5.9999999999999995E-4</v>
      </c>
      <c r="U75" s="396">
        <v>1.9999999999999999E-6</v>
      </c>
    </row>
    <row r="76" spans="1:21" ht="15">
      <c r="A76" s="427">
        <v>0.1</v>
      </c>
      <c r="B76" s="405" t="s">
        <v>360</v>
      </c>
      <c r="C76" s="394">
        <v>6.0000000000000002E-5</v>
      </c>
      <c r="D76" s="405" t="s">
        <v>360</v>
      </c>
      <c r="E76" s="398" t="s">
        <v>1531</v>
      </c>
      <c r="F76" s="404" t="s">
        <v>1413</v>
      </c>
      <c r="G76" s="398" t="s">
        <v>1531</v>
      </c>
      <c r="H76" s="404" t="s">
        <v>1413</v>
      </c>
      <c r="I76" s="404" t="s">
        <v>1413</v>
      </c>
      <c r="J76" s="405" t="s">
        <v>522</v>
      </c>
      <c r="K76" s="405">
        <v>1</v>
      </c>
      <c r="L76" s="405">
        <v>0.13</v>
      </c>
      <c r="M76" s="406" t="s">
        <v>1531</v>
      </c>
      <c r="N76" s="425" t="s">
        <v>2350</v>
      </c>
      <c r="O76" s="391" t="s">
        <v>206</v>
      </c>
      <c r="P76" s="414" t="s">
        <v>1413</v>
      </c>
      <c r="Q76" s="340" t="s">
        <v>2434</v>
      </c>
      <c r="R76" s="338">
        <v>1</v>
      </c>
      <c r="S76" s="405" t="s">
        <v>2424</v>
      </c>
      <c r="T76" s="394">
        <v>6.0000000000000002E-5</v>
      </c>
      <c r="U76" s="398" t="s">
        <v>1531</v>
      </c>
    </row>
    <row r="77" spans="1:21" ht="15">
      <c r="A77" s="427">
        <v>0.01</v>
      </c>
      <c r="B77" s="405" t="s">
        <v>360</v>
      </c>
      <c r="C77" s="394">
        <v>6.0000000000000002E-6</v>
      </c>
      <c r="D77" s="405" t="s">
        <v>360</v>
      </c>
      <c r="E77" s="398" t="s">
        <v>1531</v>
      </c>
      <c r="F77" s="404" t="s">
        <v>1413</v>
      </c>
      <c r="G77" s="398" t="s">
        <v>1531</v>
      </c>
      <c r="H77" s="404" t="s">
        <v>1413</v>
      </c>
      <c r="I77" s="404" t="s">
        <v>1413</v>
      </c>
      <c r="J77" s="405" t="s">
        <v>522</v>
      </c>
      <c r="K77" s="405">
        <v>1</v>
      </c>
      <c r="L77" s="405">
        <v>0.13</v>
      </c>
      <c r="M77" s="406" t="s">
        <v>1531</v>
      </c>
      <c r="N77" s="425" t="s">
        <v>2351</v>
      </c>
      <c r="O77" s="391" t="s">
        <v>207</v>
      </c>
      <c r="P77" s="414" t="s">
        <v>1413</v>
      </c>
      <c r="Q77" s="340" t="s">
        <v>2433</v>
      </c>
      <c r="R77" s="338">
        <v>1</v>
      </c>
      <c r="S77" s="405" t="s">
        <v>2424</v>
      </c>
      <c r="T77" s="394">
        <v>6.0000000000000002E-6</v>
      </c>
      <c r="U77" s="398" t="s">
        <v>1531</v>
      </c>
    </row>
    <row r="78" spans="1:21" ht="15.6" thickBot="1">
      <c r="A78" s="407" t="s">
        <v>1531</v>
      </c>
      <c r="B78" s="408" t="s">
        <v>1413</v>
      </c>
      <c r="C78" s="399" t="s">
        <v>1531</v>
      </c>
      <c r="D78" s="408" t="s">
        <v>1413</v>
      </c>
      <c r="E78" s="396">
        <v>4</v>
      </c>
      <c r="F78" s="409" t="s">
        <v>1412</v>
      </c>
      <c r="G78" s="399" t="s">
        <v>1531</v>
      </c>
      <c r="H78" s="408" t="s">
        <v>1413</v>
      </c>
      <c r="I78" s="408" t="s">
        <v>1413</v>
      </c>
      <c r="J78" s="408" t="s">
        <v>1413</v>
      </c>
      <c r="K78" s="409">
        <v>1</v>
      </c>
      <c r="L78" s="409">
        <v>0.1</v>
      </c>
      <c r="M78" s="410" t="s">
        <v>1531</v>
      </c>
      <c r="N78" s="426" t="s">
        <v>427</v>
      </c>
      <c r="O78" s="393" t="s">
        <v>689</v>
      </c>
      <c r="P78" s="416" t="s">
        <v>1413</v>
      </c>
      <c r="Q78" s="340" t="s">
        <v>2433</v>
      </c>
      <c r="R78" s="338">
        <v>1</v>
      </c>
      <c r="S78" s="408" t="s">
        <v>1413</v>
      </c>
      <c r="T78" s="399" t="s">
        <v>1531</v>
      </c>
      <c r="U78" s="399" t="s">
        <v>1531</v>
      </c>
    </row>
    <row r="79" spans="1:21" ht="15">
      <c r="A79" s="427">
        <v>13</v>
      </c>
      <c r="B79" s="405" t="s">
        <v>1412</v>
      </c>
      <c r="C79" s="398" t="s">
        <v>1531</v>
      </c>
      <c r="D79" s="404" t="s">
        <v>1413</v>
      </c>
      <c r="E79" s="398" t="s">
        <v>1531</v>
      </c>
      <c r="F79" s="404" t="s">
        <v>1413</v>
      </c>
      <c r="G79" s="398" t="s">
        <v>1531</v>
      </c>
      <c r="H79" s="404" t="s">
        <v>1413</v>
      </c>
      <c r="I79" s="405" t="s">
        <v>969</v>
      </c>
      <c r="J79" s="404" t="s">
        <v>1413</v>
      </c>
      <c r="K79" s="405">
        <v>1</v>
      </c>
      <c r="L79" s="411" t="s">
        <v>1531</v>
      </c>
      <c r="M79" s="395">
        <v>324</v>
      </c>
      <c r="N79" s="425" t="s">
        <v>1000</v>
      </c>
      <c r="O79" s="391" t="s">
        <v>690</v>
      </c>
      <c r="P79" s="414" t="s">
        <v>1413</v>
      </c>
      <c r="Q79" s="340" t="s">
        <v>2433</v>
      </c>
      <c r="R79" s="338">
        <v>1</v>
      </c>
      <c r="S79" s="404" t="s">
        <v>1413</v>
      </c>
      <c r="T79" s="398" t="s">
        <v>1531</v>
      </c>
      <c r="U79" s="398" t="s">
        <v>1531</v>
      </c>
    </row>
    <row r="80" spans="1:21" ht="15">
      <c r="A80" s="403" t="s">
        <v>1531</v>
      </c>
      <c r="B80" s="404" t="s">
        <v>1413</v>
      </c>
      <c r="C80" s="398" t="s">
        <v>1531</v>
      </c>
      <c r="D80" s="404" t="s">
        <v>1413</v>
      </c>
      <c r="E80" s="394">
        <v>0.1</v>
      </c>
      <c r="F80" s="405" t="s">
        <v>520</v>
      </c>
      <c r="G80" s="398" t="s">
        <v>1531</v>
      </c>
      <c r="H80" s="404" t="s">
        <v>1413</v>
      </c>
      <c r="I80" s="404" t="s">
        <v>1413</v>
      </c>
      <c r="J80" s="404" t="s">
        <v>1413</v>
      </c>
      <c r="K80" s="405">
        <v>1</v>
      </c>
      <c r="L80" s="405">
        <v>0.1</v>
      </c>
      <c r="M80" s="406" t="s">
        <v>1531</v>
      </c>
      <c r="N80" s="425" t="s">
        <v>1001</v>
      </c>
      <c r="O80" s="391" t="s">
        <v>691</v>
      </c>
      <c r="P80" s="414" t="s">
        <v>1413</v>
      </c>
      <c r="Q80" s="340" t="s">
        <v>2433</v>
      </c>
      <c r="R80" s="338">
        <v>1</v>
      </c>
      <c r="S80" s="404" t="s">
        <v>1413</v>
      </c>
      <c r="T80" s="398" t="s">
        <v>1531</v>
      </c>
      <c r="U80" s="398" t="s">
        <v>1531</v>
      </c>
    </row>
    <row r="81" spans="1:21" ht="15.6" thickBot="1">
      <c r="A81" s="412">
        <v>0.17</v>
      </c>
      <c r="B81" s="409" t="s">
        <v>1412</v>
      </c>
      <c r="C81" s="396">
        <v>4.8999999999999998E-5</v>
      </c>
      <c r="D81" s="409" t="s">
        <v>521</v>
      </c>
      <c r="E81" s="396">
        <v>2E-3</v>
      </c>
      <c r="F81" s="409" t="s">
        <v>520</v>
      </c>
      <c r="G81" s="396">
        <v>1E-3</v>
      </c>
      <c r="H81" s="409" t="s">
        <v>520</v>
      </c>
      <c r="I81" s="409" t="s">
        <v>969</v>
      </c>
      <c r="J81" s="408" t="s">
        <v>1413</v>
      </c>
      <c r="K81" s="409">
        <v>1</v>
      </c>
      <c r="L81" s="413" t="s">
        <v>1531</v>
      </c>
      <c r="M81" s="397">
        <v>1460</v>
      </c>
      <c r="N81" s="426" t="s">
        <v>1002</v>
      </c>
      <c r="O81" s="393" t="s">
        <v>692</v>
      </c>
      <c r="P81" s="416" t="s">
        <v>1413</v>
      </c>
      <c r="Q81" s="340" t="s">
        <v>2434</v>
      </c>
      <c r="R81" s="338">
        <v>1</v>
      </c>
      <c r="S81" s="408" t="s">
        <v>1413</v>
      </c>
      <c r="T81" s="396">
        <v>4.8999999999999998E-5</v>
      </c>
      <c r="U81" s="396">
        <v>1E-3</v>
      </c>
    </row>
    <row r="82" spans="1:21" ht="15">
      <c r="A82" s="403" t="s">
        <v>1531</v>
      </c>
      <c r="B82" s="404" t="s">
        <v>1413</v>
      </c>
      <c r="C82" s="394">
        <v>2.3999999999999998E-3</v>
      </c>
      <c r="D82" s="405" t="s">
        <v>1412</v>
      </c>
      <c r="E82" s="394">
        <v>2E-3</v>
      </c>
      <c r="F82" s="405" t="s">
        <v>1412</v>
      </c>
      <c r="G82" s="394">
        <v>2.0000000000000002E-5</v>
      </c>
      <c r="H82" s="405" t="s">
        <v>1412</v>
      </c>
      <c r="I82" s="404" t="s">
        <v>1413</v>
      </c>
      <c r="J82" s="404" t="s">
        <v>1413</v>
      </c>
      <c r="K82" s="405">
        <v>7.0000000000000001E-3</v>
      </c>
      <c r="L82" s="411" t="s">
        <v>1531</v>
      </c>
      <c r="M82" s="406" t="s">
        <v>1531</v>
      </c>
      <c r="N82" s="425" t="s">
        <v>1003</v>
      </c>
      <c r="O82" s="391" t="s">
        <v>693</v>
      </c>
      <c r="P82" s="429">
        <v>4</v>
      </c>
      <c r="Q82" s="340" t="s">
        <v>2434</v>
      </c>
      <c r="R82" s="338">
        <v>1</v>
      </c>
      <c r="S82" s="404" t="s">
        <v>1413</v>
      </c>
      <c r="T82" s="394">
        <v>2.3999999999999998E-3</v>
      </c>
      <c r="U82" s="394">
        <v>2.0000000000000002E-5</v>
      </c>
    </row>
    <row r="83" spans="1:21" ht="15">
      <c r="A83" s="403" t="s">
        <v>1531</v>
      </c>
      <c r="B83" s="404" t="s">
        <v>1413</v>
      </c>
      <c r="C83" s="398" t="s">
        <v>1531</v>
      </c>
      <c r="D83" s="404" t="s">
        <v>1413</v>
      </c>
      <c r="E83" s="394">
        <v>8.9999999999999993E-3</v>
      </c>
      <c r="F83" s="405" t="s">
        <v>520</v>
      </c>
      <c r="G83" s="398" t="s">
        <v>1531</v>
      </c>
      <c r="H83" s="404" t="s">
        <v>1413</v>
      </c>
      <c r="I83" s="404" t="s">
        <v>1413</v>
      </c>
      <c r="J83" s="404" t="s">
        <v>1413</v>
      </c>
      <c r="K83" s="405">
        <v>1</v>
      </c>
      <c r="L83" s="405">
        <v>0.1</v>
      </c>
      <c r="M83" s="406" t="s">
        <v>1531</v>
      </c>
      <c r="N83" s="425" t="s">
        <v>1004</v>
      </c>
      <c r="O83" s="391" t="s">
        <v>695</v>
      </c>
      <c r="P83" s="414" t="s">
        <v>1413</v>
      </c>
      <c r="Q83" s="340" t="s">
        <v>2433</v>
      </c>
      <c r="R83" s="338">
        <v>1</v>
      </c>
      <c r="S83" s="404" t="s">
        <v>1413</v>
      </c>
      <c r="T83" s="398" t="s">
        <v>1531</v>
      </c>
      <c r="U83" s="398" t="s">
        <v>1531</v>
      </c>
    </row>
    <row r="84" spans="1:21" ht="15.6" thickBot="1">
      <c r="A84" s="407" t="s">
        <v>1531</v>
      </c>
      <c r="B84" s="408" t="s">
        <v>1413</v>
      </c>
      <c r="C84" s="399" t="s">
        <v>1531</v>
      </c>
      <c r="D84" s="408" t="s">
        <v>1413</v>
      </c>
      <c r="E84" s="396">
        <v>1.4999999999999999E-2</v>
      </c>
      <c r="F84" s="409" t="s">
        <v>1412</v>
      </c>
      <c r="G84" s="399" t="s">
        <v>1531</v>
      </c>
      <c r="H84" s="408" t="s">
        <v>1413</v>
      </c>
      <c r="I84" s="408" t="s">
        <v>1413</v>
      </c>
      <c r="J84" s="408" t="s">
        <v>1413</v>
      </c>
      <c r="K84" s="409">
        <v>1</v>
      </c>
      <c r="L84" s="409">
        <v>0.1</v>
      </c>
      <c r="M84" s="410" t="s">
        <v>1531</v>
      </c>
      <c r="N84" s="426" t="s">
        <v>1005</v>
      </c>
      <c r="O84" s="393" t="s">
        <v>696</v>
      </c>
      <c r="P84" s="416" t="s">
        <v>1413</v>
      </c>
      <c r="Q84" s="340" t="s">
        <v>2433</v>
      </c>
      <c r="R84" s="338">
        <v>1</v>
      </c>
      <c r="S84" s="408" t="s">
        <v>1413</v>
      </c>
      <c r="T84" s="399" t="s">
        <v>1531</v>
      </c>
      <c r="U84" s="399" t="s">
        <v>1531</v>
      </c>
    </row>
    <row r="85" spans="1:21" ht="15">
      <c r="A85" s="427">
        <v>8.0000000000000002E-3</v>
      </c>
      <c r="B85" s="405" t="s">
        <v>1412</v>
      </c>
      <c r="C85" s="398" t="s">
        <v>1531</v>
      </c>
      <c r="D85" s="404" t="s">
        <v>1413</v>
      </c>
      <c r="E85" s="394">
        <v>0.5</v>
      </c>
      <c r="F85" s="405" t="s">
        <v>1412</v>
      </c>
      <c r="G85" s="394">
        <v>4.0000000000000002E-4</v>
      </c>
      <c r="H85" s="405" t="s">
        <v>961</v>
      </c>
      <c r="I85" s="405" t="s">
        <v>969</v>
      </c>
      <c r="J85" s="404" t="s">
        <v>1413</v>
      </c>
      <c r="K85" s="405">
        <v>1</v>
      </c>
      <c r="L85" s="411" t="s">
        <v>1531</v>
      </c>
      <c r="M85" s="406" t="s">
        <v>1531</v>
      </c>
      <c r="N85" s="425" t="s">
        <v>1006</v>
      </c>
      <c r="O85" s="391" t="s">
        <v>374</v>
      </c>
      <c r="P85" s="414" t="s">
        <v>1413</v>
      </c>
      <c r="Q85" s="340" t="s">
        <v>2434</v>
      </c>
      <c r="R85" s="338">
        <v>1</v>
      </c>
      <c r="S85" s="404" t="s">
        <v>1413</v>
      </c>
      <c r="T85" s="398" t="s">
        <v>1531</v>
      </c>
      <c r="U85" s="394">
        <v>4.0000000000000002E-4</v>
      </c>
    </row>
    <row r="86" spans="1:21" ht="15">
      <c r="A86" s="403" t="s">
        <v>1531</v>
      </c>
      <c r="B86" s="404" t="s">
        <v>1413</v>
      </c>
      <c r="C86" s="398" t="s">
        <v>1531</v>
      </c>
      <c r="D86" s="404" t="s">
        <v>1413</v>
      </c>
      <c r="E86" s="394">
        <v>0.04</v>
      </c>
      <c r="F86" s="405" t="s">
        <v>1412</v>
      </c>
      <c r="G86" s="398" t="s">
        <v>1531</v>
      </c>
      <c r="H86" s="404" t="s">
        <v>1413</v>
      </c>
      <c r="I86" s="405" t="s">
        <v>969</v>
      </c>
      <c r="J86" s="404" t="s">
        <v>1413</v>
      </c>
      <c r="K86" s="405">
        <v>1</v>
      </c>
      <c r="L86" s="411" t="s">
        <v>1531</v>
      </c>
      <c r="M86" s="395">
        <v>1020</v>
      </c>
      <c r="N86" s="425" t="s">
        <v>1008</v>
      </c>
      <c r="O86" s="391" t="s">
        <v>375</v>
      </c>
      <c r="P86" s="414" t="s">
        <v>1413</v>
      </c>
      <c r="Q86" s="340" t="s">
        <v>2433</v>
      </c>
      <c r="R86" s="338">
        <v>1</v>
      </c>
      <c r="S86" s="404" t="s">
        <v>1413</v>
      </c>
      <c r="T86" s="398" t="s">
        <v>1531</v>
      </c>
      <c r="U86" s="398" t="s">
        <v>1531</v>
      </c>
    </row>
    <row r="87" spans="1:21" ht="15.6" thickBot="1">
      <c r="A87" s="407" t="s">
        <v>1531</v>
      </c>
      <c r="B87" s="408" t="s">
        <v>1413</v>
      </c>
      <c r="C87" s="399" t="s">
        <v>1531</v>
      </c>
      <c r="D87" s="408" t="s">
        <v>1413</v>
      </c>
      <c r="E87" s="396">
        <v>3.0000000000000001E-3</v>
      </c>
      <c r="F87" s="409" t="s">
        <v>520</v>
      </c>
      <c r="G87" s="399" t="s">
        <v>1531</v>
      </c>
      <c r="H87" s="408" t="s">
        <v>1413</v>
      </c>
      <c r="I87" s="408" t="s">
        <v>1413</v>
      </c>
      <c r="J87" s="408" t="s">
        <v>1413</v>
      </c>
      <c r="K87" s="409">
        <v>1</v>
      </c>
      <c r="L87" s="409">
        <v>0.1</v>
      </c>
      <c r="M87" s="410" t="s">
        <v>1531</v>
      </c>
      <c r="N87" s="426" t="s">
        <v>1007</v>
      </c>
      <c r="O87" s="393" t="s">
        <v>697</v>
      </c>
      <c r="P87" s="416" t="s">
        <v>1413</v>
      </c>
      <c r="Q87" s="340" t="s">
        <v>2433</v>
      </c>
      <c r="R87" s="338">
        <v>1</v>
      </c>
      <c r="S87" s="408" t="s">
        <v>1413</v>
      </c>
      <c r="T87" s="399" t="s">
        <v>1531</v>
      </c>
      <c r="U87" s="399" t="s">
        <v>1531</v>
      </c>
    </row>
    <row r="88" spans="1:21" ht="15">
      <c r="A88" s="427">
        <v>1.1000000000000001</v>
      </c>
      <c r="B88" s="405" t="s">
        <v>1412</v>
      </c>
      <c r="C88" s="394">
        <v>3.3E-4</v>
      </c>
      <c r="D88" s="405" t="s">
        <v>1412</v>
      </c>
      <c r="E88" s="398" t="s">
        <v>1531</v>
      </c>
      <c r="F88" s="404" t="s">
        <v>1413</v>
      </c>
      <c r="G88" s="398" t="s">
        <v>1531</v>
      </c>
      <c r="H88" s="404" t="s">
        <v>1413</v>
      </c>
      <c r="I88" s="405" t="s">
        <v>969</v>
      </c>
      <c r="J88" s="404" t="s">
        <v>1413</v>
      </c>
      <c r="K88" s="405">
        <v>1</v>
      </c>
      <c r="L88" s="411" t="s">
        <v>1531</v>
      </c>
      <c r="M88" s="395">
        <v>5050</v>
      </c>
      <c r="N88" s="425" t="s">
        <v>428</v>
      </c>
      <c r="O88" s="391" t="s">
        <v>698</v>
      </c>
      <c r="P88" s="414" t="s">
        <v>1413</v>
      </c>
      <c r="Q88" s="340" t="s">
        <v>2434</v>
      </c>
      <c r="R88" s="338">
        <v>1</v>
      </c>
      <c r="S88" s="404" t="s">
        <v>1413</v>
      </c>
      <c r="T88" s="394">
        <v>3.3E-4</v>
      </c>
      <c r="U88" s="398" t="s">
        <v>1531</v>
      </c>
    </row>
    <row r="89" spans="1:21" ht="15">
      <c r="A89" s="427">
        <v>1.4E-2</v>
      </c>
      <c r="B89" s="405" t="s">
        <v>1412</v>
      </c>
      <c r="C89" s="394">
        <v>2.3999999999999999E-6</v>
      </c>
      <c r="D89" s="405" t="s">
        <v>521</v>
      </c>
      <c r="E89" s="394">
        <v>0.02</v>
      </c>
      <c r="F89" s="405" t="s">
        <v>1412</v>
      </c>
      <c r="G89" s="398" t="s">
        <v>1531</v>
      </c>
      <c r="H89" s="404" t="s">
        <v>1413</v>
      </c>
      <c r="I89" s="404" t="s">
        <v>1413</v>
      </c>
      <c r="J89" s="404" t="s">
        <v>1413</v>
      </c>
      <c r="K89" s="405">
        <v>1</v>
      </c>
      <c r="L89" s="405">
        <v>0.1</v>
      </c>
      <c r="M89" s="406" t="s">
        <v>1531</v>
      </c>
      <c r="N89" s="425" t="s">
        <v>2340</v>
      </c>
      <c r="O89" s="391" t="s">
        <v>699</v>
      </c>
      <c r="P89" s="429">
        <v>6</v>
      </c>
      <c r="Q89" s="340" t="s">
        <v>2434</v>
      </c>
      <c r="R89" s="338">
        <v>1</v>
      </c>
      <c r="S89" s="404" t="s">
        <v>1413</v>
      </c>
      <c r="T89" s="394">
        <v>2.3999999999999999E-6</v>
      </c>
      <c r="U89" s="398" t="s">
        <v>1531</v>
      </c>
    </row>
    <row r="90" spans="1:21" ht="15.6" thickBot="1">
      <c r="A90" s="412">
        <v>220</v>
      </c>
      <c r="B90" s="409" t="s">
        <v>1412</v>
      </c>
      <c r="C90" s="396">
        <v>6.2E-2</v>
      </c>
      <c r="D90" s="409" t="s">
        <v>1412</v>
      </c>
      <c r="E90" s="399" t="s">
        <v>1531</v>
      </c>
      <c r="F90" s="408" t="s">
        <v>1413</v>
      </c>
      <c r="G90" s="399" t="s">
        <v>1531</v>
      </c>
      <c r="H90" s="408" t="s">
        <v>1413</v>
      </c>
      <c r="I90" s="409" t="s">
        <v>969</v>
      </c>
      <c r="J90" s="408" t="s">
        <v>1413</v>
      </c>
      <c r="K90" s="409">
        <v>1</v>
      </c>
      <c r="L90" s="413" t="s">
        <v>1531</v>
      </c>
      <c r="M90" s="397">
        <v>4220</v>
      </c>
      <c r="N90" s="426" t="s">
        <v>1435</v>
      </c>
      <c r="O90" s="393" t="s">
        <v>700</v>
      </c>
      <c r="P90" s="416" t="s">
        <v>1413</v>
      </c>
      <c r="Q90" s="340" t="s">
        <v>2434</v>
      </c>
      <c r="R90" s="338">
        <v>1</v>
      </c>
      <c r="S90" s="408" t="s">
        <v>1413</v>
      </c>
      <c r="T90" s="396">
        <v>6.2E-2</v>
      </c>
      <c r="U90" s="399" t="s">
        <v>1531</v>
      </c>
    </row>
    <row r="91" spans="1:21" ht="15">
      <c r="A91" s="403" t="s">
        <v>1531</v>
      </c>
      <c r="B91" s="404" t="s">
        <v>1413</v>
      </c>
      <c r="C91" s="398" t="s">
        <v>1531</v>
      </c>
      <c r="D91" s="404" t="s">
        <v>1413</v>
      </c>
      <c r="E91" s="394">
        <v>0.05</v>
      </c>
      <c r="F91" s="405" t="s">
        <v>1412</v>
      </c>
      <c r="G91" s="398" t="s">
        <v>1531</v>
      </c>
      <c r="H91" s="404" t="s">
        <v>1413</v>
      </c>
      <c r="I91" s="404" t="s">
        <v>1413</v>
      </c>
      <c r="J91" s="404" t="s">
        <v>1413</v>
      </c>
      <c r="K91" s="405">
        <v>1</v>
      </c>
      <c r="L91" s="405">
        <v>0.1</v>
      </c>
      <c r="M91" s="406" t="s">
        <v>1531</v>
      </c>
      <c r="N91" s="425" t="s">
        <v>1009</v>
      </c>
      <c r="O91" s="391" t="s">
        <v>701</v>
      </c>
      <c r="P91" s="414" t="s">
        <v>1413</v>
      </c>
      <c r="Q91" s="340" t="s">
        <v>2433</v>
      </c>
      <c r="R91" s="338">
        <v>1</v>
      </c>
      <c r="S91" s="404" t="s">
        <v>1413</v>
      </c>
      <c r="T91" s="398" t="s">
        <v>1531</v>
      </c>
      <c r="U91" s="398" t="s">
        <v>1531</v>
      </c>
    </row>
    <row r="92" spans="1:21" ht="15">
      <c r="A92" s="403" t="s">
        <v>1531</v>
      </c>
      <c r="B92" s="404" t="s">
        <v>1413</v>
      </c>
      <c r="C92" s="398" t="s">
        <v>1531</v>
      </c>
      <c r="D92" s="404" t="s">
        <v>1413</v>
      </c>
      <c r="E92" s="394">
        <v>0.2</v>
      </c>
      <c r="F92" s="405" t="s">
        <v>1412</v>
      </c>
      <c r="G92" s="394">
        <v>0.02</v>
      </c>
      <c r="H92" s="405" t="s">
        <v>406</v>
      </c>
      <c r="I92" s="404" t="s">
        <v>1413</v>
      </c>
      <c r="J92" s="404" t="s">
        <v>1413</v>
      </c>
      <c r="K92" s="405">
        <v>1</v>
      </c>
      <c r="L92" s="411" t="s">
        <v>1531</v>
      </c>
      <c r="M92" s="406" t="s">
        <v>1531</v>
      </c>
      <c r="N92" s="425" t="s">
        <v>1010</v>
      </c>
      <c r="O92" s="391" t="s">
        <v>702</v>
      </c>
      <c r="P92" s="414" t="s">
        <v>1413</v>
      </c>
      <c r="Q92" s="340" t="s">
        <v>2434</v>
      </c>
      <c r="R92" s="338">
        <v>1</v>
      </c>
      <c r="S92" s="404" t="s">
        <v>1413</v>
      </c>
      <c r="T92" s="398" t="s">
        <v>1531</v>
      </c>
      <c r="U92" s="394">
        <v>0.02</v>
      </c>
    </row>
    <row r="93" spans="1:21" ht="15.6" thickBot="1">
      <c r="A93" s="407" t="s">
        <v>1531</v>
      </c>
      <c r="B93" s="408" t="s">
        <v>1413</v>
      </c>
      <c r="C93" s="399" t="s">
        <v>1531</v>
      </c>
      <c r="D93" s="408" t="s">
        <v>1413</v>
      </c>
      <c r="E93" s="396">
        <v>2</v>
      </c>
      <c r="F93" s="409" t="s">
        <v>520</v>
      </c>
      <c r="G93" s="396">
        <v>0.02</v>
      </c>
      <c r="H93" s="409" t="s">
        <v>520</v>
      </c>
      <c r="I93" s="409" t="s">
        <v>969</v>
      </c>
      <c r="J93" s="408" t="s">
        <v>1413</v>
      </c>
      <c r="K93" s="409">
        <v>1</v>
      </c>
      <c r="L93" s="413" t="s">
        <v>1531</v>
      </c>
      <c r="M93" s="410" t="s">
        <v>1531</v>
      </c>
      <c r="N93" s="426" t="s">
        <v>1996</v>
      </c>
      <c r="O93" s="393" t="s">
        <v>1997</v>
      </c>
      <c r="P93" s="416" t="s">
        <v>1413</v>
      </c>
      <c r="Q93" s="340" t="s">
        <v>2434</v>
      </c>
      <c r="R93" s="338">
        <v>1</v>
      </c>
      <c r="S93" s="408" t="s">
        <v>1413</v>
      </c>
      <c r="T93" s="399" t="s">
        <v>1531</v>
      </c>
      <c r="U93" s="396">
        <v>0.02</v>
      </c>
    </row>
    <row r="94" spans="1:21" ht="15">
      <c r="A94" s="403" t="s">
        <v>1531</v>
      </c>
      <c r="B94" s="404" t="s">
        <v>1413</v>
      </c>
      <c r="C94" s="398" t="s">
        <v>1531</v>
      </c>
      <c r="D94" s="404" t="s">
        <v>1413</v>
      </c>
      <c r="E94" s="394">
        <v>0.04</v>
      </c>
      <c r="F94" s="405" t="s">
        <v>521</v>
      </c>
      <c r="G94" s="394">
        <v>1.2999999999999999E-2</v>
      </c>
      <c r="H94" s="405" t="s">
        <v>521</v>
      </c>
      <c r="I94" s="405" t="s">
        <v>969</v>
      </c>
      <c r="J94" s="404" t="s">
        <v>1413</v>
      </c>
      <c r="K94" s="405">
        <v>1</v>
      </c>
      <c r="L94" s="411" t="s">
        <v>1531</v>
      </c>
      <c r="M94" s="406" t="s">
        <v>1531</v>
      </c>
      <c r="N94" s="425" t="s">
        <v>1011</v>
      </c>
      <c r="O94" s="391" t="s">
        <v>703</v>
      </c>
      <c r="P94" s="414" t="s">
        <v>1413</v>
      </c>
      <c r="Q94" s="340" t="s">
        <v>2434</v>
      </c>
      <c r="R94" s="338">
        <v>1</v>
      </c>
      <c r="S94" s="404" t="s">
        <v>1413</v>
      </c>
      <c r="T94" s="398" t="s">
        <v>1531</v>
      </c>
      <c r="U94" s="394">
        <v>1.2999999999999999E-2</v>
      </c>
    </row>
    <row r="95" spans="1:21" ht="15">
      <c r="A95" s="427">
        <v>0.7</v>
      </c>
      <c r="B95" s="405" t="s">
        <v>1412</v>
      </c>
      <c r="C95" s="398" t="s">
        <v>1531</v>
      </c>
      <c r="D95" s="404" t="s">
        <v>1413</v>
      </c>
      <c r="E95" s="394">
        <v>4.0000000000000001E-3</v>
      </c>
      <c r="F95" s="405" t="s">
        <v>1412</v>
      </c>
      <c r="G95" s="398" t="s">
        <v>1531</v>
      </c>
      <c r="H95" s="404" t="s">
        <v>1413</v>
      </c>
      <c r="I95" s="404" t="s">
        <v>1413</v>
      </c>
      <c r="J95" s="404" t="s">
        <v>1413</v>
      </c>
      <c r="K95" s="405">
        <v>1</v>
      </c>
      <c r="L95" s="411" t="s">
        <v>1531</v>
      </c>
      <c r="M95" s="406" t="s">
        <v>1531</v>
      </c>
      <c r="N95" s="425" t="s">
        <v>1012</v>
      </c>
      <c r="O95" s="391" t="s">
        <v>704</v>
      </c>
      <c r="P95" s="429">
        <v>10</v>
      </c>
      <c r="Q95" s="340" t="s">
        <v>2433</v>
      </c>
      <c r="R95" s="338">
        <v>1</v>
      </c>
      <c r="S95" s="404" t="s">
        <v>1413</v>
      </c>
      <c r="T95" s="398" t="s">
        <v>1531</v>
      </c>
      <c r="U95" s="398" t="s">
        <v>1531</v>
      </c>
    </row>
    <row r="96" spans="1:21" ht="15.6" thickBot="1">
      <c r="A96" s="412">
        <v>2</v>
      </c>
      <c r="B96" s="409" t="s">
        <v>961</v>
      </c>
      <c r="C96" s="396">
        <v>5.9999999999999995E-4</v>
      </c>
      <c r="D96" s="409" t="s">
        <v>961</v>
      </c>
      <c r="E96" s="399" t="s">
        <v>1531</v>
      </c>
      <c r="F96" s="408" t="s">
        <v>1413</v>
      </c>
      <c r="G96" s="399" t="s">
        <v>1531</v>
      </c>
      <c r="H96" s="408" t="s">
        <v>1413</v>
      </c>
      <c r="I96" s="409" t="s">
        <v>969</v>
      </c>
      <c r="J96" s="408" t="s">
        <v>1413</v>
      </c>
      <c r="K96" s="409">
        <v>1</v>
      </c>
      <c r="L96" s="413" t="s">
        <v>1531</v>
      </c>
      <c r="M96" s="397">
        <v>2380</v>
      </c>
      <c r="N96" s="426" t="s">
        <v>561</v>
      </c>
      <c r="O96" s="393" t="s">
        <v>705</v>
      </c>
      <c r="P96" s="416" t="s">
        <v>1413</v>
      </c>
      <c r="Q96" s="340" t="s">
        <v>2434</v>
      </c>
      <c r="R96" s="338">
        <v>1</v>
      </c>
      <c r="S96" s="408" t="s">
        <v>1413</v>
      </c>
      <c r="T96" s="396">
        <v>5.9999999999999995E-4</v>
      </c>
      <c r="U96" s="399" t="s">
        <v>1531</v>
      </c>
    </row>
    <row r="97" spans="1:21" ht="15">
      <c r="A97" s="403" t="s">
        <v>1531</v>
      </c>
      <c r="B97" s="404" t="s">
        <v>1413</v>
      </c>
      <c r="C97" s="398" t="s">
        <v>1531</v>
      </c>
      <c r="D97" s="404" t="s">
        <v>1413</v>
      </c>
      <c r="E97" s="394">
        <v>2.9999999999999997E-4</v>
      </c>
      <c r="F97" s="405" t="s">
        <v>961</v>
      </c>
      <c r="G97" s="398" t="s">
        <v>1531</v>
      </c>
      <c r="H97" s="404" t="s">
        <v>1413</v>
      </c>
      <c r="I97" s="405" t="s">
        <v>969</v>
      </c>
      <c r="J97" s="404" t="s">
        <v>1413</v>
      </c>
      <c r="K97" s="405">
        <v>1</v>
      </c>
      <c r="L97" s="411" t="s">
        <v>1531</v>
      </c>
      <c r="M97" s="395">
        <v>896</v>
      </c>
      <c r="N97" s="425" t="s">
        <v>2491</v>
      </c>
      <c r="O97" s="391" t="s">
        <v>2492</v>
      </c>
      <c r="P97" s="414" t="s">
        <v>1413</v>
      </c>
      <c r="Q97" s="340" t="s">
        <v>2434</v>
      </c>
      <c r="R97" s="338">
        <v>1</v>
      </c>
      <c r="S97" s="404" t="s">
        <v>1413</v>
      </c>
      <c r="T97" s="398" t="s">
        <v>1531</v>
      </c>
      <c r="U97" s="398" t="s">
        <v>1531</v>
      </c>
    </row>
    <row r="98" spans="1:21" ht="15">
      <c r="A98" s="403" t="s">
        <v>1531</v>
      </c>
      <c r="B98" s="404" t="s">
        <v>1413</v>
      </c>
      <c r="C98" s="398" t="s">
        <v>1531</v>
      </c>
      <c r="D98" s="404" t="s">
        <v>1413</v>
      </c>
      <c r="E98" s="394">
        <v>2.9999999999999997E-4</v>
      </c>
      <c r="F98" s="405" t="s">
        <v>961</v>
      </c>
      <c r="G98" s="398" t="s">
        <v>1531</v>
      </c>
      <c r="H98" s="404" t="s">
        <v>1413</v>
      </c>
      <c r="I98" s="405" t="s">
        <v>969</v>
      </c>
      <c r="J98" s="404" t="s">
        <v>1413</v>
      </c>
      <c r="K98" s="405">
        <v>1</v>
      </c>
      <c r="L98" s="411" t="s">
        <v>1531</v>
      </c>
      <c r="M98" s="395">
        <v>323</v>
      </c>
      <c r="N98" s="425" t="s">
        <v>2493</v>
      </c>
      <c r="O98" s="391" t="s">
        <v>2494</v>
      </c>
      <c r="P98" s="414" t="s">
        <v>1413</v>
      </c>
      <c r="Q98" s="340" t="s">
        <v>2434</v>
      </c>
      <c r="R98" s="338">
        <v>1</v>
      </c>
      <c r="S98" s="404" t="s">
        <v>1413</v>
      </c>
      <c r="T98" s="398" t="s">
        <v>1531</v>
      </c>
      <c r="U98" s="398" t="s">
        <v>1531</v>
      </c>
    </row>
    <row r="99" spans="1:21" ht="15.6" thickBot="1">
      <c r="A99" s="407" t="s">
        <v>1531</v>
      </c>
      <c r="B99" s="408" t="s">
        <v>1413</v>
      </c>
      <c r="C99" s="399" t="s">
        <v>1531</v>
      </c>
      <c r="D99" s="408" t="s">
        <v>1413</v>
      </c>
      <c r="E99" s="396">
        <v>8.0000000000000002E-3</v>
      </c>
      <c r="F99" s="409" t="s">
        <v>1412</v>
      </c>
      <c r="G99" s="396">
        <v>0.06</v>
      </c>
      <c r="H99" s="409" t="s">
        <v>1412</v>
      </c>
      <c r="I99" s="409" t="s">
        <v>969</v>
      </c>
      <c r="J99" s="408" t="s">
        <v>1413</v>
      </c>
      <c r="K99" s="409">
        <v>1</v>
      </c>
      <c r="L99" s="413" t="s">
        <v>1531</v>
      </c>
      <c r="M99" s="397">
        <v>679</v>
      </c>
      <c r="N99" s="426" t="s">
        <v>523</v>
      </c>
      <c r="O99" s="393" t="s">
        <v>706</v>
      </c>
      <c r="P99" s="416" t="s">
        <v>1413</v>
      </c>
      <c r="Q99" s="340" t="s">
        <v>2434</v>
      </c>
      <c r="R99" s="338">
        <v>1</v>
      </c>
      <c r="S99" s="408" t="s">
        <v>1413</v>
      </c>
      <c r="T99" s="399" t="s">
        <v>1531</v>
      </c>
      <c r="U99" s="396">
        <v>0.06</v>
      </c>
    </row>
    <row r="100" spans="1:21" ht="15">
      <c r="A100" s="403" t="s">
        <v>1531</v>
      </c>
      <c r="B100" s="404" t="s">
        <v>1413</v>
      </c>
      <c r="C100" s="398" t="s">
        <v>1531</v>
      </c>
      <c r="D100" s="404" t="s">
        <v>1413</v>
      </c>
      <c r="E100" s="398" t="s">
        <v>1531</v>
      </c>
      <c r="F100" s="404" t="s">
        <v>1413</v>
      </c>
      <c r="G100" s="394">
        <v>0.04</v>
      </c>
      <c r="H100" s="405" t="s">
        <v>961</v>
      </c>
      <c r="I100" s="405" t="s">
        <v>969</v>
      </c>
      <c r="J100" s="404" t="s">
        <v>1413</v>
      </c>
      <c r="K100" s="405">
        <v>1</v>
      </c>
      <c r="L100" s="411" t="s">
        <v>1531</v>
      </c>
      <c r="M100" s="395">
        <v>4040</v>
      </c>
      <c r="N100" s="425" t="s">
        <v>1561</v>
      </c>
      <c r="O100" s="391" t="s">
        <v>1562</v>
      </c>
      <c r="P100" s="414" t="s">
        <v>1413</v>
      </c>
      <c r="Q100" s="340" t="s">
        <v>2434</v>
      </c>
      <c r="R100" s="338">
        <v>1</v>
      </c>
      <c r="S100" s="404" t="s">
        <v>1413</v>
      </c>
      <c r="T100" s="398" t="s">
        <v>1531</v>
      </c>
      <c r="U100" s="394">
        <v>0.04</v>
      </c>
    </row>
    <row r="101" spans="1:21" ht="15">
      <c r="A101" s="427">
        <v>6.2E-2</v>
      </c>
      <c r="B101" s="405" t="s">
        <v>1412</v>
      </c>
      <c r="C101" s="394">
        <v>3.6999999999999998E-5</v>
      </c>
      <c r="D101" s="405" t="s">
        <v>521</v>
      </c>
      <c r="E101" s="394">
        <v>0.02</v>
      </c>
      <c r="F101" s="405" t="s">
        <v>1412</v>
      </c>
      <c r="G101" s="398" t="s">
        <v>1531</v>
      </c>
      <c r="H101" s="404" t="s">
        <v>1413</v>
      </c>
      <c r="I101" s="405" t="s">
        <v>969</v>
      </c>
      <c r="J101" s="404" t="s">
        <v>1413</v>
      </c>
      <c r="K101" s="405">
        <v>1</v>
      </c>
      <c r="L101" s="411" t="s">
        <v>1531</v>
      </c>
      <c r="M101" s="395">
        <v>932</v>
      </c>
      <c r="N101" s="425" t="s">
        <v>429</v>
      </c>
      <c r="O101" s="391" t="s">
        <v>707</v>
      </c>
      <c r="P101" s="429" t="s">
        <v>2079</v>
      </c>
      <c r="Q101" s="340" t="s">
        <v>2434</v>
      </c>
      <c r="R101" s="338">
        <v>1</v>
      </c>
      <c r="S101" s="404" t="s">
        <v>1413</v>
      </c>
      <c r="T101" s="394">
        <v>3.6999999999999998E-5</v>
      </c>
      <c r="U101" s="398" t="s">
        <v>1531</v>
      </c>
    </row>
    <row r="102" spans="1:21" ht="15.6" thickBot="1">
      <c r="A102" s="412">
        <v>7.9000000000000008E-3</v>
      </c>
      <c r="B102" s="409" t="s">
        <v>1412</v>
      </c>
      <c r="C102" s="396">
        <v>1.1000000000000001E-6</v>
      </c>
      <c r="D102" s="409" t="s">
        <v>1412</v>
      </c>
      <c r="E102" s="396">
        <v>0.02</v>
      </c>
      <c r="F102" s="409" t="s">
        <v>1412</v>
      </c>
      <c r="G102" s="399" t="s">
        <v>1531</v>
      </c>
      <c r="H102" s="408" t="s">
        <v>1413</v>
      </c>
      <c r="I102" s="409" t="s">
        <v>969</v>
      </c>
      <c r="J102" s="408" t="s">
        <v>1413</v>
      </c>
      <c r="K102" s="409">
        <v>1</v>
      </c>
      <c r="L102" s="413" t="s">
        <v>1531</v>
      </c>
      <c r="M102" s="397">
        <v>915</v>
      </c>
      <c r="N102" s="426" t="s">
        <v>430</v>
      </c>
      <c r="O102" s="393" t="s">
        <v>708</v>
      </c>
      <c r="P102" s="415" t="s">
        <v>2079</v>
      </c>
      <c r="Q102" s="340" t="s">
        <v>2433</v>
      </c>
      <c r="R102" s="338">
        <v>1</v>
      </c>
      <c r="S102" s="408" t="s">
        <v>1413</v>
      </c>
      <c r="T102" s="396">
        <v>1.1000000000000001E-6</v>
      </c>
      <c r="U102" s="399" t="s">
        <v>1531</v>
      </c>
    </row>
    <row r="103" spans="1:21" ht="15">
      <c r="A103" s="403" t="s">
        <v>1531</v>
      </c>
      <c r="B103" s="404" t="s">
        <v>1413</v>
      </c>
      <c r="C103" s="398" t="s">
        <v>1531</v>
      </c>
      <c r="D103" s="404" t="s">
        <v>1413</v>
      </c>
      <c r="E103" s="394">
        <v>1.4E-3</v>
      </c>
      <c r="F103" s="405" t="s">
        <v>1412</v>
      </c>
      <c r="G103" s="394">
        <v>5.0000000000000001E-3</v>
      </c>
      <c r="H103" s="405" t="s">
        <v>1412</v>
      </c>
      <c r="I103" s="405" t="s">
        <v>969</v>
      </c>
      <c r="J103" s="404" t="s">
        <v>1413</v>
      </c>
      <c r="K103" s="405">
        <v>1</v>
      </c>
      <c r="L103" s="411" t="s">
        <v>1531</v>
      </c>
      <c r="M103" s="395">
        <v>3590</v>
      </c>
      <c r="N103" s="425" t="s">
        <v>1013</v>
      </c>
      <c r="O103" s="391" t="s">
        <v>709</v>
      </c>
      <c r="P103" s="414" t="s">
        <v>1413</v>
      </c>
      <c r="Q103" s="340" t="s">
        <v>2433</v>
      </c>
      <c r="R103" s="338">
        <v>1</v>
      </c>
      <c r="S103" s="404" t="s">
        <v>1413</v>
      </c>
      <c r="T103" s="398" t="s">
        <v>1531</v>
      </c>
      <c r="U103" s="394">
        <v>5.0000000000000001E-3</v>
      </c>
    </row>
    <row r="104" spans="1:21" ht="15">
      <c r="A104" s="403" t="s">
        <v>1531</v>
      </c>
      <c r="B104" s="404" t="s">
        <v>1413</v>
      </c>
      <c r="C104" s="398" t="s">
        <v>1531</v>
      </c>
      <c r="D104" s="404" t="s">
        <v>1413</v>
      </c>
      <c r="E104" s="394">
        <v>5.0000000000000001E-3</v>
      </c>
      <c r="F104" s="405" t="s">
        <v>406</v>
      </c>
      <c r="G104" s="398" t="s">
        <v>1531</v>
      </c>
      <c r="H104" s="404" t="s">
        <v>1413</v>
      </c>
      <c r="I104" s="405" t="s">
        <v>969</v>
      </c>
      <c r="J104" s="404" t="s">
        <v>1413</v>
      </c>
      <c r="K104" s="405">
        <v>1</v>
      </c>
      <c r="L104" s="411" t="s">
        <v>1531</v>
      </c>
      <c r="M104" s="406" t="s">
        <v>1531</v>
      </c>
      <c r="N104" s="425" t="s">
        <v>1014</v>
      </c>
      <c r="O104" s="391" t="s">
        <v>710</v>
      </c>
      <c r="P104" s="414" t="s">
        <v>1413</v>
      </c>
      <c r="Q104" s="340" t="s">
        <v>2433</v>
      </c>
      <c r="R104" s="338">
        <v>1</v>
      </c>
      <c r="S104" s="404" t="s">
        <v>1413</v>
      </c>
      <c r="T104" s="398" t="s">
        <v>1531</v>
      </c>
      <c r="U104" s="398" t="s">
        <v>1531</v>
      </c>
    </row>
    <row r="105" spans="1:21" ht="15.6" thickBot="1">
      <c r="A105" s="407" t="s">
        <v>1531</v>
      </c>
      <c r="B105" s="408" t="s">
        <v>1413</v>
      </c>
      <c r="C105" s="399" t="s">
        <v>1531</v>
      </c>
      <c r="D105" s="408" t="s">
        <v>1413</v>
      </c>
      <c r="E105" s="399" t="s">
        <v>1531</v>
      </c>
      <c r="F105" s="408" t="s">
        <v>1413</v>
      </c>
      <c r="G105" s="396">
        <v>0.1</v>
      </c>
      <c r="H105" s="409" t="s">
        <v>1414</v>
      </c>
      <c r="I105" s="409" t="s">
        <v>969</v>
      </c>
      <c r="J105" s="408" t="s">
        <v>1413</v>
      </c>
      <c r="K105" s="409">
        <v>1</v>
      </c>
      <c r="L105" s="413" t="s">
        <v>1531</v>
      </c>
      <c r="M105" s="397">
        <v>966</v>
      </c>
      <c r="N105" s="426" t="s">
        <v>2495</v>
      </c>
      <c r="O105" s="393" t="s">
        <v>2496</v>
      </c>
      <c r="P105" s="416" t="s">
        <v>1413</v>
      </c>
      <c r="Q105" s="340" t="s">
        <v>2434</v>
      </c>
      <c r="R105" s="338">
        <v>1</v>
      </c>
      <c r="S105" s="408" t="s">
        <v>1413</v>
      </c>
      <c r="T105" s="399" t="s">
        <v>1531</v>
      </c>
      <c r="U105" s="396">
        <v>0.1</v>
      </c>
    </row>
    <row r="106" spans="1:21" ht="15">
      <c r="A106" s="427">
        <v>0.1</v>
      </c>
      <c r="B106" s="405" t="s">
        <v>1474</v>
      </c>
      <c r="C106" s="398" t="s">
        <v>1531</v>
      </c>
      <c r="D106" s="404" t="s">
        <v>1413</v>
      </c>
      <c r="E106" s="394">
        <v>1.4999999999999999E-2</v>
      </c>
      <c r="F106" s="405" t="s">
        <v>1474</v>
      </c>
      <c r="G106" s="398" t="s">
        <v>1531</v>
      </c>
      <c r="H106" s="404" t="s">
        <v>1413</v>
      </c>
      <c r="I106" s="404" t="s">
        <v>1413</v>
      </c>
      <c r="J106" s="404" t="s">
        <v>1413</v>
      </c>
      <c r="K106" s="405">
        <v>1</v>
      </c>
      <c r="L106" s="405">
        <v>0.1</v>
      </c>
      <c r="M106" s="406" t="s">
        <v>1531</v>
      </c>
      <c r="N106" s="425" t="s">
        <v>1015</v>
      </c>
      <c r="O106" s="391" t="s">
        <v>711</v>
      </c>
      <c r="P106" s="414" t="s">
        <v>1413</v>
      </c>
      <c r="Q106" s="340" t="s">
        <v>2433</v>
      </c>
      <c r="R106" s="338">
        <v>1</v>
      </c>
      <c r="S106" s="404" t="s">
        <v>1413</v>
      </c>
      <c r="T106" s="398" t="s">
        <v>1531</v>
      </c>
      <c r="U106" s="398" t="s">
        <v>1531</v>
      </c>
    </row>
    <row r="107" spans="1:21" ht="15">
      <c r="A107" s="403" t="s">
        <v>1531</v>
      </c>
      <c r="B107" s="404" t="s">
        <v>1413</v>
      </c>
      <c r="C107" s="398" t="s">
        <v>1531</v>
      </c>
      <c r="D107" s="404" t="s">
        <v>1413</v>
      </c>
      <c r="E107" s="394">
        <v>1.4999999999999999E-2</v>
      </c>
      <c r="F107" s="405" t="s">
        <v>1474</v>
      </c>
      <c r="G107" s="398" t="s">
        <v>1531</v>
      </c>
      <c r="H107" s="404" t="s">
        <v>1413</v>
      </c>
      <c r="I107" s="405" t="s">
        <v>969</v>
      </c>
      <c r="J107" s="404" t="s">
        <v>1413</v>
      </c>
      <c r="K107" s="405">
        <v>1</v>
      </c>
      <c r="L107" s="411" t="s">
        <v>1531</v>
      </c>
      <c r="M107" s="406" t="s">
        <v>1531</v>
      </c>
      <c r="N107" s="425" t="s">
        <v>1016</v>
      </c>
      <c r="O107" s="391" t="s">
        <v>712</v>
      </c>
      <c r="P107" s="414" t="s">
        <v>1413</v>
      </c>
      <c r="Q107" s="340" t="s">
        <v>2433</v>
      </c>
      <c r="R107" s="338">
        <v>1</v>
      </c>
      <c r="S107" s="404" t="s">
        <v>1413</v>
      </c>
      <c r="T107" s="398" t="s">
        <v>1531</v>
      </c>
      <c r="U107" s="398" t="s">
        <v>1531</v>
      </c>
    </row>
    <row r="108" spans="1:21" ht="15.6" thickBot="1">
      <c r="A108" s="412">
        <v>3.4</v>
      </c>
      <c r="B108" s="409" t="s">
        <v>521</v>
      </c>
      <c r="C108" s="396">
        <v>3.0000000000000001E-5</v>
      </c>
      <c r="D108" s="409" t="s">
        <v>1412</v>
      </c>
      <c r="E108" s="399" t="s">
        <v>1531</v>
      </c>
      <c r="F108" s="408" t="s">
        <v>1413</v>
      </c>
      <c r="G108" s="396">
        <v>2E-3</v>
      </c>
      <c r="H108" s="409" t="s">
        <v>1412</v>
      </c>
      <c r="I108" s="409" t="s">
        <v>969</v>
      </c>
      <c r="J108" s="408" t="s">
        <v>1413</v>
      </c>
      <c r="K108" s="409">
        <v>1</v>
      </c>
      <c r="L108" s="413" t="s">
        <v>1531</v>
      </c>
      <c r="M108" s="397">
        <v>667</v>
      </c>
      <c r="N108" s="426" t="s">
        <v>1017</v>
      </c>
      <c r="O108" s="393" t="s">
        <v>713</v>
      </c>
      <c r="P108" s="416" t="s">
        <v>1413</v>
      </c>
      <c r="Q108" s="340" t="s">
        <v>2434</v>
      </c>
      <c r="R108" s="338">
        <v>1</v>
      </c>
      <c r="S108" s="408" t="s">
        <v>1413</v>
      </c>
      <c r="T108" s="396">
        <v>3.0000000000000001E-5</v>
      </c>
      <c r="U108" s="396">
        <v>2E-3</v>
      </c>
    </row>
    <row r="109" spans="1:21" ht="15">
      <c r="A109" s="403" t="s">
        <v>1531</v>
      </c>
      <c r="B109" s="404" t="s">
        <v>1413</v>
      </c>
      <c r="C109" s="398" t="s">
        <v>1531</v>
      </c>
      <c r="D109" s="404" t="s">
        <v>1413</v>
      </c>
      <c r="E109" s="394">
        <v>0.03</v>
      </c>
      <c r="F109" s="405" t="s">
        <v>1474</v>
      </c>
      <c r="G109" s="398" t="s">
        <v>1531</v>
      </c>
      <c r="H109" s="404" t="s">
        <v>1413</v>
      </c>
      <c r="I109" s="404" t="s">
        <v>1413</v>
      </c>
      <c r="J109" s="404" t="s">
        <v>1413</v>
      </c>
      <c r="K109" s="405">
        <v>1</v>
      </c>
      <c r="L109" s="405">
        <v>0.1</v>
      </c>
      <c r="M109" s="406" t="s">
        <v>1531</v>
      </c>
      <c r="N109" s="425" t="s">
        <v>2428</v>
      </c>
      <c r="O109" s="391" t="s">
        <v>841</v>
      </c>
      <c r="P109" s="414" t="s">
        <v>1413</v>
      </c>
      <c r="Q109" s="340" t="s">
        <v>2433</v>
      </c>
      <c r="R109" s="338">
        <v>1</v>
      </c>
      <c r="S109" s="404" t="s">
        <v>1413</v>
      </c>
      <c r="T109" s="398" t="s">
        <v>1531</v>
      </c>
      <c r="U109" s="398" t="s">
        <v>1531</v>
      </c>
    </row>
    <row r="110" spans="1:21" ht="15">
      <c r="A110" s="403" t="s">
        <v>1531</v>
      </c>
      <c r="B110" s="404" t="s">
        <v>1413</v>
      </c>
      <c r="C110" s="398" t="s">
        <v>1531</v>
      </c>
      <c r="D110" s="404" t="s">
        <v>1413</v>
      </c>
      <c r="E110" s="394">
        <v>0.1</v>
      </c>
      <c r="F110" s="405" t="s">
        <v>1412</v>
      </c>
      <c r="G110" s="398" t="s">
        <v>1531</v>
      </c>
      <c r="H110" s="404" t="s">
        <v>1413</v>
      </c>
      <c r="I110" s="405" t="s">
        <v>969</v>
      </c>
      <c r="J110" s="404" t="s">
        <v>1413</v>
      </c>
      <c r="K110" s="405">
        <v>1</v>
      </c>
      <c r="L110" s="411" t="s">
        <v>1531</v>
      </c>
      <c r="M110" s="395">
        <v>7640</v>
      </c>
      <c r="N110" s="425" t="s">
        <v>1018</v>
      </c>
      <c r="O110" s="391" t="s">
        <v>714</v>
      </c>
      <c r="P110" s="414" t="s">
        <v>1413</v>
      </c>
      <c r="Q110" s="340" t="s">
        <v>2434</v>
      </c>
      <c r="R110" s="338">
        <v>1</v>
      </c>
      <c r="S110" s="404" t="s">
        <v>1413</v>
      </c>
      <c r="T110" s="398" t="s">
        <v>1531</v>
      </c>
      <c r="U110" s="398" t="s">
        <v>1531</v>
      </c>
    </row>
    <row r="111" spans="1:21" ht="15.6" thickBot="1">
      <c r="A111" s="407" t="s">
        <v>1531</v>
      </c>
      <c r="B111" s="408" t="s">
        <v>1413</v>
      </c>
      <c r="C111" s="399" t="s">
        <v>1531</v>
      </c>
      <c r="D111" s="408" t="s">
        <v>1413</v>
      </c>
      <c r="E111" s="396">
        <v>2</v>
      </c>
      <c r="F111" s="409" t="s">
        <v>520</v>
      </c>
      <c r="G111" s="396">
        <v>30</v>
      </c>
      <c r="H111" s="409" t="s">
        <v>520</v>
      </c>
      <c r="I111" s="409" t="s">
        <v>969</v>
      </c>
      <c r="J111" s="408" t="s">
        <v>1413</v>
      </c>
      <c r="K111" s="409">
        <v>1</v>
      </c>
      <c r="L111" s="413" t="s">
        <v>1531</v>
      </c>
      <c r="M111" s="397">
        <v>21300</v>
      </c>
      <c r="N111" s="426" t="s">
        <v>562</v>
      </c>
      <c r="O111" s="393" t="s">
        <v>716</v>
      </c>
      <c r="P111" s="416" t="s">
        <v>1413</v>
      </c>
      <c r="Q111" s="340" t="s">
        <v>2433</v>
      </c>
      <c r="R111" s="338">
        <v>1</v>
      </c>
      <c r="S111" s="408" t="s">
        <v>1413</v>
      </c>
      <c r="T111" s="399" t="s">
        <v>1531</v>
      </c>
      <c r="U111" s="396">
        <v>30</v>
      </c>
    </row>
    <row r="112" spans="1:21" ht="15">
      <c r="A112" s="427">
        <v>1.9E-3</v>
      </c>
      <c r="B112" s="405" t="s">
        <v>520</v>
      </c>
      <c r="C112" s="398" t="s">
        <v>1531</v>
      </c>
      <c r="D112" s="404" t="s">
        <v>1413</v>
      </c>
      <c r="E112" s="394">
        <v>0.2</v>
      </c>
      <c r="F112" s="405" t="s">
        <v>1412</v>
      </c>
      <c r="G112" s="398" t="s">
        <v>1531</v>
      </c>
      <c r="H112" s="404" t="s">
        <v>1413</v>
      </c>
      <c r="I112" s="404" t="s">
        <v>1413</v>
      </c>
      <c r="J112" s="404" t="s">
        <v>1413</v>
      </c>
      <c r="K112" s="405">
        <v>1</v>
      </c>
      <c r="L112" s="405">
        <v>0.1</v>
      </c>
      <c r="M112" s="406" t="s">
        <v>1531</v>
      </c>
      <c r="N112" s="425" t="s">
        <v>2302</v>
      </c>
      <c r="O112" s="391" t="s">
        <v>715</v>
      </c>
      <c r="P112" s="414" t="s">
        <v>1413</v>
      </c>
      <c r="Q112" s="340" t="s">
        <v>2433</v>
      </c>
      <c r="R112" s="338">
        <v>1047786</v>
      </c>
      <c r="S112" s="404" t="s">
        <v>1413</v>
      </c>
      <c r="T112" s="398" t="s">
        <v>1531</v>
      </c>
      <c r="U112" s="398" t="s">
        <v>1531</v>
      </c>
    </row>
    <row r="113" spans="1:21" ht="15">
      <c r="A113" s="403" t="s">
        <v>1531</v>
      </c>
      <c r="B113" s="404" t="s">
        <v>1413</v>
      </c>
      <c r="C113" s="398" t="s">
        <v>1531</v>
      </c>
      <c r="D113" s="404" t="s">
        <v>1413</v>
      </c>
      <c r="E113" s="394">
        <v>0.05</v>
      </c>
      <c r="F113" s="405" t="s">
        <v>1412</v>
      </c>
      <c r="G113" s="398" t="s">
        <v>1531</v>
      </c>
      <c r="H113" s="404" t="s">
        <v>1413</v>
      </c>
      <c r="I113" s="405" t="s">
        <v>969</v>
      </c>
      <c r="J113" s="404" t="s">
        <v>1413</v>
      </c>
      <c r="K113" s="405">
        <v>1</v>
      </c>
      <c r="L113" s="411" t="s">
        <v>1531</v>
      </c>
      <c r="M113" s="406" t="s">
        <v>1531</v>
      </c>
      <c r="N113" s="425" t="s">
        <v>1019</v>
      </c>
      <c r="O113" s="391" t="s">
        <v>717</v>
      </c>
      <c r="P113" s="414" t="s">
        <v>1413</v>
      </c>
      <c r="Q113" s="340" t="s">
        <v>2433</v>
      </c>
      <c r="R113" s="338">
        <v>1</v>
      </c>
      <c r="S113" s="404" t="s">
        <v>1413</v>
      </c>
      <c r="T113" s="398" t="s">
        <v>1531</v>
      </c>
      <c r="U113" s="398" t="s">
        <v>1531</v>
      </c>
    </row>
    <row r="114" spans="1:21" ht="15.6" thickBot="1">
      <c r="A114" s="412">
        <v>2.0000000000000001E-4</v>
      </c>
      <c r="B114" s="409" t="s">
        <v>521</v>
      </c>
      <c r="C114" s="396">
        <v>5.7000000000000001E-8</v>
      </c>
      <c r="D114" s="409" t="s">
        <v>521</v>
      </c>
      <c r="E114" s="399" t="s">
        <v>1531</v>
      </c>
      <c r="F114" s="408" t="s">
        <v>1413</v>
      </c>
      <c r="G114" s="399" t="s">
        <v>1531</v>
      </c>
      <c r="H114" s="408" t="s">
        <v>1413</v>
      </c>
      <c r="I114" s="408" t="s">
        <v>1413</v>
      </c>
      <c r="J114" s="408" t="s">
        <v>1413</v>
      </c>
      <c r="K114" s="409">
        <v>1</v>
      </c>
      <c r="L114" s="409">
        <v>0.1</v>
      </c>
      <c r="M114" s="410" t="s">
        <v>1531</v>
      </c>
      <c r="N114" s="426" t="s">
        <v>563</v>
      </c>
      <c r="O114" s="393" t="s">
        <v>718</v>
      </c>
      <c r="P114" s="416" t="s">
        <v>1413</v>
      </c>
      <c r="Q114" s="340" t="s">
        <v>2433</v>
      </c>
      <c r="R114" s="338">
        <v>1</v>
      </c>
      <c r="S114" s="408" t="s">
        <v>1413</v>
      </c>
      <c r="T114" s="396">
        <v>5.7000000000000001E-8</v>
      </c>
      <c r="U114" s="399" t="s">
        <v>1531</v>
      </c>
    </row>
    <row r="115" spans="1:21" ht="15">
      <c r="A115" s="427">
        <v>3.5999999999999999E-3</v>
      </c>
      <c r="B115" s="405" t="s">
        <v>520</v>
      </c>
      <c r="C115" s="398" t="s">
        <v>1531</v>
      </c>
      <c r="D115" s="404" t="s">
        <v>1413</v>
      </c>
      <c r="E115" s="394">
        <v>0.3</v>
      </c>
      <c r="F115" s="405" t="s">
        <v>520</v>
      </c>
      <c r="G115" s="398" t="s">
        <v>1531</v>
      </c>
      <c r="H115" s="404" t="s">
        <v>1413</v>
      </c>
      <c r="I115" s="404" t="s">
        <v>1413</v>
      </c>
      <c r="J115" s="404" t="s">
        <v>1413</v>
      </c>
      <c r="K115" s="405">
        <v>1</v>
      </c>
      <c r="L115" s="405">
        <v>0.1</v>
      </c>
      <c r="M115" s="406" t="s">
        <v>1531</v>
      </c>
      <c r="N115" s="425" t="s">
        <v>2042</v>
      </c>
      <c r="O115" s="391" t="s">
        <v>2043</v>
      </c>
      <c r="P115" s="414" t="s">
        <v>1413</v>
      </c>
      <c r="Q115" s="340" t="s">
        <v>2433</v>
      </c>
      <c r="R115" s="338">
        <v>1</v>
      </c>
      <c r="S115" s="404" t="s">
        <v>1413</v>
      </c>
      <c r="T115" s="398" t="s">
        <v>1531</v>
      </c>
      <c r="U115" s="398" t="s">
        <v>1531</v>
      </c>
    </row>
    <row r="116" spans="1:21" ht="15">
      <c r="A116" s="403" t="s">
        <v>1531</v>
      </c>
      <c r="B116" s="404" t="s">
        <v>1413</v>
      </c>
      <c r="C116" s="398" t="s">
        <v>1531</v>
      </c>
      <c r="D116" s="404" t="s">
        <v>1413</v>
      </c>
      <c r="E116" s="394">
        <v>0.05</v>
      </c>
      <c r="F116" s="405" t="s">
        <v>520</v>
      </c>
      <c r="G116" s="398" t="s">
        <v>1531</v>
      </c>
      <c r="H116" s="404" t="s">
        <v>1413</v>
      </c>
      <c r="I116" s="405" t="s">
        <v>969</v>
      </c>
      <c r="J116" s="404" t="s">
        <v>1413</v>
      </c>
      <c r="K116" s="405">
        <v>1</v>
      </c>
      <c r="L116" s="411" t="s">
        <v>1531</v>
      </c>
      <c r="M116" s="395">
        <v>108</v>
      </c>
      <c r="N116" s="425" t="s">
        <v>1563</v>
      </c>
      <c r="O116" s="391" t="s">
        <v>1564</v>
      </c>
      <c r="P116" s="414" t="s">
        <v>1413</v>
      </c>
      <c r="Q116" s="340" t="s">
        <v>2433</v>
      </c>
      <c r="R116" s="338">
        <v>1</v>
      </c>
      <c r="S116" s="404" t="s">
        <v>1413</v>
      </c>
      <c r="T116" s="398" t="s">
        <v>1531</v>
      </c>
      <c r="U116" s="398" t="s">
        <v>1531</v>
      </c>
    </row>
    <row r="117" spans="1:21" ht="15.6" thickBot="1">
      <c r="A117" s="407" t="s">
        <v>1531</v>
      </c>
      <c r="B117" s="408" t="s">
        <v>1413</v>
      </c>
      <c r="C117" s="399" t="s">
        <v>1531</v>
      </c>
      <c r="D117" s="408" t="s">
        <v>1413</v>
      </c>
      <c r="E117" s="396">
        <v>0.1</v>
      </c>
      <c r="F117" s="409" t="s">
        <v>961</v>
      </c>
      <c r="G117" s="399" t="s">
        <v>1531</v>
      </c>
      <c r="H117" s="408" t="s">
        <v>1413</v>
      </c>
      <c r="I117" s="409" t="s">
        <v>969</v>
      </c>
      <c r="J117" s="408" t="s">
        <v>1413</v>
      </c>
      <c r="K117" s="409">
        <v>1</v>
      </c>
      <c r="L117" s="413" t="s">
        <v>1531</v>
      </c>
      <c r="M117" s="397">
        <v>145</v>
      </c>
      <c r="N117" s="426" t="s">
        <v>2027</v>
      </c>
      <c r="O117" s="393" t="s">
        <v>2028</v>
      </c>
      <c r="P117" s="416" t="s">
        <v>1413</v>
      </c>
      <c r="Q117" s="340" t="s">
        <v>2434</v>
      </c>
      <c r="R117" s="338">
        <v>2</v>
      </c>
      <c r="S117" s="408" t="s">
        <v>1413</v>
      </c>
      <c r="T117" s="399" t="s">
        <v>1531</v>
      </c>
      <c r="U117" s="399" t="s">
        <v>1531</v>
      </c>
    </row>
    <row r="118" spans="1:21" ht="15">
      <c r="A118" s="403" t="s">
        <v>1531</v>
      </c>
      <c r="B118" s="404" t="s">
        <v>1413</v>
      </c>
      <c r="C118" s="398" t="s">
        <v>1531</v>
      </c>
      <c r="D118" s="404" t="s">
        <v>1413</v>
      </c>
      <c r="E118" s="394">
        <v>0.1</v>
      </c>
      <c r="F118" s="405" t="s">
        <v>961</v>
      </c>
      <c r="G118" s="398" t="s">
        <v>1531</v>
      </c>
      <c r="H118" s="404" t="s">
        <v>1413</v>
      </c>
      <c r="I118" s="405" t="s">
        <v>969</v>
      </c>
      <c r="J118" s="404" t="s">
        <v>1413</v>
      </c>
      <c r="K118" s="405">
        <v>1</v>
      </c>
      <c r="L118" s="411" t="s">
        <v>1531</v>
      </c>
      <c r="M118" s="395">
        <v>183</v>
      </c>
      <c r="N118" s="425" t="s">
        <v>2029</v>
      </c>
      <c r="O118" s="391" t="s">
        <v>2030</v>
      </c>
      <c r="P118" s="414" t="s">
        <v>1413</v>
      </c>
      <c r="Q118" s="340" t="s">
        <v>2434</v>
      </c>
      <c r="R118" s="338">
        <v>2</v>
      </c>
      <c r="S118" s="404" t="s">
        <v>1413</v>
      </c>
      <c r="T118" s="398" t="s">
        <v>1531</v>
      </c>
      <c r="U118" s="398" t="s">
        <v>1531</v>
      </c>
    </row>
    <row r="119" spans="1:21" ht="15">
      <c r="A119" s="403" t="s">
        <v>1531</v>
      </c>
      <c r="B119" s="404" t="s">
        <v>1413</v>
      </c>
      <c r="C119" s="398" t="s">
        <v>1531</v>
      </c>
      <c r="D119" s="404" t="s">
        <v>1413</v>
      </c>
      <c r="E119" s="394">
        <v>1</v>
      </c>
      <c r="F119" s="405" t="s">
        <v>1412</v>
      </c>
      <c r="G119" s="398" t="s">
        <v>1531</v>
      </c>
      <c r="H119" s="404" t="s">
        <v>1413</v>
      </c>
      <c r="I119" s="404" t="s">
        <v>1413</v>
      </c>
      <c r="J119" s="404" t="s">
        <v>1413</v>
      </c>
      <c r="K119" s="405">
        <v>1</v>
      </c>
      <c r="L119" s="405">
        <v>0.1</v>
      </c>
      <c r="M119" s="406" t="s">
        <v>1531</v>
      </c>
      <c r="N119" s="425" t="s">
        <v>2341</v>
      </c>
      <c r="O119" s="391" t="s">
        <v>719</v>
      </c>
      <c r="P119" s="414" t="s">
        <v>1413</v>
      </c>
      <c r="Q119" s="340" t="s">
        <v>2434</v>
      </c>
      <c r="R119" s="338">
        <v>1</v>
      </c>
      <c r="S119" s="404" t="s">
        <v>1413</v>
      </c>
      <c r="T119" s="398" t="s">
        <v>1531</v>
      </c>
      <c r="U119" s="398" t="s">
        <v>1531</v>
      </c>
    </row>
    <row r="120" spans="1:21" ht="15.6" thickBot="1">
      <c r="A120" s="407" t="s">
        <v>1531</v>
      </c>
      <c r="B120" s="408" t="s">
        <v>1413</v>
      </c>
      <c r="C120" s="399" t="s">
        <v>1531</v>
      </c>
      <c r="D120" s="408" t="s">
        <v>1413</v>
      </c>
      <c r="E120" s="396">
        <v>0.02</v>
      </c>
      <c r="F120" s="409" t="s">
        <v>1414</v>
      </c>
      <c r="G120" s="399" t="s">
        <v>1531</v>
      </c>
      <c r="H120" s="408" t="s">
        <v>1413</v>
      </c>
      <c r="I120" s="408" t="s">
        <v>1413</v>
      </c>
      <c r="J120" s="408" t="s">
        <v>1413</v>
      </c>
      <c r="K120" s="409">
        <v>1</v>
      </c>
      <c r="L120" s="409">
        <v>0.1</v>
      </c>
      <c r="M120" s="410" t="s">
        <v>1531</v>
      </c>
      <c r="N120" s="426" t="s">
        <v>1020</v>
      </c>
      <c r="O120" s="393" t="s">
        <v>720</v>
      </c>
      <c r="P120" s="416" t="s">
        <v>1413</v>
      </c>
      <c r="Q120" s="340" t="s">
        <v>2434</v>
      </c>
      <c r="R120" s="338">
        <v>1</v>
      </c>
      <c r="S120" s="408" t="s">
        <v>1413</v>
      </c>
      <c r="T120" s="399" t="s">
        <v>1531</v>
      </c>
      <c r="U120" s="399" t="s">
        <v>1531</v>
      </c>
    </row>
    <row r="121" spans="1:21" ht="15">
      <c r="A121" s="403" t="s">
        <v>1531</v>
      </c>
      <c r="B121" s="404" t="s">
        <v>1413</v>
      </c>
      <c r="C121" s="394">
        <v>1.8E-3</v>
      </c>
      <c r="D121" s="405" t="s">
        <v>1412</v>
      </c>
      <c r="E121" s="394">
        <v>1E-3</v>
      </c>
      <c r="F121" s="405" t="s">
        <v>1412</v>
      </c>
      <c r="G121" s="394">
        <v>1.0000000000000001E-5</v>
      </c>
      <c r="H121" s="405" t="s">
        <v>1414</v>
      </c>
      <c r="I121" s="404" t="s">
        <v>1413</v>
      </c>
      <c r="J121" s="404" t="s">
        <v>1413</v>
      </c>
      <c r="K121" s="405">
        <v>2.5000000000000001E-2</v>
      </c>
      <c r="L121" s="405">
        <v>1E-3</v>
      </c>
      <c r="M121" s="406" t="s">
        <v>1531</v>
      </c>
      <c r="N121" s="425" t="s">
        <v>554</v>
      </c>
      <c r="O121" s="391" t="s">
        <v>721</v>
      </c>
      <c r="P121" s="414" t="s">
        <v>1413</v>
      </c>
      <c r="Q121" s="340" t="s">
        <v>2434</v>
      </c>
      <c r="R121" s="338">
        <v>1</v>
      </c>
      <c r="S121" s="404" t="s">
        <v>1413</v>
      </c>
      <c r="T121" s="394">
        <v>1.8E-3</v>
      </c>
      <c r="U121" s="394">
        <v>1.0000000000000001E-5</v>
      </c>
    </row>
    <row r="122" spans="1:21" ht="15">
      <c r="A122" s="403" t="s">
        <v>1531</v>
      </c>
      <c r="B122" s="404" t="s">
        <v>1413</v>
      </c>
      <c r="C122" s="394">
        <v>1.8E-3</v>
      </c>
      <c r="D122" s="405" t="s">
        <v>1412</v>
      </c>
      <c r="E122" s="394">
        <v>5.0000000000000001E-4</v>
      </c>
      <c r="F122" s="405" t="s">
        <v>1412</v>
      </c>
      <c r="G122" s="394">
        <v>1.0000000000000001E-5</v>
      </c>
      <c r="H122" s="405" t="s">
        <v>1414</v>
      </c>
      <c r="I122" s="404" t="s">
        <v>1413</v>
      </c>
      <c r="J122" s="404" t="s">
        <v>1413</v>
      </c>
      <c r="K122" s="405">
        <v>0.05</v>
      </c>
      <c r="L122" s="405">
        <v>1E-3</v>
      </c>
      <c r="M122" s="406" t="s">
        <v>1531</v>
      </c>
      <c r="N122" s="425" t="s">
        <v>1021</v>
      </c>
      <c r="O122" s="391" t="s">
        <v>721</v>
      </c>
      <c r="P122" s="429">
        <v>5</v>
      </c>
      <c r="Q122" s="340" t="s">
        <v>2434</v>
      </c>
      <c r="R122" s="338">
        <v>1</v>
      </c>
      <c r="S122" s="404" t="s">
        <v>1413</v>
      </c>
      <c r="T122" s="394">
        <v>1.8E-3</v>
      </c>
      <c r="U122" s="394">
        <v>1.0000000000000001E-5</v>
      </c>
    </row>
    <row r="123" spans="1:21" ht="15.6" thickBot="1">
      <c r="A123" s="407" t="s">
        <v>1531</v>
      </c>
      <c r="B123" s="408" t="s">
        <v>1413</v>
      </c>
      <c r="C123" s="399" t="s">
        <v>1531</v>
      </c>
      <c r="D123" s="408" t="s">
        <v>1413</v>
      </c>
      <c r="E123" s="396">
        <v>1E-3</v>
      </c>
      <c r="F123" s="409" t="s">
        <v>1412</v>
      </c>
      <c r="G123" s="399" t="s">
        <v>1531</v>
      </c>
      <c r="H123" s="408" t="s">
        <v>1413</v>
      </c>
      <c r="I123" s="408" t="s">
        <v>1413</v>
      </c>
      <c r="J123" s="408" t="s">
        <v>1413</v>
      </c>
      <c r="K123" s="409">
        <v>1</v>
      </c>
      <c r="L123" s="413" t="s">
        <v>1531</v>
      </c>
      <c r="M123" s="410" t="s">
        <v>1531</v>
      </c>
      <c r="N123" s="426" t="s">
        <v>2363</v>
      </c>
      <c r="O123" s="393" t="s">
        <v>788</v>
      </c>
      <c r="P123" s="416" t="s">
        <v>1413</v>
      </c>
      <c r="Q123" s="340" t="s">
        <v>2433</v>
      </c>
      <c r="R123" s="338">
        <v>1</v>
      </c>
      <c r="S123" s="408" t="s">
        <v>1413</v>
      </c>
      <c r="T123" s="399" t="s">
        <v>1531</v>
      </c>
      <c r="U123" s="399" t="s">
        <v>1531</v>
      </c>
    </row>
    <row r="124" spans="1:21" ht="15">
      <c r="A124" s="403" t="s">
        <v>1531</v>
      </c>
      <c r="B124" s="404" t="s">
        <v>1413</v>
      </c>
      <c r="C124" s="398" t="s">
        <v>1531</v>
      </c>
      <c r="D124" s="404" t="s">
        <v>1413</v>
      </c>
      <c r="E124" s="394">
        <v>49</v>
      </c>
      <c r="F124" s="405" t="s">
        <v>520</v>
      </c>
      <c r="G124" s="398" t="s">
        <v>1531</v>
      </c>
      <c r="H124" s="404" t="s">
        <v>1413</v>
      </c>
      <c r="I124" s="404" t="s">
        <v>1413</v>
      </c>
      <c r="J124" s="404" t="s">
        <v>1413</v>
      </c>
      <c r="K124" s="405">
        <v>1</v>
      </c>
      <c r="L124" s="411" t="s">
        <v>1531</v>
      </c>
      <c r="M124" s="406" t="s">
        <v>1531</v>
      </c>
      <c r="N124" s="425" t="s">
        <v>2383</v>
      </c>
      <c r="O124" s="391" t="s">
        <v>1583</v>
      </c>
      <c r="P124" s="414" t="s">
        <v>1413</v>
      </c>
      <c r="Q124" s="340" t="s">
        <v>2433</v>
      </c>
      <c r="R124" s="338">
        <v>1</v>
      </c>
      <c r="S124" s="404" t="s">
        <v>1413</v>
      </c>
      <c r="T124" s="398" t="s">
        <v>1531</v>
      </c>
      <c r="U124" s="398" t="s">
        <v>1531</v>
      </c>
    </row>
    <row r="125" spans="1:21" ht="15">
      <c r="A125" s="403" t="s">
        <v>1531</v>
      </c>
      <c r="B125" s="404" t="s">
        <v>1413</v>
      </c>
      <c r="C125" s="398" t="s">
        <v>1531</v>
      </c>
      <c r="D125" s="404" t="s">
        <v>1413</v>
      </c>
      <c r="E125" s="394">
        <v>0.5</v>
      </c>
      <c r="F125" s="405" t="s">
        <v>1412</v>
      </c>
      <c r="G125" s="394">
        <v>2.2000000000000001E-3</v>
      </c>
      <c r="H125" s="405" t="s">
        <v>521</v>
      </c>
      <c r="I125" s="404" t="s">
        <v>1413</v>
      </c>
      <c r="J125" s="404" t="s">
        <v>1413</v>
      </c>
      <c r="K125" s="405">
        <v>1</v>
      </c>
      <c r="L125" s="405">
        <v>0.1</v>
      </c>
      <c r="M125" s="406" t="s">
        <v>1531</v>
      </c>
      <c r="N125" s="425" t="s">
        <v>1022</v>
      </c>
      <c r="O125" s="391" t="s">
        <v>722</v>
      </c>
      <c r="P125" s="414" t="s">
        <v>1413</v>
      </c>
      <c r="Q125" s="340" t="s">
        <v>2434</v>
      </c>
      <c r="R125" s="338">
        <v>1</v>
      </c>
      <c r="S125" s="404" t="s">
        <v>1413</v>
      </c>
      <c r="T125" s="398" t="s">
        <v>1531</v>
      </c>
      <c r="U125" s="394">
        <v>2.2000000000000001E-3</v>
      </c>
    </row>
    <row r="126" spans="1:21" ht="15.6" thickBot="1">
      <c r="A126" s="412">
        <v>0.15</v>
      </c>
      <c r="B126" s="409" t="s">
        <v>521</v>
      </c>
      <c r="C126" s="396">
        <v>4.3000000000000002E-5</v>
      </c>
      <c r="D126" s="409" t="s">
        <v>521</v>
      </c>
      <c r="E126" s="396">
        <v>2E-3</v>
      </c>
      <c r="F126" s="409" t="s">
        <v>1412</v>
      </c>
      <c r="G126" s="399" t="s">
        <v>1531</v>
      </c>
      <c r="H126" s="408" t="s">
        <v>1413</v>
      </c>
      <c r="I126" s="408" t="s">
        <v>1413</v>
      </c>
      <c r="J126" s="408" t="s">
        <v>1413</v>
      </c>
      <c r="K126" s="409">
        <v>1</v>
      </c>
      <c r="L126" s="409">
        <v>0.1</v>
      </c>
      <c r="M126" s="410" t="s">
        <v>1531</v>
      </c>
      <c r="N126" s="426" t="s">
        <v>1400</v>
      </c>
      <c r="O126" s="393" t="s">
        <v>723</v>
      </c>
      <c r="P126" s="416" t="s">
        <v>1413</v>
      </c>
      <c r="Q126" s="340" t="s">
        <v>2433</v>
      </c>
      <c r="R126" s="338">
        <v>1</v>
      </c>
      <c r="S126" s="408" t="s">
        <v>1413</v>
      </c>
      <c r="T126" s="396">
        <v>4.3000000000000002E-5</v>
      </c>
      <c r="U126" s="399" t="s">
        <v>1531</v>
      </c>
    </row>
    <row r="127" spans="1:21" ht="15">
      <c r="A127" s="427">
        <v>2.3E-3</v>
      </c>
      <c r="B127" s="405" t="s">
        <v>521</v>
      </c>
      <c r="C127" s="394">
        <v>6.6000000000000003E-7</v>
      </c>
      <c r="D127" s="405" t="s">
        <v>521</v>
      </c>
      <c r="E127" s="394">
        <v>0.13</v>
      </c>
      <c r="F127" s="405" t="s">
        <v>1412</v>
      </c>
      <c r="G127" s="398" t="s">
        <v>1531</v>
      </c>
      <c r="H127" s="404" t="s">
        <v>1413</v>
      </c>
      <c r="I127" s="404" t="s">
        <v>1413</v>
      </c>
      <c r="J127" s="404" t="s">
        <v>1413</v>
      </c>
      <c r="K127" s="405">
        <v>1</v>
      </c>
      <c r="L127" s="405">
        <v>0.1</v>
      </c>
      <c r="M127" s="406" t="s">
        <v>1531</v>
      </c>
      <c r="N127" s="425" t="s">
        <v>1401</v>
      </c>
      <c r="O127" s="391" t="s">
        <v>724</v>
      </c>
      <c r="P127" s="414" t="s">
        <v>1413</v>
      </c>
      <c r="Q127" s="340" t="s">
        <v>2433</v>
      </c>
      <c r="R127" s="338">
        <v>1</v>
      </c>
      <c r="S127" s="404" t="s">
        <v>1413</v>
      </c>
      <c r="T127" s="394">
        <v>6.6000000000000003E-7</v>
      </c>
      <c r="U127" s="398" t="s">
        <v>1531</v>
      </c>
    </row>
    <row r="128" spans="1:21" ht="15">
      <c r="A128" s="403" t="s">
        <v>1531</v>
      </c>
      <c r="B128" s="404" t="s">
        <v>1413</v>
      </c>
      <c r="C128" s="398" t="s">
        <v>1531</v>
      </c>
      <c r="D128" s="404" t="s">
        <v>1413</v>
      </c>
      <c r="E128" s="394">
        <v>0.1</v>
      </c>
      <c r="F128" s="405" t="s">
        <v>1412</v>
      </c>
      <c r="G128" s="398" t="s">
        <v>1531</v>
      </c>
      <c r="H128" s="404" t="s">
        <v>1413</v>
      </c>
      <c r="I128" s="404" t="s">
        <v>1413</v>
      </c>
      <c r="J128" s="404" t="s">
        <v>1413</v>
      </c>
      <c r="K128" s="405">
        <v>1</v>
      </c>
      <c r="L128" s="405">
        <v>0.1</v>
      </c>
      <c r="M128" s="406" t="s">
        <v>1531</v>
      </c>
      <c r="N128" s="425" t="s">
        <v>1023</v>
      </c>
      <c r="O128" s="391" t="s">
        <v>725</v>
      </c>
      <c r="P128" s="414" t="s">
        <v>1413</v>
      </c>
      <c r="Q128" s="340" t="s">
        <v>2434</v>
      </c>
      <c r="R128" s="338">
        <v>1</v>
      </c>
      <c r="S128" s="404" t="s">
        <v>1413</v>
      </c>
      <c r="T128" s="398" t="s">
        <v>1531</v>
      </c>
      <c r="U128" s="398" t="s">
        <v>1531</v>
      </c>
    </row>
    <row r="129" spans="1:21" ht="15.6" thickBot="1">
      <c r="A129" s="407" t="s">
        <v>1531</v>
      </c>
      <c r="B129" s="408" t="s">
        <v>1413</v>
      </c>
      <c r="C129" s="399" t="s">
        <v>1531</v>
      </c>
      <c r="D129" s="408" t="s">
        <v>1413</v>
      </c>
      <c r="E129" s="396">
        <v>5.0000000000000001E-3</v>
      </c>
      <c r="F129" s="409" t="s">
        <v>1412</v>
      </c>
      <c r="G129" s="399" t="s">
        <v>1531</v>
      </c>
      <c r="H129" s="408" t="s">
        <v>1413</v>
      </c>
      <c r="I129" s="408" t="s">
        <v>1413</v>
      </c>
      <c r="J129" s="408" t="s">
        <v>1413</v>
      </c>
      <c r="K129" s="409">
        <v>1</v>
      </c>
      <c r="L129" s="409">
        <v>0.1</v>
      </c>
      <c r="M129" s="410" t="s">
        <v>1531</v>
      </c>
      <c r="N129" s="426" t="s">
        <v>1024</v>
      </c>
      <c r="O129" s="393" t="s">
        <v>726</v>
      </c>
      <c r="P129" s="415">
        <v>40</v>
      </c>
      <c r="Q129" s="340" t="s">
        <v>2434</v>
      </c>
      <c r="R129" s="338">
        <v>1</v>
      </c>
      <c r="S129" s="408" t="s">
        <v>1413</v>
      </c>
      <c r="T129" s="399" t="s">
        <v>1531</v>
      </c>
      <c r="U129" s="399" t="s">
        <v>1531</v>
      </c>
    </row>
    <row r="130" spans="1:21" ht="15">
      <c r="A130" s="403" t="s">
        <v>1531</v>
      </c>
      <c r="B130" s="404" t="s">
        <v>1413</v>
      </c>
      <c r="C130" s="398" t="s">
        <v>1531</v>
      </c>
      <c r="D130" s="404" t="s">
        <v>1413</v>
      </c>
      <c r="E130" s="394">
        <v>0.1</v>
      </c>
      <c r="F130" s="405" t="s">
        <v>1412</v>
      </c>
      <c r="G130" s="394">
        <v>0.7</v>
      </c>
      <c r="H130" s="405" t="s">
        <v>1412</v>
      </c>
      <c r="I130" s="405" t="s">
        <v>969</v>
      </c>
      <c r="J130" s="404" t="s">
        <v>1413</v>
      </c>
      <c r="K130" s="405">
        <v>1</v>
      </c>
      <c r="L130" s="411" t="s">
        <v>1531</v>
      </c>
      <c r="M130" s="395">
        <v>738</v>
      </c>
      <c r="N130" s="425" t="s">
        <v>1025</v>
      </c>
      <c r="O130" s="391" t="s">
        <v>727</v>
      </c>
      <c r="P130" s="414" t="s">
        <v>1413</v>
      </c>
      <c r="Q130" s="340" t="s">
        <v>2434</v>
      </c>
      <c r="R130" s="338">
        <v>1</v>
      </c>
      <c r="S130" s="404" t="s">
        <v>1413</v>
      </c>
      <c r="T130" s="398" t="s">
        <v>1531</v>
      </c>
      <c r="U130" s="394">
        <v>0.7</v>
      </c>
    </row>
    <row r="131" spans="1:21" ht="15">
      <c r="A131" s="427">
        <v>7.0000000000000007E-2</v>
      </c>
      <c r="B131" s="405" t="s">
        <v>1412</v>
      </c>
      <c r="C131" s="394">
        <v>6.0000000000000002E-6</v>
      </c>
      <c r="D131" s="405" t="s">
        <v>1412</v>
      </c>
      <c r="E131" s="394">
        <v>4.0000000000000001E-3</v>
      </c>
      <c r="F131" s="405" t="s">
        <v>1412</v>
      </c>
      <c r="G131" s="394">
        <v>0.1</v>
      </c>
      <c r="H131" s="405" t="s">
        <v>1412</v>
      </c>
      <c r="I131" s="405" t="s">
        <v>969</v>
      </c>
      <c r="J131" s="404" t="s">
        <v>1413</v>
      </c>
      <c r="K131" s="405">
        <v>1</v>
      </c>
      <c r="L131" s="411" t="s">
        <v>1531</v>
      </c>
      <c r="M131" s="395">
        <v>458</v>
      </c>
      <c r="N131" s="425" t="s">
        <v>1026</v>
      </c>
      <c r="O131" s="391" t="s">
        <v>728</v>
      </c>
      <c r="P131" s="429">
        <v>5</v>
      </c>
      <c r="Q131" s="340" t="s">
        <v>2433</v>
      </c>
      <c r="R131" s="338">
        <v>1</v>
      </c>
      <c r="S131" s="404" t="s">
        <v>1413</v>
      </c>
      <c r="T131" s="394">
        <v>6.0000000000000002E-6</v>
      </c>
      <c r="U131" s="394">
        <v>0.1</v>
      </c>
    </row>
    <row r="132" spans="1:21" ht="15.6" thickBot="1">
      <c r="A132" s="407" t="s">
        <v>1531</v>
      </c>
      <c r="B132" s="408" t="s">
        <v>1413</v>
      </c>
      <c r="C132" s="399" t="s">
        <v>1531</v>
      </c>
      <c r="D132" s="408" t="s">
        <v>1413</v>
      </c>
      <c r="E132" s="399" t="s">
        <v>1531</v>
      </c>
      <c r="F132" s="408" t="s">
        <v>1413</v>
      </c>
      <c r="G132" s="396">
        <v>0.1</v>
      </c>
      <c r="H132" s="409" t="s">
        <v>520</v>
      </c>
      <c r="I132" s="409" t="s">
        <v>969</v>
      </c>
      <c r="J132" s="408" t="s">
        <v>1413</v>
      </c>
      <c r="K132" s="409">
        <v>1</v>
      </c>
      <c r="L132" s="413" t="s">
        <v>1531</v>
      </c>
      <c r="M132" s="397">
        <v>5890</v>
      </c>
      <c r="N132" s="426" t="s">
        <v>2281</v>
      </c>
      <c r="O132" s="393" t="s">
        <v>2280</v>
      </c>
      <c r="P132" s="416" t="s">
        <v>1413</v>
      </c>
      <c r="Q132" s="340" t="s">
        <v>2433</v>
      </c>
      <c r="R132" s="338">
        <v>1</v>
      </c>
      <c r="S132" s="408" t="s">
        <v>1413</v>
      </c>
      <c r="T132" s="399" t="s">
        <v>1531</v>
      </c>
      <c r="U132" s="396">
        <v>0.1</v>
      </c>
    </row>
    <row r="133" spans="1:21" ht="15">
      <c r="A133" s="403" t="s">
        <v>1531</v>
      </c>
      <c r="B133" s="404" t="s">
        <v>1413</v>
      </c>
      <c r="C133" s="398" t="s">
        <v>1531</v>
      </c>
      <c r="D133" s="404" t="s">
        <v>1413</v>
      </c>
      <c r="E133" s="394">
        <v>0.01</v>
      </c>
      <c r="F133" s="405" t="s">
        <v>1412</v>
      </c>
      <c r="G133" s="398" t="s">
        <v>1531</v>
      </c>
      <c r="H133" s="404" t="s">
        <v>1413</v>
      </c>
      <c r="I133" s="404" t="s">
        <v>1413</v>
      </c>
      <c r="J133" s="404" t="s">
        <v>1413</v>
      </c>
      <c r="K133" s="405">
        <v>1</v>
      </c>
      <c r="L133" s="405">
        <v>0.1</v>
      </c>
      <c r="M133" s="406" t="s">
        <v>1531</v>
      </c>
      <c r="N133" s="425" t="s">
        <v>1027</v>
      </c>
      <c r="O133" s="391" t="s">
        <v>729</v>
      </c>
      <c r="P133" s="414" t="s">
        <v>1413</v>
      </c>
      <c r="Q133" s="340" t="s">
        <v>2434</v>
      </c>
      <c r="R133" s="338">
        <v>1</v>
      </c>
      <c r="S133" s="404" t="s">
        <v>1413</v>
      </c>
      <c r="T133" s="398" t="s">
        <v>1531</v>
      </c>
      <c r="U133" s="398" t="s">
        <v>1531</v>
      </c>
    </row>
    <row r="134" spans="1:21" ht="15">
      <c r="A134" s="403" t="s">
        <v>1531</v>
      </c>
      <c r="B134" s="404" t="s">
        <v>1413</v>
      </c>
      <c r="C134" s="398" t="s">
        <v>1531</v>
      </c>
      <c r="D134" s="404" t="s">
        <v>1413</v>
      </c>
      <c r="E134" s="394">
        <v>0.1</v>
      </c>
      <c r="F134" s="405" t="s">
        <v>1412</v>
      </c>
      <c r="G134" s="398" t="s">
        <v>1531</v>
      </c>
      <c r="H134" s="404" t="s">
        <v>1413</v>
      </c>
      <c r="I134" s="404" t="s">
        <v>1413</v>
      </c>
      <c r="J134" s="404" t="s">
        <v>1413</v>
      </c>
      <c r="K134" s="405">
        <v>1</v>
      </c>
      <c r="L134" s="405">
        <v>0.1</v>
      </c>
      <c r="M134" s="406" t="s">
        <v>1531</v>
      </c>
      <c r="N134" s="425" t="s">
        <v>1028</v>
      </c>
      <c r="O134" s="391" t="s">
        <v>730</v>
      </c>
      <c r="P134" s="414" t="s">
        <v>1413</v>
      </c>
      <c r="Q134" s="340" t="s">
        <v>2433</v>
      </c>
      <c r="R134" s="338">
        <v>1</v>
      </c>
      <c r="S134" s="404" t="s">
        <v>1413</v>
      </c>
      <c r="T134" s="398" t="s">
        <v>1531</v>
      </c>
      <c r="U134" s="398" t="s">
        <v>1531</v>
      </c>
    </row>
    <row r="135" spans="1:21" ht="15.6" thickBot="1">
      <c r="A135" s="407" t="s">
        <v>1531</v>
      </c>
      <c r="B135" s="408" t="s">
        <v>1413</v>
      </c>
      <c r="C135" s="399" t="s">
        <v>1531</v>
      </c>
      <c r="D135" s="408" t="s">
        <v>1413</v>
      </c>
      <c r="E135" s="399" t="s">
        <v>1531</v>
      </c>
      <c r="F135" s="408" t="s">
        <v>1413</v>
      </c>
      <c r="G135" s="396">
        <v>8.9999999999999998E-4</v>
      </c>
      <c r="H135" s="409" t="s">
        <v>1412</v>
      </c>
      <c r="I135" s="408" t="s">
        <v>1413</v>
      </c>
      <c r="J135" s="408" t="s">
        <v>1413</v>
      </c>
      <c r="K135" s="409">
        <v>1</v>
      </c>
      <c r="L135" s="413" t="s">
        <v>1531</v>
      </c>
      <c r="M135" s="410" t="s">
        <v>1531</v>
      </c>
      <c r="N135" s="426" t="s">
        <v>564</v>
      </c>
      <c r="O135" s="393" t="s">
        <v>731</v>
      </c>
      <c r="P135" s="416" t="s">
        <v>1413</v>
      </c>
      <c r="Q135" s="340" t="s">
        <v>2433</v>
      </c>
      <c r="R135" s="338">
        <v>1</v>
      </c>
      <c r="S135" s="408" t="s">
        <v>1413</v>
      </c>
      <c r="T135" s="399" t="s">
        <v>1531</v>
      </c>
      <c r="U135" s="396">
        <v>8.9999999999999998E-4</v>
      </c>
    </row>
    <row r="136" spans="1:21" ht="15">
      <c r="A136" s="403" t="s">
        <v>1531</v>
      </c>
      <c r="B136" s="404" t="s">
        <v>1413</v>
      </c>
      <c r="C136" s="398" t="s">
        <v>1531</v>
      </c>
      <c r="D136" s="404" t="s">
        <v>1413</v>
      </c>
      <c r="E136" s="394">
        <v>0.1</v>
      </c>
      <c r="F136" s="405" t="s">
        <v>1412</v>
      </c>
      <c r="G136" s="398" t="s">
        <v>1531</v>
      </c>
      <c r="H136" s="404" t="s">
        <v>1413</v>
      </c>
      <c r="I136" s="405" t="s">
        <v>969</v>
      </c>
      <c r="J136" s="404" t="s">
        <v>1413</v>
      </c>
      <c r="K136" s="405">
        <v>1</v>
      </c>
      <c r="L136" s="411" t="s">
        <v>1531</v>
      </c>
      <c r="M136" s="406" t="s">
        <v>1531</v>
      </c>
      <c r="N136" s="425" t="s">
        <v>1029</v>
      </c>
      <c r="O136" s="391" t="s">
        <v>732</v>
      </c>
      <c r="P136" s="414" t="s">
        <v>1413</v>
      </c>
      <c r="Q136" s="340" t="s">
        <v>2433</v>
      </c>
      <c r="R136" s="338">
        <v>1</v>
      </c>
      <c r="S136" s="404" t="s">
        <v>1413</v>
      </c>
      <c r="T136" s="398" t="s">
        <v>1531</v>
      </c>
      <c r="U136" s="398" t="s">
        <v>1531</v>
      </c>
    </row>
    <row r="137" spans="1:21" ht="15">
      <c r="A137" s="403" t="s">
        <v>1531</v>
      </c>
      <c r="B137" s="404" t="s">
        <v>1413</v>
      </c>
      <c r="C137" s="398" t="s">
        <v>1531</v>
      </c>
      <c r="D137" s="404" t="s">
        <v>1413</v>
      </c>
      <c r="E137" s="394">
        <v>1.4999999999999999E-2</v>
      </c>
      <c r="F137" s="405" t="s">
        <v>1412</v>
      </c>
      <c r="G137" s="398" t="s">
        <v>1531</v>
      </c>
      <c r="H137" s="404" t="s">
        <v>1413</v>
      </c>
      <c r="I137" s="404" t="s">
        <v>1413</v>
      </c>
      <c r="J137" s="404" t="s">
        <v>1413</v>
      </c>
      <c r="K137" s="405">
        <v>1</v>
      </c>
      <c r="L137" s="405">
        <v>0.1</v>
      </c>
      <c r="M137" s="406" t="s">
        <v>1531</v>
      </c>
      <c r="N137" s="425" t="s">
        <v>1030</v>
      </c>
      <c r="O137" s="391" t="s">
        <v>733</v>
      </c>
      <c r="P137" s="414" t="s">
        <v>1413</v>
      </c>
      <c r="Q137" s="340" t="s">
        <v>2434</v>
      </c>
      <c r="R137" s="338">
        <v>1</v>
      </c>
      <c r="S137" s="404" t="s">
        <v>1413</v>
      </c>
      <c r="T137" s="398" t="s">
        <v>1531</v>
      </c>
      <c r="U137" s="398" t="s">
        <v>1531</v>
      </c>
    </row>
    <row r="138" spans="1:21" ht="15.6" thickBot="1">
      <c r="A138" s="412">
        <v>0.4</v>
      </c>
      <c r="B138" s="409" t="s">
        <v>406</v>
      </c>
      <c r="C138" s="399" t="s">
        <v>1531</v>
      </c>
      <c r="D138" s="408" t="s">
        <v>1413</v>
      </c>
      <c r="E138" s="399" t="s">
        <v>1531</v>
      </c>
      <c r="F138" s="408" t="s">
        <v>1413</v>
      </c>
      <c r="G138" s="399" t="s">
        <v>1531</v>
      </c>
      <c r="H138" s="408" t="s">
        <v>1413</v>
      </c>
      <c r="I138" s="408" t="s">
        <v>1413</v>
      </c>
      <c r="J138" s="408" t="s">
        <v>1413</v>
      </c>
      <c r="K138" s="409">
        <v>1</v>
      </c>
      <c r="L138" s="409">
        <v>0.1</v>
      </c>
      <c r="M138" s="410" t="s">
        <v>1531</v>
      </c>
      <c r="N138" s="426" t="s">
        <v>1031</v>
      </c>
      <c r="O138" s="393" t="s">
        <v>734</v>
      </c>
      <c r="P138" s="416" t="s">
        <v>1413</v>
      </c>
      <c r="Q138" s="340" t="s">
        <v>2434</v>
      </c>
      <c r="R138" s="338">
        <v>1</v>
      </c>
      <c r="S138" s="408" t="s">
        <v>1413</v>
      </c>
      <c r="T138" s="399" t="s">
        <v>1531</v>
      </c>
      <c r="U138" s="399" t="s">
        <v>1531</v>
      </c>
    </row>
    <row r="139" spans="1:21" ht="15">
      <c r="A139" s="427">
        <v>0.35</v>
      </c>
      <c r="B139" s="405" t="s">
        <v>1412</v>
      </c>
      <c r="C139" s="394">
        <v>1E-4</v>
      </c>
      <c r="D139" s="405" t="s">
        <v>1412</v>
      </c>
      <c r="E139" s="394">
        <v>5.0000000000000001E-4</v>
      </c>
      <c r="F139" s="405" t="s">
        <v>1412</v>
      </c>
      <c r="G139" s="394">
        <v>6.9999999999999999E-4</v>
      </c>
      <c r="H139" s="405" t="s">
        <v>1412</v>
      </c>
      <c r="I139" s="405" t="s">
        <v>969</v>
      </c>
      <c r="J139" s="404" t="s">
        <v>1413</v>
      </c>
      <c r="K139" s="405">
        <v>1</v>
      </c>
      <c r="L139" s="405">
        <v>0.04</v>
      </c>
      <c r="M139" s="406" t="s">
        <v>1531</v>
      </c>
      <c r="N139" s="425" t="s">
        <v>431</v>
      </c>
      <c r="O139" s="391" t="s">
        <v>735</v>
      </c>
      <c r="P139" s="429">
        <v>2</v>
      </c>
      <c r="Q139" s="340" t="s">
        <v>2433</v>
      </c>
      <c r="R139" s="338">
        <v>1</v>
      </c>
      <c r="S139" s="404" t="s">
        <v>1413</v>
      </c>
      <c r="T139" s="394">
        <v>1E-4</v>
      </c>
      <c r="U139" s="394">
        <v>6.9999999999999999E-4</v>
      </c>
    </row>
    <row r="140" spans="1:21" ht="15">
      <c r="A140" s="427">
        <v>10</v>
      </c>
      <c r="B140" s="405" t="s">
        <v>1412</v>
      </c>
      <c r="C140" s="394">
        <v>4.5999999999999999E-3</v>
      </c>
      <c r="D140" s="405" t="s">
        <v>521</v>
      </c>
      <c r="E140" s="394">
        <v>2.9999999999999997E-4</v>
      </c>
      <c r="F140" s="405" t="s">
        <v>1412</v>
      </c>
      <c r="G140" s="398" t="s">
        <v>1531</v>
      </c>
      <c r="H140" s="404" t="s">
        <v>1413</v>
      </c>
      <c r="I140" s="404" t="s">
        <v>1413</v>
      </c>
      <c r="J140" s="404" t="s">
        <v>1413</v>
      </c>
      <c r="K140" s="405">
        <v>1</v>
      </c>
      <c r="L140" s="405">
        <v>0.1</v>
      </c>
      <c r="M140" s="406" t="s">
        <v>1531</v>
      </c>
      <c r="N140" s="425" t="s">
        <v>1032</v>
      </c>
      <c r="O140" s="391" t="s">
        <v>736</v>
      </c>
      <c r="P140" s="414" t="s">
        <v>1413</v>
      </c>
      <c r="Q140" s="340" t="s">
        <v>2433</v>
      </c>
      <c r="R140" s="338">
        <v>1</v>
      </c>
      <c r="S140" s="404" t="s">
        <v>1413</v>
      </c>
      <c r="T140" s="394">
        <v>4.5999999999999999E-3</v>
      </c>
      <c r="U140" s="398" t="s">
        <v>1531</v>
      </c>
    </row>
    <row r="141" spans="1:21" ht="15.6" thickBot="1">
      <c r="A141" s="407" t="s">
        <v>1531</v>
      </c>
      <c r="B141" s="408" t="s">
        <v>1413</v>
      </c>
      <c r="C141" s="399" t="s">
        <v>1531</v>
      </c>
      <c r="D141" s="408" t="s">
        <v>1413</v>
      </c>
      <c r="E141" s="396">
        <v>6.9999999999999999E-4</v>
      </c>
      <c r="F141" s="409" t="s">
        <v>1414</v>
      </c>
      <c r="G141" s="399" t="s">
        <v>1531</v>
      </c>
      <c r="H141" s="408" t="s">
        <v>1413</v>
      </c>
      <c r="I141" s="408" t="s">
        <v>1413</v>
      </c>
      <c r="J141" s="408" t="s">
        <v>1413</v>
      </c>
      <c r="K141" s="409">
        <v>1</v>
      </c>
      <c r="L141" s="409">
        <v>0.1</v>
      </c>
      <c r="M141" s="410" t="s">
        <v>1531</v>
      </c>
      <c r="N141" s="426" t="s">
        <v>565</v>
      </c>
      <c r="O141" s="393" t="s">
        <v>737</v>
      </c>
      <c r="P141" s="416" t="s">
        <v>1413</v>
      </c>
      <c r="Q141" s="340" t="s">
        <v>2434</v>
      </c>
      <c r="R141" s="338">
        <v>1</v>
      </c>
      <c r="S141" s="408" t="s">
        <v>1413</v>
      </c>
      <c r="T141" s="399" t="s">
        <v>1531</v>
      </c>
      <c r="U141" s="399" t="s">
        <v>1531</v>
      </c>
    </row>
    <row r="142" spans="1:21" ht="15">
      <c r="A142" s="403" t="s">
        <v>1531</v>
      </c>
      <c r="B142" s="404" t="s">
        <v>1413</v>
      </c>
      <c r="C142" s="398" t="s">
        <v>1531</v>
      </c>
      <c r="D142" s="404" t="s">
        <v>1413</v>
      </c>
      <c r="E142" s="394">
        <v>0.09</v>
      </c>
      <c r="F142" s="405" t="s">
        <v>1474</v>
      </c>
      <c r="G142" s="398" t="s">
        <v>1531</v>
      </c>
      <c r="H142" s="404" t="s">
        <v>1413</v>
      </c>
      <c r="I142" s="404" t="s">
        <v>1413</v>
      </c>
      <c r="J142" s="404" t="s">
        <v>1413</v>
      </c>
      <c r="K142" s="405">
        <v>1</v>
      </c>
      <c r="L142" s="405">
        <v>0.1</v>
      </c>
      <c r="M142" s="406" t="s">
        <v>1531</v>
      </c>
      <c r="N142" s="425" t="s">
        <v>1033</v>
      </c>
      <c r="O142" s="391" t="s">
        <v>738</v>
      </c>
      <c r="P142" s="414" t="s">
        <v>1413</v>
      </c>
      <c r="Q142" s="340" t="s">
        <v>2434</v>
      </c>
      <c r="R142" s="338">
        <v>1</v>
      </c>
      <c r="S142" s="404" t="s">
        <v>1413</v>
      </c>
      <c r="T142" s="398" t="s">
        <v>1531</v>
      </c>
      <c r="U142" s="398" t="s">
        <v>1531</v>
      </c>
    </row>
    <row r="143" spans="1:21" ht="15">
      <c r="A143" s="403" t="s">
        <v>1531</v>
      </c>
      <c r="B143" s="404" t="s">
        <v>1413</v>
      </c>
      <c r="C143" s="398" t="s">
        <v>1531</v>
      </c>
      <c r="D143" s="404" t="s">
        <v>1413</v>
      </c>
      <c r="E143" s="394">
        <v>0.1</v>
      </c>
      <c r="F143" s="405" t="s">
        <v>1412</v>
      </c>
      <c r="G143" s="394">
        <v>1.4999999999999999E-4</v>
      </c>
      <c r="H143" s="405" t="s">
        <v>1414</v>
      </c>
      <c r="I143" s="405" t="s">
        <v>969</v>
      </c>
      <c r="J143" s="404" t="s">
        <v>1413</v>
      </c>
      <c r="K143" s="405">
        <v>1</v>
      </c>
      <c r="L143" s="411" t="s">
        <v>1531</v>
      </c>
      <c r="M143" s="395">
        <v>2780</v>
      </c>
      <c r="N143" s="425" t="s">
        <v>1034</v>
      </c>
      <c r="O143" s="391" t="s">
        <v>739</v>
      </c>
      <c r="P143" s="414" t="s">
        <v>1413</v>
      </c>
      <c r="Q143" s="340" t="s">
        <v>2433</v>
      </c>
      <c r="R143" s="338">
        <v>1</v>
      </c>
      <c r="S143" s="404" t="s">
        <v>1413</v>
      </c>
      <c r="T143" s="398" t="s">
        <v>1531</v>
      </c>
      <c r="U143" s="394">
        <v>1.4999999999999999E-4</v>
      </c>
    </row>
    <row r="144" spans="1:21" ht="15.6" thickBot="1">
      <c r="A144" s="407" t="s">
        <v>1531</v>
      </c>
      <c r="B144" s="408" t="s">
        <v>1413</v>
      </c>
      <c r="C144" s="399" t="s">
        <v>1531</v>
      </c>
      <c r="D144" s="408" t="s">
        <v>1413</v>
      </c>
      <c r="E144" s="396">
        <v>0.03</v>
      </c>
      <c r="F144" s="409" t="s">
        <v>1412</v>
      </c>
      <c r="G144" s="396">
        <v>2.0000000000000001E-4</v>
      </c>
      <c r="H144" s="409" t="s">
        <v>1412</v>
      </c>
      <c r="I144" s="409" t="s">
        <v>969</v>
      </c>
      <c r="J144" s="408" t="s">
        <v>1413</v>
      </c>
      <c r="K144" s="409">
        <v>1</v>
      </c>
      <c r="L144" s="413" t="s">
        <v>1531</v>
      </c>
      <c r="M144" s="410" t="s">
        <v>1531</v>
      </c>
      <c r="N144" s="426" t="s">
        <v>1035</v>
      </c>
      <c r="O144" s="393" t="s">
        <v>740</v>
      </c>
      <c r="P144" s="416" t="s">
        <v>1413</v>
      </c>
      <c r="Q144" s="340" t="s">
        <v>2434</v>
      </c>
      <c r="R144" s="338">
        <v>1</v>
      </c>
      <c r="S144" s="408" t="s">
        <v>1413</v>
      </c>
      <c r="T144" s="399" t="s">
        <v>1531</v>
      </c>
      <c r="U144" s="396">
        <v>2.0000000000000001E-4</v>
      </c>
    </row>
    <row r="145" spans="1:21" ht="15">
      <c r="A145" s="403" t="s">
        <v>1531</v>
      </c>
      <c r="B145" s="404" t="s">
        <v>1413</v>
      </c>
      <c r="C145" s="398" t="s">
        <v>1531</v>
      </c>
      <c r="D145" s="404" t="s">
        <v>1413</v>
      </c>
      <c r="E145" s="394">
        <v>0.03</v>
      </c>
      <c r="F145" s="405" t="s">
        <v>1412</v>
      </c>
      <c r="G145" s="398" t="s">
        <v>1531</v>
      </c>
      <c r="H145" s="404" t="s">
        <v>1413</v>
      </c>
      <c r="I145" s="404" t="s">
        <v>1413</v>
      </c>
      <c r="J145" s="404" t="s">
        <v>1413</v>
      </c>
      <c r="K145" s="405">
        <v>1</v>
      </c>
      <c r="L145" s="411" t="s">
        <v>1531</v>
      </c>
      <c r="M145" s="406" t="s">
        <v>1531</v>
      </c>
      <c r="N145" s="425" t="s">
        <v>1036</v>
      </c>
      <c r="O145" s="391" t="s">
        <v>741</v>
      </c>
      <c r="P145" s="429">
        <v>1000</v>
      </c>
      <c r="Q145" s="340" t="s">
        <v>2434</v>
      </c>
      <c r="R145" s="338">
        <v>1</v>
      </c>
      <c r="S145" s="404" t="s">
        <v>1413</v>
      </c>
      <c r="T145" s="398" t="s">
        <v>1531</v>
      </c>
      <c r="U145" s="398" t="s">
        <v>1531</v>
      </c>
    </row>
    <row r="146" spans="1:21" ht="15">
      <c r="A146" s="403" t="s">
        <v>1531</v>
      </c>
      <c r="B146" s="404" t="s">
        <v>1413</v>
      </c>
      <c r="C146" s="398" t="s">
        <v>1531</v>
      </c>
      <c r="D146" s="404" t="s">
        <v>1413</v>
      </c>
      <c r="E146" s="398" t="s">
        <v>1531</v>
      </c>
      <c r="F146" s="404" t="s">
        <v>1413</v>
      </c>
      <c r="G146" s="394">
        <v>50</v>
      </c>
      <c r="H146" s="405" t="s">
        <v>1412</v>
      </c>
      <c r="I146" s="405" t="s">
        <v>969</v>
      </c>
      <c r="J146" s="404" t="s">
        <v>1413</v>
      </c>
      <c r="K146" s="405">
        <v>1</v>
      </c>
      <c r="L146" s="411" t="s">
        <v>1531</v>
      </c>
      <c r="M146" s="395">
        <v>1150</v>
      </c>
      <c r="N146" s="425" t="s">
        <v>1037</v>
      </c>
      <c r="O146" s="391" t="s">
        <v>742</v>
      </c>
      <c r="P146" s="414" t="s">
        <v>1413</v>
      </c>
      <c r="Q146" s="340" t="s">
        <v>2433</v>
      </c>
      <c r="R146" s="338">
        <v>1</v>
      </c>
      <c r="S146" s="404" t="s">
        <v>1413</v>
      </c>
      <c r="T146" s="398" t="s">
        <v>1531</v>
      </c>
      <c r="U146" s="394">
        <v>50</v>
      </c>
    </row>
    <row r="147" spans="1:21" ht="15.6" thickBot="1">
      <c r="A147" s="407" t="s">
        <v>1531</v>
      </c>
      <c r="B147" s="408" t="s">
        <v>1413</v>
      </c>
      <c r="C147" s="396">
        <v>2.9999999999999997E-4</v>
      </c>
      <c r="D147" s="409" t="s">
        <v>1412</v>
      </c>
      <c r="E147" s="396">
        <v>0.02</v>
      </c>
      <c r="F147" s="409" t="s">
        <v>406</v>
      </c>
      <c r="G147" s="396">
        <v>0.02</v>
      </c>
      <c r="H147" s="409" t="s">
        <v>1412</v>
      </c>
      <c r="I147" s="409" t="s">
        <v>969</v>
      </c>
      <c r="J147" s="408" t="s">
        <v>1413</v>
      </c>
      <c r="K147" s="409">
        <v>1</v>
      </c>
      <c r="L147" s="413" t="s">
        <v>1531</v>
      </c>
      <c r="M147" s="397">
        <v>786</v>
      </c>
      <c r="N147" s="426" t="s">
        <v>1038</v>
      </c>
      <c r="O147" s="393" t="s">
        <v>743</v>
      </c>
      <c r="P147" s="416" t="s">
        <v>1413</v>
      </c>
      <c r="Q147" s="340" t="s">
        <v>2434</v>
      </c>
      <c r="R147" s="338">
        <v>1</v>
      </c>
      <c r="S147" s="408" t="s">
        <v>1413</v>
      </c>
      <c r="T147" s="396">
        <v>2.9999999999999997E-4</v>
      </c>
      <c r="U147" s="396">
        <v>0.02</v>
      </c>
    </row>
    <row r="148" spans="1:21" ht="15">
      <c r="A148" s="427">
        <v>0.46</v>
      </c>
      <c r="B148" s="405" t="s">
        <v>406</v>
      </c>
      <c r="C148" s="398" t="s">
        <v>1531</v>
      </c>
      <c r="D148" s="404" t="s">
        <v>1413</v>
      </c>
      <c r="E148" s="398" t="s">
        <v>1531</v>
      </c>
      <c r="F148" s="404" t="s">
        <v>1413</v>
      </c>
      <c r="G148" s="398" t="s">
        <v>1531</v>
      </c>
      <c r="H148" s="404" t="s">
        <v>1413</v>
      </c>
      <c r="I148" s="404" t="s">
        <v>1413</v>
      </c>
      <c r="J148" s="404" t="s">
        <v>1413</v>
      </c>
      <c r="K148" s="405">
        <v>1</v>
      </c>
      <c r="L148" s="405">
        <v>0.1</v>
      </c>
      <c r="M148" s="406" t="s">
        <v>1531</v>
      </c>
      <c r="N148" s="425" t="s">
        <v>1039</v>
      </c>
      <c r="O148" s="391" t="s">
        <v>744</v>
      </c>
      <c r="P148" s="414" t="s">
        <v>1413</v>
      </c>
      <c r="Q148" s="340" t="s">
        <v>2433</v>
      </c>
      <c r="R148" s="338">
        <v>1</v>
      </c>
      <c r="S148" s="404" t="s">
        <v>1413</v>
      </c>
      <c r="T148" s="398" t="s">
        <v>1531</v>
      </c>
      <c r="U148" s="398" t="s">
        <v>1531</v>
      </c>
    </row>
    <row r="149" spans="1:21" ht="15">
      <c r="A149" s="427">
        <v>0.1</v>
      </c>
      <c r="B149" s="405" t="s">
        <v>520</v>
      </c>
      <c r="C149" s="394">
        <v>7.7000000000000001E-5</v>
      </c>
      <c r="D149" s="405" t="s">
        <v>521</v>
      </c>
      <c r="E149" s="394">
        <v>3.0000000000000001E-3</v>
      </c>
      <c r="F149" s="405" t="s">
        <v>961</v>
      </c>
      <c r="G149" s="398" t="s">
        <v>1531</v>
      </c>
      <c r="H149" s="404" t="s">
        <v>1413</v>
      </c>
      <c r="I149" s="404" t="s">
        <v>1413</v>
      </c>
      <c r="J149" s="404" t="s">
        <v>1413</v>
      </c>
      <c r="K149" s="405">
        <v>1</v>
      </c>
      <c r="L149" s="405">
        <v>0.1</v>
      </c>
      <c r="M149" s="406" t="s">
        <v>1531</v>
      </c>
      <c r="N149" s="425" t="s">
        <v>1565</v>
      </c>
      <c r="O149" s="391" t="s">
        <v>1566</v>
      </c>
      <c r="P149" s="414" t="s">
        <v>1413</v>
      </c>
      <c r="Q149" s="340" t="s">
        <v>2433</v>
      </c>
      <c r="R149" s="338">
        <v>1</v>
      </c>
      <c r="S149" s="404" t="s">
        <v>1413</v>
      </c>
      <c r="T149" s="394">
        <v>7.7000000000000001E-5</v>
      </c>
      <c r="U149" s="398" t="s">
        <v>1531</v>
      </c>
    </row>
    <row r="150" spans="1:21" ht="15.6" thickBot="1">
      <c r="A150" s="412">
        <v>0.27</v>
      </c>
      <c r="B150" s="409" t="s">
        <v>961</v>
      </c>
      <c r="C150" s="399" t="s">
        <v>1531</v>
      </c>
      <c r="D150" s="408" t="s">
        <v>1413</v>
      </c>
      <c r="E150" s="399" t="s">
        <v>1531</v>
      </c>
      <c r="F150" s="408" t="s">
        <v>1413</v>
      </c>
      <c r="G150" s="399" t="s">
        <v>1531</v>
      </c>
      <c r="H150" s="408" t="s">
        <v>1413</v>
      </c>
      <c r="I150" s="409" t="s">
        <v>969</v>
      </c>
      <c r="J150" s="408" t="s">
        <v>1413</v>
      </c>
      <c r="K150" s="409">
        <v>1</v>
      </c>
      <c r="L150" s="413" t="s">
        <v>1531</v>
      </c>
      <c r="M150" s="397">
        <v>11800</v>
      </c>
      <c r="N150" s="426" t="s">
        <v>745</v>
      </c>
      <c r="O150" s="393" t="s">
        <v>746</v>
      </c>
      <c r="P150" s="416" t="s">
        <v>1413</v>
      </c>
      <c r="Q150" s="340" t="s">
        <v>2434</v>
      </c>
      <c r="R150" s="338">
        <v>1</v>
      </c>
      <c r="S150" s="408" t="s">
        <v>1413</v>
      </c>
      <c r="T150" s="399" t="s">
        <v>1531</v>
      </c>
      <c r="U150" s="399" t="s">
        <v>1531</v>
      </c>
    </row>
    <row r="151" spans="1:21" ht="15">
      <c r="A151" s="403" t="s">
        <v>1531</v>
      </c>
      <c r="B151" s="404" t="s">
        <v>1413</v>
      </c>
      <c r="C151" s="398" t="s">
        <v>1531</v>
      </c>
      <c r="D151" s="404" t="s">
        <v>1413</v>
      </c>
      <c r="E151" s="398" t="s">
        <v>1531</v>
      </c>
      <c r="F151" s="404" t="s">
        <v>1413</v>
      </c>
      <c r="G151" s="398" t="s">
        <v>1531</v>
      </c>
      <c r="H151" s="404" t="s">
        <v>1413</v>
      </c>
      <c r="I151" s="404" t="s">
        <v>1413</v>
      </c>
      <c r="J151" s="404" t="s">
        <v>1413</v>
      </c>
      <c r="K151" s="405">
        <v>1</v>
      </c>
      <c r="L151" s="405">
        <v>0.1</v>
      </c>
      <c r="M151" s="406" t="s">
        <v>1531</v>
      </c>
      <c r="N151" s="425" t="s">
        <v>1040</v>
      </c>
      <c r="O151" s="391" t="s">
        <v>747</v>
      </c>
      <c r="P151" s="429">
        <v>60</v>
      </c>
      <c r="Q151" s="340" t="s">
        <v>2433</v>
      </c>
      <c r="R151" s="338">
        <v>1</v>
      </c>
      <c r="S151" s="404" t="s">
        <v>1413</v>
      </c>
      <c r="T151" s="398" t="s">
        <v>1531</v>
      </c>
      <c r="U151" s="398" t="s">
        <v>1531</v>
      </c>
    </row>
    <row r="152" spans="1:21" ht="15">
      <c r="A152" s="403" t="s">
        <v>1531</v>
      </c>
      <c r="B152" s="404" t="s">
        <v>1413</v>
      </c>
      <c r="C152" s="398" t="s">
        <v>1531</v>
      </c>
      <c r="D152" s="404" t="s">
        <v>1413</v>
      </c>
      <c r="E152" s="398" t="s">
        <v>1531</v>
      </c>
      <c r="F152" s="404" t="s">
        <v>1413</v>
      </c>
      <c r="G152" s="394">
        <v>3.0000000000000001E-5</v>
      </c>
      <c r="H152" s="405" t="s">
        <v>1412</v>
      </c>
      <c r="I152" s="404" t="s">
        <v>1413</v>
      </c>
      <c r="J152" s="404" t="s">
        <v>1413</v>
      </c>
      <c r="K152" s="405">
        <v>1</v>
      </c>
      <c r="L152" s="405">
        <v>0.1</v>
      </c>
      <c r="M152" s="406" t="s">
        <v>1531</v>
      </c>
      <c r="N152" s="425" t="s">
        <v>1041</v>
      </c>
      <c r="O152" s="391" t="s">
        <v>748</v>
      </c>
      <c r="P152" s="414" t="s">
        <v>1413</v>
      </c>
      <c r="Q152" s="340" t="s">
        <v>2434</v>
      </c>
      <c r="R152" s="338">
        <v>1</v>
      </c>
      <c r="S152" s="404" t="s">
        <v>1413</v>
      </c>
      <c r="T152" s="398" t="s">
        <v>1531</v>
      </c>
      <c r="U152" s="394">
        <v>3.0000000000000001E-5</v>
      </c>
    </row>
    <row r="153" spans="1:21" ht="15.6" thickBot="1">
      <c r="A153" s="412">
        <v>0.2</v>
      </c>
      <c r="B153" s="409" t="s">
        <v>520</v>
      </c>
      <c r="C153" s="399" t="s">
        <v>1531</v>
      </c>
      <c r="D153" s="408" t="s">
        <v>1413</v>
      </c>
      <c r="E153" s="396">
        <v>4.0000000000000001E-3</v>
      </c>
      <c r="F153" s="409" t="s">
        <v>1412</v>
      </c>
      <c r="G153" s="399" t="s">
        <v>1531</v>
      </c>
      <c r="H153" s="408" t="s">
        <v>1413</v>
      </c>
      <c r="I153" s="408" t="s">
        <v>1413</v>
      </c>
      <c r="J153" s="408" t="s">
        <v>1413</v>
      </c>
      <c r="K153" s="409">
        <v>1</v>
      </c>
      <c r="L153" s="409">
        <v>0.1</v>
      </c>
      <c r="M153" s="410" t="s">
        <v>1531</v>
      </c>
      <c r="N153" s="426" t="s">
        <v>1042</v>
      </c>
      <c r="O153" s="393" t="s">
        <v>749</v>
      </c>
      <c r="P153" s="416" t="s">
        <v>1413</v>
      </c>
      <c r="Q153" s="340" t="s">
        <v>2434</v>
      </c>
      <c r="R153" s="338">
        <v>1</v>
      </c>
      <c r="S153" s="408" t="s">
        <v>1413</v>
      </c>
      <c r="T153" s="399" t="s">
        <v>1531</v>
      </c>
      <c r="U153" s="399" t="s">
        <v>1531</v>
      </c>
    </row>
    <row r="154" spans="1:21" ht="15">
      <c r="A154" s="403" t="s">
        <v>1531</v>
      </c>
      <c r="B154" s="404" t="s">
        <v>1413</v>
      </c>
      <c r="C154" s="398" t="s">
        <v>1531</v>
      </c>
      <c r="D154" s="404" t="s">
        <v>1413</v>
      </c>
      <c r="E154" s="394">
        <v>0.02</v>
      </c>
      <c r="F154" s="405" t="s">
        <v>1412</v>
      </c>
      <c r="G154" s="394">
        <v>0.05</v>
      </c>
      <c r="H154" s="405" t="s">
        <v>520</v>
      </c>
      <c r="I154" s="405" t="s">
        <v>969</v>
      </c>
      <c r="J154" s="404" t="s">
        <v>1413</v>
      </c>
      <c r="K154" s="405">
        <v>1</v>
      </c>
      <c r="L154" s="411" t="s">
        <v>1531</v>
      </c>
      <c r="M154" s="395">
        <v>761</v>
      </c>
      <c r="N154" s="425" t="s">
        <v>432</v>
      </c>
      <c r="O154" s="391" t="s">
        <v>750</v>
      </c>
      <c r="P154" s="429">
        <v>100</v>
      </c>
      <c r="Q154" s="340" t="s">
        <v>2433</v>
      </c>
      <c r="R154" s="338">
        <v>1</v>
      </c>
      <c r="S154" s="404" t="s">
        <v>1413</v>
      </c>
      <c r="T154" s="398" t="s">
        <v>1531</v>
      </c>
      <c r="U154" s="394">
        <v>0.05</v>
      </c>
    </row>
    <row r="155" spans="1:21" ht="15">
      <c r="A155" s="403" t="s">
        <v>1531</v>
      </c>
      <c r="B155" s="404" t="s">
        <v>1413</v>
      </c>
      <c r="C155" s="398" t="s">
        <v>1531</v>
      </c>
      <c r="D155" s="404" t="s">
        <v>1413</v>
      </c>
      <c r="E155" s="394">
        <v>0.1</v>
      </c>
      <c r="F155" s="405" t="s">
        <v>961</v>
      </c>
      <c r="G155" s="398" t="s">
        <v>1531</v>
      </c>
      <c r="H155" s="404" t="s">
        <v>1413</v>
      </c>
      <c r="I155" s="404" t="s">
        <v>1413</v>
      </c>
      <c r="J155" s="404" t="s">
        <v>1413</v>
      </c>
      <c r="K155" s="405">
        <v>1</v>
      </c>
      <c r="L155" s="405">
        <v>0.1</v>
      </c>
      <c r="M155" s="406" t="s">
        <v>1531</v>
      </c>
      <c r="N155" s="425" t="s">
        <v>2445</v>
      </c>
      <c r="O155" s="391" t="s">
        <v>2446</v>
      </c>
      <c r="P155" s="414" t="s">
        <v>1413</v>
      </c>
      <c r="Q155" s="340" t="s">
        <v>2434</v>
      </c>
      <c r="R155" s="338">
        <v>1</v>
      </c>
      <c r="S155" s="404" t="s">
        <v>1413</v>
      </c>
      <c r="T155" s="398" t="s">
        <v>1531</v>
      </c>
      <c r="U155" s="398" t="s">
        <v>1531</v>
      </c>
    </row>
    <row r="156" spans="1:21" ht="15.6" thickBot="1">
      <c r="A156" s="412">
        <v>0.11</v>
      </c>
      <c r="B156" s="409" t="s">
        <v>521</v>
      </c>
      <c r="C156" s="396">
        <v>3.1000000000000001E-5</v>
      </c>
      <c r="D156" s="409" t="s">
        <v>521</v>
      </c>
      <c r="E156" s="396">
        <v>0.02</v>
      </c>
      <c r="F156" s="409" t="s">
        <v>1412</v>
      </c>
      <c r="G156" s="399" t="s">
        <v>1531</v>
      </c>
      <c r="H156" s="408" t="s">
        <v>1413</v>
      </c>
      <c r="I156" s="408" t="s">
        <v>1413</v>
      </c>
      <c r="J156" s="408" t="s">
        <v>1413</v>
      </c>
      <c r="K156" s="409">
        <v>1</v>
      </c>
      <c r="L156" s="409">
        <v>0.1</v>
      </c>
      <c r="M156" s="410" t="s">
        <v>1531</v>
      </c>
      <c r="N156" s="426" t="s">
        <v>1043</v>
      </c>
      <c r="O156" s="393" t="s">
        <v>751</v>
      </c>
      <c r="P156" s="416" t="s">
        <v>1413</v>
      </c>
      <c r="Q156" s="340" t="s">
        <v>2433</v>
      </c>
      <c r="R156" s="338">
        <v>1</v>
      </c>
      <c r="S156" s="408" t="s">
        <v>1413</v>
      </c>
      <c r="T156" s="396">
        <v>3.1000000000000001E-5</v>
      </c>
      <c r="U156" s="399" t="s">
        <v>1531</v>
      </c>
    </row>
    <row r="157" spans="1:21" ht="15">
      <c r="A157" s="403" t="s">
        <v>1531</v>
      </c>
      <c r="B157" s="404" t="s">
        <v>1413</v>
      </c>
      <c r="C157" s="398" t="s">
        <v>1531</v>
      </c>
      <c r="D157" s="404" t="s">
        <v>1413</v>
      </c>
      <c r="E157" s="394">
        <v>0.03</v>
      </c>
      <c r="F157" s="405" t="s">
        <v>961</v>
      </c>
      <c r="G157" s="398" t="s">
        <v>1531</v>
      </c>
      <c r="H157" s="404" t="s">
        <v>1413</v>
      </c>
      <c r="I157" s="404" t="s">
        <v>1413</v>
      </c>
      <c r="J157" s="404" t="s">
        <v>1413</v>
      </c>
      <c r="K157" s="405">
        <v>1</v>
      </c>
      <c r="L157" s="405">
        <v>0.1</v>
      </c>
      <c r="M157" s="406" t="s">
        <v>1531</v>
      </c>
      <c r="N157" s="425" t="s">
        <v>566</v>
      </c>
      <c r="O157" s="391" t="s">
        <v>752</v>
      </c>
      <c r="P157" s="414" t="s">
        <v>1413</v>
      </c>
      <c r="Q157" s="340" t="s">
        <v>2434</v>
      </c>
      <c r="R157" s="338">
        <v>1</v>
      </c>
      <c r="S157" s="404" t="s">
        <v>1413</v>
      </c>
      <c r="T157" s="398" t="s">
        <v>1531</v>
      </c>
      <c r="U157" s="398" t="s">
        <v>1531</v>
      </c>
    </row>
    <row r="158" spans="1:21" ht="15">
      <c r="A158" s="403" t="s">
        <v>1531</v>
      </c>
      <c r="B158" s="404" t="s">
        <v>1413</v>
      </c>
      <c r="C158" s="398" t="s">
        <v>1531</v>
      </c>
      <c r="D158" s="404" t="s">
        <v>1413</v>
      </c>
      <c r="E158" s="394">
        <v>3.0000000000000001E-3</v>
      </c>
      <c r="F158" s="405" t="s">
        <v>520</v>
      </c>
      <c r="G158" s="394">
        <v>0.3</v>
      </c>
      <c r="H158" s="405" t="s">
        <v>520</v>
      </c>
      <c r="I158" s="405" t="s">
        <v>969</v>
      </c>
      <c r="J158" s="404" t="s">
        <v>1413</v>
      </c>
      <c r="K158" s="405">
        <v>1</v>
      </c>
      <c r="L158" s="411" t="s">
        <v>1531</v>
      </c>
      <c r="M158" s="395">
        <v>290</v>
      </c>
      <c r="N158" s="425" t="s">
        <v>1044</v>
      </c>
      <c r="O158" s="391" t="s">
        <v>753</v>
      </c>
      <c r="P158" s="414" t="s">
        <v>1413</v>
      </c>
      <c r="Q158" s="340" t="s">
        <v>2433</v>
      </c>
      <c r="R158" s="338">
        <v>1</v>
      </c>
      <c r="S158" s="404" t="s">
        <v>1413</v>
      </c>
      <c r="T158" s="398" t="s">
        <v>1531</v>
      </c>
      <c r="U158" s="394">
        <v>0.3</v>
      </c>
    </row>
    <row r="159" spans="1:21" ht="15.6" thickBot="1">
      <c r="A159" s="407" t="s">
        <v>1531</v>
      </c>
      <c r="B159" s="408" t="s">
        <v>1413</v>
      </c>
      <c r="C159" s="399" t="s">
        <v>1531</v>
      </c>
      <c r="D159" s="408" t="s">
        <v>1413</v>
      </c>
      <c r="E159" s="396">
        <v>0.04</v>
      </c>
      <c r="F159" s="409" t="s">
        <v>520</v>
      </c>
      <c r="G159" s="399" t="s">
        <v>1531</v>
      </c>
      <c r="H159" s="408" t="s">
        <v>1413</v>
      </c>
      <c r="I159" s="409" t="s">
        <v>969</v>
      </c>
      <c r="J159" s="408" t="s">
        <v>1413</v>
      </c>
      <c r="K159" s="409">
        <v>1</v>
      </c>
      <c r="L159" s="413" t="s">
        <v>1531</v>
      </c>
      <c r="M159" s="397">
        <v>728</v>
      </c>
      <c r="N159" s="426" t="s">
        <v>1045</v>
      </c>
      <c r="O159" s="393" t="s">
        <v>754</v>
      </c>
      <c r="P159" s="416" t="s">
        <v>1413</v>
      </c>
      <c r="Q159" s="340" t="s">
        <v>2434</v>
      </c>
      <c r="R159" s="338">
        <v>1</v>
      </c>
      <c r="S159" s="408" t="s">
        <v>1413</v>
      </c>
      <c r="T159" s="399" t="s">
        <v>1531</v>
      </c>
      <c r="U159" s="399" t="s">
        <v>1531</v>
      </c>
    </row>
    <row r="160" spans="1:21" ht="15">
      <c r="A160" s="403" t="s">
        <v>1531</v>
      </c>
      <c r="B160" s="404" t="s">
        <v>1413</v>
      </c>
      <c r="C160" s="398" t="s">
        <v>1531</v>
      </c>
      <c r="D160" s="404" t="s">
        <v>1413</v>
      </c>
      <c r="E160" s="398" t="s">
        <v>1531</v>
      </c>
      <c r="F160" s="404" t="s">
        <v>1413</v>
      </c>
      <c r="G160" s="394">
        <v>50</v>
      </c>
      <c r="H160" s="405" t="s">
        <v>1412</v>
      </c>
      <c r="I160" s="405" t="s">
        <v>969</v>
      </c>
      <c r="J160" s="404" t="s">
        <v>1413</v>
      </c>
      <c r="K160" s="405">
        <v>1</v>
      </c>
      <c r="L160" s="411" t="s">
        <v>1531</v>
      </c>
      <c r="M160" s="395">
        <v>1680</v>
      </c>
      <c r="N160" s="425" t="s">
        <v>1436</v>
      </c>
      <c r="O160" s="391" t="s">
        <v>755</v>
      </c>
      <c r="P160" s="414" t="s">
        <v>1413</v>
      </c>
      <c r="Q160" s="340" t="s">
        <v>2434</v>
      </c>
      <c r="R160" s="338">
        <v>1</v>
      </c>
      <c r="S160" s="404" t="s">
        <v>1413</v>
      </c>
      <c r="T160" s="398" t="s">
        <v>1531</v>
      </c>
      <c r="U160" s="394">
        <v>50</v>
      </c>
    </row>
    <row r="161" spans="1:21" ht="15">
      <c r="A161" s="403" t="s">
        <v>1531</v>
      </c>
      <c r="B161" s="404" t="s">
        <v>1413</v>
      </c>
      <c r="C161" s="398" t="s">
        <v>1531</v>
      </c>
      <c r="D161" s="404" t="s">
        <v>1413</v>
      </c>
      <c r="E161" s="394">
        <v>0.02</v>
      </c>
      <c r="F161" s="405" t="s">
        <v>520</v>
      </c>
      <c r="G161" s="398" t="s">
        <v>1531</v>
      </c>
      <c r="H161" s="404" t="s">
        <v>1413</v>
      </c>
      <c r="I161" s="405" t="s">
        <v>969</v>
      </c>
      <c r="J161" s="404" t="s">
        <v>1413</v>
      </c>
      <c r="K161" s="405">
        <v>1</v>
      </c>
      <c r="L161" s="411" t="s">
        <v>1531</v>
      </c>
      <c r="M161" s="395">
        <v>111000</v>
      </c>
      <c r="N161" s="425" t="s">
        <v>1998</v>
      </c>
      <c r="O161" s="391" t="s">
        <v>1999</v>
      </c>
      <c r="P161" s="414" t="s">
        <v>1413</v>
      </c>
      <c r="Q161" s="340" t="s">
        <v>2434</v>
      </c>
      <c r="R161" s="338">
        <v>1</v>
      </c>
      <c r="S161" s="404" t="s">
        <v>1413</v>
      </c>
      <c r="T161" s="398" t="s">
        <v>1531</v>
      </c>
      <c r="U161" s="398" t="s">
        <v>1531</v>
      </c>
    </row>
    <row r="162" spans="1:21" ht="15.6" thickBot="1">
      <c r="A162" s="412">
        <v>3.1E-2</v>
      </c>
      <c r="B162" s="409" t="s">
        <v>521</v>
      </c>
      <c r="C162" s="396">
        <v>2.3E-5</v>
      </c>
      <c r="D162" s="409" t="s">
        <v>1412</v>
      </c>
      <c r="E162" s="396">
        <v>0.01</v>
      </c>
      <c r="F162" s="409" t="s">
        <v>1412</v>
      </c>
      <c r="G162" s="396">
        <v>9.8000000000000004E-2</v>
      </c>
      <c r="H162" s="409" t="s">
        <v>1414</v>
      </c>
      <c r="I162" s="409" t="s">
        <v>969</v>
      </c>
      <c r="J162" s="408" t="s">
        <v>1413</v>
      </c>
      <c r="K162" s="409">
        <v>1</v>
      </c>
      <c r="L162" s="413" t="s">
        <v>1531</v>
      </c>
      <c r="M162" s="397">
        <v>2540</v>
      </c>
      <c r="N162" s="426" t="s">
        <v>434</v>
      </c>
      <c r="O162" s="393" t="s">
        <v>756</v>
      </c>
      <c r="P162" s="415" t="s">
        <v>2079</v>
      </c>
      <c r="Q162" s="340" t="s">
        <v>2434</v>
      </c>
      <c r="R162" s="338">
        <v>1</v>
      </c>
      <c r="S162" s="408" t="s">
        <v>1413</v>
      </c>
      <c r="T162" s="396">
        <v>2.3E-5</v>
      </c>
      <c r="U162" s="396">
        <v>9.8000000000000004E-2</v>
      </c>
    </row>
    <row r="163" spans="1:21" ht="15">
      <c r="A163" s="403" t="s">
        <v>1531</v>
      </c>
      <c r="B163" s="404" t="s">
        <v>1413</v>
      </c>
      <c r="C163" s="398" t="s">
        <v>1531</v>
      </c>
      <c r="D163" s="404" t="s">
        <v>1413</v>
      </c>
      <c r="E163" s="398" t="s">
        <v>1531</v>
      </c>
      <c r="F163" s="404" t="s">
        <v>1413</v>
      </c>
      <c r="G163" s="394">
        <v>0.09</v>
      </c>
      <c r="H163" s="405" t="s">
        <v>1412</v>
      </c>
      <c r="I163" s="405" t="s">
        <v>969</v>
      </c>
      <c r="J163" s="404" t="s">
        <v>1413</v>
      </c>
      <c r="K163" s="405">
        <v>1</v>
      </c>
      <c r="L163" s="411" t="s">
        <v>1531</v>
      </c>
      <c r="M163" s="395">
        <v>1320</v>
      </c>
      <c r="N163" s="425" t="s">
        <v>1046</v>
      </c>
      <c r="O163" s="391" t="s">
        <v>757</v>
      </c>
      <c r="P163" s="414" t="s">
        <v>1413</v>
      </c>
      <c r="Q163" s="340" t="s">
        <v>2434</v>
      </c>
      <c r="R163" s="338">
        <v>1</v>
      </c>
      <c r="S163" s="404" t="s">
        <v>1413</v>
      </c>
      <c r="T163" s="398" t="s">
        <v>1531</v>
      </c>
      <c r="U163" s="394">
        <v>0.09</v>
      </c>
    </row>
    <row r="164" spans="1:21" ht="15">
      <c r="A164" s="427">
        <v>2.4</v>
      </c>
      <c r="B164" s="405" t="s">
        <v>521</v>
      </c>
      <c r="C164" s="394">
        <v>6.8999999999999997E-4</v>
      </c>
      <c r="D164" s="405" t="s">
        <v>521</v>
      </c>
      <c r="E164" s="398" t="s">
        <v>1531</v>
      </c>
      <c r="F164" s="404" t="s">
        <v>1413</v>
      </c>
      <c r="G164" s="398" t="s">
        <v>1531</v>
      </c>
      <c r="H164" s="404" t="s">
        <v>1413</v>
      </c>
      <c r="I164" s="405" t="s">
        <v>969</v>
      </c>
      <c r="J164" s="404" t="s">
        <v>1413</v>
      </c>
      <c r="K164" s="405">
        <v>1</v>
      </c>
      <c r="L164" s="411" t="s">
        <v>1531</v>
      </c>
      <c r="M164" s="395">
        <v>9320</v>
      </c>
      <c r="N164" s="425" t="s">
        <v>567</v>
      </c>
      <c r="O164" s="391" t="s">
        <v>758</v>
      </c>
      <c r="P164" s="414" t="s">
        <v>1413</v>
      </c>
      <c r="Q164" s="340" t="s">
        <v>2433</v>
      </c>
      <c r="R164" s="338">
        <v>1</v>
      </c>
      <c r="S164" s="404" t="s">
        <v>1413</v>
      </c>
      <c r="T164" s="394">
        <v>6.8999999999999997E-4</v>
      </c>
      <c r="U164" s="398" t="s">
        <v>1531</v>
      </c>
    </row>
    <row r="165" spans="1:21" ht="15.6" thickBot="1">
      <c r="A165" s="407" t="s">
        <v>1531</v>
      </c>
      <c r="B165" s="408" t="s">
        <v>1413</v>
      </c>
      <c r="C165" s="399" t="s">
        <v>1531</v>
      </c>
      <c r="D165" s="408" t="s">
        <v>1413</v>
      </c>
      <c r="E165" s="396">
        <v>0.08</v>
      </c>
      <c r="F165" s="409" t="s">
        <v>1412</v>
      </c>
      <c r="G165" s="399" t="s">
        <v>1531</v>
      </c>
      <c r="H165" s="408" t="s">
        <v>1413</v>
      </c>
      <c r="I165" s="409" t="s">
        <v>969</v>
      </c>
      <c r="J165" s="408" t="s">
        <v>1413</v>
      </c>
      <c r="K165" s="409">
        <v>1</v>
      </c>
      <c r="L165" s="409">
        <v>0.13</v>
      </c>
      <c r="M165" s="410" t="s">
        <v>1531</v>
      </c>
      <c r="N165" s="426" t="s">
        <v>2327</v>
      </c>
      <c r="O165" s="393" t="s">
        <v>759</v>
      </c>
      <c r="P165" s="416" t="s">
        <v>1413</v>
      </c>
      <c r="Q165" s="340" t="s">
        <v>2433</v>
      </c>
      <c r="R165" s="338">
        <v>1</v>
      </c>
      <c r="S165" s="408" t="s">
        <v>1413</v>
      </c>
      <c r="T165" s="399" t="s">
        <v>1531</v>
      </c>
      <c r="U165" s="399" t="s">
        <v>1531</v>
      </c>
    </row>
    <row r="166" spans="1:21" ht="15">
      <c r="A166" s="427">
        <v>0.3</v>
      </c>
      <c r="B166" s="405" t="s">
        <v>520</v>
      </c>
      <c r="C166" s="398" t="s">
        <v>1531</v>
      </c>
      <c r="D166" s="404" t="s">
        <v>1413</v>
      </c>
      <c r="E166" s="394">
        <v>3.0000000000000001E-3</v>
      </c>
      <c r="F166" s="405" t="s">
        <v>520</v>
      </c>
      <c r="G166" s="394">
        <v>1.0000000000000001E-5</v>
      </c>
      <c r="H166" s="405" t="s">
        <v>961</v>
      </c>
      <c r="I166" s="404" t="s">
        <v>1413</v>
      </c>
      <c r="J166" s="404" t="s">
        <v>1413</v>
      </c>
      <c r="K166" s="405">
        <v>1</v>
      </c>
      <c r="L166" s="405">
        <v>0.1</v>
      </c>
      <c r="M166" s="406" t="s">
        <v>1531</v>
      </c>
      <c r="N166" s="425" t="s">
        <v>524</v>
      </c>
      <c r="O166" s="391" t="s">
        <v>760</v>
      </c>
      <c r="P166" s="414" t="s">
        <v>1413</v>
      </c>
      <c r="Q166" s="340" t="s">
        <v>2434</v>
      </c>
      <c r="R166" s="338">
        <v>1</v>
      </c>
      <c r="S166" s="404" t="s">
        <v>1413</v>
      </c>
      <c r="T166" s="398" t="s">
        <v>1531</v>
      </c>
      <c r="U166" s="394">
        <v>1.0000000000000001E-5</v>
      </c>
    </row>
    <row r="167" spans="1:21" ht="15">
      <c r="A167" s="427">
        <v>0.06</v>
      </c>
      <c r="B167" s="405" t="s">
        <v>520</v>
      </c>
      <c r="C167" s="398" t="s">
        <v>1531</v>
      </c>
      <c r="D167" s="404" t="s">
        <v>1413</v>
      </c>
      <c r="E167" s="394">
        <v>6.9999999999999999E-4</v>
      </c>
      <c r="F167" s="405" t="s">
        <v>520</v>
      </c>
      <c r="G167" s="394">
        <v>2E-3</v>
      </c>
      <c r="H167" s="405" t="s">
        <v>520</v>
      </c>
      <c r="I167" s="404" t="s">
        <v>1413</v>
      </c>
      <c r="J167" s="404" t="s">
        <v>1413</v>
      </c>
      <c r="K167" s="405">
        <v>1</v>
      </c>
      <c r="L167" s="405">
        <v>0.1</v>
      </c>
      <c r="M167" s="406" t="s">
        <v>1531</v>
      </c>
      <c r="N167" s="425" t="s">
        <v>525</v>
      </c>
      <c r="O167" s="391" t="s">
        <v>761</v>
      </c>
      <c r="P167" s="414" t="s">
        <v>1413</v>
      </c>
      <c r="Q167" s="340" t="s">
        <v>2434</v>
      </c>
      <c r="R167" s="338">
        <v>1</v>
      </c>
      <c r="S167" s="404" t="s">
        <v>1413</v>
      </c>
      <c r="T167" s="398" t="s">
        <v>1531</v>
      </c>
      <c r="U167" s="394">
        <v>2E-3</v>
      </c>
    </row>
    <row r="168" spans="1:21" ht="15.6" thickBot="1">
      <c r="A168" s="407" t="s">
        <v>1531</v>
      </c>
      <c r="B168" s="408" t="s">
        <v>1413</v>
      </c>
      <c r="C168" s="399" t="s">
        <v>1531</v>
      </c>
      <c r="D168" s="408" t="s">
        <v>1413</v>
      </c>
      <c r="E168" s="396">
        <v>5.0000000000000001E-3</v>
      </c>
      <c r="F168" s="409" t="s">
        <v>1412</v>
      </c>
      <c r="G168" s="399" t="s">
        <v>1531</v>
      </c>
      <c r="H168" s="408" t="s">
        <v>1413</v>
      </c>
      <c r="I168" s="409" t="s">
        <v>969</v>
      </c>
      <c r="J168" s="408" t="s">
        <v>1413</v>
      </c>
      <c r="K168" s="409">
        <v>1</v>
      </c>
      <c r="L168" s="413" t="s">
        <v>1531</v>
      </c>
      <c r="M168" s="397">
        <v>27400</v>
      </c>
      <c r="N168" s="426" t="s">
        <v>1047</v>
      </c>
      <c r="O168" s="393" t="s">
        <v>762</v>
      </c>
      <c r="P168" s="416" t="s">
        <v>1413</v>
      </c>
      <c r="Q168" s="340" t="s">
        <v>2433</v>
      </c>
      <c r="R168" s="338">
        <v>1</v>
      </c>
      <c r="S168" s="408" t="s">
        <v>1413</v>
      </c>
      <c r="T168" s="399" t="s">
        <v>1531</v>
      </c>
      <c r="U168" s="399" t="s">
        <v>1531</v>
      </c>
    </row>
    <row r="169" spans="1:21" ht="15">
      <c r="A169" s="403" t="s">
        <v>1531</v>
      </c>
      <c r="B169" s="404" t="s">
        <v>1413</v>
      </c>
      <c r="C169" s="398" t="s">
        <v>1531</v>
      </c>
      <c r="D169" s="404" t="s">
        <v>1413</v>
      </c>
      <c r="E169" s="398" t="s">
        <v>1531</v>
      </c>
      <c r="F169" s="404" t="s">
        <v>1413</v>
      </c>
      <c r="G169" s="394">
        <v>4.0000000000000002E-4</v>
      </c>
      <c r="H169" s="405" t="s">
        <v>521</v>
      </c>
      <c r="I169" s="405" t="s">
        <v>969</v>
      </c>
      <c r="J169" s="404" t="s">
        <v>1413</v>
      </c>
      <c r="K169" s="405">
        <v>1</v>
      </c>
      <c r="L169" s="411" t="s">
        <v>1531</v>
      </c>
      <c r="M169" s="395">
        <v>617</v>
      </c>
      <c r="N169" s="425" t="s">
        <v>568</v>
      </c>
      <c r="O169" s="391" t="s">
        <v>763</v>
      </c>
      <c r="P169" s="414" t="s">
        <v>1413</v>
      </c>
      <c r="Q169" s="340" t="s">
        <v>2433</v>
      </c>
      <c r="R169" s="338">
        <v>1</v>
      </c>
      <c r="S169" s="404" t="s">
        <v>1413</v>
      </c>
      <c r="T169" s="398" t="s">
        <v>1531</v>
      </c>
      <c r="U169" s="394">
        <v>4.0000000000000002E-4</v>
      </c>
    </row>
    <row r="170" spans="1:21" ht="15">
      <c r="A170" s="427">
        <v>3.0999999999999999E-3</v>
      </c>
      <c r="B170" s="405" t="s">
        <v>521</v>
      </c>
      <c r="C170" s="394">
        <v>8.8999999999999995E-7</v>
      </c>
      <c r="D170" s="405" t="s">
        <v>521</v>
      </c>
      <c r="E170" s="394">
        <v>1.4999999999999999E-2</v>
      </c>
      <c r="F170" s="405" t="s">
        <v>1412</v>
      </c>
      <c r="G170" s="398" t="s">
        <v>1531</v>
      </c>
      <c r="H170" s="404" t="s">
        <v>1413</v>
      </c>
      <c r="I170" s="404" t="s">
        <v>1413</v>
      </c>
      <c r="J170" s="404" t="s">
        <v>1413</v>
      </c>
      <c r="K170" s="405">
        <v>1</v>
      </c>
      <c r="L170" s="405">
        <v>0.1</v>
      </c>
      <c r="M170" s="406" t="s">
        <v>1531</v>
      </c>
      <c r="N170" s="425" t="s">
        <v>1402</v>
      </c>
      <c r="O170" s="391" t="s">
        <v>764</v>
      </c>
      <c r="P170" s="414" t="s">
        <v>1413</v>
      </c>
      <c r="Q170" s="340" t="s">
        <v>2434</v>
      </c>
      <c r="R170" s="338">
        <v>1</v>
      </c>
      <c r="S170" s="404" t="s">
        <v>1413</v>
      </c>
      <c r="T170" s="394">
        <v>8.8999999999999995E-7</v>
      </c>
      <c r="U170" s="398" t="s">
        <v>1531</v>
      </c>
    </row>
    <row r="171" spans="1:21" ht="15.6" thickBot="1">
      <c r="A171" s="407" t="s">
        <v>1531</v>
      </c>
      <c r="B171" s="408" t="s">
        <v>1413</v>
      </c>
      <c r="C171" s="399" t="s">
        <v>1531</v>
      </c>
      <c r="D171" s="408" t="s">
        <v>1413</v>
      </c>
      <c r="E171" s="396">
        <v>0.02</v>
      </c>
      <c r="F171" s="409" t="s">
        <v>1412</v>
      </c>
      <c r="G171" s="399" t="s">
        <v>1531</v>
      </c>
      <c r="H171" s="408" t="s">
        <v>1413</v>
      </c>
      <c r="I171" s="409" t="s">
        <v>969</v>
      </c>
      <c r="J171" s="408" t="s">
        <v>1413</v>
      </c>
      <c r="K171" s="409">
        <v>1</v>
      </c>
      <c r="L171" s="413" t="s">
        <v>1531</v>
      </c>
      <c r="M171" s="397">
        <v>907</v>
      </c>
      <c r="N171" s="426" t="s">
        <v>1048</v>
      </c>
      <c r="O171" s="393" t="s">
        <v>765</v>
      </c>
      <c r="P171" s="416" t="s">
        <v>1413</v>
      </c>
      <c r="Q171" s="340" t="s">
        <v>2433</v>
      </c>
      <c r="R171" s="338">
        <v>1</v>
      </c>
      <c r="S171" s="408" t="s">
        <v>1413</v>
      </c>
      <c r="T171" s="399" t="s">
        <v>1531</v>
      </c>
      <c r="U171" s="399" t="s">
        <v>1531</v>
      </c>
    </row>
    <row r="172" spans="1:21" ht="15">
      <c r="A172" s="403" t="s">
        <v>1531</v>
      </c>
      <c r="B172" s="404" t="s">
        <v>1413</v>
      </c>
      <c r="C172" s="398" t="s">
        <v>1531</v>
      </c>
      <c r="D172" s="404" t="s">
        <v>1413</v>
      </c>
      <c r="E172" s="394">
        <v>0.02</v>
      </c>
      <c r="F172" s="405" t="s">
        <v>961</v>
      </c>
      <c r="G172" s="398" t="s">
        <v>1531</v>
      </c>
      <c r="H172" s="404" t="s">
        <v>1413</v>
      </c>
      <c r="I172" s="405" t="s">
        <v>969</v>
      </c>
      <c r="J172" s="404" t="s">
        <v>1413</v>
      </c>
      <c r="K172" s="405">
        <v>1</v>
      </c>
      <c r="L172" s="411" t="s">
        <v>1531</v>
      </c>
      <c r="M172" s="395">
        <v>253</v>
      </c>
      <c r="N172" s="425" t="s">
        <v>555</v>
      </c>
      <c r="O172" s="391" t="s">
        <v>766</v>
      </c>
      <c r="P172" s="414" t="s">
        <v>1413</v>
      </c>
      <c r="Q172" s="340" t="s">
        <v>2433</v>
      </c>
      <c r="R172" s="338">
        <v>1</v>
      </c>
      <c r="S172" s="404" t="s">
        <v>1413</v>
      </c>
      <c r="T172" s="398" t="s">
        <v>1531</v>
      </c>
      <c r="U172" s="398" t="s">
        <v>1531</v>
      </c>
    </row>
    <row r="173" spans="1:21" ht="15">
      <c r="A173" s="427">
        <v>240</v>
      </c>
      <c r="B173" s="405" t="s">
        <v>521</v>
      </c>
      <c r="C173" s="394">
        <v>6.9000000000000006E-2</v>
      </c>
      <c r="D173" s="405" t="s">
        <v>521</v>
      </c>
      <c r="E173" s="398" t="s">
        <v>1531</v>
      </c>
      <c r="F173" s="404" t="s">
        <v>1413</v>
      </c>
      <c r="G173" s="398" t="s">
        <v>1531</v>
      </c>
      <c r="H173" s="404" t="s">
        <v>1413</v>
      </c>
      <c r="I173" s="404" t="s">
        <v>1413</v>
      </c>
      <c r="J173" s="404" t="s">
        <v>1413</v>
      </c>
      <c r="K173" s="405">
        <v>1</v>
      </c>
      <c r="L173" s="405">
        <v>0.1</v>
      </c>
      <c r="M173" s="406" t="s">
        <v>1531</v>
      </c>
      <c r="N173" s="425" t="s">
        <v>569</v>
      </c>
      <c r="O173" s="391" t="s">
        <v>767</v>
      </c>
      <c r="P173" s="414" t="s">
        <v>1413</v>
      </c>
      <c r="Q173" s="340" t="s">
        <v>2433</v>
      </c>
      <c r="R173" s="338">
        <v>1</v>
      </c>
      <c r="S173" s="404" t="s">
        <v>1413</v>
      </c>
      <c r="T173" s="394">
        <v>6.9000000000000006E-2</v>
      </c>
      <c r="U173" s="398" t="s">
        <v>1531</v>
      </c>
    </row>
    <row r="174" spans="1:21" ht="15.6" thickBot="1">
      <c r="A174" s="407" t="s">
        <v>1531</v>
      </c>
      <c r="B174" s="408" t="s">
        <v>1413</v>
      </c>
      <c r="C174" s="399" t="s">
        <v>1531</v>
      </c>
      <c r="D174" s="408" t="s">
        <v>1413</v>
      </c>
      <c r="E174" s="396">
        <v>0.05</v>
      </c>
      <c r="F174" s="409" t="s">
        <v>1474</v>
      </c>
      <c r="G174" s="399" t="s">
        <v>1531</v>
      </c>
      <c r="H174" s="408" t="s">
        <v>1413</v>
      </c>
      <c r="I174" s="408" t="s">
        <v>1413</v>
      </c>
      <c r="J174" s="408" t="s">
        <v>1413</v>
      </c>
      <c r="K174" s="409">
        <v>1</v>
      </c>
      <c r="L174" s="409">
        <v>0.1</v>
      </c>
      <c r="M174" s="410" t="s">
        <v>1531</v>
      </c>
      <c r="N174" s="426" t="s">
        <v>1049</v>
      </c>
      <c r="O174" s="393" t="s">
        <v>768</v>
      </c>
      <c r="P174" s="416" t="s">
        <v>1413</v>
      </c>
      <c r="Q174" s="340" t="s">
        <v>2433</v>
      </c>
      <c r="R174" s="338">
        <v>1</v>
      </c>
      <c r="S174" s="408" t="s">
        <v>1413</v>
      </c>
      <c r="T174" s="399" t="s">
        <v>1531</v>
      </c>
      <c r="U174" s="399" t="s">
        <v>1531</v>
      </c>
    </row>
    <row r="175" spans="1:21" ht="15">
      <c r="A175" s="403" t="s">
        <v>1531</v>
      </c>
      <c r="B175" s="404" t="s">
        <v>1413</v>
      </c>
      <c r="C175" s="398" t="s">
        <v>1531</v>
      </c>
      <c r="D175" s="404" t="s">
        <v>1413</v>
      </c>
      <c r="E175" s="394">
        <v>1E-3</v>
      </c>
      <c r="F175" s="405" t="s">
        <v>1414</v>
      </c>
      <c r="G175" s="398" t="s">
        <v>1531</v>
      </c>
      <c r="H175" s="404" t="s">
        <v>1413</v>
      </c>
      <c r="I175" s="404" t="s">
        <v>1413</v>
      </c>
      <c r="J175" s="404" t="s">
        <v>1413</v>
      </c>
      <c r="K175" s="405">
        <v>1</v>
      </c>
      <c r="L175" s="405">
        <v>0.1</v>
      </c>
      <c r="M175" s="406" t="s">
        <v>1531</v>
      </c>
      <c r="N175" s="425" t="s">
        <v>1050</v>
      </c>
      <c r="O175" s="391" t="s">
        <v>769</v>
      </c>
      <c r="P175" s="414" t="s">
        <v>1413</v>
      </c>
      <c r="Q175" s="340" t="s">
        <v>2433</v>
      </c>
      <c r="R175" s="338">
        <v>1</v>
      </c>
      <c r="S175" s="404" t="s">
        <v>1413</v>
      </c>
      <c r="T175" s="398" t="s">
        <v>1531</v>
      </c>
      <c r="U175" s="398" t="s">
        <v>1531</v>
      </c>
    </row>
    <row r="176" spans="1:21" ht="15">
      <c r="A176" s="403" t="s">
        <v>1531</v>
      </c>
      <c r="B176" s="404" t="s">
        <v>1413</v>
      </c>
      <c r="C176" s="398" t="s">
        <v>1531</v>
      </c>
      <c r="D176" s="404" t="s">
        <v>1413</v>
      </c>
      <c r="E176" s="394">
        <v>0.01</v>
      </c>
      <c r="F176" s="405" t="s">
        <v>406</v>
      </c>
      <c r="G176" s="398" t="s">
        <v>1531</v>
      </c>
      <c r="H176" s="404" t="s">
        <v>1413</v>
      </c>
      <c r="I176" s="404" t="s">
        <v>1413</v>
      </c>
      <c r="J176" s="404" t="s">
        <v>1413</v>
      </c>
      <c r="K176" s="405">
        <v>1</v>
      </c>
      <c r="L176" s="405">
        <v>0.1</v>
      </c>
      <c r="M176" s="406" t="s">
        <v>1531</v>
      </c>
      <c r="N176" s="425" t="s">
        <v>1051</v>
      </c>
      <c r="O176" s="391" t="s">
        <v>770</v>
      </c>
      <c r="P176" s="414" t="s">
        <v>1413</v>
      </c>
      <c r="Q176" s="340" t="s">
        <v>2433</v>
      </c>
      <c r="R176" s="338">
        <v>1</v>
      </c>
      <c r="S176" s="404" t="s">
        <v>1413</v>
      </c>
      <c r="T176" s="398" t="s">
        <v>1531</v>
      </c>
      <c r="U176" s="398" t="s">
        <v>1531</v>
      </c>
    </row>
    <row r="177" spans="1:21" ht="15.6" thickBot="1">
      <c r="A177" s="407" t="s">
        <v>1531</v>
      </c>
      <c r="B177" s="408" t="s">
        <v>1413</v>
      </c>
      <c r="C177" s="399" t="s">
        <v>1531</v>
      </c>
      <c r="D177" s="408" t="s">
        <v>1413</v>
      </c>
      <c r="E177" s="396">
        <v>0.02</v>
      </c>
      <c r="F177" s="409" t="s">
        <v>1474</v>
      </c>
      <c r="G177" s="399" t="s">
        <v>1531</v>
      </c>
      <c r="H177" s="408" t="s">
        <v>1413</v>
      </c>
      <c r="I177" s="408" t="s">
        <v>1413</v>
      </c>
      <c r="J177" s="408" t="s">
        <v>1413</v>
      </c>
      <c r="K177" s="409">
        <v>1</v>
      </c>
      <c r="L177" s="409">
        <v>0.1</v>
      </c>
      <c r="M177" s="410" t="s">
        <v>1531</v>
      </c>
      <c r="N177" s="426" t="s">
        <v>1052</v>
      </c>
      <c r="O177" s="393" t="s">
        <v>771</v>
      </c>
      <c r="P177" s="416" t="s">
        <v>1413</v>
      </c>
      <c r="Q177" s="340" t="s">
        <v>2433</v>
      </c>
      <c r="R177" s="338">
        <v>1</v>
      </c>
      <c r="S177" s="408" t="s">
        <v>1413</v>
      </c>
      <c r="T177" s="399" t="s">
        <v>1531</v>
      </c>
      <c r="U177" s="399" t="s">
        <v>1531</v>
      </c>
    </row>
    <row r="178" spans="1:21" ht="15">
      <c r="A178" s="403" t="s">
        <v>1531</v>
      </c>
      <c r="B178" s="404" t="s">
        <v>1413</v>
      </c>
      <c r="C178" s="398" t="s">
        <v>1531</v>
      </c>
      <c r="D178" s="404" t="s">
        <v>1413</v>
      </c>
      <c r="E178" s="394">
        <v>0.01</v>
      </c>
      <c r="F178" s="405" t="s">
        <v>1412</v>
      </c>
      <c r="G178" s="398" t="s">
        <v>1531</v>
      </c>
      <c r="H178" s="404" t="s">
        <v>1413</v>
      </c>
      <c r="I178" s="404" t="s">
        <v>1413</v>
      </c>
      <c r="J178" s="404" t="s">
        <v>1413</v>
      </c>
      <c r="K178" s="405">
        <v>1</v>
      </c>
      <c r="L178" s="405">
        <v>0.1</v>
      </c>
      <c r="M178" s="406" t="s">
        <v>1531</v>
      </c>
      <c r="N178" s="425" t="s">
        <v>2303</v>
      </c>
      <c r="O178" s="391" t="s">
        <v>811</v>
      </c>
      <c r="P178" s="414" t="s">
        <v>1413</v>
      </c>
      <c r="Q178" s="340" t="s">
        <v>2434</v>
      </c>
      <c r="R178" s="338">
        <v>1</v>
      </c>
      <c r="S178" s="404" t="s">
        <v>1413</v>
      </c>
      <c r="T178" s="398" t="s">
        <v>1531</v>
      </c>
      <c r="U178" s="398" t="s">
        <v>1531</v>
      </c>
    </row>
    <row r="179" spans="1:21" ht="15">
      <c r="A179" s="403" t="s">
        <v>1531</v>
      </c>
      <c r="B179" s="404" t="s">
        <v>1413</v>
      </c>
      <c r="C179" s="398" t="s">
        <v>1531</v>
      </c>
      <c r="D179" s="404" t="s">
        <v>1413</v>
      </c>
      <c r="E179" s="394">
        <v>8.0000000000000004E-4</v>
      </c>
      <c r="F179" s="405" t="s">
        <v>406</v>
      </c>
      <c r="G179" s="398" t="s">
        <v>1531</v>
      </c>
      <c r="H179" s="404" t="s">
        <v>1413</v>
      </c>
      <c r="I179" s="404" t="s">
        <v>1413</v>
      </c>
      <c r="J179" s="404" t="s">
        <v>1413</v>
      </c>
      <c r="K179" s="405">
        <v>1</v>
      </c>
      <c r="L179" s="405">
        <v>0.1</v>
      </c>
      <c r="M179" s="406" t="s">
        <v>1531</v>
      </c>
      <c r="N179" s="425" t="s">
        <v>1053</v>
      </c>
      <c r="O179" s="391" t="s">
        <v>772</v>
      </c>
      <c r="P179" s="414" t="s">
        <v>1413</v>
      </c>
      <c r="Q179" s="340" t="s">
        <v>2433</v>
      </c>
      <c r="R179" s="338">
        <v>1</v>
      </c>
      <c r="S179" s="404" t="s">
        <v>1413</v>
      </c>
      <c r="T179" s="398" t="s">
        <v>1531</v>
      </c>
      <c r="U179" s="398" t="s">
        <v>1531</v>
      </c>
    </row>
    <row r="180" spans="1:21" ht="15.6" thickBot="1">
      <c r="A180" s="407" t="s">
        <v>1531</v>
      </c>
      <c r="B180" s="408" t="s">
        <v>1413</v>
      </c>
      <c r="C180" s="399" t="s">
        <v>1531</v>
      </c>
      <c r="D180" s="408" t="s">
        <v>1413</v>
      </c>
      <c r="E180" s="396">
        <v>1.5</v>
      </c>
      <c r="F180" s="409" t="s">
        <v>1412</v>
      </c>
      <c r="G180" s="399" t="s">
        <v>1531</v>
      </c>
      <c r="H180" s="408" t="s">
        <v>1413</v>
      </c>
      <c r="I180" s="408" t="s">
        <v>1413</v>
      </c>
      <c r="J180" s="408" t="s">
        <v>1413</v>
      </c>
      <c r="K180" s="409">
        <v>1.2999999999999999E-2</v>
      </c>
      <c r="L180" s="413" t="s">
        <v>1531</v>
      </c>
      <c r="M180" s="410" t="s">
        <v>1531</v>
      </c>
      <c r="N180" s="426" t="s">
        <v>570</v>
      </c>
      <c r="O180" s="393" t="s">
        <v>773</v>
      </c>
      <c r="P180" s="416" t="s">
        <v>1413</v>
      </c>
      <c r="Q180" s="340" t="s">
        <v>2433</v>
      </c>
      <c r="R180" s="338">
        <v>1</v>
      </c>
      <c r="S180" s="408" t="s">
        <v>1413</v>
      </c>
      <c r="T180" s="399" t="s">
        <v>1531</v>
      </c>
      <c r="U180" s="399" t="s">
        <v>1531</v>
      </c>
    </row>
    <row r="181" spans="1:21" ht="15">
      <c r="A181" s="427">
        <v>0.5</v>
      </c>
      <c r="B181" s="405" t="s">
        <v>521</v>
      </c>
      <c r="C181" s="394">
        <v>8.4000000000000005E-2</v>
      </c>
      <c r="D181" s="405" t="s">
        <v>405</v>
      </c>
      <c r="E181" s="394">
        <v>3.0000000000000001E-3</v>
      </c>
      <c r="F181" s="405" t="s">
        <v>1412</v>
      </c>
      <c r="G181" s="394">
        <v>1E-4</v>
      </c>
      <c r="H181" s="405" t="s">
        <v>1412</v>
      </c>
      <c r="I181" s="404" t="s">
        <v>1413</v>
      </c>
      <c r="J181" s="405" t="s">
        <v>522</v>
      </c>
      <c r="K181" s="405">
        <v>2.5000000000000001E-2</v>
      </c>
      <c r="L181" s="411" t="s">
        <v>1531</v>
      </c>
      <c r="M181" s="406" t="s">
        <v>1531</v>
      </c>
      <c r="N181" s="425" t="s">
        <v>571</v>
      </c>
      <c r="O181" s="391" t="s">
        <v>774</v>
      </c>
      <c r="P181" s="414" t="s">
        <v>1413</v>
      </c>
      <c r="Q181" s="340" t="s">
        <v>2434</v>
      </c>
      <c r="R181" s="338">
        <v>1</v>
      </c>
      <c r="S181" s="405" t="s">
        <v>2424</v>
      </c>
      <c r="T181" s="394">
        <v>8.4000000000000005E-2</v>
      </c>
      <c r="U181" s="394">
        <v>1E-4</v>
      </c>
    </row>
    <row r="182" spans="1:21" ht="15">
      <c r="A182" s="403" t="s">
        <v>1531</v>
      </c>
      <c r="B182" s="404" t="s">
        <v>1413</v>
      </c>
      <c r="C182" s="398" t="s">
        <v>1531</v>
      </c>
      <c r="D182" s="404" t="s">
        <v>1413</v>
      </c>
      <c r="E182" s="398" t="s">
        <v>1531</v>
      </c>
      <c r="F182" s="404" t="s">
        <v>1413</v>
      </c>
      <c r="G182" s="398" t="s">
        <v>1531</v>
      </c>
      <c r="H182" s="404" t="s">
        <v>1413</v>
      </c>
      <c r="I182" s="404" t="s">
        <v>1413</v>
      </c>
      <c r="J182" s="404" t="s">
        <v>1413</v>
      </c>
      <c r="K182" s="405">
        <v>1.2999999999999999E-2</v>
      </c>
      <c r="L182" s="411" t="s">
        <v>1531</v>
      </c>
      <c r="M182" s="406" t="s">
        <v>1531</v>
      </c>
      <c r="N182" s="425" t="s">
        <v>572</v>
      </c>
      <c r="O182" s="391" t="s">
        <v>775</v>
      </c>
      <c r="P182" s="429">
        <v>100</v>
      </c>
      <c r="Q182" s="340" t="s">
        <v>2434</v>
      </c>
      <c r="R182" s="338">
        <v>1</v>
      </c>
      <c r="S182" s="404" t="s">
        <v>1413</v>
      </c>
      <c r="T182" s="398" t="s">
        <v>1531</v>
      </c>
      <c r="U182" s="398" t="s">
        <v>1531</v>
      </c>
    </row>
    <row r="183" spans="1:21" ht="15.6" thickBot="1">
      <c r="A183" s="412">
        <v>1E-3</v>
      </c>
      <c r="B183" s="409" t="s">
        <v>360</v>
      </c>
      <c r="C183" s="396">
        <v>5.9999999999999997E-7</v>
      </c>
      <c r="D183" s="409" t="s">
        <v>360</v>
      </c>
      <c r="E183" s="399" t="s">
        <v>1531</v>
      </c>
      <c r="F183" s="408" t="s">
        <v>1413</v>
      </c>
      <c r="G183" s="399" t="s">
        <v>1531</v>
      </c>
      <c r="H183" s="408" t="s">
        <v>1413</v>
      </c>
      <c r="I183" s="408" t="s">
        <v>1413</v>
      </c>
      <c r="J183" s="409" t="s">
        <v>522</v>
      </c>
      <c r="K183" s="409">
        <v>1</v>
      </c>
      <c r="L183" s="409">
        <v>0.13</v>
      </c>
      <c r="M183" s="410" t="s">
        <v>1531</v>
      </c>
      <c r="N183" s="426" t="s">
        <v>2352</v>
      </c>
      <c r="O183" s="393" t="s">
        <v>208</v>
      </c>
      <c r="P183" s="416" t="s">
        <v>1413</v>
      </c>
      <c r="Q183" s="340" t="s">
        <v>2433</v>
      </c>
      <c r="R183" s="338">
        <v>1</v>
      </c>
      <c r="S183" s="409" t="s">
        <v>2424</v>
      </c>
      <c r="T183" s="396">
        <v>5.9999999999999997E-7</v>
      </c>
      <c r="U183" s="399" t="s">
        <v>1531</v>
      </c>
    </row>
    <row r="184" spans="1:21" ht="15">
      <c r="A184" s="403" t="s">
        <v>1531</v>
      </c>
      <c r="B184" s="404" t="s">
        <v>1413</v>
      </c>
      <c r="C184" s="398" t="s">
        <v>1531</v>
      </c>
      <c r="D184" s="404" t="s">
        <v>1413</v>
      </c>
      <c r="E184" s="394">
        <v>1.2999999999999999E-2</v>
      </c>
      <c r="F184" s="405" t="s">
        <v>1412</v>
      </c>
      <c r="G184" s="398" t="s">
        <v>1531</v>
      </c>
      <c r="H184" s="404" t="s">
        <v>1413</v>
      </c>
      <c r="I184" s="404" t="s">
        <v>1413</v>
      </c>
      <c r="J184" s="404" t="s">
        <v>1413</v>
      </c>
      <c r="K184" s="405">
        <v>1</v>
      </c>
      <c r="L184" s="405">
        <v>0.1</v>
      </c>
      <c r="M184" s="406" t="s">
        <v>1531</v>
      </c>
      <c r="N184" s="425" t="s">
        <v>2304</v>
      </c>
      <c r="O184" s="391" t="s">
        <v>668</v>
      </c>
      <c r="P184" s="414" t="s">
        <v>1413</v>
      </c>
      <c r="Q184" s="340" t="s">
        <v>2433</v>
      </c>
      <c r="R184" s="338">
        <v>1</v>
      </c>
      <c r="S184" s="404" t="s">
        <v>1413</v>
      </c>
      <c r="T184" s="398" t="s">
        <v>1531</v>
      </c>
      <c r="U184" s="398" t="s">
        <v>1531</v>
      </c>
    </row>
    <row r="185" spans="1:21" ht="15">
      <c r="A185" s="403" t="s">
        <v>1531</v>
      </c>
      <c r="B185" s="404" t="s">
        <v>1413</v>
      </c>
      <c r="C185" s="394">
        <v>8.9999999999999993E-3</v>
      </c>
      <c r="D185" s="405" t="s">
        <v>520</v>
      </c>
      <c r="E185" s="394">
        <v>2.9999999999999997E-4</v>
      </c>
      <c r="F185" s="405" t="s">
        <v>520</v>
      </c>
      <c r="G185" s="394">
        <v>6.0000000000000002E-6</v>
      </c>
      <c r="H185" s="405" t="s">
        <v>520</v>
      </c>
      <c r="I185" s="404" t="s">
        <v>1413</v>
      </c>
      <c r="J185" s="404" t="s">
        <v>1413</v>
      </c>
      <c r="K185" s="405">
        <v>1</v>
      </c>
      <c r="L185" s="411" t="s">
        <v>1531</v>
      </c>
      <c r="M185" s="406" t="s">
        <v>1531</v>
      </c>
      <c r="N185" s="425" t="s">
        <v>526</v>
      </c>
      <c r="O185" s="391" t="s">
        <v>776</v>
      </c>
      <c r="P185" s="414" t="s">
        <v>1413</v>
      </c>
      <c r="Q185" s="340" t="s">
        <v>2434</v>
      </c>
      <c r="R185" s="338">
        <v>1</v>
      </c>
      <c r="S185" s="404" t="s">
        <v>1413</v>
      </c>
      <c r="T185" s="394">
        <v>8.9999999999999993E-3</v>
      </c>
      <c r="U185" s="394">
        <v>6.0000000000000002E-6</v>
      </c>
    </row>
    <row r="186" spans="1:21" ht="15.6" thickBot="1">
      <c r="A186" s="407" t="s">
        <v>1531</v>
      </c>
      <c r="B186" s="408" t="s">
        <v>1413</v>
      </c>
      <c r="C186" s="396">
        <v>6.2E-4</v>
      </c>
      <c r="D186" s="409" t="s">
        <v>1412</v>
      </c>
      <c r="E186" s="399" t="s">
        <v>1531</v>
      </c>
      <c r="F186" s="408" t="s">
        <v>1413</v>
      </c>
      <c r="G186" s="399" t="s">
        <v>1531</v>
      </c>
      <c r="H186" s="408" t="s">
        <v>1413</v>
      </c>
      <c r="I186" s="409" t="s">
        <v>969</v>
      </c>
      <c r="J186" s="409" t="s">
        <v>522</v>
      </c>
      <c r="K186" s="409">
        <v>1</v>
      </c>
      <c r="L186" s="413" t="s">
        <v>1531</v>
      </c>
      <c r="M186" s="410" t="s">
        <v>1531</v>
      </c>
      <c r="N186" s="426" t="s">
        <v>1054</v>
      </c>
      <c r="O186" s="393" t="s">
        <v>777</v>
      </c>
      <c r="P186" s="416" t="s">
        <v>1413</v>
      </c>
      <c r="Q186" s="340" t="s">
        <v>2434</v>
      </c>
      <c r="R186" s="338">
        <v>1</v>
      </c>
      <c r="S186" s="409" t="s">
        <v>2424</v>
      </c>
      <c r="T186" s="396">
        <v>6.2E-4</v>
      </c>
      <c r="U186" s="399" t="s">
        <v>1531</v>
      </c>
    </row>
    <row r="187" spans="1:21" ht="15">
      <c r="A187" s="403" t="s">
        <v>1531</v>
      </c>
      <c r="B187" s="404" t="s">
        <v>1413</v>
      </c>
      <c r="C187" s="398" t="s">
        <v>1531</v>
      </c>
      <c r="D187" s="404" t="s">
        <v>1413</v>
      </c>
      <c r="E187" s="394">
        <v>0.04</v>
      </c>
      <c r="F187" s="405" t="s">
        <v>406</v>
      </c>
      <c r="G187" s="398" t="s">
        <v>1531</v>
      </c>
      <c r="H187" s="404" t="s">
        <v>1413</v>
      </c>
      <c r="I187" s="404" t="s">
        <v>1413</v>
      </c>
      <c r="J187" s="404" t="s">
        <v>1413</v>
      </c>
      <c r="K187" s="405">
        <v>1</v>
      </c>
      <c r="L187" s="411" t="s">
        <v>1531</v>
      </c>
      <c r="M187" s="406" t="s">
        <v>1531</v>
      </c>
      <c r="N187" s="425" t="s">
        <v>1055</v>
      </c>
      <c r="O187" s="391" t="s">
        <v>778</v>
      </c>
      <c r="P187" s="429">
        <v>1300</v>
      </c>
      <c r="Q187" s="340" t="s">
        <v>2434</v>
      </c>
      <c r="R187" s="338">
        <v>1</v>
      </c>
      <c r="S187" s="404" t="s">
        <v>1413</v>
      </c>
      <c r="T187" s="398" t="s">
        <v>1531</v>
      </c>
      <c r="U187" s="398" t="s">
        <v>1531</v>
      </c>
    </row>
    <row r="188" spans="1:21" ht="15">
      <c r="A188" s="403" t="s">
        <v>1531</v>
      </c>
      <c r="B188" s="404" t="s">
        <v>1413</v>
      </c>
      <c r="C188" s="398" t="s">
        <v>1531</v>
      </c>
      <c r="D188" s="404" t="s">
        <v>1413</v>
      </c>
      <c r="E188" s="394">
        <v>5.0000000000000001E-3</v>
      </c>
      <c r="F188" s="405" t="s">
        <v>1412</v>
      </c>
      <c r="G188" s="398" t="s">
        <v>1531</v>
      </c>
      <c r="H188" s="404" t="s">
        <v>1413</v>
      </c>
      <c r="I188" s="404" t="s">
        <v>1413</v>
      </c>
      <c r="J188" s="404" t="s">
        <v>1413</v>
      </c>
      <c r="K188" s="405">
        <v>1</v>
      </c>
      <c r="L188" s="411" t="s">
        <v>1531</v>
      </c>
      <c r="M188" s="406" t="s">
        <v>1531</v>
      </c>
      <c r="N188" s="425" t="s">
        <v>2364</v>
      </c>
      <c r="O188" s="391" t="s">
        <v>789</v>
      </c>
      <c r="P188" s="414" t="s">
        <v>1413</v>
      </c>
      <c r="Q188" s="340" t="s">
        <v>2433</v>
      </c>
      <c r="R188" s="338">
        <v>1</v>
      </c>
      <c r="S188" s="404" t="s">
        <v>1413</v>
      </c>
      <c r="T188" s="398" t="s">
        <v>1531</v>
      </c>
      <c r="U188" s="398" t="s">
        <v>1531</v>
      </c>
    </row>
    <row r="189" spans="1:21" ht="15.6" thickBot="1">
      <c r="A189" s="407" t="s">
        <v>1531</v>
      </c>
      <c r="B189" s="408" t="s">
        <v>1413</v>
      </c>
      <c r="C189" s="399" t="s">
        <v>1531</v>
      </c>
      <c r="D189" s="408" t="s">
        <v>1413</v>
      </c>
      <c r="E189" s="396">
        <v>0.05</v>
      </c>
      <c r="F189" s="409" t="s">
        <v>1412</v>
      </c>
      <c r="G189" s="396">
        <v>0.6</v>
      </c>
      <c r="H189" s="409" t="s">
        <v>521</v>
      </c>
      <c r="I189" s="408" t="s">
        <v>1413</v>
      </c>
      <c r="J189" s="408" t="s">
        <v>1413</v>
      </c>
      <c r="K189" s="409">
        <v>1</v>
      </c>
      <c r="L189" s="409">
        <v>0.1</v>
      </c>
      <c r="M189" s="410" t="s">
        <v>1531</v>
      </c>
      <c r="N189" s="426" t="s">
        <v>1056</v>
      </c>
      <c r="O189" s="393" t="s">
        <v>779</v>
      </c>
      <c r="P189" s="416" t="s">
        <v>1413</v>
      </c>
      <c r="Q189" s="340" t="s">
        <v>2433</v>
      </c>
      <c r="R189" s="338">
        <v>1</v>
      </c>
      <c r="S189" s="408" t="s">
        <v>1413</v>
      </c>
      <c r="T189" s="399" t="s">
        <v>1531</v>
      </c>
      <c r="U189" s="396">
        <v>0.6</v>
      </c>
    </row>
    <row r="190" spans="1:21" ht="15">
      <c r="A190" s="403" t="s">
        <v>1531</v>
      </c>
      <c r="B190" s="404" t="s">
        <v>1413</v>
      </c>
      <c r="C190" s="398" t="s">
        <v>1531</v>
      </c>
      <c r="D190" s="404" t="s">
        <v>1413</v>
      </c>
      <c r="E190" s="394">
        <v>0.05</v>
      </c>
      <c r="F190" s="405" t="s">
        <v>1412</v>
      </c>
      <c r="G190" s="394">
        <v>0.6</v>
      </c>
      <c r="H190" s="405" t="s">
        <v>521</v>
      </c>
      <c r="I190" s="404" t="s">
        <v>1413</v>
      </c>
      <c r="J190" s="404" t="s">
        <v>1413</v>
      </c>
      <c r="K190" s="405">
        <v>1</v>
      </c>
      <c r="L190" s="405">
        <v>0.1</v>
      </c>
      <c r="M190" s="406" t="s">
        <v>1531</v>
      </c>
      <c r="N190" s="425" t="s">
        <v>1057</v>
      </c>
      <c r="O190" s="391" t="s">
        <v>780</v>
      </c>
      <c r="P190" s="414" t="s">
        <v>1413</v>
      </c>
      <c r="Q190" s="340" t="s">
        <v>2434</v>
      </c>
      <c r="R190" s="338">
        <v>1</v>
      </c>
      <c r="S190" s="404" t="s">
        <v>1413</v>
      </c>
      <c r="T190" s="398" t="s">
        <v>1531</v>
      </c>
      <c r="U190" s="394">
        <v>0.6</v>
      </c>
    </row>
    <row r="191" spans="1:21" ht="15">
      <c r="A191" s="403" t="s">
        <v>1531</v>
      </c>
      <c r="B191" s="404" t="s">
        <v>1413</v>
      </c>
      <c r="C191" s="398" t="s">
        <v>1531</v>
      </c>
      <c r="D191" s="404" t="s">
        <v>1413</v>
      </c>
      <c r="E191" s="394">
        <v>0.1</v>
      </c>
      <c r="F191" s="405" t="s">
        <v>1414</v>
      </c>
      <c r="G191" s="394">
        <v>0.6</v>
      </c>
      <c r="H191" s="405" t="s">
        <v>521</v>
      </c>
      <c r="I191" s="404" t="s">
        <v>1413</v>
      </c>
      <c r="J191" s="404" t="s">
        <v>1413</v>
      </c>
      <c r="K191" s="405">
        <v>1</v>
      </c>
      <c r="L191" s="405">
        <v>0.1</v>
      </c>
      <c r="M191" s="406" t="s">
        <v>1531</v>
      </c>
      <c r="N191" s="425" t="s">
        <v>1058</v>
      </c>
      <c r="O191" s="391" t="s">
        <v>781</v>
      </c>
      <c r="P191" s="414" t="s">
        <v>1413</v>
      </c>
      <c r="Q191" s="340" t="s">
        <v>2433</v>
      </c>
      <c r="R191" s="338">
        <v>1</v>
      </c>
      <c r="S191" s="404" t="s">
        <v>1413</v>
      </c>
      <c r="T191" s="398" t="s">
        <v>1531</v>
      </c>
      <c r="U191" s="394">
        <v>0.6</v>
      </c>
    </row>
    <row r="192" spans="1:21" ht="15.6" thickBot="1">
      <c r="A192" s="407" t="s">
        <v>1531</v>
      </c>
      <c r="B192" s="408" t="s">
        <v>1413</v>
      </c>
      <c r="C192" s="399" t="s">
        <v>1531</v>
      </c>
      <c r="D192" s="408" t="s">
        <v>1413</v>
      </c>
      <c r="E192" s="396">
        <v>0.1</v>
      </c>
      <c r="F192" s="409" t="s">
        <v>1414</v>
      </c>
      <c r="G192" s="399" t="s">
        <v>1531</v>
      </c>
      <c r="H192" s="408" t="s">
        <v>1413</v>
      </c>
      <c r="I192" s="408" t="s">
        <v>1413</v>
      </c>
      <c r="J192" s="408" t="s">
        <v>1413</v>
      </c>
      <c r="K192" s="409">
        <v>1</v>
      </c>
      <c r="L192" s="409">
        <v>0.1</v>
      </c>
      <c r="M192" s="410" t="s">
        <v>1531</v>
      </c>
      <c r="N192" s="426" t="s">
        <v>573</v>
      </c>
      <c r="O192" s="393" t="s">
        <v>782</v>
      </c>
      <c r="P192" s="416" t="s">
        <v>1413</v>
      </c>
      <c r="Q192" s="340" t="s">
        <v>2434</v>
      </c>
      <c r="R192" s="338">
        <v>1</v>
      </c>
      <c r="S192" s="408" t="s">
        <v>1413</v>
      </c>
      <c r="T192" s="399" t="s">
        <v>1531</v>
      </c>
      <c r="U192" s="399" t="s">
        <v>1531</v>
      </c>
    </row>
    <row r="193" spans="1:21" ht="15">
      <c r="A193" s="403" t="s">
        <v>1531</v>
      </c>
      <c r="B193" s="404" t="s">
        <v>1413</v>
      </c>
      <c r="C193" s="398" t="s">
        <v>1531</v>
      </c>
      <c r="D193" s="404" t="s">
        <v>1413</v>
      </c>
      <c r="E193" s="394">
        <v>0.1</v>
      </c>
      <c r="F193" s="405" t="s">
        <v>1414</v>
      </c>
      <c r="G193" s="394">
        <v>0.6</v>
      </c>
      <c r="H193" s="405" t="s">
        <v>521</v>
      </c>
      <c r="I193" s="404" t="s">
        <v>1413</v>
      </c>
      <c r="J193" s="404" t="s">
        <v>1413</v>
      </c>
      <c r="K193" s="405">
        <v>1</v>
      </c>
      <c r="L193" s="405">
        <v>0.1</v>
      </c>
      <c r="M193" s="406" t="s">
        <v>1531</v>
      </c>
      <c r="N193" s="425" t="s">
        <v>574</v>
      </c>
      <c r="O193" s="391" t="s">
        <v>783</v>
      </c>
      <c r="P193" s="414" t="s">
        <v>1413</v>
      </c>
      <c r="Q193" s="340" t="s">
        <v>2434</v>
      </c>
      <c r="R193" s="338">
        <v>1</v>
      </c>
      <c r="S193" s="404" t="s">
        <v>1413</v>
      </c>
      <c r="T193" s="398" t="s">
        <v>1531</v>
      </c>
      <c r="U193" s="394">
        <v>0.6</v>
      </c>
    </row>
    <row r="194" spans="1:21" ht="15">
      <c r="A194" s="427">
        <v>1.9</v>
      </c>
      <c r="B194" s="405" t="s">
        <v>406</v>
      </c>
      <c r="C194" s="398" t="s">
        <v>1531</v>
      </c>
      <c r="D194" s="404" t="s">
        <v>1413</v>
      </c>
      <c r="E194" s="394">
        <v>1E-3</v>
      </c>
      <c r="F194" s="405" t="s">
        <v>520</v>
      </c>
      <c r="G194" s="398" t="s">
        <v>1531</v>
      </c>
      <c r="H194" s="404" t="s">
        <v>1413</v>
      </c>
      <c r="I194" s="405" t="s">
        <v>969</v>
      </c>
      <c r="J194" s="404" t="s">
        <v>1413</v>
      </c>
      <c r="K194" s="405">
        <v>1</v>
      </c>
      <c r="L194" s="411" t="s">
        <v>1531</v>
      </c>
      <c r="M194" s="395">
        <v>16600</v>
      </c>
      <c r="N194" s="425" t="s">
        <v>1059</v>
      </c>
      <c r="O194" s="391" t="s">
        <v>784</v>
      </c>
      <c r="P194" s="414" t="s">
        <v>1413</v>
      </c>
      <c r="Q194" s="340" t="s">
        <v>2433</v>
      </c>
      <c r="R194" s="338">
        <v>1</v>
      </c>
      <c r="S194" s="404" t="s">
        <v>1413</v>
      </c>
      <c r="T194" s="398" t="s">
        <v>1531</v>
      </c>
      <c r="U194" s="398" t="s">
        <v>1531</v>
      </c>
    </row>
    <row r="195" spans="1:21" ht="15.6" thickBot="1">
      <c r="A195" s="407" t="s">
        <v>1531</v>
      </c>
      <c r="B195" s="408" t="s">
        <v>1413</v>
      </c>
      <c r="C195" s="399" t="s">
        <v>1531</v>
      </c>
      <c r="D195" s="408" t="s">
        <v>1413</v>
      </c>
      <c r="E195" s="396">
        <v>0.1</v>
      </c>
      <c r="F195" s="409" t="s">
        <v>1412</v>
      </c>
      <c r="G195" s="396">
        <v>0.4</v>
      </c>
      <c r="H195" s="409" t="s">
        <v>1412</v>
      </c>
      <c r="I195" s="409" t="s">
        <v>969</v>
      </c>
      <c r="J195" s="408" t="s">
        <v>1413</v>
      </c>
      <c r="K195" s="409">
        <v>1</v>
      </c>
      <c r="L195" s="413" t="s">
        <v>1531</v>
      </c>
      <c r="M195" s="397">
        <v>268</v>
      </c>
      <c r="N195" s="426" t="s">
        <v>1437</v>
      </c>
      <c r="O195" s="393" t="s">
        <v>785</v>
      </c>
      <c r="P195" s="416" t="s">
        <v>1413</v>
      </c>
      <c r="Q195" s="340" t="s">
        <v>2433</v>
      </c>
      <c r="R195" s="338">
        <v>1047786</v>
      </c>
      <c r="S195" s="408" t="s">
        <v>1413</v>
      </c>
      <c r="T195" s="399" t="s">
        <v>1531</v>
      </c>
      <c r="U195" s="396">
        <v>0.4</v>
      </c>
    </row>
    <row r="196" spans="1:21" ht="15">
      <c r="A196" s="427">
        <v>0.22</v>
      </c>
      <c r="B196" s="405" t="s">
        <v>521</v>
      </c>
      <c r="C196" s="394">
        <v>6.3E-5</v>
      </c>
      <c r="D196" s="405" t="s">
        <v>521</v>
      </c>
      <c r="E196" s="398" t="s">
        <v>1531</v>
      </c>
      <c r="F196" s="404" t="s">
        <v>1413</v>
      </c>
      <c r="G196" s="398" t="s">
        <v>1531</v>
      </c>
      <c r="H196" s="404" t="s">
        <v>1413</v>
      </c>
      <c r="I196" s="404" t="s">
        <v>1413</v>
      </c>
      <c r="J196" s="404" t="s">
        <v>1413</v>
      </c>
      <c r="K196" s="405">
        <v>1</v>
      </c>
      <c r="L196" s="405">
        <v>0.1</v>
      </c>
      <c r="M196" s="406" t="s">
        <v>1531</v>
      </c>
      <c r="N196" s="425" t="s">
        <v>575</v>
      </c>
      <c r="O196" s="391" t="s">
        <v>786</v>
      </c>
      <c r="P196" s="414" t="s">
        <v>1413</v>
      </c>
      <c r="Q196" s="340" t="s">
        <v>2433</v>
      </c>
      <c r="R196" s="338">
        <v>1</v>
      </c>
      <c r="S196" s="404" t="s">
        <v>1413</v>
      </c>
      <c r="T196" s="394">
        <v>6.3E-5</v>
      </c>
      <c r="U196" s="398" t="s">
        <v>1531</v>
      </c>
    </row>
    <row r="197" spans="1:21" ht="15">
      <c r="A197" s="427">
        <v>0.84</v>
      </c>
      <c r="B197" s="405" t="s">
        <v>406</v>
      </c>
      <c r="C197" s="398" t="s">
        <v>1531</v>
      </c>
      <c r="D197" s="404" t="s">
        <v>1413</v>
      </c>
      <c r="E197" s="394">
        <v>2E-3</v>
      </c>
      <c r="F197" s="405" t="s">
        <v>406</v>
      </c>
      <c r="G197" s="398" t="s">
        <v>1531</v>
      </c>
      <c r="H197" s="404" t="s">
        <v>1413</v>
      </c>
      <c r="I197" s="404" t="s">
        <v>1413</v>
      </c>
      <c r="J197" s="404" t="s">
        <v>1413</v>
      </c>
      <c r="K197" s="405">
        <v>1</v>
      </c>
      <c r="L197" s="405">
        <v>0.1</v>
      </c>
      <c r="M197" s="406" t="s">
        <v>1531</v>
      </c>
      <c r="N197" s="425" t="s">
        <v>1060</v>
      </c>
      <c r="O197" s="391" t="s">
        <v>787</v>
      </c>
      <c r="P197" s="414" t="s">
        <v>1413</v>
      </c>
      <c r="Q197" s="340" t="s">
        <v>2433</v>
      </c>
      <c r="R197" s="338">
        <v>1</v>
      </c>
      <c r="S197" s="404" t="s">
        <v>1413</v>
      </c>
      <c r="T197" s="398" t="s">
        <v>1531</v>
      </c>
      <c r="U197" s="398" t="s">
        <v>1531</v>
      </c>
    </row>
    <row r="198" spans="1:21" ht="15.6" thickBot="1">
      <c r="A198" s="407" t="s">
        <v>1531</v>
      </c>
      <c r="B198" s="408" t="s">
        <v>1413</v>
      </c>
      <c r="C198" s="399" t="s">
        <v>1531</v>
      </c>
      <c r="D198" s="408" t="s">
        <v>1413</v>
      </c>
      <c r="E198" s="396">
        <v>5.9999999999999995E-4</v>
      </c>
      <c r="F198" s="409" t="s">
        <v>1412</v>
      </c>
      <c r="G198" s="396">
        <v>8.0000000000000004E-4</v>
      </c>
      <c r="H198" s="409" t="s">
        <v>405</v>
      </c>
      <c r="I198" s="409" t="s">
        <v>969</v>
      </c>
      <c r="J198" s="408" t="s">
        <v>1413</v>
      </c>
      <c r="K198" s="409">
        <v>1</v>
      </c>
      <c r="L198" s="413" t="s">
        <v>1531</v>
      </c>
      <c r="M198" s="397">
        <v>954000</v>
      </c>
      <c r="N198" s="426" t="s">
        <v>2236</v>
      </c>
      <c r="O198" s="393" t="s">
        <v>790</v>
      </c>
      <c r="P198" s="415">
        <v>200</v>
      </c>
      <c r="Q198" s="340" t="s">
        <v>2433</v>
      </c>
      <c r="R198" s="338">
        <v>1</v>
      </c>
      <c r="S198" s="408" t="s">
        <v>1413</v>
      </c>
      <c r="T198" s="399" t="s">
        <v>1531</v>
      </c>
      <c r="U198" s="396">
        <v>8.0000000000000004E-4</v>
      </c>
    </row>
    <row r="199" spans="1:21" ht="15">
      <c r="A199" s="403" t="s">
        <v>1531</v>
      </c>
      <c r="B199" s="404" t="s">
        <v>1413</v>
      </c>
      <c r="C199" s="398" t="s">
        <v>1531</v>
      </c>
      <c r="D199" s="404" t="s">
        <v>1413</v>
      </c>
      <c r="E199" s="398" t="s">
        <v>1531</v>
      </c>
      <c r="F199" s="404" t="s">
        <v>1413</v>
      </c>
      <c r="G199" s="398" t="s">
        <v>1531</v>
      </c>
      <c r="H199" s="404" t="s">
        <v>1413</v>
      </c>
      <c r="I199" s="404" t="s">
        <v>1413</v>
      </c>
      <c r="J199" s="404" t="s">
        <v>1413</v>
      </c>
      <c r="K199" s="411" t="s">
        <v>1531</v>
      </c>
      <c r="L199" s="411" t="s">
        <v>1531</v>
      </c>
      <c r="M199" s="406" t="s">
        <v>1531</v>
      </c>
      <c r="N199" s="425" t="s">
        <v>1061</v>
      </c>
      <c r="O199" s="391" t="s">
        <v>1413</v>
      </c>
      <c r="P199" s="414" t="s">
        <v>1413</v>
      </c>
      <c r="Q199" s="340" t="s">
        <v>2434</v>
      </c>
      <c r="R199" s="338">
        <v>1</v>
      </c>
      <c r="S199" s="404" t="s">
        <v>1413</v>
      </c>
      <c r="T199" s="398" t="s">
        <v>1531</v>
      </c>
      <c r="U199" s="398" t="s">
        <v>1531</v>
      </c>
    </row>
    <row r="200" spans="1:21" ht="15">
      <c r="A200" s="403" t="s">
        <v>1531</v>
      </c>
      <c r="B200" s="404" t="s">
        <v>1413</v>
      </c>
      <c r="C200" s="398" t="s">
        <v>1531</v>
      </c>
      <c r="D200" s="404" t="s">
        <v>1413</v>
      </c>
      <c r="E200" s="394">
        <v>1E-3</v>
      </c>
      <c r="F200" s="405" t="s">
        <v>1412</v>
      </c>
      <c r="G200" s="398" t="s">
        <v>1531</v>
      </c>
      <c r="H200" s="404" t="s">
        <v>1413</v>
      </c>
      <c r="I200" s="405" t="s">
        <v>969</v>
      </c>
      <c r="J200" s="404" t="s">
        <v>1413</v>
      </c>
      <c r="K200" s="405">
        <v>1</v>
      </c>
      <c r="L200" s="411" t="s">
        <v>1531</v>
      </c>
      <c r="M200" s="406" t="s">
        <v>1531</v>
      </c>
      <c r="N200" s="425" t="s">
        <v>2328</v>
      </c>
      <c r="O200" s="391" t="s">
        <v>791</v>
      </c>
      <c r="P200" s="414" t="s">
        <v>1413</v>
      </c>
      <c r="Q200" s="340" t="s">
        <v>2434</v>
      </c>
      <c r="R200" s="338">
        <v>1</v>
      </c>
      <c r="S200" s="404" t="s">
        <v>1413</v>
      </c>
      <c r="T200" s="398" t="s">
        <v>1531</v>
      </c>
      <c r="U200" s="398" t="s">
        <v>1531</v>
      </c>
    </row>
    <row r="201" spans="1:21" ht="15.6" thickBot="1">
      <c r="A201" s="407" t="s">
        <v>1531</v>
      </c>
      <c r="B201" s="408" t="s">
        <v>1413</v>
      </c>
      <c r="C201" s="399" t="s">
        <v>1531</v>
      </c>
      <c r="D201" s="408" t="s">
        <v>1413</v>
      </c>
      <c r="E201" s="396">
        <v>0.09</v>
      </c>
      <c r="F201" s="409" t="s">
        <v>1412</v>
      </c>
      <c r="G201" s="399" t="s">
        <v>1531</v>
      </c>
      <c r="H201" s="408" t="s">
        <v>1413</v>
      </c>
      <c r="I201" s="409" t="s">
        <v>969</v>
      </c>
      <c r="J201" s="408" t="s">
        <v>1413</v>
      </c>
      <c r="K201" s="409">
        <v>1</v>
      </c>
      <c r="L201" s="413" t="s">
        <v>1531</v>
      </c>
      <c r="M201" s="410" t="s">
        <v>1531</v>
      </c>
      <c r="N201" s="426" t="s">
        <v>2337</v>
      </c>
      <c r="O201" s="393" t="s">
        <v>792</v>
      </c>
      <c r="P201" s="416" t="s">
        <v>1413</v>
      </c>
      <c r="Q201" s="340" t="s">
        <v>2433</v>
      </c>
      <c r="R201" s="338">
        <v>1</v>
      </c>
      <c r="S201" s="408" t="s">
        <v>1413</v>
      </c>
      <c r="T201" s="399" t="s">
        <v>1531</v>
      </c>
      <c r="U201" s="399" t="s">
        <v>1531</v>
      </c>
    </row>
    <row r="202" spans="1:21" ht="15">
      <c r="A202" s="403" t="s">
        <v>1531</v>
      </c>
      <c r="B202" s="404" t="s">
        <v>1413</v>
      </c>
      <c r="C202" s="398" t="s">
        <v>1531</v>
      </c>
      <c r="D202" s="404" t="s">
        <v>1413</v>
      </c>
      <c r="E202" s="394">
        <v>0.05</v>
      </c>
      <c r="F202" s="405" t="s">
        <v>1412</v>
      </c>
      <c r="G202" s="398" t="s">
        <v>1531</v>
      </c>
      <c r="H202" s="404" t="s">
        <v>1413</v>
      </c>
      <c r="I202" s="405" t="s">
        <v>969</v>
      </c>
      <c r="J202" s="404" t="s">
        <v>1413</v>
      </c>
      <c r="K202" s="405">
        <v>1</v>
      </c>
      <c r="L202" s="411" t="s">
        <v>1531</v>
      </c>
      <c r="M202" s="406" t="s">
        <v>1531</v>
      </c>
      <c r="N202" s="425" t="s">
        <v>2329</v>
      </c>
      <c r="O202" s="391" t="s">
        <v>793</v>
      </c>
      <c r="P202" s="414" t="s">
        <v>1413</v>
      </c>
      <c r="Q202" s="340" t="s">
        <v>2433</v>
      </c>
      <c r="R202" s="338">
        <v>1</v>
      </c>
      <c r="S202" s="404" t="s">
        <v>1413</v>
      </c>
      <c r="T202" s="398" t="s">
        <v>1531</v>
      </c>
      <c r="U202" s="398" t="s">
        <v>1531</v>
      </c>
    </row>
    <row r="203" spans="1:21" ht="15">
      <c r="A203" s="403" t="s">
        <v>1531</v>
      </c>
      <c r="B203" s="404" t="s">
        <v>1413</v>
      </c>
      <c r="C203" s="398" t="s">
        <v>1531</v>
      </c>
      <c r="D203" s="404" t="s">
        <v>1413</v>
      </c>
      <c r="E203" s="398" t="s">
        <v>1531</v>
      </c>
      <c r="F203" s="404" t="s">
        <v>1413</v>
      </c>
      <c r="G203" s="394">
        <v>6</v>
      </c>
      <c r="H203" s="405" t="s">
        <v>1412</v>
      </c>
      <c r="I203" s="405" t="s">
        <v>969</v>
      </c>
      <c r="J203" s="404" t="s">
        <v>1413</v>
      </c>
      <c r="K203" s="405">
        <v>1</v>
      </c>
      <c r="L203" s="411" t="s">
        <v>1531</v>
      </c>
      <c r="M203" s="395">
        <v>117</v>
      </c>
      <c r="N203" s="425" t="s">
        <v>1062</v>
      </c>
      <c r="O203" s="391" t="s">
        <v>801</v>
      </c>
      <c r="P203" s="414" t="s">
        <v>1413</v>
      </c>
      <c r="Q203" s="340" t="s">
        <v>2434</v>
      </c>
      <c r="R203" s="338">
        <v>1</v>
      </c>
      <c r="S203" s="404" t="s">
        <v>1413</v>
      </c>
      <c r="T203" s="398" t="s">
        <v>1531</v>
      </c>
      <c r="U203" s="394">
        <v>6</v>
      </c>
    </row>
    <row r="204" spans="1:21" ht="15.6" thickBot="1">
      <c r="A204" s="412">
        <v>0.02</v>
      </c>
      <c r="B204" s="409" t="s">
        <v>961</v>
      </c>
      <c r="C204" s="399" t="s">
        <v>1531</v>
      </c>
      <c r="D204" s="408" t="s">
        <v>1413</v>
      </c>
      <c r="E204" s="396">
        <v>0.02</v>
      </c>
      <c r="F204" s="409" t="s">
        <v>961</v>
      </c>
      <c r="G204" s="399" t="s">
        <v>1531</v>
      </c>
      <c r="H204" s="408" t="s">
        <v>1413</v>
      </c>
      <c r="I204" s="408" t="s">
        <v>1413</v>
      </c>
      <c r="J204" s="408" t="s">
        <v>1413</v>
      </c>
      <c r="K204" s="409">
        <v>1</v>
      </c>
      <c r="L204" s="409">
        <v>0.1</v>
      </c>
      <c r="M204" s="410" t="s">
        <v>1531</v>
      </c>
      <c r="N204" s="426" t="s">
        <v>1063</v>
      </c>
      <c r="O204" s="393" t="s">
        <v>802</v>
      </c>
      <c r="P204" s="416" t="s">
        <v>1413</v>
      </c>
      <c r="Q204" s="340" t="s">
        <v>2433</v>
      </c>
      <c r="R204" s="338">
        <v>1</v>
      </c>
      <c r="S204" s="408" t="s">
        <v>1413</v>
      </c>
      <c r="T204" s="399" t="s">
        <v>1531</v>
      </c>
      <c r="U204" s="399" t="s">
        <v>1531</v>
      </c>
    </row>
    <row r="205" spans="1:21" ht="15">
      <c r="A205" s="403" t="s">
        <v>1531</v>
      </c>
      <c r="B205" s="404" t="s">
        <v>1413</v>
      </c>
      <c r="C205" s="398" t="s">
        <v>1531</v>
      </c>
      <c r="D205" s="404" t="s">
        <v>1413</v>
      </c>
      <c r="E205" s="394">
        <v>5</v>
      </c>
      <c r="F205" s="405" t="s">
        <v>1412</v>
      </c>
      <c r="G205" s="394">
        <v>0.7</v>
      </c>
      <c r="H205" s="405" t="s">
        <v>520</v>
      </c>
      <c r="I205" s="405" t="s">
        <v>969</v>
      </c>
      <c r="J205" s="404" t="s">
        <v>1413</v>
      </c>
      <c r="K205" s="405">
        <v>1</v>
      </c>
      <c r="L205" s="411" t="s">
        <v>1531</v>
      </c>
      <c r="M205" s="395">
        <v>5110</v>
      </c>
      <c r="N205" s="425" t="s">
        <v>1064</v>
      </c>
      <c r="O205" s="391" t="s">
        <v>803</v>
      </c>
      <c r="P205" s="414" t="s">
        <v>1413</v>
      </c>
      <c r="Q205" s="340" t="s">
        <v>2433</v>
      </c>
      <c r="R205" s="338">
        <v>1</v>
      </c>
      <c r="S205" s="404" t="s">
        <v>1413</v>
      </c>
      <c r="T205" s="398" t="s">
        <v>1531</v>
      </c>
      <c r="U205" s="394">
        <v>0.7</v>
      </c>
    </row>
    <row r="206" spans="1:21" ht="15">
      <c r="A206" s="403" t="s">
        <v>1531</v>
      </c>
      <c r="B206" s="404" t="s">
        <v>1413</v>
      </c>
      <c r="C206" s="398" t="s">
        <v>1531</v>
      </c>
      <c r="D206" s="404" t="s">
        <v>1413</v>
      </c>
      <c r="E206" s="394">
        <v>5.0000000000000001E-3</v>
      </c>
      <c r="F206" s="405" t="s">
        <v>520</v>
      </c>
      <c r="G206" s="394">
        <v>1</v>
      </c>
      <c r="H206" s="405" t="s">
        <v>961</v>
      </c>
      <c r="I206" s="405" t="s">
        <v>969</v>
      </c>
      <c r="J206" s="404" t="s">
        <v>1413</v>
      </c>
      <c r="K206" s="405">
        <v>1</v>
      </c>
      <c r="L206" s="411" t="s">
        <v>1531</v>
      </c>
      <c r="M206" s="395">
        <v>283</v>
      </c>
      <c r="N206" s="425" t="s">
        <v>1990</v>
      </c>
      <c r="O206" s="391" t="s">
        <v>1991</v>
      </c>
      <c r="P206" s="414" t="s">
        <v>1413</v>
      </c>
      <c r="Q206" s="340" t="s">
        <v>2433</v>
      </c>
      <c r="R206" s="338">
        <v>1</v>
      </c>
      <c r="S206" s="404" t="s">
        <v>1413</v>
      </c>
      <c r="T206" s="398" t="s">
        <v>1531</v>
      </c>
      <c r="U206" s="394">
        <v>1</v>
      </c>
    </row>
    <row r="207" spans="1:21" ht="15.6" thickBot="1">
      <c r="A207" s="407" t="s">
        <v>1531</v>
      </c>
      <c r="B207" s="408" t="s">
        <v>1413</v>
      </c>
      <c r="C207" s="399" t="s">
        <v>1531</v>
      </c>
      <c r="D207" s="408" t="s">
        <v>1413</v>
      </c>
      <c r="E207" s="396">
        <v>0.2</v>
      </c>
      <c r="F207" s="409" t="s">
        <v>1412</v>
      </c>
      <c r="G207" s="399" t="s">
        <v>1531</v>
      </c>
      <c r="H207" s="408" t="s">
        <v>1413</v>
      </c>
      <c r="I207" s="409" t="s">
        <v>969</v>
      </c>
      <c r="J207" s="408" t="s">
        <v>1413</v>
      </c>
      <c r="K207" s="409">
        <v>1</v>
      </c>
      <c r="L207" s="413" t="s">
        <v>1531</v>
      </c>
      <c r="M207" s="397">
        <v>293000</v>
      </c>
      <c r="N207" s="426" t="s">
        <v>1065</v>
      </c>
      <c r="O207" s="393" t="s">
        <v>804</v>
      </c>
      <c r="P207" s="416" t="s">
        <v>1413</v>
      </c>
      <c r="Q207" s="340" t="s">
        <v>2433</v>
      </c>
      <c r="R207" s="338">
        <v>1</v>
      </c>
      <c r="S207" s="408" t="s">
        <v>1413</v>
      </c>
      <c r="T207" s="399" t="s">
        <v>1531</v>
      </c>
      <c r="U207" s="399" t="s">
        <v>1531</v>
      </c>
    </row>
    <row r="208" spans="1:21" ht="15">
      <c r="A208" s="403" t="s">
        <v>1531</v>
      </c>
      <c r="B208" s="404" t="s">
        <v>1413</v>
      </c>
      <c r="C208" s="398" t="s">
        <v>1531</v>
      </c>
      <c r="D208" s="404" t="s">
        <v>1413</v>
      </c>
      <c r="E208" s="394">
        <v>2.5000000000000001E-2</v>
      </c>
      <c r="F208" s="405" t="s">
        <v>1412</v>
      </c>
      <c r="G208" s="398" t="s">
        <v>1531</v>
      </c>
      <c r="H208" s="404" t="s">
        <v>1413</v>
      </c>
      <c r="I208" s="404" t="s">
        <v>1413</v>
      </c>
      <c r="J208" s="404" t="s">
        <v>1413</v>
      </c>
      <c r="K208" s="405">
        <v>1</v>
      </c>
      <c r="L208" s="405">
        <v>0.1</v>
      </c>
      <c r="M208" s="406" t="s">
        <v>1531</v>
      </c>
      <c r="N208" s="425" t="s">
        <v>2305</v>
      </c>
      <c r="O208" s="391" t="s">
        <v>681</v>
      </c>
      <c r="P208" s="414" t="s">
        <v>1413</v>
      </c>
      <c r="Q208" s="340" t="s">
        <v>2433</v>
      </c>
      <c r="R208" s="338">
        <v>1</v>
      </c>
      <c r="S208" s="404" t="s">
        <v>1413</v>
      </c>
      <c r="T208" s="398" t="s">
        <v>1531</v>
      </c>
      <c r="U208" s="398" t="s">
        <v>1531</v>
      </c>
    </row>
    <row r="209" spans="1:21" ht="15">
      <c r="A209" s="403" t="s">
        <v>1531</v>
      </c>
      <c r="B209" s="404" t="s">
        <v>1413</v>
      </c>
      <c r="C209" s="398" t="s">
        <v>1531</v>
      </c>
      <c r="D209" s="404" t="s">
        <v>1413</v>
      </c>
      <c r="E209" s="394">
        <v>1E-3</v>
      </c>
      <c r="F209" s="405" t="s">
        <v>1474</v>
      </c>
      <c r="G209" s="398" t="s">
        <v>1531</v>
      </c>
      <c r="H209" s="404" t="s">
        <v>1413</v>
      </c>
      <c r="I209" s="404" t="s">
        <v>1413</v>
      </c>
      <c r="J209" s="404" t="s">
        <v>1413</v>
      </c>
      <c r="K209" s="405">
        <v>1</v>
      </c>
      <c r="L209" s="405">
        <v>0.1</v>
      </c>
      <c r="M209" s="406" t="s">
        <v>1531</v>
      </c>
      <c r="N209" s="425" t="s">
        <v>2306</v>
      </c>
      <c r="O209" s="391" t="s">
        <v>805</v>
      </c>
      <c r="P209" s="414" t="s">
        <v>1413</v>
      </c>
      <c r="Q209" s="340" t="s">
        <v>2434</v>
      </c>
      <c r="R209" s="338">
        <v>1</v>
      </c>
      <c r="S209" s="404" t="s">
        <v>1413</v>
      </c>
      <c r="T209" s="398" t="s">
        <v>1531</v>
      </c>
      <c r="U209" s="398" t="s">
        <v>1531</v>
      </c>
    </row>
    <row r="210" spans="1:21" ht="15.6" thickBot="1">
      <c r="A210" s="407" t="s">
        <v>1531</v>
      </c>
      <c r="B210" s="408" t="s">
        <v>1413</v>
      </c>
      <c r="C210" s="399" t="s">
        <v>1531</v>
      </c>
      <c r="D210" s="408" t="s">
        <v>1413</v>
      </c>
      <c r="E210" s="396">
        <v>0.06</v>
      </c>
      <c r="F210" s="409" t="s">
        <v>1474</v>
      </c>
      <c r="G210" s="399" t="s">
        <v>1531</v>
      </c>
      <c r="H210" s="408" t="s">
        <v>1413</v>
      </c>
      <c r="I210" s="408" t="s">
        <v>1413</v>
      </c>
      <c r="J210" s="408" t="s">
        <v>1413</v>
      </c>
      <c r="K210" s="409">
        <v>1</v>
      </c>
      <c r="L210" s="409">
        <v>0.1</v>
      </c>
      <c r="M210" s="410" t="s">
        <v>1531</v>
      </c>
      <c r="N210" s="426" t="s">
        <v>1066</v>
      </c>
      <c r="O210" s="393" t="s">
        <v>806</v>
      </c>
      <c r="P210" s="416" t="s">
        <v>1413</v>
      </c>
      <c r="Q210" s="340" t="s">
        <v>2434</v>
      </c>
      <c r="R210" s="338">
        <v>1</v>
      </c>
      <c r="S210" s="408" t="s">
        <v>1413</v>
      </c>
      <c r="T210" s="399" t="s">
        <v>1531</v>
      </c>
      <c r="U210" s="399" t="s">
        <v>1531</v>
      </c>
    </row>
    <row r="211" spans="1:21" ht="15">
      <c r="A211" s="403" t="s">
        <v>1531</v>
      </c>
      <c r="B211" s="404" t="s">
        <v>1413</v>
      </c>
      <c r="C211" s="398" t="s">
        <v>1531</v>
      </c>
      <c r="D211" s="404" t="s">
        <v>1413</v>
      </c>
      <c r="E211" s="394">
        <v>1.4999999999999999E-2</v>
      </c>
      <c r="F211" s="405" t="s">
        <v>1474</v>
      </c>
      <c r="G211" s="398" t="s">
        <v>1531</v>
      </c>
      <c r="H211" s="404" t="s">
        <v>1413</v>
      </c>
      <c r="I211" s="404" t="s">
        <v>1413</v>
      </c>
      <c r="J211" s="404" t="s">
        <v>1413</v>
      </c>
      <c r="K211" s="405">
        <v>1</v>
      </c>
      <c r="L211" s="405">
        <v>0.1</v>
      </c>
      <c r="M211" s="406" t="s">
        <v>1531</v>
      </c>
      <c r="N211" s="425" t="s">
        <v>1067</v>
      </c>
      <c r="O211" s="391" t="s">
        <v>807</v>
      </c>
      <c r="P211" s="414" t="s">
        <v>1413</v>
      </c>
      <c r="Q211" s="340" t="s">
        <v>2434</v>
      </c>
      <c r="R211" s="338">
        <v>1</v>
      </c>
      <c r="S211" s="404" t="s">
        <v>1413</v>
      </c>
      <c r="T211" s="398" t="s">
        <v>1531</v>
      </c>
      <c r="U211" s="398" t="s">
        <v>1531</v>
      </c>
    </row>
    <row r="212" spans="1:21" ht="15">
      <c r="A212" s="403" t="s">
        <v>1531</v>
      </c>
      <c r="B212" s="404" t="s">
        <v>1413</v>
      </c>
      <c r="C212" s="398" t="s">
        <v>1531</v>
      </c>
      <c r="D212" s="404" t="s">
        <v>1413</v>
      </c>
      <c r="E212" s="394">
        <v>0.03</v>
      </c>
      <c r="F212" s="405" t="s">
        <v>1412</v>
      </c>
      <c r="G212" s="398" t="s">
        <v>1531</v>
      </c>
      <c r="H212" s="404" t="s">
        <v>1413</v>
      </c>
      <c r="I212" s="404" t="s">
        <v>1413</v>
      </c>
      <c r="J212" s="404" t="s">
        <v>1413</v>
      </c>
      <c r="K212" s="405">
        <v>1</v>
      </c>
      <c r="L212" s="405">
        <v>0.1</v>
      </c>
      <c r="M212" s="406" t="s">
        <v>1531</v>
      </c>
      <c r="N212" s="425" t="s">
        <v>1068</v>
      </c>
      <c r="O212" s="391" t="s">
        <v>812</v>
      </c>
      <c r="P212" s="429">
        <v>200</v>
      </c>
      <c r="Q212" s="340" t="s">
        <v>2433</v>
      </c>
      <c r="R212" s="338">
        <v>1</v>
      </c>
      <c r="S212" s="404" t="s">
        <v>1413</v>
      </c>
      <c r="T212" s="398" t="s">
        <v>1531</v>
      </c>
      <c r="U212" s="398" t="s">
        <v>1531</v>
      </c>
    </row>
    <row r="213" spans="1:21" ht="15.6" thickBot="1">
      <c r="A213" s="412">
        <v>1.7999999999999999E-2</v>
      </c>
      <c r="B213" s="409" t="s">
        <v>521</v>
      </c>
      <c r="C213" s="396">
        <v>5.1000000000000003E-6</v>
      </c>
      <c r="D213" s="409" t="s">
        <v>521</v>
      </c>
      <c r="E213" s="396">
        <v>0.15</v>
      </c>
      <c r="F213" s="409" t="s">
        <v>1412</v>
      </c>
      <c r="G213" s="399" t="s">
        <v>1531</v>
      </c>
      <c r="H213" s="408" t="s">
        <v>1413</v>
      </c>
      <c r="I213" s="408" t="s">
        <v>1413</v>
      </c>
      <c r="J213" s="408" t="s">
        <v>1413</v>
      </c>
      <c r="K213" s="409">
        <v>1</v>
      </c>
      <c r="L213" s="409">
        <v>0.1</v>
      </c>
      <c r="M213" s="410" t="s">
        <v>1531</v>
      </c>
      <c r="N213" s="426" t="s">
        <v>2307</v>
      </c>
      <c r="O213" s="393" t="s">
        <v>631</v>
      </c>
      <c r="P213" s="416" t="s">
        <v>1413</v>
      </c>
      <c r="Q213" s="340" t="s">
        <v>2433</v>
      </c>
      <c r="R213" s="338">
        <v>1</v>
      </c>
      <c r="S213" s="408" t="s">
        <v>1413</v>
      </c>
      <c r="T213" s="396">
        <v>5.1000000000000003E-6</v>
      </c>
      <c r="U213" s="399" t="s">
        <v>1531</v>
      </c>
    </row>
    <row r="214" spans="1:21" ht="15">
      <c r="A214" s="427">
        <v>0.24</v>
      </c>
      <c r="B214" s="405" t="s">
        <v>1412</v>
      </c>
      <c r="C214" s="394">
        <v>6.8999999999999997E-5</v>
      </c>
      <c r="D214" s="405" t="s">
        <v>521</v>
      </c>
      <c r="E214" s="394">
        <v>3.0000000000000001E-5</v>
      </c>
      <c r="F214" s="405" t="s">
        <v>961</v>
      </c>
      <c r="G214" s="398" t="s">
        <v>1531</v>
      </c>
      <c r="H214" s="404" t="s">
        <v>1413</v>
      </c>
      <c r="I214" s="404" t="s">
        <v>1413</v>
      </c>
      <c r="J214" s="404" t="s">
        <v>1413</v>
      </c>
      <c r="K214" s="405">
        <v>1</v>
      </c>
      <c r="L214" s="405">
        <v>0.1</v>
      </c>
      <c r="M214" s="406" t="s">
        <v>1531</v>
      </c>
      <c r="N214" s="425" t="s">
        <v>2497</v>
      </c>
      <c r="O214" s="391" t="s">
        <v>808</v>
      </c>
      <c r="P214" s="414" t="s">
        <v>1413</v>
      </c>
      <c r="Q214" s="340" t="s">
        <v>2433</v>
      </c>
      <c r="R214" s="338">
        <v>1</v>
      </c>
      <c r="S214" s="404" t="s">
        <v>1413</v>
      </c>
      <c r="T214" s="394">
        <v>6.8999999999999997E-5</v>
      </c>
      <c r="U214" s="398" t="s">
        <v>1531</v>
      </c>
    </row>
    <row r="215" spans="1:21" ht="15">
      <c r="A215" s="427">
        <v>0.34</v>
      </c>
      <c r="B215" s="405" t="s">
        <v>1412</v>
      </c>
      <c r="C215" s="394">
        <v>9.7E-5</v>
      </c>
      <c r="D215" s="405" t="s">
        <v>521</v>
      </c>
      <c r="E215" s="394">
        <v>2.9999999999999997E-4</v>
      </c>
      <c r="F215" s="405" t="s">
        <v>961</v>
      </c>
      <c r="G215" s="398" t="s">
        <v>1531</v>
      </c>
      <c r="H215" s="404" t="s">
        <v>1413</v>
      </c>
      <c r="I215" s="405" t="s">
        <v>969</v>
      </c>
      <c r="J215" s="404" t="s">
        <v>1413</v>
      </c>
      <c r="K215" s="405">
        <v>1</v>
      </c>
      <c r="L215" s="411" t="s">
        <v>1531</v>
      </c>
      <c r="M215" s="406" t="s">
        <v>1531</v>
      </c>
      <c r="N215" s="425" t="s">
        <v>1069</v>
      </c>
      <c r="O215" s="391" t="s">
        <v>809</v>
      </c>
      <c r="P215" s="414" t="s">
        <v>1413</v>
      </c>
      <c r="Q215" s="340" t="s">
        <v>2434</v>
      </c>
      <c r="R215" s="338">
        <v>1</v>
      </c>
      <c r="S215" s="404" t="s">
        <v>1413</v>
      </c>
      <c r="T215" s="394">
        <v>9.7E-5</v>
      </c>
      <c r="U215" s="398" t="s">
        <v>1531</v>
      </c>
    </row>
    <row r="216" spans="1:21" ht="13.5" customHeight="1" thickBot="1">
      <c r="A216" s="412">
        <v>0.34</v>
      </c>
      <c r="B216" s="409" t="s">
        <v>1412</v>
      </c>
      <c r="C216" s="396">
        <v>9.7E-5</v>
      </c>
      <c r="D216" s="409" t="s">
        <v>1412</v>
      </c>
      <c r="E216" s="396">
        <v>5.0000000000000001E-4</v>
      </c>
      <c r="F216" s="409" t="s">
        <v>1412</v>
      </c>
      <c r="G216" s="399" t="s">
        <v>1531</v>
      </c>
      <c r="H216" s="408" t="s">
        <v>1413</v>
      </c>
      <c r="I216" s="408" t="s">
        <v>1413</v>
      </c>
      <c r="J216" s="408" t="s">
        <v>1413</v>
      </c>
      <c r="K216" s="409">
        <v>1</v>
      </c>
      <c r="L216" s="409">
        <v>0.03</v>
      </c>
      <c r="M216" s="410" t="s">
        <v>1531</v>
      </c>
      <c r="N216" s="426" t="s">
        <v>436</v>
      </c>
      <c r="O216" s="393" t="s">
        <v>810</v>
      </c>
      <c r="P216" s="416" t="s">
        <v>1413</v>
      </c>
      <c r="Q216" s="340" t="s">
        <v>2433</v>
      </c>
      <c r="R216" s="338">
        <v>1</v>
      </c>
      <c r="S216" s="408" t="s">
        <v>1413</v>
      </c>
      <c r="T216" s="396">
        <v>9.7E-5</v>
      </c>
      <c r="U216" s="399" t="s">
        <v>1531</v>
      </c>
    </row>
    <row r="217" spans="1:21" ht="12.75" customHeight="1">
      <c r="A217" s="427">
        <v>6.9999999999999999E-4</v>
      </c>
      <c r="B217" s="405" t="s">
        <v>1412</v>
      </c>
      <c r="C217" s="398" t="s">
        <v>1531</v>
      </c>
      <c r="D217" s="404" t="s">
        <v>1413</v>
      </c>
      <c r="E217" s="394">
        <v>7.0000000000000001E-3</v>
      </c>
      <c r="F217" s="405" t="s">
        <v>1412</v>
      </c>
      <c r="G217" s="398" t="s">
        <v>1531</v>
      </c>
      <c r="H217" s="404" t="s">
        <v>1413</v>
      </c>
      <c r="I217" s="404" t="s">
        <v>1413</v>
      </c>
      <c r="J217" s="404" t="s">
        <v>1413</v>
      </c>
      <c r="K217" s="405">
        <v>1</v>
      </c>
      <c r="L217" s="405">
        <v>0.1</v>
      </c>
      <c r="M217" s="406" t="s">
        <v>1531</v>
      </c>
      <c r="N217" s="425" t="s">
        <v>527</v>
      </c>
      <c r="O217" s="391" t="s">
        <v>813</v>
      </c>
      <c r="P217" s="414" t="s">
        <v>1413</v>
      </c>
      <c r="Q217" s="340" t="s">
        <v>2433</v>
      </c>
      <c r="R217" s="338">
        <v>1</v>
      </c>
      <c r="S217" s="404" t="s">
        <v>1413</v>
      </c>
      <c r="T217" s="398" t="s">
        <v>1531</v>
      </c>
      <c r="U217" s="398" t="s">
        <v>1531</v>
      </c>
    </row>
    <row r="218" spans="1:21" ht="12.75" customHeight="1">
      <c r="A218" s="403" t="s">
        <v>1531</v>
      </c>
      <c r="B218" s="404" t="s">
        <v>1413</v>
      </c>
      <c r="C218" s="398" t="s">
        <v>1531</v>
      </c>
      <c r="D218" s="404" t="s">
        <v>1413</v>
      </c>
      <c r="E218" s="394">
        <v>4.0000000000000003E-5</v>
      </c>
      <c r="F218" s="405" t="s">
        <v>1412</v>
      </c>
      <c r="G218" s="398" t="s">
        <v>1531</v>
      </c>
      <c r="H218" s="404" t="s">
        <v>1413</v>
      </c>
      <c r="I218" s="404" t="s">
        <v>1413</v>
      </c>
      <c r="J218" s="404" t="s">
        <v>1413</v>
      </c>
      <c r="K218" s="405">
        <v>1</v>
      </c>
      <c r="L218" s="405">
        <v>0.1</v>
      </c>
      <c r="M218" s="406" t="s">
        <v>1531</v>
      </c>
      <c r="N218" s="425" t="s">
        <v>1070</v>
      </c>
      <c r="O218" s="391" t="s">
        <v>814</v>
      </c>
      <c r="P218" s="414" t="s">
        <v>1413</v>
      </c>
      <c r="Q218" s="340" t="s">
        <v>2433</v>
      </c>
      <c r="R218" s="338">
        <v>1</v>
      </c>
      <c r="S218" s="404" t="s">
        <v>1413</v>
      </c>
      <c r="T218" s="398" t="s">
        <v>1531</v>
      </c>
      <c r="U218" s="398" t="s">
        <v>1531</v>
      </c>
    </row>
    <row r="219" spans="1:21" ht="13.5" customHeight="1" thickBot="1">
      <c r="A219" s="412">
        <v>1.1999999999999999E-3</v>
      </c>
      <c r="B219" s="409" t="s">
        <v>1412</v>
      </c>
      <c r="C219" s="399" t="s">
        <v>1531</v>
      </c>
      <c r="D219" s="408" t="s">
        <v>1413</v>
      </c>
      <c r="E219" s="396">
        <v>0.6</v>
      </c>
      <c r="F219" s="409" t="s">
        <v>1412</v>
      </c>
      <c r="G219" s="399" t="s">
        <v>1531</v>
      </c>
      <c r="H219" s="408" t="s">
        <v>1413</v>
      </c>
      <c r="I219" s="408" t="s">
        <v>1413</v>
      </c>
      <c r="J219" s="408" t="s">
        <v>1413</v>
      </c>
      <c r="K219" s="409">
        <v>1</v>
      </c>
      <c r="L219" s="409">
        <v>0.1</v>
      </c>
      <c r="M219" s="410" t="s">
        <v>1531</v>
      </c>
      <c r="N219" s="426" t="s">
        <v>1071</v>
      </c>
      <c r="O219" s="393" t="s">
        <v>815</v>
      </c>
      <c r="P219" s="415">
        <v>400</v>
      </c>
      <c r="Q219" s="340" t="s">
        <v>2433</v>
      </c>
      <c r="R219" s="338">
        <v>1</v>
      </c>
      <c r="S219" s="408" t="s">
        <v>1413</v>
      </c>
      <c r="T219" s="399" t="s">
        <v>1531</v>
      </c>
      <c r="U219" s="399" t="s">
        <v>1531</v>
      </c>
    </row>
    <row r="220" spans="1:21" ht="15">
      <c r="A220" s="427">
        <v>6.0999999999999999E-2</v>
      </c>
      <c r="B220" s="405" t="s">
        <v>406</v>
      </c>
      <c r="C220" s="398" t="s">
        <v>1531</v>
      </c>
      <c r="D220" s="404" t="s">
        <v>1413</v>
      </c>
      <c r="E220" s="398" t="s">
        <v>1531</v>
      </c>
      <c r="F220" s="404" t="s">
        <v>1413</v>
      </c>
      <c r="G220" s="398" t="s">
        <v>1531</v>
      </c>
      <c r="H220" s="404" t="s">
        <v>1413</v>
      </c>
      <c r="I220" s="404" t="s">
        <v>1413</v>
      </c>
      <c r="J220" s="404" t="s">
        <v>1413</v>
      </c>
      <c r="K220" s="405">
        <v>1</v>
      </c>
      <c r="L220" s="405">
        <v>0.1</v>
      </c>
      <c r="M220" s="406" t="s">
        <v>1531</v>
      </c>
      <c r="N220" s="425" t="s">
        <v>1072</v>
      </c>
      <c r="O220" s="391" t="s">
        <v>816</v>
      </c>
      <c r="P220" s="414" t="s">
        <v>1413</v>
      </c>
      <c r="Q220" s="340" t="s">
        <v>2434</v>
      </c>
      <c r="R220" s="338">
        <v>1</v>
      </c>
      <c r="S220" s="404" t="s">
        <v>1413</v>
      </c>
      <c r="T220" s="398" t="s">
        <v>1531</v>
      </c>
      <c r="U220" s="398" t="s">
        <v>1531</v>
      </c>
    </row>
    <row r="221" spans="1:21" ht="15">
      <c r="A221" s="403" t="s">
        <v>1531</v>
      </c>
      <c r="B221" s="404" t="s">
        <v>1413</v>
      </c>
      <c r="C221" s="398" t="s">
        <v>1531</v>
      </c>
      <c r="D221" s="404" t="s">
        <v>1413</v>
      </c>
      <c r="E221" s="394">
        <v>49</v>
      </c>
      <c r="F221" s="405" t="s">
        <v>520</v>
      </c>
      <c r="G221" s="398" t="s">
        <v>1531</v>
      </c>
      <c r="H221" s="404" t="s">
        <v>1413</v>
      </c>
      <c r="I221" s="404" t="s">
        <v>1413</v>
      </c>
      <c r="J221" s="404" t="s">
        <v>1413</v>
      </c>
      <c r="K221" s="405">
        <v>1</v>
      </c>
      <c r="L221" s="411" t="s">
        <v>1531</v>
      </c>
      <c r="M221" s="406" t="s">
        <v>1531</v>
      </c>
      <c r="N221" s="425" t="s">
        <v>2384</v>
      </c>
      <c r="O221" s="391" t="s">
        <v>1584</v>
      </c>
      <c r="P221" s="414" t="s">
        <v>1413</v>
      </c>
      <c r="Q221" s="340" t="s">
        <v>2433</v>
      </c>
      <c r="R221" s="338">
        <v>1</v>
      </c>
      <c r="S221" s="404" t="s">
        <v>1413</v>
      </c>
      <c r="T221" s="398" t="s">
        <v>1531</v>
      </c>
      <c r="U221" s="398" t="s">
        <v>1531</v>
      </c>
    </row>
    <row r="222" spans="1:21" ht="15.6" thickBot="1">
      <c r="A222" s="407" t="s">
        <v>1531</v>
      </c>
      <c r="B222" s="408" t="s">
        <v>1413</v>
      </c>
      <c r="C222" s="399" t="s">
        <v>1531</v>
      </c>
      <c r="D222" s="408" t="s">
        <v>1413</v>
      </c>
      <c r="E222" s="396">
        <v>6.9999999999999999E-4</v>
      </c>
      <c r="F222" s="409" t="s">
        <v>1414</v>
      </c>
      <c r="G222" s="399" t="s">
        <v>1531</v>
      </c>
      <c r="H222" s="408" t="s">
        <v>1413</v>
      </c>
      <c r="I222" s="408" t="s">
        <v>1413</v>
      </c>
      <c r="J222" s="408" t="s">
        <v>1413</v>
      </c>
      <c r="K222" s="409">
        <v>1</v>
      </c>
      <c r="L222" s="409">
        <v>0.1</v>
      </c>
      <c r="M222" s="410" t="s">
        <v>1531</v>
      </c>
      <c r="N222" s="426" t="s">
        <v>1073</v>
      </c>
      <c r="O222" s="393" t="s">
        <v>817</v>
      </c>
      <c r="P222" s="416" t="s">
        <v>1413</v>
      </c>
      <c r="Q222" s="340" t="s">
        <v>2433</v>
      </c>
      <c r="R222" s="338">
        <v>1</v>
      </c>
      <c r="S222" s="408" t="s">
        <v>1413</v>
      </c>
      <c r="T222" s="399" t="s">
        <v>1531</v>
      </c>
      <c r="U222" s="399" t="s">
        <v>1531</v>
      </c>
    </row>
    <row r="223" spans="1:21" ht="15">
      <c r="A223" s="427">
        <v>1</v>
      </c>
      <c r="B223" s="405" t="s">
        <v>360</v>
      </c>
      <c r="C223" s="394">
        <v>5.9999999999999995E-4</v>
      </c>
      <c r="D223" s="405" t="s">
        <v>360</v>
      </c>
      <c r="E223" s="398" t="s">
        <v>1531</v>
      </c>
      <c r="F223" s="404" t="s">
        <v>1413</v>
      </c>
      <c r="G223" s="398" t="s">
        <v>1531</v>
      </c>
      <c r="H223" s="404" t="s">
        <v>1413</v>
      </c>
      <c r="I223" s="404" t="s">
        <v>1413</v>
      </c>
      <c r="J223" s="405" t="s">
        <v>522</v>
      </c>
      <c r="K223" s="405">
        <v>1</v>
      </c>
      <c r="L223" s="405">
        <v>0.13</v>
      </c>
      <c r="M223" s="406" t="s">
        <v>1531</v>
      </c>
      <c r="N223" s="425" t="s">
        <v>2353</v>
      </c>
      <c r="O223" s="391" t="s">
        <v>209</v>
      </c>
      <c r="P223" s="414" t="s">
        <v>1413</v>
      </c>
      <c r="Q223" s="340" t="s">
        <v>2433</v>
      </c>
      <c r="R223" s="338">
        <v>1</v>
      </c>
      <c r="S223" s="405" t="s">
        <v>2424</v>
      </c>
      <c r="T223" s="394">
        <v>5.9999999999999995E-4</v>
      </c>
      <c r="U223" s="398" t="s">
        <v>1531</v>
      </c>
    </row>
    <row r="224" spans="1:21" ht="15">
      <c r="A224" s="427">
        <v>12</v>
      </c>
      <c r="B224" s="405" t="s">
        <v>521</v>
      </c>
      <c r="C224" s="394">
        <v>1.1000000000000001E-3</v>
      </c>
      <c r="D224" s="405" t="s">
        <v>521</v>
      </c>
      <c r="E224" s="398" t="s">
        <v>1531</v>
      </c>
      <c r="F224" s="404" t="s">
        <v>1413</v>
      </c>
      <c r="G224" s="398" t="s">
        <v>1531</v>
      </c>
      <c r="H224" s="404" t="s">
        <v>1413</v>
      </c>
      <c r="I224" s="404" t="s">
        <v>1413</v>
      </c>
      <c r="J224" s="404" t="s">
        <v>1413</v>
      </c>
      <c r="K224" s="405">
        <v>1</v>
      </c>
      <c r="L224" s="405">
        <v>0.13</v>
      </c>
      <c r="M224" s="406" t="s">
        <v>1531</v>
      </c>
      <c r="N224" s="425" t="s">
        <v>2354</v>
      </c>
      <c r="O224" s="391" t="s">
        <v>210</v>
      </c>
      <c r="P224" s="414" t="s">
        <v>1413</v>
      </c>
      <c r="Q224" s="340" t="s">
        <v>2433</v>
      </c>
      <c r="R224" s="338">
        <v>1</v>
      </c>
      <c r="S224" s="404" t="s">
        <v>1413</v>
      </c>
      <c r="T224" s="394">
        <v>1.1000000000000001E-3</v>
      </c>
      <c r="U224" s="398" t="s">
        <v>1531</v>
      </c>
    </row>
    <row r="225" spans="1:21" ht="15.6" thickBot="1">
      <c r="A225" s="407" t="s">
        <v>1531</v>
      </c>
      <c r="B225" s="408" t="s">
        <v>1413</v>
      </c>
      <c r="C225" s="399" t="s">
        <v>1531</v>
      </c>
      <c r="D225" s="408" t="s">
        <v>1413</v>
      </c>
      <c r="E225" s="396">
        <v>1E-3</v>
      </c>
      <c r="F225" s="409" t="s">
        <v>961</v>
      </c>
      <c r="G225" s="399" t="s">
        <v>1531</v>
      </c>
      <c r="H225" s="408" t="s">
        <v>1413</v>
      </c>
      <c r="I225" s="409" t="s">
        <v>969</v>
      </c>
      <c r="J225" s="408" t="s">
        <v>1413</v>
      </c>
      <c r="K225" s="409">
        <v>1</v>
      </c>
      <c r="L225" s="409">
        <v>0.03</v>
      </c>
      <c r="M225" s="410" t="s">
        <v>1531</v>
      </c>
      <c r="N225" s="426" t="s">
        <v>2330</v>
      </c>
      <c r="O225" s="393" t="s">
        <v>945</v>
      </c>
      <c r="P225" s="416" t="s">
        <v>1413</v>
      </c>
      <c r="Q225" s="340" t="s">
        <v>2434</v>
      </c>
      <c r="R225" s="338">
        <v>1</v>
      </c>
      <c r="S225" s="408" t="s">
        <v>1413</v>
      </c>
      <c r="T225" s="399" t="s">
        <v>1531</v>
      </c>
      <c r="U225" s="399" t="s">
        <v>1531</v>
      </c>
    </row>
    <row r="226" spans="1:21" ht="15">
      <c r="A226" s="403" t="s">
        <v>1531</v>
      </c>
      <c r="B226" s="404" t="s">
        <v>1413</v>
      </c>
      <c r="C226" s="398" t="s">
        <v>1531</v>
      </c>
      <c r="D226" s="404" t="s">
        <v>1413</v>
      </c>
      <c r="E226" s="394">
        <v>0.01</v>
      </c>
      <c r="F226" s="405" t="s">
        <v>961</v>
      </c>
      <c r="G226" s="398" t="s">
        <v>1531</v>
      </c>
      <c r="H226" s="404" t="s">
        <v>1413</v>
      </c>
      <c r="I226" s="405" t="s">
        <v>969</v>
      </c>
      <c r="J226" s="404" t="s">
        <v>1413</v>
      </c>
      <c r="K226" s="405">
        <v>1</v>
      </c>
      <c r="L226" s="411" t="s">
        <v>1531</v>
      </c>
      <c r="M226" s="406" t="s">
        <v>1531</v>
      </c>
      <c r="N226" s="425" t="s">
        <v>2044</v>
      </c>
      <c r="O226" s="391" t="s">
        <v>2045</v>
      </c>
      <c r="P226" s="414" t="s">
        <v>1413</v>
      </c>
      <c r="Q226" s="340" t="s">
        <v>2433</v>
      </c>
      <c r="R226" s="338">
        <v>1</v>
      </c>
      <c r="S226" s="404" t="s">
        <v>1413</v>
      </c>
      <c r="T226" s="398" t="s">
        <v>1531</v>
      </c>
      <c r="U226" s="398" t="s">
        <v>1531</v>
      </c>
    </row>
    <row r="227" spans="1:21" ht="15">
      <c r="A227" s="427">
        <v>0.8</v>
      </c>
      <c r="B227" s="405" t="s">
        <v>520</v>
      </c>
      <c r="C227" s="394">
        <v>6.0000000000000001E-3</v>
      </c>
      <c r="D227" s="405" t="s">
        <v>520</v>
      </c>
      <c r="E227" s="394">
        <v>2.0000000000000001E-4</v>
      </c>
      <c r="F227" s="405" t="s">
        <v>520</v>
      </c>
      <c r="G227" s="394">
        <v>2.0000000000000001E-4</v>
      </c>
      <c r="H227" s="405" t="s">
        <v>1412</v>
      </c>
      <c r="I227" s="405" t="s">
        <v>969</v>
      </c>
      <c r="J227" s="405" t="s">
        <v>522</v>
      </c>
      <c r="K227" s="405">
        <v>1</v>
      </c>
      <c r="L227" s="411" t="s">
        <v>1531</v>
      </c>
      <c r="M227" s="395">
        <v>979</v>
      </c>
      <c r="N227" s="425" t="s">
        <v>1074</v>
      </c>
      <c r="O227" s="391" t="s">
        <v>818</v>
      </c>
      <c r="P227" s="429">
        <v>0.2</v>
      </c>
      <c r="Q227" s="340" t="s">
        <v>2433</v>
      </c>
      <c r="R227" s="338">
        <v>1</v>
      </c>
      <c r="S227" s="405" t="s">
        <v>2424</v>
      </c>
      <c r="T227" s="394">
        <v>6.0000000000000001E-3</v>
      </c>
      <c r="U227" s="394">
        <v>2.0000000000000001E-4</v>
      </c>
    </row>
    <row r="228" spans="1:21" ht="15.6" thickBot="1">
      <c r="A228" s="407" t="s">
        <v>1531</v>
      </c>
      <c r="B228" s="408" t="s">
        <v>1413</v>
      </c>
      <c r="C228" s="399" t="s">
        <v>1531</v>
      </c>
      <c r="D228" s="408" t="s">
        <v>1413</v>
      </c>
      <c r="E228" s="396">
        <v>4.0000000000000002E-4</v>
      </c>
      <c r="F228" s="409" t="s">
        <v>961</v>
      </c>
      <c r="G228" s="399" t="s">
        <v>1531</v>
      </c>
      <c r="H228" s="408" t="s">
        <v>1413</v>
      </c>
      <c r="I228" s="409" t="s">
        <v>969</v>
      </c>
      <c r="J228" s="408" t="s">
        <v>1413</v>
      </c>
      <c r="K228" s="409">
        <v>1</v>
      </c>
      <c r="L228" s="413" t="s">
        <v>1531</v>
      </c>
      <c r="M228" s="397">
        <v>159</v>
      </c>
      <c r="N228" s="426" t="s">
        <v>2114</v>
      </c>
      <c r="O228" s="393" t="s">
        <v>2115</v>
      </c>
      <c r="P228" s="416" t="s">
        <v>1413</v>
      </c>
      <c r="Q228" s="340" t="s">
        <v>2434</v>
      </c>
      <c r="R228" s="338">
        <v>1</v>
      </c>
      <c r="S228" s="408" t="s">
        <v>1413</v>
      </c>
      <c r="T228" s="399" t="s">
        <v>1531</v>
      </c>
      <c r="U228" s="399" t="s">
        <v>1531</v>
      </c>
    </row>
    <row r="229" spans="1:21" ht="15">
      <c r="A229" s="403" t="s">
        <v>1531</v>
      </c>
      <c r="B229" s="404" t="s">
        <v>1413</v>
      </c>
      <c r="C229" s="398" t="s">
        <v>1531</v>
      </c>
      <c r="D229" s="404" t="s">
        <v>1413</v>
      </c>
      <c r="E229" s="394">
        <v>0.01</v>
      </c>
      <c r="F229" s="405" t="s">
        <v>1412</v>
      </c>
      <c r="G229" s="398" t="s">
        <v>1531</v>
      </c>
      <c r="H229" s="404" t="s">
        <v>1413</v>
      </c>
      <c r="I229" s="405" t="s">
        <v>969</v>
      </c>
      <c r="J229" s="404" t="s">
        <v>1413</v>
      </c>
      <c r="K229" s="405">
        <v>1</v>
      </c>
      <c r="L229" s="411" t="s">
        <v>1531</v>
      </c>
      <c r="M229" s="406" t="s">
        <v>1531</v>
      </c>
      <c r="N229" s="425" t="s">
        <v>1075</v>
      </c>
      <c r="O229" s="391" t="s">
        <v>819</v>
      </c>
      <c r="P229" s="414" t="s">
        <v>1413</v>
      </c>
      <c r="Q229" s="340" t="s">
        <v>2434</v>
      </c>
      <c r="R229" s="338">
        <v>1</v>
      </c>
      <c r="S229" s="404" t="s">
        <v>1413</v>
      </c>
      <c r="T229" s="398" t="s">
        <v>1531</v>
      </c>
      <c r="U229" s="398" t="s">
        <v>1531</v>
      </c>
    </row>
    <row r="230" spans="1:21" ht="15">
      <c r="A230" s="427">
        <v>8.4000000000000005E-2</v>
      </c>
      <c r="B230" s="405" t="s">
        <v>1412</v>
      </c>
      <c r="C230" s="398" t="s">
        <v>1531</v>
      </c>
      <c r="D230" s="404" t="s">
        <v>1413</v>
      </c>
      <c r="E230" s="394">
        <v>0.02</v>
      </c>
      <c r="F230" s="405" t="s">
        <v>1412</v>
      </c>
      <c r="G230" s="398" t="s">
        <v>1531</v>
      </c>
      <c r="H230" s="404" t="s">
        <v>1413</v>
      </c>
      <c r="I230" s="405" t="s">
        <v>969</v>
      </c>
      <c r="J230" s="404" t="s">
        <v>1413</v>
      </c>
      <c r="K230" s="405">
        <v>1</v>
      </c>
      <c r="L230" s="411" t="s">
        <v>1531</v>
      </c>
      <c r="M230" s="395">
        <v>802</v>
      </c>
      <c r="N230" s="425" t="s">
        <v>1076</v>
      </c>
      <c r="O230" s="391" t="s">
        <v>820</v>
      </c>
      <c r="P230" s="429" t="s">
        <v>2079</v>
      </c>
      <c r="Q230" s="340" t="s">
        <v>2433</v>
      </c>
      <c r="R230" s="338">
        <v>1</v>
      </c>
      <c r="S230" s="404" t="s">
        <v>1413</v>
      </c>
      <c r="T230" s="398" t="s">
        <v>1531</v>
      </c>
      <c r="U230" s="398" t="s">
        <v>1531</v>
      </c>
    </row>
    <row r="231" spans="1:21" ht="15.6" thickBot="1">
      <c r="A231" s="412">
        <v>2</v>
      </c>
      <c r="B231" s="409" t="s">
        <v>1412</v>
      </c>
      <c r="C231" s="396">
        <v>5.9999999999999995E-4</v>
      </c>
      <c r="D231" s="409" t="s">
        <v>1412</v>
      </c>
      <c r="E231" s="396">
        <v>8.9999999999999993E-3</v>
      </c>
      <c r="F231" s="409" t="s">
        <v>1412</v>
      </c>
      <c r="G231" s="396">
        <v>8.9999999999999993E-3</v>
      </c>
      <c r="H231" s="409" t="s">
        <v>1412</v>
      </c>
      <c r="I231" s="409" t="s">
        <v>969</v>
      </c>
      <c r="J231" s="408" t="s">
        <v>1413</v>
      </c>
      <c r="K231" s="409">
        <v>1</v>
      </c>
      <c r="L231" s="413" t="s">
        <v>1531</v>
      </c>
      <c r="M231" s="397">
        <v>1340</v>
      </c>
      <c r="N231" s="426" t="s">
        <v>1077</v>
      </c>
      <c r="O231" s="393" t="s">
        <v>821</v>
      </c>
      <c r="P231" s="415">
        <v>0.05</v>
      </c>
      <c r="Q231" s="340" t="s">
        <v>2433</v>
      </c>
      <c r="R231" s="338">
        <v>1</v>
      </c>
      <c r="S231" s="408" t="s">
        <v>1413</v>
      </c>
      <c r="T231" s="396">
        <v>5.9999999999999995E-4</v>
      </c>
      <c r="U231" s="396">
        <v>8.9999999999999993E-3</v>
      </c>
    </row>
    <row r="232" spans="1:21" ht="15">
      <c r="A232" s="403" t="s">
        <v>1531</v>
      </c>
      <c r="B232" s="404" t="s">
        <v>1413</v>
      </c>
      <c r="C232" s="398" t="s">
        <v>1531</v>
      </c>
      <c r="D232" s="404" t="s">
        <v>1413</v>
      </c>
      <c r="E232" s="398" t="s">
        <v>1531</v>
      </c>
      <c r="F232" s="404" t="s">
        <v>1413</v>
      </c>
      <c r="G232" s="394">
        <v>4.0000000000000001E-3</v>
      </c>
      <c r="H232" s="405" t="s">
        <v>961</v>
      </c>
      <c r="I232" s="405" t="s">
        <v>969</v>
      </c>
      <c r="J232" s="404" t="s">
        <v>1413</v>
      </c>
      <c r="K232" s="405">
        <v>1</v>
      </c>
      <c r="L232" s="411" t="s">
        <v>1531</v>
      </c>
      <c r="M232" s="395">
        <v>2820</v>
      </c>
      <c r="N232" s="425" t="s">
        <v>1078</v>
      </c>
      <c r="O232" s="391" t="s">
        <v>822</v>
      </c>
      <c r="P232" s="414" t="s">
        <v>1413</v>
      </c>
      <c r="Q232" s="340" t="s">
        <v>2434</v>
      </c>
      <c r="R232" s="338">
        <v>1</v>
      </c>
      <c r="S232" s="404" t="s">
        <v>1413</v>
      </c>
      <c r="T232" s="398" t="s">
        <v>1531</v>
      </c>
      <c r="U232" s="394">
        <v>4.0000000000000001E-3</v>
      </c>
    </row>
    <row r="233" spans="1:21" ht="15">
      <c r="A233" s="403" t="s">
        <v>1531</v>
      </c>
      <c r="B233" s="404" t="s">
        <v>1413</v>
      </c>
      <c r="C233" s="398" t="s">
        <v>1531</v>
      </c>
      <c r="D233" s="404" t="s">
        <v>1413</v>
      </c>
      <c r="E233" s="394">
        <v>0.1</v>
      </c>
      <c r="F233" s="405" t="s">
        <v>1412</v>
      </c>
      <c r="G233" s="398" t="s">
        <v>1531</v>
      </c>
      <c r="H233" s="404" t="s">
        <v>1413</v>
      </c>
      <c r="I233" s="404" t="s">
        <v>1413</v>
      </c>
      <c r="J233" s="404" t="s">
        <v>1413</v>
      </c>
      <c r="K233" s="405">
        <v>1</v>
      </c>
      <c r="L233" s="405">
        <v>0.1</v>
      </c>
      <c r="M233" s="406" t="s">
        <v>1531</v>
      </c>
      <c r="N233" s="425" t="s">
        <v>2342</v>
      </c>
      <c r="O233" s="391" t="s">
        <v>823</v>
      </c>
      <c r="P233" s="414" t="s">
        <v>1413</v>
      </c>
      <c r="Q233" s="340" t="s">
        <v>2434</v>
      </c>
      <c r="R233" s="338">
        <v>1</v>
      </c>
      <c r="S233" s="404" t="s">
        <v>1413</v>
      </c>
      <c r="T233" s="398" t="s">
        <v>1531</v>
      </c>
      <c r="U233" s="398" t="s">
        <v>1531</v>
      </c>
    </row>
    <row r="234" spans="1:21" ht="15.6" thickBot="1">
      <c r="A234" s="407" t="s">
        <v>1531</v>
      </c>
      <c r="B234" s="408" t="s">
        <v>1413</v>
      </c>
      <c r="C234" s="399" t="s">
        <v>1531</v>
      </c>
      <c r="D234" s="408" t="s">
        <v>1413</v>
      </c>
      <c r="E234" s="396">
        <v>2.9999999999999997E-4</v>
      </c>
      <c r="F234" s="409" t="s">
        <v>520</v>
      </c>
      <c r="G234" s="399" t="s">
        <v>1531</v>
      </c>
      <c r="H234" s="408" t="s">
        <v>1413</v>
      </c>
      <c r="I234" s="408" t="s">
        <v>1413</v>
      </c>
      <c r="J234" s="408" t="s">
        <v>1413</v>
      </c>
      <c r="K234" s="409">
        <v>1</v>
      </c>
      <c r="L234" s="409">
        <v>0.1</v>
      </c>
      <c r="M234" s="410" t="s">
        <v>1531</v>
      </c>
      <c r="N234" s="426" t="s">
        <v>1079</v>
      </c>
      <c r="O234" s="508" t="s">
        <v>2168</v>
      </c>
      <c r="P234" s="416" t="s">
        <v>1413</v>
      </c>
      <c r="Q234" s="340" t="s">
        <v>2434</v>
      </c>
      <c r="R234" s="338">
        <v>1</v>
      </c>
      <c r="S234" s="408" t="s">
        <v>1413</v>
      </c>
      <c r="T234" s="399" t="s">
        <v>1531</v>
      </c>
      <c r="U234" s="399" t="s">
        <v>1531</v>
      </c>
    </row>
    <row r="235" spans="1:21" ht="15">
      <c r="A235" s="403" t="s">
        <v>1531</v>
      </c>
      <c r="B235" s="404" t="s">
        <v>1413</v>
      </c>
      <c r="C235" s="398" t="s">
        <v>1531</v>
      </c>
      <c r="D235" s="404" t="s">
        <v>1413</v>
      </c>
      <c r="E235" s="394">
        <v>49</v>
      </c>
      <c r="F235" s="405" t="s">
        <v>520</v>
      </c>
      <c r="G235" s="398" t="s">
        <v>1531</v>
      </c>
      <c r="H235" s="404" t="s">
        <v>1413</v>
      </c>
      <c r="I235" s="404" t="s">
        <v>1413</v>
      </c>
      <c r="J235" s="404" t="s">
        <v>1413</v>
      </c>
      <c r="K235" s="405">
        <v>1</v>
      </c>
      <c r="L235" s="411" t="s">
        <v>1531</v>
      </c>
      <c r="M235" s="406" t="s">
        <v>1531</v>
      </c>
      <c r="N235" s="425" t="s">
        <v>2385</v>
      </c>
      <c r="O235" s="391" t="s">
        <v>1585</v>
      </c>
      <c r="P235" s="414" t="s">
        <v>1413</v>
      </c>
      <c r="Q235" s="340" t="s">
        <v>2433</v>
      </c>
      <c r="R235" s="338">
        <v>1</v>
      </c>
      <c r="S235" s="404" t="s">
        <v>1413</v>
      </c>
      <c r="T235" s="398" t="s">
        <v>1531</v>
      </c>
      <c r="U235" s="398" t="s">
        <v>1531</v>
      </c>
    </row>
    <row r="236" spans="1:21" ht="15">
      <c r="A236" s="403" t="s">
        <v>1531</v>
      </c>
      <c r="B236" s="404" t="s">
        <v>1413</v>
      </c>
      <c r="C236" s="398" t="s">
        <v>1531</v>
      </c>
      <c r="D236" s="404" t="s">
        <v>1413</v>
      </c>
      <c r="E236" s="394">
        <v>0.03</v>
      </c>
      <c r="F236" s="405" t="s">
        <v>1412</v>
      </c>
      <c r="G236" s="398" t="s">
        <v>1531</v>
      </c>
      <c r="H236" s="404" t="s">
        <v>1413</v>
      </c>
      <c r="I236" s="404" t="s">
        <v>1413</v>
      </c>
      <c r="J236" s="404" t="s">
        <v>1413</v>
      </c>
      <c r="K236" s="405">
        <v>1</v>
      </c>
      <c r="L236" s="405">
        <v>0.1</v>
      </c>
      <c r="M236" s="406" t="s">
        <v>1531</v>
      </c>
      <c r="N236" s="425" t="s">
        <v>1080</v>
      </c>
      <c r="O236" s="391" t="s">
        <v>824</v>
      </c>
      <c r="P236" s="414" t="s">
        <v>1413</v>
      </c>
      <c r="Q236" s="340" t="s">
        <v>2434</v>
      </c>
      <c r="R236" s="338">
        <v>1</v>
      </c>
      <c r="S236" s="404" t="s">
        <v>1413</v>
      </c>
      <c r="T236" s="398" t="s">
        <v>1531</v>
      </c>
      <c r="U236" s="398" t="s">
        <v>1531</v>
      </c>
    </row>
    <row r="237" spans="1:21" ht="15.6" thickBot="1">
      <c r="A237" s="407" t="s">
        <v>1531</v>
      </c>
      <c r="B237" s="408" t="s">
        <v>1413</v>
      </c>
      <c r="C237" s="396">
        <v>4.1999999999999997E-3</v>
      </c>
      <c r="D237" s="409" t="s">
        <v>520</v>
      </c>
      <c r="E237" s="399" t="s">
        <v>1531</v>
      </c>
      <c r="F237" s="408" t="s">
        <v>1413</v>
      </c>
      <c r="G237" s="399" t="s">
        <v>1531</v>
      </c>
      <c r="H237" s="408" t="s">
        <v>1413</v>
      </c>
      <c r="I237" s="409" t="s">
        <v>969</v>
      </c>
      <c r="J237" s="408" t="s">
        <v>1413</v>
      </c>
      <c r="K237" s="409">
        <v>1</v>
      </c>
      <c r="L237" s="413" t="s">
        <v>1531</v>
      </c>
      <c r="M237" s="397">
        <v>554</v>
      </c>
      <c r="N237" s="426" t="s">
        <v>1081</v>
      </c>
      <c r="O237" s="393" t="s">
        <v>825</v>
      </c>
      <c r="P237" s="416" t="s">
        <v>1413</v>
      </c>
      <c r="Q237" s="340" t="s">
        <v>2433</v>
      </c>
      <c r="R237" s="338">
        <v>1</v>
      </c>
      <c r="S237" s="408" t="s">
        <v>1413</v>
      </c>
      <c r="T237" s="396">
        <v>4.1999999999999997E-3</v>
      </c>
      <c r="U237" s="399" t="s">
        <v>1531</v>
      </c>
    </row>
    <row r="238" spans="1:21" ht="15">
      <c r="A238" s="403" t="s">
        <v>1531</v>
      </c>
      <c r="B238" s="404" t="s">
        <v>1413</v>
      </c>
      <c r="C238" s="394">
        <v>4.1999999999999997E-3</v>
      </c>
      <c r="D238" s="405" t="s">
        <v>520</v>
      </c>
      <c r="E238" s="398" t="s">
        <v>1531</v>
      </c>
      <c r="F238" s="404" t="s">
        <v>1413</v>
      </c>
      <c r="G238" s="398" t="s">
        <v>1531</v>
      </c>
      <c r="H238" s="404" t="s">
        <v>1413</v>
      </c>
      <c r="I238" s="405" t="s">
        <v>969</v>
      </c>
      <c r="J238" s="404" t="s">
        <v>1413</v>
      </c>
      <c r="K238" s="405">
        <v>1</v>
      </c>
      <c r="L238" s="411" t="s">
        <v>1531</v>
      </c>
      <c r="M238" s="395">
        <v>519</v>
      </c>
      <c r="N238" s="425" t="s">
        <v>576</v>
      </c>
      <c r="O238" s="391" t="s">
        <v>826</v>
      </c>
      <c r="P238" s="414" t="s">
        <v>1413</v>
      </c>
      <c r="Q238" s="340" t="s">
        <v>2434</v>
      </c>
      <c r="R238" s="338">
        <v>1</v>
      </c>
      <c r="S238" s="404" t="s">
        <v>1413</v>
      </c>
      <c r="T238" s="394">
        <v>4.1999999999999997E-3</v>
      </c>
      <c r="U238" s="398" t="s">
        <v>1531</v>
      </c>
    </row>
    <row r="239" spans="1:21" ht="15">
      <c r="A239" s="403" t="s">
        <v>1531</v>
      </c>
      <c r="B239" s="404" t="s">
        <v>1413</v>
      </c>
      <c r="C239" s="394">
        <v>4.1999999999999997E-3</v>
      </c>
      <c r="D239" s="405" t="s">
        <v>520</v>
      </c>
      <c r="E239" s="398" t="s">
        <v>1531</v>
      </c>
      <c r="F239" s="404" t="s">
        <v>1413</v>
      </c>
      <c r="G239" s="398" t="s">
        <v>1531</v>
      </c>
      <c r="H239" s="404" t="s">
        <v>1413</v>
      </c>
      <c r="I239" s="405" t="s">
        <v>969</v>
      </c>
      <c r="J239" s="404" t="s">
        <v>1413</v>
      </c>
      <c r="K239" s="405">
        <v>1</v>
      </c>
      <c r="L239" s="411" t="s">
        <v>1531</v>
      </c>
      <c r="M239" s="395">
        <v>760</v>
      </c>
      <c r="N239" s="425" t="s">
        <v>577</v>
      </c>
      <c r="O239" s="391" t="s">
        <v>827</v>
      </c>
      <c r="P239" s="414" t="s">
        <v>1413</v>
      </c>
      <c r="Q239" s="340" t="s">
        <v>2434</v>
      </c>
      <c r="R239" s="338">
        <v>1</v>
      </c>
      <c r="S239" s="404" t="s">
        <v>1413</v>
      </c>
      <c r="T239" s="394">
        <v>4.1999999999999997E-3</v>
      </c>
      <c r="U239" s="398" t="s">
        <v>1531</v>
      </c>
    </row>
    <row r="240" spans="1:21" ht="15.6" thickBot="1">
      <c r="A240" s="412">
        <v>0.05</v>
      </c>
      <c r="B240" s="409" t="s">
        <v>1412</v>
      </c>
      <c r="C240" s="399" t="s">
        <v>1531</v>
      </c>
      <c r="D240" s="408" t="s">
        <v>1413</v>
      </c>
      <c r="E240" s="396">
        <v>4.0000000000000001E-3</v>
      </c>
      <c r="F240" s="409" t="s">
        <v>1412</v>
      </c>
      <c r="G240" s="399" t="s">
        <v>1531</v>
      </c>
      <c r="H240" s="408" t="s">
        <v>1413</v>
      </c>
      <c r="I240" s="408" t="s">
        <v>1413</v>
      </c>
      <c r="J240" s="408" t="s">
        <v>1413</v>
      </c>
      <c r="K240" s="409">
        <v>1</v>
      </c>
      <c r="L240" s="409">
        <v>0.1</v>
      </c>
      <c r="M240" s="410" t="s">
        <v>1531</v>
      </c>
      <c r="N240" s="426" t="s">
        <v>1082</v>
      </c>
      <c r="O240" s="393" t="s">
        <v>828</v>
      </c>
      <c r="P240" s="415">
        <v>60</v>
      </c>
      <c r="Q240" s="340" t="s">
        <v>2434</v>
      </c>
      <c r="R240" s="338">
        <v>1</v>
      </c>
      <c r="S240" s="408" t="s">
        <v>1413</v>
      </c>
      <c r="T240" s="399" t="s">
        <v>1531</v>
      </c>
      <c r="U240" s="399" t="s">
        <v>1531</v>
      </c>
    </row>
    <row r="241" spans="1:21" ht="15">
      <c r="A241" s="403" t="s">
        <v>1531</v>
      </c>
      <c r="B241" s="404" t="s">
        <v>1413</v>
      </c>
      <c r="C241" s="398" t="s">
        <v>1531</v>
      </c>
      <c r="D241" s="404" t="s">
        <v>1413</v>
      </c>
      <c r="E241" s="394">
        <v>0.09</v>
      </c>
      <c r="F241" s="405" t="s">
        <v>1412</v>
      </c>
      <c r="G241" s="394">
        <v>0.2</v>
      </c>
      <c r="H241" s="405" t="s">
        <v>406</v>
      </c>
      <c r="I241" s="405" t="s">
        <v>969</v>
      </c>
      <c r="J241" s="404" t="s">
        <v>1413</v>
      </c>
      <c r="K241" s="405">
        <v>1</v>
      </c>
      <c r="L241" s="411" t="s">
        <v>1531</v>
      </c>
      <c r="M241" s="395">
        <v>376</v>
      </c>
      <c r="N241" s="425" t="s">
        <v>1083</v>
      </c>
      <c r="O241" s="391" t="s">
        <v>829</v>
      </c>
      <c r="P241" s="429">
        <v>600</v>
      </c>
      <c r="Q241" s="340" t="s">
        <v>2433</v>
      </c>
      <c r="R241" s="338">
        <v>1</v>
      </c>
      <c r="S241" s="404" t="s">
        <v>1413</v>
      </c>
      <c r="T241" s="398" t="s">
        <v>1531</v>
      </c>
      <c r="U241" s="394">
        <v>0.2</v>
      </c>
    </row>
    <row r="242" spans="1:21" ht="15">
      <c r="A242" s="427">
        <v>5.4000000000000003E-3</v>
      </c>
      <c r="B242" s="405" t="s">
        <v>521</v>
      </c>
      <c r="C242" s="394">
        <v>1.1E-5</v>
      </c>
      <c r="D242" s="405" t="s">
        <v>521</v>
      </c>
      <c r="E242" s="394">
        <v>7.0000000000000007E-2</v>
      </c>
      <c r="F242" s="405" t="s">
        <v>1414</v>
      </c>
      <c r="G242" s="394">
        <v>0.8</v>
      </c>
      <c r="H242" s="405" t="s">
        <v>1412</v>
      </c>
      <c r="I242" s="405" t="s">
        <v>969</v>
      </c>
      <c r="J242" s="404" t="s">
        <v>1413</v>
      </c>
      <c r="K242" s="405">
        <v>1</v>
      </c>
      <c r="L242" s="411" t="s">
        <v>1531</v>
      </c>
      <c r="M242" s="406" t="s">
        <v>1531</v>
      </c>
      <c r="N242" s="425" t="s">
        <v>1084</v>
      </c>
      <c r="O242" s="391" t="s">
        <v>830</v>
      </c>
      <c r="P242" s="429">
        <v>75</v>
      </c>
      <c r="Q242" s="340" t="s">
        <v>2434</v>
      </c>
      <c r="R242" s="338">
        <v>1</v>
      </c>
      <c r="S242" s="404" t="s">
        <v>1413</v>
      </c>
      <c r="T242" s="394">
        <v>1.1E-5</v>
      </c>
      <c r="U242" s="394">
        <v>0.8</v>
      </c>
    </row>
    <row r="243" spans="1:21" ht="15.6" thickBot="1">
      <c r="A243" s="412">
        <v>0.45</v>
      </c>
      <c r="B243" s="409" t="s">
        <v>1412</v>
      </c>
      <c r="C243" s="396">
        <v>3.4000000000000002E-4</v>
      </c>
      <c r="D243" s="409" t="s">
        <v>521</v>
      </c>
      <c r="E243" s="399" t="s">
        <v>1531</v>
      </c>
      <c r="F243" s="408" t="s">
        <v>1413</v>
      </c>
      <c r="G243" s="399" t="s">
        <v>1531</v>
      </c>
      <c r="H243" s="408" t="s">
        <v>1413</v>
      </c>
      <c r="I243" s="408" t="s">
        <v>1413</v>
      </c>
      <c r="J243" s="408" t="s">
        <v>1413</v>
      </c>
      <c r="K243" s="409">
        <v>1</v>
      </c>
      <c r="L243" s="409">
        <v>0.1</v>
      </c>
      <c r="M243" s="410" t="s">
        <v>1531</v>
      </c>
      <c r="N243" s="426" t="s">
        <v>1085</v>
      </c>
      <c r="O243" s="393" t="s">
        <v>831</v>
      </c>
      <c r="P243" s="416" t="s">
        <v>1413</v>
      </c>
      <c r="Q243" s="340" t="s">
        <v>2434</v>
      </c>
      <c r="R243" s="338">
        <v>1</v>
      </c>
      <c r="S243" s="408" t="s">
        <v>1413</v>
      </c>
      <c r="T243" s="396">
        <v>3.4000000000000002E-4</v>
      </c>
      <c r="U243" s="399" t="s">
        <v>1531</v>
      </c>
    </row>
    <row r="244" spans="1:21" ht="15">
      <c r="A244" s="403" t="s">
        <v>1531</v>
      </c>
      <c r="B244" s="404" t="s">
        <v>1413</v>
      </c>
      <c r="C244" s="398" t="s">
        <v>1531</v>
      </c>
      <c r="D244" s="404" t="s">
        <v>1413</v>
      </c>
      <c r="E244" s="394">
        <v>8.9999999999999993E-3</v>
      </c>
      <c r="F244" s="405" t="s">
        <v>961</v>
      </c>
      <c r="G244" s="398" t="s">
        <v>1531</v>
      </c>
      <c r="H244" s="404" t="s">
        <v>1413</v>
      </c>
      <c r="I244" s="404" t="s">
        <v>1413</v>
      </c>
      <c r="J244" s="404" t="s">
        <v>1413</v>
      </c>
      <c r="K244" s="405">
        <v>1</v>
      </c>
      <c r="L244" s="405">
        <v>0.1</v>
      </c>
      <c r="M244" s="406" t="s">
        <v>1531</v>
      </c>
      <c r="N244" s="425" t="s">
        <v>578</v>
      </c>
      <c r="O244" s="391" t="s">
        <v>832</v>
      </c>
      <c r="P244" s="414" t="s">
        <v>1413</v>
      </c>
      <c r="Q244" s="340" t="s">
        <v>2434</v>
      </c>
      <c r="R244" s="338">
        <v>1</v>
      </c>
      <c r="S244" s="404" t="s">
        <v>1413</v>
      </c>
      <c r="T244" s="398" t="s">
        <v>1531</v>
      </c>
      <c r="U244" s="398" t="s">
        <v>1531</v>
      </c>
    </row>
    <row r="245" spans="1:21" ht="15">
      <c r="A245" s="403" t="s">
        <v>1531</v>
      </c>
      <c r="B245" s="404" t="s">
        <v>1413</v>
      </c>
      <c r="C245" s="398" t="s">
        <v>1531</v>
      </c>
      <c r="D245" s="404" t="s">
        <v>1413</v>
      </c>
      <c r="E245" s="394">
        <v>0.2</v>
      </c>
      <c r="F245" s="405" t="s">
        <v>1412</v>
      </c>
      <c r="G245" s="394">
        <v>0.1</v>
      </c>
      <c r="H245" s="405" t="s">
        <v>961</v>
      </c>
      <c r="I245" s="405" t="s">
        <v>969</v>
      </c>
      <c r="J245" s="404" t="s">
        <v>1413</v>
      </c>
      <c r="K245" s="405">
        <v>1</v>
      </c>
      <c r="L245" s="411" t="s">
        <v>1531</v>
      </c>
      <c r="M245" s="395">
        <v>845</v>
      </c>
      <c r="N245" s="425" t="s">
        <v>1438</v>
      </c>
      <c r="O245" s="391" t="s">
        <v>833</v>
      </c>
      <c r="P245" s="414" t="s">
        <v>1413</v>
      </c>
      <c r="Q245" s="340" t="s">
        <v>2434</v>
      </c>
      <c r="R245" s="338">
        <v>1</v>
      </c>
      <c r="S245" s="404" t="s">
        <v>1413</v>
      </c>
      <c r="T245" s="398" t="s">
        <v>1531</v>
      </c>
      <c r="U245" s="394">
        <v>0.1</v>
      </c>
    </row>
    <row r="246" spans="1:21" ht="15.6" thickBot="1">
      <c r="A246" s="412">
        <v>5.7000000000000002E-3</v>
      </c>
      <c r="B246" s="409" t="s">
        <v>521</v>
      </c>
      <c r="C246" s="396">
        <v>1.5999999999999999E-6</v>
      </c>
      <c r="D246" s="409" t="s">
        <v>521</v>
      </c>
      <c r="E246" s="396">
        <v>0.2</v>
      </c>
      <c r="F246" s="409" t="s">
        <v>520</v>
      </c>
      <c r="G246" s="399" t="s">
        <v>1531</v>
      </c>
      <c r="H246" s="408" t="s">
        <v>1413</v>
      </c>
      <c r="I246" s="409" t="s">
        <v>969</v>
      </c>
      <c r="J246" s="408" t="s">
        <v>1413</v>
      </c>
      <c r="K246" s="409">
        <v>1</v>
      </c>
      <c r="L246" s="413" t="s">
        <v>1531</v>
      </c>
      <c r="M246" s="397">
        <v>1690</v>
      </c>
      <c r="N246" s="426" t="s">
        <v>1086</v>
      </c>
      <c r="O246" s="393" t="s">
        <v>834</v>
      </c>
      <c r="P246" s="416" t="s">
        <v>1413</v>
      </c>
      <c r="Q246" s="340" t="s">
        <v>2433</v>
      </c>
      <c r="R246" s="338">
        <v>1</v>
      </c>
      <c r="S246" s="408" t="s">
        <v>1413</v>
      </c>
      <c r="T246" s="396">
        <v>1.5999999999999999E-6</v>
      </c>
      <c r="U246" s="399" t="s">
        <v>1531</v>
      </c>
    </row>
    <row r="247" spans="1:21" ht="15">
      <c r="A247" s="427">
        <v>9.0999999999999998E-2</v>
      </c>
      <c r="B247" s="405" t="s">
        <v>1412</v>
      </c>
      <c r="C247" s="394">
        <v>2.5999999999999998E-5</v>
      </c>
      <c r="D247" s="405" t="s">
        <v>1412</v>
      </c>
      <c r="E247" s="394">
        <v>6.0000000000000001E-3</v>
      </c>
      <c r="F247" s="405" t="s">
        <v>961</v>
      </c>
      <c r="G247" s="394">
        <v>7.0000000000000001E-3</v>
      </c>
      <c r="H247" s="405" t="s">
        <v>520</v>
      </c>
      <c r="I247" s="405" t="s">
        <v>969</v>
      </c>
      <c r="J247" s="404" t="s">
        <v>1413</v>
      </c>
      <c r="K247" s="405">
        <v>1</v>
      </c>
      <c r="L247" s="411" t="s">
        <v>1531</v>
      </c>
      <c r="M247" s="395">
        <v>2980</v>
      </c>
      <c r="N247" s="425" t="s">
        <v>1087</v>
      </c>
      <c r="O247" s="391" t="s">
        <v>835</v>
      </c>
      <c r="P247" s="429">
        <v>5</v>
      </c>
      <c r="Q247" s="340" t="s">
        <v>2433</v>
      </c>
      <c r="R247" s="338">
        <v>1</v>
      </c>
      <c r="S247" s="404" t="s">
        <v>1413</v>
      </c>
      <c r="T247" s="394">
        <v>2.5999999999999998E-5</v>
      </c>
      <c r="U247" s="394">
        <v>7.0000000000000001E-3</v>
      </c>
    </row>
    <row r="248" spans="1:21" ht="15">
      <c r="A248" s="403" t="s">
        <v>1531</v>
      </c>
      <c r="B248" s="404" t="s">
        <v>1413</v>
      </c>
      <c r="C248" s="398" t="s">
        <v>1531</v>
      </c>
      <c r="D248" s="404" t="s">
        <v>1413</v>
      </c>
      <c r="E248" s="394">
        <v>0.05</v>
      </c>
      <c r="F248" s="405" t="s">
        <v>1412</v>
      </c>
      <c r="G248" s="394">
        <v>0.2</v>
      </c>
      <c r="H248" s="405" t="s">
        <v>1412</v>
      </c>
      <c r="I248" s="405" t="s">
        <v>969</v>
      </c>
      <c r="J248" s="404" t="s">
        <v>1413</v>
      </c>
      <c r="K248" s="405">
        <v>1</v>
      </c>
      <c r="L248" s="411" t="s">
        <v>1531</v>
      </c>
      <c r="M248" s="395">
        <v>1190</v>
      </c>
      <c r="N248" s="425" t="s">
        <v>444</v>
      </c>
      <c r="O248" s="391" t="s">
        <v>836</v>
      </c>
      <c r="P248" s="429">
        <v>7</v>
      </c>
      <c r="Q248" s="340" t="s">
        <v>2433</v>
      </c>
      <c r="R248" s="338">
        <v>1</v>
      </c>
      <c r="S248" s="404" t="s">
        <v>1413</v>
      </c>
      <c r="T248" s="398" t="s">
        <v>1531</v>
      </c>
      <c r="U248" s="394">
        <v>0.2</v>
      </c>
    </row>
    <row r="249" spans="1:21" ht="15.6" thickBot="1">
      <c r="A249" s="407" t="s">
        <v>1531</v>
      </c>
      <c r="B249" s="408" t="s">
        <v>1413</v>
      </c>
      <c r="C249" s="399" t="s">
        <v>1531</v>
      </c>
      <c r="D249" s="408" t="s">
        <v>1413</v>
      </c>
      <c r="E249" s="396">
        <v>2E-3</v>
      </c>
      <c r="F249" s="409" t="s">
        <v>1412</v>
      </c>
      <c r="G249" s="399" t="s">
        <v>1531</v>
      </c>
      <c r="H249" s="408" t="s">
        <v>1413</v>
      </c>
      <c r="I249" s="409" t="s">
        <v>969</v>
      </c>
      <c r="J249" s="408" t="s">
        <v>1413</v>
      </c>
      <c r="K249" s="409">
        <v>1</v>
      </c>
      <c r="L249" s="413" t="s">
        <v>1531</v>
      </c>
      <c r="M249" s="397">
        <v>2370</v>
      </c>
      <c r="N249" s="426" t="s">
        <v>1088</v>
      </c>
      <c r="O249" s="393" t="s">
        <v>837</v>
      </c>
      <c r="P249" s="415">
        <v>70</v>
      </c>
      <c r="Q249" s="340" t="s">
        <v>2433</v>
      </c>
      <c r="R249" s="338">
        <v>1</v>
      </c>
      <c r="S249" s="408" t="s">
        <v>1413</v>
      </c>
      <c r="T249" s="399" t="s">
        <v>1531</v>
      </c>
      <c r="U249" s="399" t="s">
        <v>1531</v>
      </c>
    </row>
    <row r="250" spans="1:21" ht="15">
      <c r="A250" s="403" t="s">
        <v>1531</v>
      </c>
      <c r="B250" s="404" t="s">
        <v>1413</v>
      </c>
      <c r="C250" s="398" t="s">
        <v>1531</v>
      </c>
      <c r="D250" s="404" t="s">
        <v>1413</v>
      </c>
      <c r="E250" s="394">
        <v>0.02</v>
      </c>
      <c r="F250" s="405" t="s">
        <v>1412</v>
      </c>
      <c r="G250" s="398" t="s">
        <v>1531</v>
      </c>
      <c r="H250" s="404" t="s">
        <v>1413</v>
      </c>
      <c r="I250" s="405" t="s">
        <v>969</v>
      </c>
      <c r="J250" s="404" t="s">
        <v>1413</v>
      </c>
      <c r="K250" s="405">
        <v>1</v>
      </c>
      <c r="L250" s="411" t="s">
        <v>1531</v>
      </c>
      <c r="M250" s="395">
        <v>1850</v>
      </c>
      <c r="N250" s="425" t="s">
        <v>1089</v>
      </c>
      <c r="O250" s="391" t="s">
        <v>838</v>
      </c>
      <c r="P250" s="429">
        <v>100</v>
      </c>
      <c r="Q250" s="340" t="s">
        <v>2433</v>
      </c>
      <c r="R250" s="338">
        <v>1</v>
      </c>
      <c r="S250" s="404" t="s">
        <v>1413</v>
      </c>
      <c r="T250" s="398" t="s">
        <v>1531</v>
      </c>
      <c r="U250" s="398" t="s">
        <v>1531</v>
      </c>
    </row>
    <row r="251" spans="1:21" ht="15">
      <c r="A251" s="403" t="s">
        <v>1531</v>
      </c>
      <c r="B251" s="404" t="s">
        <v>1413</v>
      </c>
      <c r="C251" s="398" t="s">
        <v>1531</v>
      </c>
      <c r="D251" s="404" t="s">
        <v>1413</v>
      </c>
      <c r="E251" s="394">
        <v>3.0000000000000001E-3</v>
      </c>
      <c r="F251" s="405" t="s">
        <v>1412</v>
      </c>
      <c r="G251" s="398" t="s">
        <v>1531</v>
      </c>
      <c r="H251" s="404" t="s">
        <v>1413</v>
      </c>
      <c r="I251" s="404" t="s">
        <v>1413</v>
      </c>
      <c r="J251" s="404" t="s">
        <v>1413</v>
      </c>
      <c r="K251" s="405">
        <v>1</v>
      </c>
      <c r="L251" s="405">
        <v>0.1</v>
      </c>
      <c r="M251" s="406" t="s">
        <v>1531</v>
      </c>
      <c r="N251" s="425" t="s">
        <v>1090</v>
      </c>
      <c r="O251" s="391" t="s">
        <v>839</v>
      </c>
      <c r="P251" s="414" t="s">
        <v>1413</v>
      </c>
      <c r="Q251" s="340" t="s">
        <v>2434</v>
      </c>
      <c r="R251" s="338">
        <v>1</v>
      </c>
      <c r="S251" s="404" t="s">
        <v>1413</v>
      </c>
      <c r="T251" s="398" t="s">
        <v>1531</v>
      </c>
      <c r="U251" s="398" t="s">
        <v>1531</v>
      </c>
    </row>
    <row r="252" spans="1:21" ht="15.6" thickBot="1">
      <c r="A252" s="407" t="s">
        <v>1531</v>
      </c>
      <c r="B252" s="408" t="s">
        <v>1413</v>
      </c>
      <c r="C252" s="399" t="s">
        <v>1531</v>
      </c>
      <c r="D252" s="408" t="s">
        <v>1413</v>
      </c>
      <c r="E252" s="396">
        <v>0.01</v>
      </c>
      <c r="F252" s="409" t="s">
        <v>1412</v>
      </c>
      <c r="G252" s="399" t="s">
        <v>1531</v>
      </c>
      <c r="H252" s="408" t="s">
        <v>1413</v>
      </c>
      <c r="I252" s="408" t="s">
        <v>1413</v>
      </c>
      <c r="J252" s="408" t="s">
        <v>1413</v>
      </c>
      <c r="K252" s="409">
        <v>1</v>
      </c>
      <c r="L252" s="409">
        <v>0.05</v>
      </c>
      <c r="M252" s="410" t="s">
        <v>1531</v>
      </c>
      <c r="N252" s="426" t="s">
        <v>1091</v>
      </c>
      <c r="O252" s="393" t="s">
        <v>840</v>
      </c>
      <c r="P252" s="415">
        <v>70</v>
      </c>
      <c r="Q252" s="340" t="s">
        <v>2433</v>
      </c>
      <c r="R252" s="338">
        <v>1</v>
      </c>
      <c r="S252" s="408" t="s">
        <v>1413</v>
      </c>
      <c r="T252" s="399" t="s">
        <v>1531</v>
      </c>
      <c r="U252" s="399" t="s">
        <v>1531</v>
      </c>
    </row>
    <row r="253" spans="1:21" ht="15">
      <c r="A253" s="427">
        <v>3.6999999999999998E-2</v>
      </c>
      <c r="B253" s="405" t="s">
        <v>520</v>
      </c>
      <c r="C253" s="394">
        <v>3.7000000000000002E-6</v>
      </c>
      <c r="D253" s="405" t="s">
        <v>520</v>
      </c>
      <c r="E253" s="394">
        <v>0.04</v>
      </c>
      <c r="F253" s="405" t="s">
        <v>520</v>
      </c>
      <c r="G253" s="394">
        <v>4.0000000000000001E-3</v>
      </c>
      <c r="H253" s="405" t="s">
        <v>1412</v>
      </c>
      <c r="I253" s="405" t="s">
        <v>969</v>
      </c>
      <c r="J253" s="404" t="s">
        <v>1413</v>
      </c>
      <c r="K253" s="405">
        <v>1</v>
      </c>
      <c r="L253" s="411" t="s">
        <v>1531</v>
      </c>
      <c r="M253" s="395">
        <v>1360</v>
      </c>
      <c r="N253" s="425" t="s">
        <v>445</v>
      </c>
      <c r="O253" s="391" t="s">
        <v>842</v>
      </c>
      <c r="P253" s="429">
        <v>5</v>
      </c>
      <c r="Q253" s="340" t="s">
        <v>2433</v>
      </c>
      <c r="R253" s="338">
        <v>1</v>
      </c>
      <c r="S253" s="404" t="s">
        <v>1413</v>
      </c>
      <c r="T253" s="394">
        <v>3.7000000000000002E-6</v>
      </c>
      <c r="U253" s="394">
        <v>4.0000000000000001E-3</v>
      </c>
    </row>
    <row r="254" spans="1:21" ht="15">
      <c r="A254" s="403" t="s">
        <v>1531</v>
      </c>
      <c r="B254" s="404" t="s">
        <v>1413</v>
      </c>
      <c r="C254" s="398" t="s">
        <v>1531</v>
      </c>
      <c r="D254" s="404" t="s">
        <v>1413</v>
      </c>
      <c r="E254" s="394">
        <v>0.02</v>
      </c>
      <c r="F254" s="405" t="s">
        <v>520</v>
      </c>
      <c r="G254" s="398" t="s">
        <v>1531</v>
      </c>
      <c r="H254" s="404" t="s">
        <v>1413</v>
      </c>
      <c r="I254" s="405" t="s">
        <v>969</v>
      </c>
      <c r="J254" s="404" t="s">
        <v>1413</v>
      </c>
      <c r="K254" s="405">
        <v>1</v>
      </c>
      <c r="L254" s="411" t="s">
        <v>1531</v>
      </c>
      <c r="M254" s="395">
        <v>1490</v>
      </c>
      <c r="N254" s="425" t="s">
        <v>1092</v>
      </c>
      <c r="O254" s="391" t="s">
        <v>843</v>
      </c>
      <c r="P254" s="414" t="s">
        <v>1413</v>
      </c>
      <c r="Q254" s="340" t="s">
        <v>2434</v>
      </c>
      <c r="R254" s="338">
        <v>1</v>
      </c>
      <c r="S254" s="404" t="s">
        <v>1413</v>
      </c>
      <c r="T254" s="398" t="s">
        <v>1531</v>
      </c>
      <c r="U254" s="398" t="s">
        <v>1531</v>
      </c>
    </row>
    <row r="255" spans="1:21" ht="15.6" thickBot="1">
      <c r="A255" s="407" t="s">
        <v>1531</v>
      </c>
      <c r="B255" s="408" t="s">
        <v>1413</v>
      </c>
      <c r="C255" s="399" t="s">
        <v>1531</v>
      </c>
      <c r="D255" s="408" t="s">
        <v>1413</v>
      </c>
      <c r="E255" s="396">
        <v>3.0000000000000001E-3</v>
      </c>
      <c r="F255" s="409" t="s">
        <v>1412</v>
      </c>
      <c r="G255" s="399" t="s">
        <v>1531</v>
      </c>
      <c r="H255" s="408" t="s">
        <v>1413</v>
      </c>
      <c r="I255" s="408" t="s">
        <v>1413</v>
      </c>
      <c r="J255" s="408" t="s">
        <v>1413</v>
      </c>
      <c r="K255" s="409">
        <v>1</v>
      </c>
      <c r="L255" s="409">
        <v>0.1</v>
      </c>
      <c r="M255" s="410" t="s">
        <v>1531</v>
      </c>
      <c r="N255" s="426" t="s">
        <v>1093</v>
      </c>
      <c r="O255" s="393" t="s">
        <v>844</v>
      </c>
      <c r="P255" s="416" t="s">
        <v>1413</v>
      </c>
      <c r="Q255" s="340" t="s">
        <v>2434</v>
      </c>
      <c r="R255" s="338">
        <v>1</v>
      </c>
      <c r="S255" s="408" t="s">
        <v>1413</v>
      </c>
      <c r="T255" s="399" t="s">
        <v>1531</v>
      </c>
      <c r="U255" s="399" t="s">
        <v>1531</v>
      </c>
    </row>
    <row r="256" spans="1:21" ht="15">
      <c r="A256" s="427">
        <v>0.1</v>
      </c>
      <c r="B256" s="405" t="s">
        <v>1412</v>
      </c>
      <c r="C256" s="394">
        <v>3.9999999999999998E-6</v>
      </c>
      <c r="D256" s="405" t="s">
        <v>1412</v>
      </c>
      <c r="E256" s="394">
        <v>0.03</v>
      </c>
      <c r="F256" s="405" t="s">
        <v>1412</v>
      </c>
      <c r="G256" s="394">
        <v>0.02</v>
      </c>
      <c r="H256" s="405" t="s">
        <v>1412</v>
      </c>
      <c r="I256" s="405" t="s">
        <v>969</v>
      </c>
      <c r="J256" s="404" t="s">
        <v>1413</v>
      </c>
      <c r="K256" s="405">
        <v>1</v>
      </c>
      <c r="L256" s="411" t="s">
        <v>1531</v>
      </c>
      <c r="M256" s="395">
        <v>1570</v>
      </c>
      <c r="N256" s="425" t="s">
        <v>1094</v>
      </c>
      <c r="O256" s="391" t="s">
        <v>845</v>
      </c>
      <c r="P256" s="414" t="s">
        <v>1413</v>
      </c>
      <c r="Q256" s="340" t="s">
        <v>2433</v>
      </c>
      <c r="R256" s="338">
        <v>1</v>
      </c>
      <c r="S256" s="404" t="s">
        <v>1413</v>
      </c>
      <c r="T256" s="394">
        <v>3.9999999999999998E-6</v>
      </c>
      <c r="U256" s="394">
        <v>0.02</v>
      </c>
    </row>
    <row r="257" spans="1:21" ht="15">
      <c r="A257" s="427">
        <v>0.28999999999999998</v>
      </c>
      <c r="B257" s="405" t="s">
        <v>1412</v>
      </c>
      <c r="C257" s="394">
        <v>8.2999999999999998E-5</v>
      </c>
      <c r="D257" s="405" t="s">
        <v>521</v>
      </c>
      <c r="E257" s="394">
        <v>5.0000000000000001E-4</v>
      </c>
      <c r="F257" s="405" t="s">
        <v>1412</v>
      </c>
      <c r="G257" s="394">
        <v>5.0000000000000001E-4</v>
      </c>
      <c r="H257" s="405" t="s">
        <v>1412</v>
      </c>
      <c r="I257" s="404" t="s">
        <v>1413</v>
      </c>
      <c r="J257" s="404" t="s">
        <v>1413</v>
      </c>
      <c r="K257" s="405">
        <v>1</v>
      </c>
      <c r="L257" s="405">
        <v>0.1</v>
      </c>
      <c r="M257" s="406" t="s">
        <v>1531</v>
      </c>
      <c r="N257" s="425" t="s">
        <v>1403</v>
      </c>
      <c r="O257" s="391" t="s">
        <v>846</v>
      </c>
      <c r="P257" s="414" t="s">
        <v>1413</v>
      </c>
      <c r="Q257" s="340" t="s">
        <v>2434</v>
      </c>
      <c r="R257" s="338">
        <v>1</v>
      </c>
      <c r="S257" s="404" t="s">
        <v>1413</v>
      </c>
      <c r="T257" s="394">
        <v>8.2999999999999998E-5</v>
      </c>
      <c r="U257" s="394">
        <v>5.0000000000000001E-4</v>
      </c>
    </row>
    <row r="258" spans="1:21" ht="15.6" thickBot="1">
      <c r="A258" s="407" t="s">
        <v>1531</v>
      </c>
      <c r="B258" s="408" t="s">
        <v>1413</v>
      </c>
      <c r="C258" s="399" t="s">
        <v>1531</v>
      </c>
      <c r="D258" s="408" t="s">
        <v>1413</v>
      </c>
      <c r="E258" s="396">
        <v>6.9999999999999994E-5</v>
      </c>
      <c r="F258" s="409" t="s">
        <v>1474</v>
      </c>
      <c r="G258" s="399" t="s">
        <v>1531</v>
      </c>
      <c r="H258" s="408" t="s">
        <v>1413</v>
      </c>
      <c r="I258" s="408" t="s">
        <v>1413</v>
      </c>
      <c r="J258" s="408" t="s">
        <v>1413</v>
      </c>
      <c r="K258" s="409">
        <v>1</v>
      </c>
      <c r="L258" s="409">
        <v>0.1</v>
      </c>
      <c r="M258" s="410" t="s">
        <v>1531</v>
      </c>
      <c r="N258" s="426" t="s">
        <v>2308</v>
      </c>
      <c r="O258" s="393" t="s">
        <v>694</v>
      </c>
      <c r="P258" s="416" t="s">
        <v>1413</v>
      </c>
      <c r="Q258" s="340" t="s">
        <v>2434</v>
      </c>
      <c r="R258" s="338">
        <v>1</v>
      </c>
      <c r="S258" s="408" t="s">
        <v>1413</v>
      </c>
      <c r="T258" s="399" t="s">
        <v>1531</v>
      </c>
      <c r="U258" s="399" t="s">
        <v>1531</v>
      </c>
    </row>
    <row r="259" spans="1:21" ht="15">
      <c r="A259" s="403" t="s">
        <v>1531</v>
      </c>
      <c r="B259" s="404" t="s">
        <v>1413</v>
      </c>
      <c r="C259" s="398" t="s">
        <v>1531</v>
      </c>
      <c r="D259" s="404" t="s">
        <v>1413</v>
      </c>
      <c r="E259" s="394">
        <v>0.08</v>
      </c>
      <c r="F259" s="405" t="s">
        <v>520</v>
      </c>
      <c r="G259" s="394">
        <v>2.9999999999999997E-4</v>
      </c>
      <c r="H259" s="405" t="s">
        <v>961</v>
      </c>
      <c r="I259" s="405" t="s">
        <v>969</v>
      </c>
      <c r="J259" s="404" t="s">
        <v>1413</v>
      </c>
      <c r="K259" s="405">
        <v>1</v>
      </c>
      <c r="L259" s="411" t="s">
        <v>1531</v>
      </c>
      <c r="M259" s="395">
        <v>256</v>
      </c>
      <c r="N259" s="425" t="s">
        <v>1095</v>
      </c>
      <c r="O259" s="391" t="s">
        <v>847</v>
      </c>
      <c r="P259" s="414" t="s">
        <v>1413</v>
      </c>
      <c r="Q259" s="340" t="s">
        <v>2434</v>
      </c>
      <c r="R259" s="338">
        <v>1</v>
      </c>
      <c r="S259" s="404" t="s">
        <v>1413</v>
      </c>
      <c r="T259" s="398" t="s">
        <v>1531</v>
      </c>
      <c r="U259" s="394">
        <v>2.9999999999999997E-4</v>
      </c>
    </row>
    <row r="260" spans="1:21" ht="15">
      <c r="A260" s="427">
        <v>16</v>
      </c>
      <c r="B260" s="405" t="s">
        <v>1412</v>
      </c>
      <c r="C260" s="394">
        <v>4.5999999999999999E-3</v>
      </c>
      <c r="D260" s="405" t="s">
        <v>1412</v>
      </c>
      <c r="E260" s="394">
        <v>5.0000000000000002E-5</v>
      </c>
      <c r="F260" s="405" t="s">
        <v>1412</v>
      </c>
      <c r="G260" s="398" t="s">
        <v>1531</v>
      </c>
      <c r="H260" s="404" t="s">
        <v>1413</v>
      </c>
      <c r="I260" s="404" t="s">
        <v>1413</v>
      </c>
      <c r="J260" s="404" t="s">
        <v>1413</v>
      </c>
      <c r="K260" s="405">
        <v>1</v>
      </c>
      <c r="L260" s="405">
        <v>0.1</v>
      </c>
      <c r="M260" s="406" t="s">
        <v>1531</v>
      </c>
      <c r="N260" s="425" t="s">
        <v>437</v>
      </c>
      <c r="O260" s="391" t="s">
        <v>848</v>
      </c>
      <c r="P260" s="414" t="s">
        <v>1413</v>
      </c>
      <c r="Q260" s="340" t="s">
        <v>2434</v>
      </c>
      <c r="R260" s="338">
        <v>1</v>
      </c>
      <c r="S260" s="404" t="s">
        <v>1413</v>
      </c>
      <c r="T260" s="394">
        <v>4.5999999999999999E-3</v>
      </c>
      <c r="U260" s="398" t="s">
        <v>1531</v>
      </c>
    </row>
    <row r="261" spans="1:21" ht="15.6" thickBot="1">
      <c r="A261" s="407" t="s">
        <v>1531</v>
      </c>
      <c r="B261" s="408" t="s">
        <v>1413</v>
      </c>
      <c r="C261" s="396">
        <v>2.9999999999999997E-4</v>
      </c>
      <c r="D261" s="409" t="s">
        <v>521</v>
      </c>
      <c r="E261" s="399" t="s">
        <v>1531</v>
      </c>
      <c r="F261" s="408" t="s">
        <v>1413</v>
      </c>
      <c r="G261" s="396">
        <v>5.0000000000000001E-3</v>
      </c>
      <c r="H261" s="409" t="s">
        <v>1412</v>
      </c>
      <c r="I261" s="408" t="s">
        <v>1413</v>
      </c>
      <c r="J261" s="408" t="s">
        <v>1413</v>
      </c>
      <c r="K261" s="409">
        <v>1</v>
      </c>
      <c r="L261" s="409">
        <v>0.1</v>
      </c>
      <c r="M261" s="410" t="s">
        <v>1531</v>
      </c>
      <c r="N261" s="426" t="s">
        <v>1096</v>
      </c>
      <c r="O261" s="508" t="s">
        <v>2169</v>
      </c>
      <c r="P261" s="416" t="s">
        <v>1413</v>
      </c>
      <c r="Q261" s="340" t="s">
        <v>2434</v>
      </c>
      <c r="R261" s="338">
        <v>1</v>
      </c>
      <c r="S261" s="408" t="s">
        <v>1413</v>
      </c>
      <c r="T261" s="396">
        <v>2.9999999999999997E-4</v>
      </c>
      <c r="U261" s="396">
        <v>5.0000000000000001E-3</v>
      </c>
    </row>
    <row r="262" spans="1:21" ht="15">
      <c r="A262" s="403" t="s">
        <v>1531</v>
      </c>
      <c r="B262" s="404" t="s">
        <v>1413</v>
      </c>
      <c r="C262" s="398" t="s">
        <v>1531</v>
      </c>
      <c r="D262" s="404" t="s">
        <v>1413</v>
      </c>
      <c r="E262" s="394">
        <v>2E-3</v>
      </c>
      <c r="F262" s="405" t="s">
        <v>520</v>
      </c>
      <c r="G262" s="394">
        <v>2.0000000000000001E-4</v>
      </c>
      <c r="H262" s="405" t="s">
        <v>520</v>
      </c>
      <c r="I262" s="404" t="s">
        <v>1413</v>
      </c>
      <c r="J262" s="404" t="s">
        <v>1413</v>
      </c>
      <c r="K262" s="405">
        <v>1</v>
      </c>
      <c r="L262" s="405">
        <v>0.1</v>
      </c>
      <c r="M262" s="406" t="s">
        <v>1531</v>
      </c>
      <c r="N262" s="425" t="s">
        <v>579</v>
      </c>
      <c r="O262" s="391" t="s">
        <v>849</v>
      </c>
      <c r="P262" s="414" t="s">
        <v>1413</v>
      </c>
      <c r="Q262" s="340" t="s">
        <v>2434</v>
      </c>
      <c r="R262" s="338">
        <v>1</v>
      </c>
      <c r="S262" s="404" t="s">
        <v>1413</v>
      </c>
      <c r="T262" s="398" t="s">
        <v>1531</v>
      </c>
      <c r="U262" s="394">
        <v>2.0000000000000001E-4</v>
      </c>
    </row>
    <row r="263" spans="1:21" ht="15">
      <c r="A263" s="403" t="s">
        <v>1531</v>
      </c>
      <c r="B263" s="404" t="s">
        <v>1413</v>
      </c>
      <c r="C263" s="398" t="s">
        <v>1531</v>
      </c>
      <c r="D263" s="404" t="s">
        <v>1413</v>
      </c>
      <c r="E263" s="394">
        <v>0.8</v>
      </c>
      <c r="F263" s="405" t="s">
        <v>1412</v>
      </c>
      <c r="G263" s="398" t="s">
        <v>1531</v>
      </c>
      <c r="H263" s="404" t="s">
        <v>1413</v>
      </c>
      <c r="I263" s="404" t="s">
        <v>1413</v>
      </c>
      <c r="J263" s="404" t="s">
        <v>1413</v>
      </c>
      <c r="K263" s="405">
        <v>1</v>
      </c>
      <c r="L263" s="405">
        <v>0.1</v>
      </c>
      <c r="M263" s="406" t="s">
        <v>1531</v>
      </c>
      <c r="N263" s="425" t="s">
        <v>2343</v>
      </c>
      <c r="O263" s="391" t="s">
        <v>850</v>
      </c>
      <c r="P263" s="414" t="s">
        <v>1413</v>
      </c>
      <c r="Q263" s="340" t="s">
        <v>2434</v>
      </c>
      <c r="R263" s="338">
        <v>1</v>
      </c>
      <c r="S263" s="404" t="s">
        <v>1413</v>
      </c>
      <c r="T263" s="398" t="s">
        <v>1531</v>
      </c>
      <c r="U263" s="398" t="s">
        <v>1531</v>
      </c>
    </row>
    <row r="264" spans="1:21" ht="15.6" thickBot="1">
      <c r="A264" s="407" t="s">
        <v>1531</v>
      </c>
      <c r="B264" s="408" t="s">
        <v>1413</v>
      </c>
      <c r="C264" s="399" t="s">
        <v>1531</v>
      </c>
      <c r="D264" s="408" t="s">
        <v>1413</v>
      </c>
      <c r="E264" s="396">
        <v>0.03</v>
      </c>
      <c r="F264" s="409" t="s">
        <v>520</v>
      </c>
      <c r="G264" s="396">
        <v>1E-4</v>
      </c>
      <c r="H264" s="409" t="s">
        <v>520</v>
      </c>
      <c r="I264" s="408" t="s">
        <v>1413</v>
      </c>
      <c r="J264" s="408" t="s">
        <v>1413</v>
      </c>
      <c r="K264" s="409">
        <v>1</v>
      </c>
      <c r="L264" s="409">
        <v>0.1</v>
      </c>
      <c r="M264" s="410" t="s">
        <v>1531</v>
      </c>
      <c r="N264" s="426" t="s">
        <v>528</v>
      </c>
      <c r="O264" s="393" t="s">
        <v>851</v>
      </c>
      <c r="P264" s="416" t="s">
        <v>1413</v>
      </c>
      <c r="Q264" s="340" t="s">
        <v>2433</v>
      </c>
      <c r="R264" s="338">
        <v>1</v>
      </c>
      <c r="S264" s="408" t="s">
        <v>1413</v>
      </c>
      <c r="T264" s="399" t="s">
        <v>1531</v>
      </c>
      <c r="U264" s="396">
        <v>1E-4</v>
      </c>
    </row>
    <row r="265" spans="1:21" ht="15">
      <c r="A265" s="403" t="s">
        <v>1531</v>
      </c>
      <c r="B265" s="404" t="s">
        <v>1413</v>
      </c>
      <c r="C265" s="398" t="s">
        <v>1531</v>
      </c>
      <c r="D265" s="404" t="s">
        <v>1413</v>
      </c>
      <c r="E265" s="394">
        <v>0.06</v>
      </c>
      <c r="F265" s="405" t="s">
        <v>520</v>
      </c>
      <c r="G265" s="394">
        <v>2.9999999999999997E-4</v>
      </c>
      <c r="H265" s="405" t="s">
        <v>520</v>
      </c>
      <c r="I265" s="404" t="s">
        <v>1413</v>
      </c>
      <c r="J265" s="404" t="s">
        <v>1413</v>
      </c>
      <c r="K265" s="405">
        <v>1</v>
      </c>
      <c r="L265" s="405">
        <v>0.1</v>
      </c>
      <c r="M265" s="406" t="s">
        <v>1531</v>
      </c>
      <c r="N265" s="425" t="s">
        <v>529</v>
      </c>
      <c r="O265" s="391" t="s">
        <v>852</v>
      </c>
      <c r="P265" s="414" t="s">
        <v>1413</v>
      </c>
      <c r="Q265" s="340" t="s">
        <v>2434</v>
      </c>
      <c r="R265" s="338">
        <v>1</v>
      </c>
      <c r="S265" s="404" t="s">
        <v>1413</v>
      </c>
      <c r="T265" s="398" t="s">
        <v>1531</v>
      </c>
      <c r="U265" s="394">
        <v>2.9999999999999997E-4</v>
      </c>
    </row>
    <row r="266" spans="1:21" ht="15">
      <c r="A266" s="403" t="s">
        <v>1531</v>
      </c>
      <c r="B266" s="404" t="s">
        <v>1413</v>
      </c>
      <c r="C266" s="398" t="s">
        <v>1531</v>
      </c>
      <c r="D266" s="404" t="s">
        <v>1413</v>
      </c>
      <c r="E266" s="394">
        <v>1E-3</v>
      </c>
      <c r="F266" s="405" t="s">
        <v>520</v>
      </c>
      <c r="G266" s="398" t="s">
        <v>1531</v>
      </c>
      <c r="H266" s="404" t="s">
        <v>1413</v>
      </c>
      <c r="I266" s="405" t="s">
        <v>969</v>
      </c>
      <c r="J266" s="404" t="s">
        <v>1413</v>
      </c>
      <c r="K266" s="405">
        <v>1</v>
      </c>
      <c r="L266" s="411" t="s">
        <v>1531</v>
      </c>
      <c r="M266" s="395">
        <v>112000</v>
      </c>
      <c r="N266" s="425" t="s">
        <v>1097</v>
      </c>
      <c r="O266" s="391" t="s">
        <v>853</v>
      </c>
      <c r="P266" s="414" t="s">
        <v>1413</v>
      </c>
      <c r="Q266" s="340" t="s">
        <v>2433</v>
      </c>
      <c r="R266" s="338">
        <v>1</v>
      </c>
      <c r="S266" s="404" t="s">
        <v>1413</v>
      </c>
      <c r="T266" s="398" t="s">
        <v>1531</v>
      </c>
      <c r="U266" s="398" t="s">
        <v>1531</v>
      </c>
    </row>
    <row r="267" spans="1:21" ht="15.6" thickBot="1">
      <c r="A267" s="412">
        <v>350</v>
      </c>
      <c r="B267" s="409" t="s">
        <v>521</v>
      </c>
      <c r="C267" s="396">
        <v>0.1</v>
      </c>
      <c r="D267" s="409" t="s">
        <v>521</v>
      </c>
      <c r="E267" s="399" t="s">
        <v>1531</v>
      </c>
      <c r="F267" s="408" t="s">
        <v>1413</v>
      </c>
      <c r="G267" s="399" t="s">
        <v>1531</v>
      </c>
      <c r="H267" s="408" t="s">
        <v>1413</v>
      </c>
      <c r="I267" s="408" t="s">
        <v>1413</v>
      </c>
      <c r="J267" s="408" t="s">
        <v>1413</v>
      </c>
      <c r="K267" s="409">
        <v>1</v>
      </c>
      <c r="L267" s="409">
        <v>0.1</v>
      </c>
      <c r="M267" s="410" t="s">
        <v>1531</v>
      </c>
      <c r="N267" s="426" t="s">
        <v>1404</v>
      </c>
      <c r="O267" s="393" t="s">
        <v>854</v>
      </c>
      <c r="P267" s="416" t="s">
        <v>1413</v>
      </c>
      <c r="Q267" s="340" t="s">
        <v>2433</v>
      </c>
      <c r="R267" s="338">
        <v>1</v>
      </c>
      <c r="S267" s="408" t="s">
        <v>1413</v>
      </c>
      <c r="T267" s="396">
        <v>0.1</v>
      </c>
      <c r="U267" s="399" t="s">
        <v>1531</v>
      </c>
    </row>
    <row r="268" spans="1:21" ht="15">
      <c r="A268" s="403" t="s">
        <v>1531</v>
      </c>
      <c r="B268" s="404" t="s">
        <v>1413</v>
      </c>
      <c r="C268" s="398" t="s">
        <v>1531</v>
      </c>
      <c r="D268" s="404" t="s">
        <v>1413</v>
      </c>
      <c r="E268" s="394">
        <v>8.3000000000000004E-2</v>
      </c>
      <c r="F268" s="405" t="s">
        <v>1474</v>
      </c>
      <c r="G268" s="398" t="s">
        <v>1531</v>
      </c>
      <c r="H268" s="404" t="s">
        <v>1413</v>
      </c>
      <c r="I268" s="404" t="s">
        <v>1413</v>
      </c>
      <c r="J268" s="404" t="s">
        <v>1413</v>
      </c>
      <c r="K268" s="405">
        <v>1</v>
      </c>
      <c r="L268" s="405">
        <v>0.1</v>
      </c>
      <c r="M268" s="406" t="s">
        <v>1531</v>
      </c>
      <c r="N268" s="425" t="s">
        <v>1098</v>
      </c>
      <c r="O268" s="391" t="s">
        <v>855</v>
      </c>
      <c r="P268" s="414" t="s">
        <v>1413</v>
      </c>
      <c r="Q268" s="340" t="s">
        <v>2434</v>
      </c>
      <c r="R268" s="338">
        <v>1</v>
      </c>
      <c r="S268" s="404" t="s">
        <v>1413</v>
      </c>
      <c r="T268" s="398" t="s">
        <v>1531</v>
      </c>
      <c r="U268" s="398" t="s">
        <v>1531</v>
      </c>
    </row>
    <row r="269" spans="1:21" ht="15">
      <c r="A269" s="403" t="s">
        <v>1531</v>
      </c>
      <c r="B269" s="404" t="s">
        <v>1413</v>
      </c>
      <c r="C269" s="398" t="s">
        <v>1531</v>
      </c>
      <c r="D269" s="404" t="s">
        <v>1413</v>
      </c>
      <c r="E269" s="394">
        <v>0.02</v>
      </c>
      <c r="F269" s="405" t="s">
        <v>1412</v>
      </c>
      <c r="G269" s="398" t="s">
        <v>1531</v>
      </c>
      <c r="H269" s="404" t="s">
        <v>1413</v>
      </c>
      <c r="I269" s="404" t="s">
        <v>1413</v>
      </c>
      <c r="J269" s="404" t="s">
        <v>1413</v>
      </c>
      <c r="K269" s="405">
        <v>1</v>
      </c>
      <c r="L269" s="405">
        <v>0.1</v>
      </c>
      <c r="M269" s="406" t="s">
        <v>1531</v>
      </c>
      <c r="N269" s="425" t="s">
        <v>1099</v>
      </c>
      <c r="O269" s="391" t="s">
        <v>856</v>
      </c>
      <c r="P269" s="414" t="s">
        <v>1413</v>
      </c>
      <c r="Q269" s="340" t="s">
        <v>2434</v>
      </c>
      <c r="R269" s="338">
        <v>1</v>
      </c>
      <c r="S269" s="404" t="s">
        <v>1413</v>
      </c>
      <c r="T269" s="398" t="s">
        <v>1531</v>
      </c>
      <c r="U269" s="398" t="s">
        <v>1531</v>
      </c>
    </row>
    <row r="270" spans="1:21" ht="15.6" thickBot="1">
      <c r="A270" s="407" t="s">
        <v>1531</v>
      </c>
      <c r="B270" s="408" t="s">
        <v>1413</v>
      </c>
      <c r="C270" s="399" t="s">
        <v>1531</v>
      </c>
      <c r="D270" s="408" t="s">
        <v>1413</v>
      </c>
      <c r="E270" s="399" t="s">
        <v>1531</v>
      </c>
      <c r="F270" s="408" t="s">
        <v>1413</v>
      </c>
      <c r="G270" s="396">
        <v>40</v>
      </c>
      <c r="H270" s="409" t="s">
        <v>1412</v>
      </c>
      <c r="I270" s="409" t="s">
        <v>969</v>
      </c>
      <c r="J270" s="408" t="s">
        <v>1413</v>
      </c>
      <c r="K270" s="409">
        <v>1</v>
      </c>
      <c r="L270" s="413" t="s">
        <v>1531</v>
      </c>
      <c r="M270" s="397">
        <v>1430</v>
      </c>
      <c r="N270" s="426" t="s">
        <v>1100</v>
      </c>
      <c r="O270" s="393" t="s">
        <v>857</v>
      </c>
      <c r="P270" s="416" t="s">
        <v>1413</v>
      </c>
      <c r="Q270" s="340" t="s">
        <v>2434</v>
      </c>
      <c r="R270" s="338">
        <v>1</v>
      </c>
      <c r="S270" s="408" t="s">
        <v>1413</v>
      </c>
      <c r="T270" s="399" t="s">
        <v>1531</v>
      </c>
      <c r="U270" s="396">
        <v>40</v>
      </c>
    </row>
    <row r="271" spans="1:21" ht="15">
      <c r="A271" s="403" t="s">
        <v>1531</v>
      </c>
      <c r="B271" s="404" t="s">
        <v>1413</v>
      </c>
      <c r="C271" s="398" t="s">
        <v>1531</v>
      </c>
      <c r="D271" s="404" t="s">
        <v>1413</v>
      </c>
      <c r="E271" s="398" t="s">
        <v>1531</v>
      </c>
      <c r="F271" s="404" t="s">
        <v>1413</v>
      </c>
      <c r="G271" s="394">
        <v>30</v>
      </c>
      <c r="H271" s="405" t="s">
        <v>961</v>
      </c>
      <c r="I271" s="405" t="s">
        <v>969</v>
      </c>
      <c r="J271" s="404" t="s">
        <v>1413</v>
      </c>
      <c r="K271" s="405">
        <v>1</v>
      </c>
      <c r="L271" s="411" t="s">
        <v>1531</v>
      </c>
      <c r="M271" s="395">
        <v>691</v>
      </c>
      <c r="N271" s="425" t="s">
        <v>2498</v>
      </c>
      <c r="O271" s="391" t="s">
        <v>2499</v>
      </c>
      <c r="P271" s="414" t="s">
        <v>1413</v>
      </c>
      <c r="Q271" s="340" t="s">
        <v>2433</v>
      </c>
      <c r="R271" s="338">
        <v>1</v>
      </c>
      <c r="S271" s="404" t="s">
        <v>1413</v>
      </c>
      <c r="T271" s="398" t="s">
        <v>1531</v>
      </c>
      <c r="U271" s="394">
        <v>30</v>
      </c>
    </row>
    <row r="272" spans="1:21" ht="15">
      <c r="A272" s="427">
        <v>4.3999999999999997E-2</v>
      </c>
      <c r="B272" s="405" t="s">
        <v>521</v>
      </c>
      <c r="C272" s="394">
        <v>1.2999999999999999E-5</v>
      </c>
      <c r="D272" s="405" t="s">
        <v>521</v>
      </c>
      <c r="E272" s="398" t="s">
        <v>1531</v>
      </c>
      <c r="F272" s="404" t="s">
        <v>1413</v>
      </c>
      <c r="G272" s="398" t="s">
        <v>1531</v>
      </c>
      <c r="H272" s="404" t="s">
        <v>1413</v>
      </c>
      <c r="I272" s="405" t="s">
        <v>969</v>
      </c>
      <c r="J272" s="404" t="s">
        <v>1413</v>
      </c>
      <c r="K272" s="405">
        <v>1</v>
      </c>
      <c r="L272" s="411" t="s">
        <v>1531</v>
      </c>
      <c r="M272" s="406" t="s">
        <v>1531</v>
      </c>
      <c r="N272" s="425" t="s">
        <v>580</v>
      </c>
      <c r="O272" s="391" t="s">
        <v>858</v>
      </c>
      <c r="P272" s="414" t="s">
        <v>1413</v>
      </c>
      <c r="Q272" s="340" t="s">
        <v>2433</v>
      </c>
      <c r="R272" s="338">
        <v>1</v>
      </c>
      <c r="S272" s="404" t="s">
        <v>1413</v>
      </c>
      <c r="T272" s="394">
        <v>1.2999999999999999E-5</v>
      </c>
      <c r="U272" s="398" t="s">
        <v>1531</v>
      </c>
    </row>
    <row r="273" spans="1:21" ht="15.6" thickBot="1">
      <c r="A273" s="407" t="s">
        <v>1531</v>
      </c>
      <c r="B273" s="408" t="s">
        <v>1413</v>
      </c>
      <c r="C273" s="399" t="s">
        <v>1531</v>
      </c>
      <c r="D273" s="408" t="s">
        <v>1413</v>
      </c>
      <c r="E273" s="399" t="s">
        <v>1531</v>
      </c>
      <c r="F273" s="408" t="s">
        <v>1413</v>
      </c>
      <c r="G273" s="396">
        <v>0.7</v>
      </c>
      <c r="H273" s="409" t="s">
        <v>520</v>
      </c>
      <c r="I273" s="409" t="s">
        <v>969</v>
      </c>
      <c r="J273" s="408" t="s">
        <v>1413</v>
      </c>
      <c r="K273" s="409">
        <v>1</v>
      </c>
      <c r="L273" s="413" t="s">
        <v>1531</v>
      </c>
      <c r="M273" s="397">
        <v>2260</v>
      </c>
      <c r="N273" s="426" t="s">
        <v>530</v>
      </c>
      <c r="O273" s="393" t="s">
        <v>859</v>
      </c>
      <c r="P273" s="416" t="s">
        <v>1413</v>
      </c>
      <c r="Q273" s="340" t="s">
        <v>2433</v>
      </c>
      <c r="R273" s="338">
        <v>1</v>
      </c>
      <c r="S273" s="408" t="s">
        <v>1413</v>
      </c>
      <c r="T273" s="399" t="s">
        <v>1531</v>
      </c>
      <c r="U273" s="396">
        <v>0.7</v>
      </c>
    </row>
    <row r="274" spans="1:21" ht="15">
      <c r="A274" s="403" t="s">
        <v>1531</v>
      </c>
      <c r="B274" s="404" t="s">
        <v>1413</v>
      </c>
      <c r="C274" s="398" t="s">
        <v>1531</v>
      </c>
      <c r="D274" s="404" t="s">
        <v>1413</v>
      </c>
      <c r="E274" s="394">
        <v>0.08</v>
      </c>
      <c r="F274" s="405" t="s">
        <v>1412</v>
      </c>
      <c r="G274" s="398" t="s">
        <v>1531</v>
      </c>
      <c r="H274" s="404" t="s">
        <v>1413</v>
      </c>
      <c r="I274" s="405" t="s">
        <v>969</v>
      </c>
      <c r="J274" s="404" t="s">
        <v>1413</v>
      </c>
      <c r="K274" s="405">
        <v>1</v>
      </c>
      <c r="L274" s="411" t="s">
        <v>1531</v>
      </c>
      <c r="M274" s="395">
        <v>530</v>
      </c>
      <c r="N274" s="425" t="s">
        <v>1101</v>
      </c>
      <c r="O274" s="391" t="s">
        <v>860</v>
      </c>
      <c r="P274" s="414" t="s">
        <v>1413</v>
      </c>
      <c r="Q274" s="340" t="s">
        <v>2433</v>
      </c>
      <c r="R274" s="338">
        <v>1</v>
      </c>
      <c r="S274" s="404" t="s">
        <v>1413</v>
      </c>
      <c r="T274" s="398" t="s">
        <v>1531</v>
      </c>
      <c r="U274" s="398" t="s">
        <v>1531</v>
      </c>
    </row>
    <row r="275" spans="1:21" ht="15">
      <c r="A275" s="403" t="s">
        <v>1531</v>
      </c>
      <c r="B275" s="404" t="s">
        <v>1413</v>
      </c>
      <c r="C275" s="398" t="s">
        <v>1531</v>
      </c>
      <c r="D275" s="404" t="s">
        <v>1413</v>
      </c>
      <c r="E275" s="394">
        <v>49</v>
      </c>
      <c r="F275" s="405" t="s">
        <v>520</v>
      </c>
      <c r="G275" s="398" t="s">
        <v>1531</v>
      </c>
      <c r="H275" s="404" t="s">
        <v>1413</v>
      </c>
      <c r="I275" s="404" t="s">
        <v>1413</v>
      </c>
      <c r="J275" s="404" t="s">
        <v>1413</v>
      </c>
      <c r="K275" s="405">
        <v>1</v>
      </c>
      <c r="L275" s="411" t="s">
        <v>1531</v>
      </c>
      <c r="M275" s="406" t="s">
        <v>1531</v>
      </c>
      <c r="N275" s="425" t="s">
        <v>2386</v>
      </c>
      <c r="O275" s="391" t="s">
        <v>1586</v>
      </c>
      <c r="P275" s="414" t="s">
        <v>1413</v>
      </c>
      <c r="Q275" s="340" t="s">
        <v>2433</v>
      </c>
      <c r="R275" s="338">
        <v>1</v>
      </c>
      <c r="S275" s="404" t="s">
        <v>1413</v>
      </c>
      <c r="T275" s="398" t="s">
        <v>1531</v>
      </c>
      <c r="U275" s="398" t="s">
        <v>1531</v>
      </c>
    </row>
    <row r="276" spans="1:21" ht="15.6" thickBot="1">
      <c r="A276" s="407" t="s">
        <v>1531</v>
      </c>
      <c r="B276" s="408" t="s">
        <v>1413</v>
      </c>
      <c r="C276" s="399" t="s">
        <v>1531</v>
      </c>
      <c r="D276" s="408" t="s">
        <v>1413</v>
      </c>
      <c r="E276" s="396">
        <v>2.1999999999999999E-2</v>
      </c>
      <c r="F276" s="409" t="s">
        <v>1474</v>
      </c>
      <c r="G276" s="399" t="s">
        <v>1531</v>
      </c>
      <c r="H276" s="408" t="s">
        <v>1413</v>
      </c>
      <c r="I276" s="408" t="s">
        <v>1413</v>
      </c>
      <c r="J276" s="408" t="s">
        <v>1413</v>
      </c>
      <c r="K276" s="409">
        <v>1</v>
      </c>
      <c r="L276" s="409">
        <v>0.1</v>
      </c>
      <c r="M276" s="410" t="s">
        <v>1531</v>
      </c>
      <c r="N276" s="426" t="s">
        <v>1102</v>
      </c>
      <c r="O276" s="393" t="s">
        <v>861</v>
      </c>
      <c r="P276" s="416" t="s">
        <v>1413</v>
      </c>
      <c r="Q276" s="340" t="s">
        <v>2433</v>
      </c>
      <c r="R276" s="338">
        <v>1</v>
      </c>
      <c r="S276" s="408" t="s">
        <v>1413</v>
      </c>
      <c r="T276" s="399" t="s">
        <v>1531</v>
      </c>
      <c r="U276" s="399" t="s">
        <v>1531</v>
      </c>
    </row>
    <row r="277" spans="1:21" ht="15">
      <c r="A277" s="403" t="s">
        <v>1531</v>
      </c>
      <c r="B277" s="404" t="s">
        <v>1413</v>
      </c>
      <c r="C277" s="398" t="s">
        <v>1531</v>
      </c>
      <c r="D277" s="404" t="s">
        <v>1413</v>
      </c>
      <c r="E277" s="394">
        <v>2.2000000000000001E-3</v>
      </c>
      <c r="F277" s="405" t="s">
        <v>1474</v>
      </c>
      <c r="G277" s="398" t="s">
        <v>1531</v>
      </c>
      <c r="H277" s="404" t="s">
        <v>1413</v>
      </c>
      <c r="I277" s="404" t="s">
        <v>1413</v>
      </c>
      <c r="J277" s="404" t="s">
        <v>1413</v>
      </c>
      <c r="K277" s="405">
        <v>1</v>
      </c>
      <c r="L277" s="405">
        <v>0.1</v>
      </c>
      <c r="M277" s="406" t="s">
        <v>1531</v>
      </c>
      <c r="N277" s="425" t="s">
        <v>1103</v>
      </c>
      <c r="O277" s="391" t="s">
        <v>862</v>
      </c>
      <c r="P277" s="414" t="s">
        <v>1413</v>
      </c>
      <c r="Q277" s="340" t="s">
        <v>2434</v>
      </c>
      <c r="R277" s="338">
        <v>1</v>
      </c>
      <c r="S277" s="404" t="s">
        <v>1413</v>
      </c>
      <c r="T277" s="398" t="s">
        <v>1531</v>
      </c>
      <c r="U277" s="398" t="s">
        <v>1531</v>
      </c>
    </row>
    <row r="278" spans="1:21" ht="15">
      <c r="A278" s="427">
        <v>1.6</v>
      </c>
      <c r="B278" s="405" t="s">
        <v>520</v>
      </c>
      <c r="C278" s="398" t="s">
        <v>1531</v>
      </c>
      <c r="D278" s="404" t="s">
        <v>1413</v>
      </c>
      <c r="E278" s="398" t="s">
        <v>1531</v>
      </c>
      <c r="F278" s="404" t="s">
        <v>1413</v>
      </c>
      <c r="G278" s="398" t="s">
        <v>1531</v>
      </c>
      <c r="H278" s="404" t="s">
        <v>1413</v>
      </c>
      <c r="I278" s="404" t="s">
        <v>1413</v>
      </c>
      <c r="J278" s="404" t="s">
        <v>1413</v>
      </c>
      <c r="K278" s="405">
        <v>1</v>
      </c>
      <c r="L278" s="405">
        <v>0.1</v>
      </c>
      <c r="M278" s="406" t="s">
        <v>1531</v>
      </c>
      <c r="N278" s="425" t="s">
        <v>1104</v>
      </c>
      <c r="O278" s="391" t="s">
        <v>863</v>
      </c>
      <c r="P278" s="414" t="s">
        <v>1413</v>
      </c>
      <c r="Q278" s="340" t="s">
        <v>2433</v>
      </c>
      <c r="R278" s="338">
        <v>1</v>
      </c>
      <c r="S278" s="404" t="s">
        <v>1413</v>
      </c>
      <c r="T278" s="398" t="s">
        <v>1531</v>
      </c>
      <c r="U278" s="398" t="s">
        <v>1531</v>
      </c>
    </row>
    <row r="279" spans="1:21" ht="15.6" thickBot="1">
      <c r="A279" s="412">
        <v>1.6999999999999999E-3</v>
      </c>
      <c r="B279" s="409" t="s">
        <v>520</v>
      </c>
      <c r="C279" s="399" t="s">
        <v>1531</v>
      </c>
      <c r="D279" s="408" t="s">
        <v>1413</v>
      </c>
      <c r="E279" s="396">
        <v>0.06</v>
      </c>
      <c r="F279" s="409" t="s">
        <v>520</v>
      </c>
      <c r="G279" s="399" t="s">
        <v>1531</v>
      </c>
      <c r="H279" s="408" t="s">
        <v>1413</v>
      </c>
      <c r="I279" s="408" t="s">
        <v>1413</v>
      </c>
      <c r="J279" s="408" t="s">
        <v>1413</v>
      </c>
      <c r="K279" s="409">
        <v>1</v>
      </c>
      <c r="L279" s="409">
        <v>0.1</v>
      </c>
      <c r="M279" s="410" t="s">
        <v>1531</v>
      </c>
      <c r="N279" s="426" t="s">
        <v>1105</v>
      </c>
      <c r="O279" s="393" t="s">
        <v>864</v>
      </c>
      <c r="P279" s="416" t="s">
        <v>1413</v>
      </c>
      <c r="Q279" s="340" t="s">
        <v>2433</v>
      </c>
      <c r="R279" s="338">
        <v>1</v>
      </c>
      <c r="S279" s="408" t="s">
        <v>1413</v>
      </c>
      <c r="T279" s="399" t="s">
        <v>1531</v>
      </c>
      <c r="U279" s="399" t="s">
        <v>1531</v>
      </c>
    </row>
    <row r="280" spans="1:21" ht="15">
      <c r="A280" s="427">
        <v>4.5999999999999996</v>
      </c>
      <c r="B280" s="405" t="s">
        <v>521</v>
      </c>
      <c r="C280" s="394">
        <v>1.2999999999999999E-3</v>
      </c>
      <c r="D280" s="405" t="s">
        <v>521</v>
      </c>
      <c r="E280" s="398" t="s">
        <v>1531</v>
      </c>
      <c r="F280" s="404" t="s">
        <v>1413</v>
      </c>
      <c r="G280" s="398" t="s">
        <v>1531</v>
      </c>
      <c r="H280" s="404" t="s">
        <v>1413</v>
      </c>
      <c r="I280" s="404" t="s">
        <v>1413</v>
      </c>
      <c r="J280" s="404" t="s">
        <v>1413</v>
      </c>
      <c r="K280" s="405">
        <v>1</v>
      </c>
      <c r="L280" s="405">
        <v>0.1</v>
      </c>
      <c r="M280" s="406" t="s">
        <v>1531</v>
      </c>
      <c r="N280" s="425" t="s">
        <v>581</v>
      </c>
      <c r="O280" s="391" t="s">
        <v>865</v>
      </c>
      <c r="P280" s="414" t="s">
        <v>1413</v>
      </c>
      <c r="Q280" s="340" t="s">
        <v>2433</v>
      </c>
      <c r="R280" s="338">
        <v>1</v>
      </c>
      <c r="S280" s="404" t="s">
        <v>1413</v>
      </c>
      <c r="T280" s="394">
        <v>1.2999999999999999E-3</v>
      </c>
      <c r="U280" s="398" t="s">
        <v>1531</v>
      </c>
    </row>
    <row r="281" spans="1:21" ht="15">
      <c r="A281" s="427">
        <v>0.57999999999999996</v>
      </c>
      <c r="B281" s="405" t="s">
        <v>406</v>
      </c>
      <c r="C281" s="398" t="s">
        <v>1531</v>
      </c>
      <c r="D281" s="404" t="s">
        <v>1413</v>
      </c>
      <c r="E281" s="398" t="s">
        <v>1531</v>
      </c>
      <c r="F281" s="404" t="s">
        <v>1413</v>
      </c>
      <c r="G281" s="398" t="s">
        <v>1531</v>
      </c>
      <c r="H281" s="404" t="s">
        <v>1413</v>
      </c>
      <c r="I281" s="404" t="s">
        <v>1413</v>
      </c>
      <c r="J281" s="404" t="s">
        <v>1413</v>
      </c>
      <c r="K281" s="405">
        <v>1</v>
      </c>
      <c r="L281" s="405">
        <v>0.1</v>
      </c>
      <c r="M281" s="406" t="s">
        <v>1531</v>
      </c>
      <c r="N281" s="425" t="s">
        <v>1106</v>
      </c>
      <c r="O281" s="391" t="s">
        <v>866</v>
      </c>
      <c r="P281" s="414" t="s">
        <v>1413</v>
      </c>
      <c r="Q281" s="340" t="s">
        <v>2433</v>
      </c>
      <c r="R281" s="338">
        <v>1</v>
      </c>
      <c r="S281" s="404" t="s">
        <v>1413</v>
      </c>
      <c r="T281" s="398" t="s">
        <v>1531</v>
      </c>
      <c r="U281" s="398" t="s">
        <v>1531</v>
      </c>
    </row>
    <row r="282" spans="1:21" ht="15.6" thickBot="1">
      <c r="A282" s="412">
        <v>0.2</v>
      </c>
      <c r="B282" s="409" t="s">
        <v>520</v>
      </c>
      <c r="C282" s="399" t="s">
        <v>1531</v>
      </c>
      <c r="D282" s="408" t="s">
        <v>1413</v>
      </c>
      <c r="E282" s="396">
        <v>2E-3</v>
      </c>
      <c r="F282" s="409" t="s">
        <v>961</v>
      </c>
      <c r="G282" s="399" t="s">
        <v>1531</v>
      </c>
      <c r="H282" s="408" t="s">
        <v>1413</v>
      </c>
      <c r="I282" s="408" t="s">
        <v>1413</v>
      </c>
      <c r="J282" s="408" t="s">
        <v>1413</v>
      </c>
      <c r="K282" s="409">
        <v>1</v>
      </c>
      <c r="L282" s="409">
        <v>0.1</v>
      </c>
      <c r="M282" s="410" t="s">
        <v>1531</v>
      </c>
      <c r="N282" s="426" t="s">
        <v>1107</v>
      </c>
      <c r="O282" s="393" t="s">
        <v>867</v>
      </c>
      <c r="P282" s="416" t="s">
        <v>1413</v>
      </c>
      <c r="Q282" s="340" t="s">
        <v>2434</v>
      </c>
      <c r="R282" s="338">
        <v>1</v>
      </c>
      <c r="S282" s="408" t="s">
        <v>1413</v>
      </c>
      <c r="T282" s="399" t="s">
        <v>1531</v>
      </c>
      <c r="U282" s="399" t="s">
        <v>1531</v>
      </c>
    </row>
    <row r="283" spans="1:21" ht="15">
      <c r="A283" s="427">
        <v>2.7E-2</v>
      </c>
      <c r="B283" s="405" t="s">
        <v>520</v>
      </c>
      <c r="C283" s="398" t="s">
        <v>1531</v>
      </c>
      <c r="D283" s="404" t="s">
        <v>1413</v>
      </c>
      <c r="E283" s="394">
        <v>2E-3</v>
      </c>
      <c r="F283" s="405" t="s">
        <v>1412</v>
      </c>
      <c r="G283" s="398" t="s">
        <v>1531</v>
      </c>
      <c r="H283" s="404" t="s">
        <v>1413</v>
      </c>
      <c r="I283" s="405" t="s">
        <v>969</v>
      </c>
      <c r="J283" s="404" t="s">
        <v>1413</v>
      </c>
      <c r="K283" s="405">
        <v>1</v>
      </c>
      <c r="L283" s="411" t="s">
        <v>1531</v>
      </c>
      <c r="M283" s="395">
        <v>830</v>
      </c>
      <c r="N283" s="425" t="s">
        <v>1108</v>
      </c>
      <c r="O283" s="391" t="s">
        <v>868</v>
      </c>
      <c r="P283" s="414" t="s">
        <v>1413</v>
      </c>
      <c r="Q283" s="340" t="s">
        <v>2434</v>
      </c>
      <c r="R283" s="338">
        <v>1</v>
      </c>
      <c r="S283" s="404" t="s">
        <v>1413</v>
      </c>
      <c r="T283" s="398" t="s">
        <v>1531</v>
      </c>
      <c r="U283" s="398" t="s">
        <v>1531</v>
      </c>
    </row>
    <row r="284" spans="1:21" ht="15">
      <c r="A284" s="427">
        <v>250</v>
      </c>
      <c r="B284" s="405" t="s">
        <v>521</v>
      </c>
      <c r="C284" s="394">
        <v>7.0999999999999994E-2</v>
      </c>
      <c r="D284" s="405" t="s">
        <v>521</v>
      </c>
      <c r="E284" s="398" t="s">
        <v>1531</v>
      </c>
      <c r="F284" s="404" t="s">
        <v>1413</v>
      </c>
      <c r="G284" s="398" t="s">
        <v>1531</v>
      </c>
      <c r="H284" s="404" t="s">
        <v>1413</v>
      </c>
      <c r="I284" s="404" t="s">
        <v>1413</v>
      </c>
      <c r="J284" s="405" t="s">
        <v>522</v>
      </c>
      <c r="K284" s="405">
        <v>1</v>
      </c>
      <c r="L284" s="405">
        <v>0.13</v>
      </c>
      <c r="M284" s="406" t="s">
        <v>1531</v>
      </c>
      <c r="N284" s="425" t="s">
        <v>2355</v>
      </c>
      <c r="O284" s="391" t="s">
        <v>211</v>
      </c>
      <c r="P284" s="414" t="s">
        <v>1413</v>
      </c>
      <c r="Q284" s="340" t="s">
        <v>2433</v>
      </c>
      <c r="R284" s="338">
        <v>1</v>
      </c>
      <c r="S284" s="405" t="s">
        <v>2424</v>
      </c>
      <c r="T284" s="394">
        <v>7.0999999999999994E-2</v>
      </c>
      <c r="U284" s="398" t="s">
        <v>1531</v>
      </c>
    </row>
    <row r="285" spans="1:21" ht="15.6" thickBot="1">
      <c r="A285" s="412">
        <v>11</v>
      </c>
      <c r="B285" s="409" t="s">
        <v>520</v>
      </c>
      <c r="C285" s="399" t="s">
        <v>1531</v>
      </c>
      <c r="D285" s="408" t="s">
        <v>1413</v>
      </c>
      <c r="E285" s="399" t="s">
        <v>1531</v>
      </c>
      <c r="F285" s="408" t="s">
        <v>1413</v>
      </c>
      <c r="G285" s="399" t="s">
        <v>1531</v>
      </c>
      <c r="H285" s="408" t="s">
        <v>1413</v>
      </c>
      <c r="I285" s="408" t="s">
        <v>1413</v>
      </c>
      <c r="J285" s="408" t="s">
        <v>1413</v>
      </c>
      <c r="K285" s="409">
        <v>1</v>
      </c>
      <c r="L285" s="409">
        <v>0.1</v>
      </c>
      <c r="M285" s="410" t="s">
        <v>1531</v>
      </c>
      <c r="N285" s="426" t="s">
        <v>531</v>
      </c>
      <c r="O285" s="393" t="s">
        <v>869</v>
      </c>
      <c r="P285" s="416" t="s">
        <v>1413</v>
      </c>
      <c r="Q285" s="340" t="s">
        <v>2434</v>
      </c>
      <c r="R285" s="338">
        <v>1</v>
      </c>
      <c r="S285" s="408" t="s">
        <v>1413</v>
      </c>
      <c r="T285" s="399" t="s">
        <v>1531</v>
      </c>
      <c r="U285" s="399" t="s">
        <v>1531</v>
      </c>
    </row>
    <row r="286" spans="1:21" ht="15">
      <c r="A286" s="403" t="s">
        <v>1531</v>
      </c>
      <c r="B286" s="404" t="s">
        <v>1413</v>
      </c>
      <c r="C286" s="398" t="s">
        <v>1531</v>
      </c>
      <c r="D286" s="404" t="s">
        <v>1413</v>
      </c>
      <c r="E286" s="394">
        <v>0.1</v>
      </c>
      <c r="F286" s="405" t="s">
        <v>520</v>
      </c>
      <c r="G286" s="394">
        <v>0.03</v>
      </c>
      <c r="H286" s="405" t="s">
        <v>1412</v>
      </c>
      <c r="I286" s="405" t="s">
        <v>969</v>
      </c>
      <c r="J286" s="404" t="s">
        <v>1413</v>
      </c>
      <c r="K286" s="405">
        <v>1</v>
      </c>
      <c r="L286" s="411" t="s">
        <v>1531</v>
      </c>
      <c r="M286" s="395">
        <v>106000</v>
      </c>
      <c r="N286" s="425" t="s">
        <v>1109</v>
      </c>
      <c r="O286" s="391" t="s">
        <v>870</v>
      </c>
      <c r="P286" s="414" t="s">
        <v>1413</v>
      </c>
      <c r="Q286" s="340" t="s">
        <v>2433</v>
      </c>
      <c r="R286" s="338">
        <v>1</v>
      </c>
      <c r="S286" s="404" t="s">
        <v>1413</v>
      </c>
      <c r="T286" s="398" t="s">
        <v>1531</v>
      </c>
      <c r="U286" s="394">
        <v>0.03</v>
      </c>
    </row>
    <row r="287" spans="1:21" ht="15">
      <c r="A287" s="403" t="s">
        <v>1531</v>
      </c>
      <c r="B287" s="404" t="s">
        <v>1413</v>
      </c>
      <c r="C287" s="398" t="s">
        <v>1531</v>
      </c>
      <c r="D287" s="404" t="s">
        <v>1413</v>
      </c>
      <c r="E287" s="394">
        <v>1E-4</v>
      </c>
      <c r="F287" s="405" t="s">
        <v>961</v>
      </c>
      <c r="G287" s="394">
        <v>1.9999999999999999E-6</v>
      </c>
      <c r="H287" s="405" t="s">
        <v>961</v>
      </c>
      <c r="I287" s="405" t="s">
        <v>969</v>
      </c>
      <c r="J287" s="404" t="s">
        <v>1413</v>
      </c>
      <c r="K287" s="405">
        <v>1</v>
      </c>
      <c r="L287" s="411" t="s">
        <v>1531</v>
      </c>
      <c r="M287" s="395">
        <v>172000</v>
      </c>
      <c r="N287" s="425" t="s">
        <v>582</v>
      </c>
      <c r="O287" s="391" t="s">
        <v>871</v>
      </c>
      <c r="P287" s="414" t="s">
        <v>1413</v>
      </c>
      <c r="Q287" s="340" t="s">
        <v>2433</v>
      </c>
      <c r="R287" s="338">
        <v>1</v>
      </c>
      <c r="S287" s="404" t="s">
        <v>1413</v>
      </c>
      <c r="T287" s="398" t="s">
        <v>1531</v>
      </c>
      <c r="U287" s="394">
        <v>1.9999999999999999E-6</v>
      </c>
    </row>
    <row r="288" spans="1:21" ht="15.6" thickBot="1">
      <c r="A288" s="412">
        <v>550</v>
      </c>
      <c r="B288" s="409" t="s">
        <v>521</v>
      </c>
      <c r="C288" s="396">
        <v>0.16</v>
      </c>
      <c r="D288" s="409" t="s">
        <v>521</v>
      </c>
      <c r="E288" s="399" t="s">
        <v>1531</v>
      </c>
      <c r="F288" s="408" t="s">
        <v>1413</v>
      </c>
      <c r="G288" s="399" t="s">
        <v>1531</v>
      </c>
      <c r="H288" s="408" t="s">
        <v>1413</v>
      </c>
      <c r="I288" s="409" t="s">
        <v>969</v>
      </c>
      <c r="J288" s="408" t="s">
        <v>1413</v>
      </c>
      <c r="K288" s="409">
        <v>1</v>
      </c>
      <c r="L288" s="413" t="s">
        <v>1531</v>
      </c>
      <c r="M288" s="397">
        <v>189000</v>
      </c>
      <c r="N288" s="426" t="s">
        <v>583</v>
      </c>
      <c r="O288" s="393" t="s">
        <v>872</v>
      </c>
      <c r="P288" s="416" t="s">
        <v>1413</v>
      </c>
      <c r="Q288" s="340" t="s">
        <v>2433</v>
      </c>
      <c r="R288" s="338">
        <v>1</v>
      </c>
      <c r="S288" s="408" t="s">
        <v>1413</v>
      </c>
      <c r="T288" s="396">
        <v>0.16</v>
      </c>
      <c r="U288" s="399" t="s">
        <v>1531</v>
      </c>
    </row>
    <row r="289" spans="1:21" ht="15">
      <c r="A289" s="403" t="s">
        <v>1531</v>
      </c>
      <c r="B289" s="404" t="s">
        <v>1413</v>
      </c>
      <c r="C289" s="398" t="s">
        <v>1531</v>
      </c>
      <c r="D289" s="404" t="s">
        <v>1413</v>
      </c>
      <c r="E289" s="394">
        <v>0.02</v>
      </c>
      <c r="F289" s="405" t="s">
        <v>1412</v>
      </c>
      <c r="G289" s="398" t="s">
        <v>1531</v>
      </c>
      <c r="H289" s="404" t="s">
        <v>1413</v>
      </c>
      <c r="I289" s="404" t="s">
        <v>1413</v>
      </c>
      <c r="J289" s="404" t="s">
        <v>1413</v>
      </c>
      <c r="K289" s="405">
        <v>1</v>
      </c>
      <c r="L289" s="405">
        <v>0.1</v>
      </c>
      <c r="M289" s="406" t="s">
        <v>1531</v>
      </c>
      <c r="N289" s="425" t="s">
        <v>1110</v>
      </c>
      <c r="O289" s="391" t="s">
        <v>873</v>
      </c>
      <c r="P289" s="414" t="s">
        <v>1413</v>
      </c>
      <c r="Q289" s="340" t="s">
        <v>2434</v>
      </c>
      <c r="R289" s="338">
        <v>1</v>
      </c>
      <c r="S289" s="404" t="s">
        <v>1413</v>
      </c>
      <c r="T289" s="398" t="s">
        <v>1531</v>
      </c>
      <c r="U289" s="398" t="s">
        <v>1531</v>
      </c>
    </row>
    <row r="290" spans="1:21" ht="15">
      <c r="A290" s="403" t="s">
        <v>1531</v>
      </c>
      <c r="B290" s="404" t="s">
        <v>1413</v>
      </c>
      <c r="C290" s="398" t="s">
        <v>1531</v>
      </c>
      <c r="D290" s="404" t="s">
        <v>1413</v>
      </c>
      <c r="E290" s="394">
        <v>5.9999999999999995E-4</v>
      </c>
      <c r="F290" s="405" t="s">
        <v>1412</v>
      </c>
      <c r="G290" s="398" t="s">
        <v>1531</v>
      </c>
      <c r="H290" s="404" t="s">
        <v>1413</v>
      </c>
      <c r="I290" s="404" t="s">
        <v>1413</v>
      </c>
      <c r="J290" s="404" t="s">
        <v>1413</v>
      </c>
      <c r="K290" s="405">
        <v>1</v>
      </c>
      <c r="L290" s="405">
        <v>0.1</v>
      </c>
      <c r="M290" s="406" t="s">
        <v>1531</v>
      </c>
      <c r="N290" s="425" t="s">
        <v>1111</v>
      </c>
      <c r="O290" s="391" t="s">
        <v>874</v>
      </c>
      <c r="P290" s="414" t="s">
        <v>1413</v>
      </c>
      <c r="Q290" s="340" t="s">
        <v>2433</v>
      </c>
      <c r="R290" s="338">
        <v>1</v>
      </c>
      <c r="S290" s="404" t="s">
        <v>1413</v>
      </c>
      <c r="T290" s="398" t="s">
        <v>1531</v>
      </c>
      <c r="U290" s="398" t="s">
        <v>1531</v>
      </c>
    </row>
    <row r="291" spans="1:21" ht="15.6" thickBot="1">
      <c r="A291" s="407" t="s">
        <v>1531</v>
      </c>
      <c r="B291" s="408" t="s">
        <v>1413</v>
      </c>
      <c r="C291" s="399" t="s">
        <v>1531</v>
      </c>
      <c r="D291" s="408" t="s">
        <v>1413</v>
      </c>
      <c r="E291" s="396">
        <v>1E-3</v>
      </c>
      <c r="F291" s="409" t="s">
        <v>1412</v>
      </c>
      <c r="G291" s="399" t="s">
        <v>1531</v>
      </c>
      <c r="H291" s="408" t="s">
        <v>1413</v>
      </c>
      <c r="I291" s="408" t="s">
        <v>1413</v>
      </c>
      <c r="J291" s="408" t="s">
        <v>1413</v>
      </c>
      <c r="K291" s="409">
        <v>1</v>
      </c>
      <c r="L291" s="409">
        <v>0.1</v>
      </c>
      <c r="M291" s="410" t="s">
        <v>1531</v>
      </c>
      <c r="N291" s="426" t="s">
        <v>1112</v>
      </c>
      <c r="O291" s="393" t="s">
        <v>875</v>
      </c>
      <c r="P291" s="416" t="s">
        <v>1413</v>
      </c>
      <c r="Q291" s="340" t="s">
        <v>2433</v>
      </c>
      <c r="R291" s="338">
        <v>1</v>
      </c>
      <c r="S291" s="408" t="s">
        <v>1413</v>
      </c>
      <c r="T291" s="399" t="s">
        <v>1531</v>
      </c>
      <c r="U291" s="399" t="s">
        <v>1531</v>
      </c>
    </row>
    <row r="292" spans="1:21" ht="15">
      <c r="A292" s="403" t="s">
        <v>1531</v>
      </c>
      <c r="B292" s="404" t="s">
        <v>1413</v>
      </c>
      <c r="C292" s="398" t="s">
        <v>1531</v>
      </c>
      <c r="D292" s="404" t="s">
        <v>1413</v>
      </c>
      <c r="E292" s="394">
        <v>0.1</v>
      </c>
      <c r="F292" s="405" t="s">
        <v>1412</v>
      </c>
      <c r="G292" s="398" t="s">
        <v>1531</v>
      </c>
      <c r="H292" s="404" t="s">
        <v>1413</v>
      </c>
      <c r="I292" s="405" t="s">
        <v>969</v>
      </c>
      <c r="J292" s="404" t="s">
        <v>1413</v>
      </c>
      <c r="K292" s="405">
        <v>1</v>
      </c>
      <c r="L292" s="411" t="s">
        <v>1531</v>
      </c>
      <c r="M292" s="406" t="s">
        <v>1531</v>
      </c>
      <c r="N292" s="425" t="s">
        <v>2331</v>
      </c>
      <c r="O292" s="391" t="s">
        <v>876</v>
      </c>
      <c r="P292" s="414" t="s">
        <v>1413</v>
      </c>
      <c r="Q292" s="340" t="s">
        <v>2434</v>
      </c>
      <c r="R292" s="338">
        <v>1</v>
      </c>
      <c r="S292" s="404" t="s">
        <v>1413</v>
      </c>
      <c r="T292" s="398" t="s">
        <v>1531</v>
      </c>
      <c r="U292" s="398" t="s">
        <v>1531</v>
      </c>
    </row>
    <row r="293" spans="1:21" ht="15">
      <c r="A293" s="427">
        <v>4.4999999999999998E-2</v>
      </c>
      <c r="B293" s="405" t="s">
        <v>521</v>
      </c>
      <c r="C293" s="394">
        <v>1.2999999999999999E-5</v>
      </c>
      <c r="D293" s="405" t="s">
        <v>521</v>
      </c>
      <c r="E293" s="398" t="s">
        <v>1531</v>
      </c>
      <c r="F293" s="404" t="s">
        <v>1413</v>
      </c>
      <c r="G293" s="398" t="s">
        <v>1531</v>
      </c>
      <c r="H293" s="404" t="s">
        <v>1413</v>
      </c>
      <c r="I293" s="405" t="s">
        <v>969</v>
      </c>
      <c r="J293" s="404" t="s">
        <v>1413</v>
      </c>
      <c r="K293" s="405">
        <v>1</v>
      </c>
      <c r="L293" s="411" t="s">
        <v>1531</v>
      </c>
      <c r="M293" s="395">
        <v>473</v>
      </c>
      <c r="N293" s="425" t="s">
        <v>584</v>
      </c>
      <c r="O293" s="391" t="s">
        <v>877</v>
      </c>
      <c r="P293" s="414" t="s">
        <v>1413</v>
      </c>
      <c r="Q293" s="340" t="s">
        <v>2433</v>
      </c>
      <c r="R293" s="338">
        <v>1</v>
      </c>
      <c r="S293" s="404" t="s">
        <v>1413</v>
      </c>
      <c r="T293" s="394">
        <v>1.2999999999999999E-5</v>
      </c>
      <c r="U293" s="398" t="s">
        <v>1531</v>
      </c>
    </row>
    <row r="294" spans="1:21" ht="15.6" thickBot="1">
      <c r="A294" s="407" t="s">
        <v>1531</v>
      </c>
      <c r="B294" s="408" t="s">
        <v>1413</v>
      </c>
      <c r="C294" s="399" t="s">
        <v>1531</v>
      </c>
      <c r="D294" s="408" t="s">
        <v>1413</v>
      </c>
      <c r="E294" s="396">
        <v>1E-4</v>
      </c>
      <c r="F294" s="409" t="s">
        <v>520</v>
      </c>
      <c r="G294" s="399" t="s">
        <v>1531</v>
      </c>
      <c r="H294" s="408" t="s">
        <v>1413</v>
      </c>
      <c r="I294" s="408" t="s">
        <v>1413</v>
      </c>
      <c r="J294" s="408" t="s">
        <v>1413</v>
      </c>
      <c r="K294" s="409">
        <v>1</v>
      </c>
      <c r="L294" s="409">
        <v>0.1</v>
      </c>
      <c r="M294" s="410" t="s">
        <v>1531</v>
      </c>
      <c r="N294" s="426" t="s">
        <v>1114</v>
      </c>
      <c r="O294" s="393" t="s">
        <v>880</v>
      </c>
      <c r="P294" s="416" t="s">
        <v>1413</v>
      </c>
      <c r="Q294" s="340" t="s">
        <v>2433</v>
      </c>
      <c r="R294" s="338">
        <v>1</v>
      </c>
      <c r="S294" s="408" t="s">
        <v>1413</v>
      </c>
      <c r="T294" s="399" t="s">
        <v>1531</v>
      </c>
      <c r="U294" s="399" t="s">
        <v>1531</v>
      </c>
    </row>
    <row r="295" spans="1:21" ht="15">
      <c r="A295" s="403" t="s">
        <v>1531</v>
      </c>
      <c r="B295" s="404" t="s">
        <v>1413</v>
      </c>
      <c r="C295" s="398" t="s">
        <v>1531</v>
      </c>
      <c r="D295" s="404" t="s">
        <v>1413</v>
      </c>
      <c r="E295" s="394">
        <v>1E-4</v>
      </c>
      <c r="F295" s="405" t="s">
        <v>1412</v>
      </c>
      <c r="G295" s="398" t="s">
        <v>1531</v>
      </c>
      <c r="H295" s="404" t="s">
        <v>1413</v>
      </c>
      <c r="I295" s="404" t="s">
        <v>1413</v>
      </c>
      <c r="J295" s="404" t="s">
        <v>1413</v>
      </c>
      <c r="K295" s="405">
        <v>1</v>
      </c>
      <c r="L295" s="405">
        <v>0.1</v>
      </c>
      <c r="M295" s="406" t="s">
        <v>1531</v>
      </c>
      <c r="N295" s="425" t="s">
        <v>1115</v>
      </c>
      <c r="O295" s="391" t="s">
        <v>881</v>
      </c>
      <c r="P295" s="414" t="s">
        <v>1413</v>
      </c>
      <c r="Q295" s="340" t="s">
        <v>2433</v>
      </c>
      <c r="R295" s="338">
        <v>1</v>
      </c>
      <c r="S295" s="404" t="s">
        <v>1413</v>
      </c>
      <c r="T295" s="398" t="s">
        <v>1531</v>
      </c>
      <c r="U295" s="398" t="s">
        <v>1531</v>
      </c>
    </row>
    <row r="296" spans="1:21" ht="15">
      <c r="A296" s="403" t="s">
        <v>1531</v>
      </c>
      <c r="B296" s="404" t="s">
        <v>1413</v>
      </c>
      <c r="C296" s="398" t="s">
        <v>1531</v>
      </c>
      <c r="D296" s="404" t="s">
        <v>1413</v>
      </c>
      <c r="E296" s="394">
        <v>1E-4</v>
      </c>
      <c r="F296" s="405" t="s">
        <v>520</v>
      </c>
      <c r="G296" s="398" t="s">
        <v>1531</v>
      </c>
      <c r="H296" s="404" t="s">
        <v>1413</v>
      </c>
      <c r="I296" s="404" t="s">
        <v>1413</v>
      </c>
      <c r="J296" s="404" t="s">
        <v>1413</v>
      </c>
      <c r="K296" s="405">
        <v>1</v>
      </c>
      <c r="L296" s="405">
        <v>0.1</v>
      </c>
      <c r="M296" s="406" t="s">
        <v>1531</v>
      </c>
      <c r="N296" s="425" t="s">
        <v>1116</v>
      </c>
      <c r="O296" s="391" t="s">
        <v>882</v>
      </c>
      <c r="P296" s="414" t="s">
        <v>1413</v>
      </c>
      <c r="Q296" s="340" t="s">
        <v>2434</v>
      </c>
      <c r="R296" s="338">
        <v>1</v>
      </c>
      <c r="S296" s="404" t="s">
        <v>1413</v>
      </c>
      <c r="T296" s="398" t="s">
        <v>1531</v>
      </c>
      <c r="U296" s="398" t="s">
        <v>1531</v>
      </c>
    </row>
    <row r="297" spans="1:21" ht="15.6" thickBot="1">
      <c r="A297" s="407" t="s">
        <v>1531</v>
      </c>
      <c r="B297" s="408" t="s">
        <v>1413</v>
      </c>
      <c r="C297" s="399" t="s">
        <v>1531</v>
      </c>
      <c r="D297" s="408" t="s">
        <v>1413</v>
      </c>
      <c r="E297" s="396">
        <v>8.0000000000000007E-5</v>
      </c>
      <c r="F297" s="409" t="s">
        <v>961</v>
      </c>
      <c r="G297" s="399" t="s">
        <v>1531</v>
      </c>
      <c r="H297" s="408" t="s">
        <v>1413</v>
      </c>
      <c r="I297" s="408" t="s">
        <v>1413</v>
      </c>
      <c r="J297" s="408" t="s">
        <v>1413</v>
      </c>
      <c r="K297" s="409">
        <v>1</v>
      </c>
      <c r="L297" s="409">
        <v>0.1</v>
      </c>
      <c r="M297" s="410" t="s">
        <v>1531</v>
      </c>
      <c r="N297" s="426" t="s">
        <v>532</v>
      </c>
      <c r="O297" s="393" t="s">
        <v>878</v>
      </c>
      <c r="P297" s="416" t="s">
        <v>1413</v>
      </c>
      <c r="Q297" s="340" t="s">
        <v>2433</v>
      </c>
      <c r="R297" s="338">
        <v>1</v>
      </c>
      <c r="S297" s="408" t="s">
        <v>1413</v>
      </c>
      <c r="T297" s="399" t="s">
        <v>1531</v>
      </c>
      <c r="U297" s="399" t="s">
        <v>1531</v>
      </c>
    </row>
    <row r="298" spans="1:21" ht="15">
      <c r="A298" s="403" t="s">
        <v>1531</v>
      </c>
      <c r="B298" s="404" t="s">
        <v>1413</v>
      </c>
      <c r="C298" s="398" t="s">
        <v>1531</v>
      </c>
      <c r="D298" s="404" t="s">
        <v>1413</v>
      </c>
      <c r="E298" s="394">
        <v>2E-3</v>
      </c>
      <c r="F298" s="405" t="s">
        <v>1412</v>
      </c>
      <c r="G298" s="398" t="s">
        <v>1531</v>
      </c>
      <c r="H298" s="404" t="s">
        <v>1413</v>
      </c>
      <c r="I298" s="404" t="s">
        <v>1413</v>
      </c>
      <c r="J298" s="404" t="s">
        <v>1413</v>
      </c>
      <c r="K298" s="405">
        <v>1</v>
      </c>
      <c r="L298" s="405">
        <v>0.1</v>
      </c>
      <c r="M298" s="406" t="s">
        <v>1531</v>
      </c>
      <c r="N298" s="425" t="s">
        <v>1113</v>
      </c>
      <c r="O298" s="391" t="s">
        <v>879</v>
      </c>
      <c r="P298" s="414" t="s">
        <v>1413</v>
      </c>
      <c r="Q298" s="340" t="s">
        <v>2433</v>
      </c>
      <c r="R298" s="338">
        <v>1</v>
      </c>
      <c r="S298" s="404" t="s">
        <v>1413</v>
      </c>
      <c r="T298" s="398" t="s">
        <v>1531</v>
      </c>
      <c r="U298" s="398" t="s">
        <v>1531</v>
      </c>
    </row>
    <row r="299" spans="1:21" ht="15">
      <c r="A299" s="403" t="s">
        <v>1531</v>
      </c>
      <c r="B299" s="404" t="s">
        <v>1413</v>
      </c>
      <c r="C299" s="398" t="s">
        <v>1531</v>
      </c>
      <c r="D299" s="404" t="s">
        <v>1413</v>
      </c>
      <c r="E299" s="394">
        <v>2E-3</v>
      </c>
      <c r="F299" s="405" t="s">
        <v>1412</v>
      </c>
      <c r="G299" s="398" t="s">
        <v>1531</v>
      </c>
      <c r="H299" s="404" t="s">
        <v>1413</v>
      </c>
      <c r="I299" s="404" t="s">
        <v>1413</v>
      </c>
      <c r="J299" s="404" t="s">
        <v>1413</v>
      </c>
      <c r="K299" s="405">
        <v>1</v>
      </c>
      <c r="L299" s="405">
        <v>0.1</v>
      </c>
      <c r="M299" s="406" t="s">
        <v>1531</v>
      </c>
      <c r="N299" s="425" t="s">
        <v>1117</v>
      </c>
      <c r="O299" s="391" t="s">
        <v>883</v>
      </c>
      <c r="P299" s="414" t="s">
        <v>1413</v>
      </c>
      <c r="Q299" s="340" t="s">
        <v>2433</v>
      </c>
      <c r="R299" s="338">
        <v>1</v>
      </c>
      <c r="S299" s="404" t="s">
        <v>1413</v>
      </c>
      <c r="T299" s="398" t="s">
        <v>1531</v>
      </c>
      <c r="U299" s="398" t="s">
        <v>1531</v>
      </c>
    </row>
    <row r="300" spans="1:21" ht="15.6" thickBot="1">
      <c r="A300" s="412">
        <v>0.68</v>
      </c>
      <c r="B300" s="409" t="s">
        <v>1412</v>
      </c>
      <c r="C300" s="399" t="s">
        <v>1531</v>
      </c>
      <c r="D300" s="408" t="s">
        <v>1413</v>
      </c>
      <c r="E300" s="399" t="s">
        <v>1531</v>
      </c>
      <c r="F300" s="408" t="s">
        <v>1413</v>
      </c>
      <c r="G300" s="399" t="s">
        <v>1531</v>
      </c>
      <c r="H300" s="408" t="s">
        <v>1413</v>
      </c>
      <c r="I300" s="408" t="s">
        <v>1413</v>
      </c>
      <c r="J300" s="408" t="s">
        <v>1413</v>
      </c>
      <c r="K300" s="409">
        <v>1</v>
      </c>
      <c r="L300" s="409">
        <v>0.1</v>
      </c>
      <c r="M300" s="410" t="s">
        <v>1531</v>
      </c>
      <c r="N300" s="426" t="s">
        <v>1118</v>
      </c>
      <c r="O300" s="508" t="s">
        <v>2170</v>
      </c>
      <c r="P300" s="416" t="s">
        <v>1413</v>
      </c>
      <c r="Q300" s="340" t="s">
        <v>2433</v>
      </c>
      <c r="R300" s="338">
        <v>1</v>
      </c>
      <c r="S300" s="408" t="s">
        <v>1413</v>
      </c>
      <c r="T300" s="399" t="s">
        <v>1531</v>
      </c>
      <c r="U300" s="399" t="s">
        <v>1531</v>
      </c>
    </row>
    <row r="301" spans="1:21" ht="15">
      <c r="A301" s="427">
        <v>0.31</v>
      </c>
      <c r="B301" s="405" t="s">
        <v>521</v>
      </c>
      <c r="C301" s="394">
        <v>8.8999999999999995E-5</v>
      </c>
      <c r="D301" s="405" t="s">
        <v>521</v>
      </c>
      <c r="E301" s="394">
        <v>2E-3</v>
      </c>
      <c r="F301" s="405" t="s">
        <v>1412</v>
      </c>
      <c r="G301" s="398" t="s">
        <v>1531</v>
      </c>
      <c r="H301" s="404" t="s">
        <v>1413</v>
      </c>
      <c r="I301" s="404" t="s">
        <v>1413</v>
      </c>
      <c r="J301" s="404" t="s">
        <v>1413</v>
      </c>
      <c r="K301" s="405">
        <v>1</v>
      </c>
      <c r="L301" s="405">
        <v>0.10199999999999999</v>
      </c>
      <c r="M301" s="406" t="s">
        <v>1531</v>
      </c>
      <c r="N301" s="425" t="s">
        <v>1119</v>
      </c>
      <c r="O301" s="391" t="s">
        <v>885</v>
      </c>
      <c r="P301" s="414" t="s">
        <v>1413</v>
      </c>
      <c r="Q301" s="340" t="s">
        <v>2433</v>
      </c>
      <c r="R301" s="338">
        <v>1</v>
      </c>
      <c r="S301" s="404" t="s">
        <v>1413</v>
      </c>
      <c r="T301" s="394">
        <v>8.8999999999999995E-5</v>
      </c>
      <c r="U301" s="398" t="s">
        <v>1531</v>
      </c>
    </row>
    <row r="302" spans="1:21" ht="15">
      <c r="A302" s="427">
        <v>1.5</v>
      </c>
      <c r="B302" s="405" t="s">
        <v>520</v>
      </c>
      <c r="C302" s="398" t="s">
        <v>1531</v>
      </c>
      <c r="D302" s="404" t="s">
        <v>1413</v>
      </c>
      <c r="E302" s="394">
        <v>2.9999999999999997E-4</v>
      </c>
      <c r="F302" s="405" t="s">
        <v>961</v>
      </c>
      <c r="G302" s="398" t="s">
        <v>1531</v>
      </c>
      <c r="H302" s="404" t="s">
        <v>1413</v>
      </c>
      <c r="I302" s="404" t="s">
        <v>1413</v>
      </c>
      <c r="J302" s="404" t="s">
        <v>1413</v>
      </c>
      <c r="K302" s="405">
        <v>1</v>
      </c>
      <c r="L302" s="405">
        <v>9.9000000000000005E-2</v>
      </c>
      <c r="M302" s="406" t="s">
        <v>1531</v>
      </c>
      <c r="N302" s="425" t="s">
        <v>1120</v>
      </c>
      <c r="O302" s="391" t="s">
        <v>886</v>
      </c>
      <c r="P302" s="414" t="s">
        <v>1413</v>
      </c>
      <c r="Q302" s="340" t="s">
        <v>2433</v>
      </c>
      <c r="R302" s="338">
        <v>1</v>
      </c>
      <c r="S302" s="404" t="s">
        <v>1413</v>
      </c>
      <c r="T302" s="398" t="s">
        <v>1531</v>
      </c>
      <c r="U302" s="398" t="s">
        <v>1531</v>
      </c>
    </row>
    <row r="303" spans="1:21" ht="15.6" thickBot="1">
      <c r="A303" s="407" t="s">
        <v>1531</v>
      </c>
      <c r="B303" s="408" t="s">
        <v>1413</v>
      </c>
      <c r="C303" s="399" t="s">
        <v>1531</v>
      </c>
      <c r="D303" s="408" t="s">
        <v>1413</v>
      </c>
      <c r="E303" s="396">
        <v>2E-3</v>
      </c>
      <c r="F303" s="409" t="s">
        <v>405</v>
      </c>
      <c r="G303" s="399" t="s">
        <v>1531</v>
      </c>
      <c r="H303" s="408" t="s">
        <v>1413</v>
      </c>
      <c r="I303" s="408" t="s">
        <v>1413</v>
      </c>
      <c r="J303" s="408" t="s">
        <v>1413</v>
      </c>
      <c r="K303" s="409">
        <v>1</v>
      </c>
      <c r="L303" s="409">
        <v>6.0000000000000001E-3</v>
      </c>
      <c r="M303" s="410" t="s">
        <v>1531</v>
      </c>
      <c r="N303" s="426" t="s">
        <v>1121</v>
      </c>
      <c r="O303" s="393" t="s">
        <v>887</v>
      </c>
      <c r="P303" s="416" t="s">
        <v>1413</v>
      </c>
      <c r="Q303" s="340" t="s">
        <v>2433</v>
      </c>
      <c r="R303" s="338">
        <v>1</v>
      </c>
      <c r="S303" s="408" t="s">
        <v>1413</v>
      </c>
      <c r="T303" s="399" t="s">
        <v>1531</v>
      </c>
      <c r="U303" s="399" t="s">
        <v>1531</v>
      </c>
    </row>
    <row r="304" spans="1:21" ht="15">
      <c r="A304" s="403" t="s">
        <v>1531</v>
      </c>
      <c r="B304" s="404" t="s">
        <v>1413</v>
      </c>
      <c r="C304" s="398" t="s">
        <v>1531</v>
      </c>
      <c r="D304" s="404" t="s">
        <v>1413</v>
      </c>
      <c r="E304" s="394">
        <v>2E-3</v>
      </c>
      <c r="F304" s="405" t="s">
        <v>405</v>
      </c>
      <c r="G304" s="398" t="s">
        <v>1531</v>
      </c>
      <c r="H304" s="404" t="s">
        <v>1413</v>
      </c>
      <c r="I304" s="404" t="s">
        <v>1413</v>
      </c>
      <c r="J304" s="404" t="s">
        <v>1413</v>
      </c>
      <c r="K304" s="405">
        <v>1</v>
      </c>
      <c r="L304" s="405">
        <v>8.9999999999999993E-3</v>
      </c>
      <c r="M304" s="406" t="s">
        <v>1531</v>
      </c>
      <c r="N304" s="425" t="s">
        <v>1122</v>
      </c>
      <c r="O304" s="391" t="s">
        <v>888</v>
      </c>
      <c r="P304" s="414" t="s">
        <v>1413</v>
      </c>
      <c r="Q304" s="340" t="s">
        <v>2434</v>
      </c>
      <c r="R304" s="338">
        <v>1</v>
      </c>
      <c r="S304" s="404" t="s">
        <v>1413</v>
      </c>
      <c r="T304" s="398" t="s">
        <v>1531</v>
      </c>
      <c r="U304" s="398" t="s">
        <v>1531</v>
      </c>
    </row>
    <row r="305" spans="1:21" ht="15">
      <c r="A305" s="427">
        <v>0.45</v>
      </c>
      <c r="B305" s="405" t="s">
        <v>961</v>
      </c>
      <c r="C305" s="398" t="s">
        <v>1531</v>
      </c>
      <c r="D305" s="404" t="s">
        <v>1413</v>
      </c>
      <c r="E305" s="394">
        <v>8.9999999999999998E-4</v>
      </c>
      <c r="F305" s="405" t="s">
        <v>961</v>
      </c>
      <c r="G305" s="398" t="s">
        <v>1531</v>
      </c>
      <c r="H305" s="404" t="s">
        <v>1413</v>
      </c>
      <c r="I305" s="404" t="s">
        <v>1413</v>
      </c>
      <c r="J305" s="404" t="s">
        <v>1413</v>
      </c>
      <c r="K305" s="405">
        <v>1</v>
      </c>
      <c r="L305" s="405">
        <v>0.1</v>
      </c>
      <c r="M305" s="406" t="s">
        <v>1531</v>
      </c>
      <c r="N305" s="425" t="s">
        <v>2031</v>
      </c>
      <c r="O305" s="391" t="s">
        <v>884</v>
      </c>
      <c r="P305" s="414" t="s">
        <v>1413</v>
      </c>
      <c r="Q305" s="340" t="s">
        <v>2433</v>
      </c>
      <c r="R305" s="338">
        <v>1047786</v>
      </c>
      <c r="S305" s="404" t="s">
        <v>1413</v>
      </c>
      <c r="T305" s="398" t="s">
        <v>1531</v>
      </c>
      <c r="U305" s="398" t="s">
        <v>1531</v>
      </c>
    </row>
    <row r="306" spans="1:21" ht="15.6" thickBot="1">
      <c r="A306" s="407" t="s">
        <v>1531</v>
      </c>
      <c r="B306" s="408" t="s">
        <v>1413</v>
      </c>
      <c r="C306" s="399" t="s">
        <v>1531</v>
      </c>
      <c r="D306" s="408" t="s">
        <v>1413</v>
      </c>
      <c r="E306" s="396">
        <v>1E-3</v>
      </c>
      <c r="F306" s="409" t="s">
        <v>1412</v>
      </c>
      <c r="G306" s="399" t="s">
        <v>1531</v>
      </c>
      <c r="H306" s="408" t="s">
        <v>1413</v>
      </c>
      <c r="I306" s="408" t="s">
        <v>1413</v>
      </c>
      <c r="J306" s="408" t="s">
        <v>1413</v>
      </c>
      <c r="K306" s="409">
        <v>1</v>
      </c>
      <c r="L306" s="409">
        <v>0.1</v>
      </c>
      <c r="M306" s="410" t="s">
        <v>1531</v>
      </c>
      <c r="N306" s="426" t="s">
        <v>1123</v>
      </c>
      <c r="O306" s="393" t="s">
        <v>889</v>
      </c>
      <c r="P306" s="415">
        <v>7</v>
      </c>
      <c r="Q306" s="340" t="s">
        <v>2434</v>
      </c>
      <c r="R306" s="338">
        <v>1</v>
      </c>
      <c r="S306" s="408" t="s">
        <v>1413</v>
      </c>
      <c r="T306" s="399" t="s">
        <v>1531</v>
      </c>
      <c r="U306" s="399" t="s">
        <v>1531</v>
      </c>
    </row>
    <row r="307" spans="1:21" ht="15">
      <c r="A307" s="427">
        <v>0.1</v>
      </c>
      <c r="B307" s="405" t="s">
        <v>1412</v>
      </c>
      <c r="C307" s="394">
        <v>5.0000000000000004E-6</v>
      </c>
      <c r="D307" s="405" t="s">
        <v>1412</v>
      </c>
      <c r="E307" s="394">
        <v>0.03</v>
      </c>
      <c r="F307" s="405" t="s">
        <v>1412</v>
      </c>
      <c r="G307" s="394">
        <v>0.03</v>
      </c>
      <c r="H307" s="405" t="s">
        <v>1412</v>
      </c>
      <c r="I307" s="405" t="s">
        <v>969</v>
      </c>
      <c r="J307" s="404" t="s">
        <v>1413</v>
      </c>
      <c r="K307" s="405">
        <v>1</v>
      </c>
      <c r="L307" s="411" t="s">
        <v>1531</v>
      </c>
      <c r="M307" s="395">
        <v>116000</v>
      </c>
      <c r="N307" s="425" t="s">
        <v>1124</v>
      </c>
      <c r="O307" s="391" t="s">
        <v>890</v>
      </c>
      <c r="P307" s="414" t="s">
        <v>1413</v>
      </c>
      <c r="Q307" s="340" t="s">
        <v>2434</v>
      </c>
      <c r="R307" s="338">
        <v>1</v>
      </c>
      <c r="S307" s="404" t="s">
        <v>1413</v>
      </c>
      <c r="T307" s="394">
        <v>5.0000000000000004E-6</v>
      </c>
      <c r="U307" s="394">
        <v>0.03</v>
      </c>
    </row>
    <row r="308" spans="1:21" ht="15">
      <c r="A308" s="403" t="s">
        <v>1531</v>
      </c>
      <c r="B308" s="404" t="s">
        <v>1413</v>
      </c>
      <c r="C308" s="398" t="s">
        <v>1531</v>
      </c>
      <c r="D308" s="404" t="s">
        <v>1413</v>
      </c>
      <c r="E308" s="398" t="s">
        <v>1531</v>
      </c>
      <c r="F308" s="404" t="s">
        <v>1413</v>
      </c>
      <c r="G308" s="398" t="s">
        <v>1531</v>
      </c>
      <c r="H308" s="404" t="s">
        <v>1413</v>
      </c>
      <c r="I308" s="404" t="s">
        <v>1413</v>
      </c>
      <c r="J308" s="404" t="s">
        <v>1413</v>
      </c>
      <c r="K308" s="411" t="s">
        <v>1531</v>
      </c>
      <c r="L308" s="411" t="s">
        <v>1531</v>
      </c>
      <c r="M308" s="406" t="s">
        <v>1531</v>
      </c>
      <c r="N308" s="425" t="s">
        <v>1125</v>
      </c>
      <c r="O308" s="391" t="s">
        <v>1413</v>
      </c>
      <c r="P308" s="414" t="s">
        <v>1413</v>
      </c>
      <c r="Q308" s="340" t="s">
        <v>2433</v>
      </c>
      <c r="R308" s="338">
        <v>1</v>
      </c>
      <c r="S308" s="404" t="s">
        <v>1413</v>
      </c>
      <c r="T308" s="398" t="s">
        <v>1531</v>
      </c>
      <c r="U308" s="398" t="s">
        <v>1531</v>
      </c>
    </row>
    <row r="309" spans="1:21" ht="15.6" thickBot="1">
      <c r="A309" s="407" t="s">
        <v>1531</v>
      </c>
      <c r="B309" s="408" t="s">
        <v>1413</v>
      </c>
      <c r="C309" s="399" t="s">
        <v>1531</v>
      </c>
      <c r="D309" s="408" t="s">
        <v>1413</v>
      </c>
      <c r="E309" s="396">
        <v>0.03</v>
      </c>
      <c r="F309" s="409" t="s">
        <v>1412</v>
      </c>
      <c r="G309" s="399" t="s">
        <v>1531</v>
      </c>
      <c r="H309" s="408" t="s">
        <v>1413</v>
      </c>
      <c r="I309" s="408" t="s">
        <v>1413</v>
      </c>
      <c r="J309" s="408" t="s">
        <v>1413</v>
      </c>
      <c r="K309" s="409">
        <v>1</v>
      </c>
      <c r="L309" s="409">
        <v>0.1</v>
      </c>
      <c r="M309" s="410" t="s">
        <v>1531</v>
      </c>
      <c r="N309" s="426" t="s">
        <v>1126</v>
      </c>
      <c r="O309" s="393" t="s">
        <v>892</v>
      </c>
      <c r="P309" s="416" t="s">
        <v>1413</v>
      </c>
      <c r="Q309" s="340" t="s">
        <v>2434</v>
      </c>
      <c r="R309" s="338">
        <v>1</v>
      </c>
      <c r="S309" s="408" t="s">
        <v>1413</v>
      </c>
      <c r="T309" s="399" t="s">
        <v>1531</v>
      </c>
      <c r="U309" s="399" t="s">
        <v>1531</v>
      </c>
    </row>
    <row r="310" spans="1:21" ht="15">
      <c r="A310" s="403" t="s">
        <v>1531</v>
      </c>
      <c r="B310" s="404" t="s">
        <v>1413</v>
      </c>
      <c r="C310" s="398" t="s">
        <v>1531</v>
      </c>
      <c r="D310" s="404" t="s">
        <v>1413</v>
      </c>
      <c r="E310" s="398" t="s">
        <v>1531</v>
      </c>
      <c r="F310" s="404" t="s">
        <v>1413</v>
      </c>
      <c r="G310" s="394">
        <v>4.0000000000000002E-4</v>
      </c>
      <c r="H310" s="405" t="s">
        <v>961</v>
      </c>
      <c r="I310" s="405" t="s">
        <v>969</v>
      </c>
      <c r="J310" s="404" t="s">
        <v>1413</v>
      </c>
      <c r="K310" s="405">
        <v>1</v>
      </c>
      <c r="L310" s="411" t="s">
        <v>1531</v>
      </c>
      <c r="M310" s="406" t="s">
        <v>1531</v>
      </c>
      <c r="N310" s="425" t="s">
        <v>2500</v>
      </c>
      <c r="O310" s="391" t="s">
        <v>2501</v>
      </c>
      <c r="P310" s="414" t="s">
        <v>1413</v>
      </c>
      <c r="Q310" s="340" t="s">
        <v>2433</v>
      </c>
      <c r="R310" s="338">
        <v>1</v>
      </c>
      <c r="S310" s="404" t="s">
        <v>1413</v>
      </c>
      <c r="T310" s="398" t="s">
        <v>1531</v>
      </c>
      <c r="U310" s="394">
        <v>4.0000000000000002E-4</v>
      </c>
    </row>
    <row r="311" spans="1:21" ht="15">
      <c r="A311" s="403" t="s">
        <v>1531</v>
      </c>
      <c r="B311" s="404" t="s">
        <v>1413</v>
      </c>
      <c r="C311" s="398" t="s">
        <v>1531</v>
      </c>
      <c r="D311" s="404" t="s">
        <v>1413</v>
      </c>
      <c r="E311" s="394">
        <v>8.0000000000000004E-4</v>
      </c>
      <c r="F311" s="405" t="s">
        <v>961</v>
      </c>
      <c r="G311" s="398" t="s">
        <v>1531</v>
      </c>
      <c r="H311" s="404" t="s">
        <v>1413</v>
      </c>
      <c r="I311" s="404" t="s">
        <v>1413</v>
      </c>
      <c r="J311" s="404" t="s">
        <v>1413</v>
      </c>
      <c r="K311" s="405">
        <v>1</v>
      </c>
      <c r="L311" s="405">
        <v>0.1</v>
      </c>
      <c r="M311" s="406" t="s">
        <v>1531</v>
      </c>
      <c r="N311" s="425" t="s">
        <v>533</v>
      </c>
      <c r="O311" s="391" t="s">
        <v>893</v>
      </c>
      <c r="P311" s="414" t="s">
        <v>1413</v>
      </c>
      <c r="Q311" s="340" t="s">
        <v>2434</v>
      </c>
      <c r="R311" s="338">
        <v>1</v>
      </c>
      <c r="S311" s="404" t="s">
        <v>1413</v>
      </c>
      <c r="T311" s="398" t="s">
        <v>1531</v>
      </c>
      <c r="U311" s="398" t="s">
        <v>1531</v>
      </c>
    </row>
    <row r="312" spans="1:21" ht="15.6" thickBot="1">
      <c r="A312" s="407" t="s">
        <v>1531</v>
      </c>
      <c r="B312" s="408" t="s">
        <v>1413</v>
      </c>
      <c r="C312" s="399" t="s">
        <v>1531</v>
      </c>
      <c r="D312" s="408" t="s">
        <v>1413</v>
      </c>
      <c r="E312" s="396">
        <v>0.1</v>
      </c>
      <c r="F312" s="409" t="s">
        <v>1474</v>
      </c>
      <c r="G312" s="399" t="s">
        <v>1531</v>
      </c>
      <c r="H312" s="408" t="s">
        <v>1413</v>
      </c>
      <c r="I312" s="408" t="s">
        <v>1413</v>
      </c>
      <c r="J312" s="408" t="s">
        <v>1413</v>
      </c>
      <c r="K312" s="409">
        <v>1</v>
      </c>
      <c r="L312" s="409">
        <v>0.1</v>
      </c>
      <c r="M312" s="410" t="s">
        <v>1531</v>
      </c>
      <c r="N312" s="426" t="s">
        <v>1127</v>
      </c>
      <c r="O312" s="393" t="s">
        <v>894</v>
      </c>
      <c r="P312" s="416" t="s">
        <v>1413</v>
      </c>
      <c r="Q312" s="340" t="s">
        <v>2434</v>
      </c>
      <c r="R312" s="338">
        <v>1</v>
      </c>
      <c r="S312" s="408" t="s">
        <v>1413</v>
      </c>
      <c r="T312" s="399" t="s">
        <v>1531</v>
      </c>
      <c r="U312" s="399" t="s">
        <v>1531</v>
      </c>
    </row>
    <row r="313" spans="1:21" ht="15">
      <c r="A313" s="427">
        <v>0.8</v>
      </c>
      <c r="B313" s="405" t="s">
        <v>1412</v>
      </c>
      <c r="C313" s="394">
        <v>2.2000000000000001E-4</v>
      </c>
      <c r="D313" s="405" t="s">
        <v>1412</v>
      </c>
      <c r="E313" s="398" t="s">
        <v>1531</v>
      </c>
      <c r="F313" s="404" t="s">
        <v>1413</v>
      </c>
      <c r="G313" s="398" t="s">
        <v>1531</v>
      </c>
      <c r="H313" s="404" t="s">
        <v>1413</v>
      </c>
      <c r="I313" s="404" t="s">
        <v>1413</v>
      </c>
      <c r="J313" s="404" t="s">
        <v>1413</v>
      </c>
      <c r="K313" s="405">
        <v>1</v>
      </c>
      <c r="L313" s="405">
        <v>0.1</v>
      </c>
      <c r="M313" s="406" t="s">
        <v>1531</v>
      </c>
      <c r="N313" s="425" t="s">
        <v>1128</v>
      </c>
      <c r="O313" s="391" t="s">
        <v>895</v>
      </c>
      <c r="P313" s="414" t="s">
        <v>1413</v>
      </c>
      <c r="Q313" s="340" t="s">
        <v>2434</v>
      </c>
      <c r="R313" s="338">
        <v>1</v>
      </c>
      <c r="S313" s="404" t="s">
        <v>1413</v>
      </c>
      <c r="T313" s="394">
        <v>2.2000000000000001E-4</v>
      </c>
      <c r="U313" s="398" t="s">
        <v>1531</v>
      </c>
    </row>
    <row r="314" spans="1:21" ht="15">
      <c r="A314" s="403" t="s">
        <v>1531</v>
      </c>
      <c r="B314" s="404" t="s">
        <v>1413</v>
      </c>
      <c r="C314" s="398" t="s">
        <v>1531</v>
      </c>
      <c r="D314" s="404" t="s">
        <v>1413</v>
      </c>
      <c r="E314" s="394">
        <v>49</v>
      </c>
      <c r="F314" s="405" t="s">
        <v>520</v>
      </c>
      <c r="G314" s="398" t="s">
        <v>1531</v>
      </c>
      <c r="H314" s="404" t="s">
        <v>1413</v>
      </c>
      <c r="I314" s="404" t="s">
        <v>1413</v>
      </c>
      <c r="J314" s="404" t="s">
        <v>1413</v>
      </c>
      <c r="K314" s="405">
        <v>1</v>
      </c>
      <c r="L314" s="411" t="s">
        <v>1531</v>
      </c>
      <c r="M314" s="406" t="s">
        <v>1531</v>
      </c>
      <c r="N314" s="425" t="s">
        <v>2387</v>
      </c>
      <c r="O314" s="391" t="s">
        <v>1587</v>
      </c>
      <c r="P314" s="414" t="s">
        <v>1413</v>
      </c>
      <c r="Q314" s="340" t="s">
        <v>2433</v>
      </c>
      <c r="R314" s="338">
        <v>1</v>
      </c>
      <c r="S314" s="404" t="s">
        <v>1413</v>
      </c>
      <c r="T314" s="398" t="s">
        <v>1531</v>
      </c>
      <c r="U314" s="398" t="s">
        <v>1531</v>
      </c>
    </row>
    <row r="315" spans="1:21" ht="15.6" thickBot="1">
      <c r="A315" s="407" t="s">
        <v>1531</v>
      </c>
      <c r="B315" s="408" t="s">
        <v>1413</v>
      </c>
      <c r="C315" s="399" t="s">
        <v>1531</v>
      </c>
      <c r="D315" s="408" t="s">
        <v>1413</v>
      </c>
      <c r="E315" s="396">
        <v>2.2000000000000001E-3</v>
      </c>
      <c r="F315" s="409" t="s">
        <v>1412</v>
      </c>
      <c r="G315" s="399" t="s">
        <v>1531</v>
      </c>
      <c r="H315" s="408" t="s">
        <v>1413</v>
      </c>
      <c r="I315" s="408" t="s">
        <v>1413</v>
      </c>
      <c r="J315" s="408" t="s">
        <v>1413</v>
      </c>
      <c r="K315" s="409">
        <v>1</v>
      </c>
      <c r="L315" s="409">
        <v>0.1</v>
      </c>
      <c r="M315" s="410" t="s">
        <v>1531</v>
      </c>
      <c r="N315" s="426" t="s">
        <v>1129</v>
      </c>
      <c r="O315" s="393" t="s">
        <v>896</v>
      </c>
      <c r="P315" s="415">
        <v>20</v>
      </c>
      <c r="Q315" s="340" t="s">
        <v>2433</v>
      </c>
      <c r="R315" s="338">
        <v>1</v>
      </c>
      <c r="S315" s="408" t="s">
        <v>1413</v>
      </c>
      <c r="T315" s="399" t="s">
        <v>1531</v>
      </c>
      <c r="U315" s="399" t="s">
        <v>1531</v>
      </c>
    </row>
    <row r="316" spans="1:21" ht="15">
      <c r="A316" s="427">
        <v>7.1</v>
      </c>
      <c r="B316" s="405" t="s">
        <v>521</v>
      </c>
      <c r="C316" s="394">
        <v>0.14000000000000001</v>
      </c>
      <c r="D316" s="405" t="s">
        <v>521</v>
      </c>
      <c r="E316" s="398" t="s">
        <v>1531</v>
      </c>
      <c r="F316" s="404" t="s">
        <v>1413</v>
      </c>
      <c r="G316" s="398" t="s">
        <v>1531</v>
      </c>
      <c r="H316" s="404" t="s">
        <v>1413</v>
      </c>
      <c r="I316" s="404" t="s">
        <v>1413</v>
      </c>
      <c r="J316" s="404" t="s">
        <v>1413</v>
      </c>
      <c r="K316" s="405">
        <v>1</v>
      </c>
      <c r="L316" s="405">
        <v>0.1</v>
      </c>
      <c r="M316" s="406" t="s">
        <v>1531</v>
      </c>
      <c r="N316" s="425" t="s">
        <v>1130</v>
      </c>
      <c r="O316" s="391" t="s">
        <v>897</v>
      </c>
      <c r="P316" s="414" t="s">
        <v>1413</v>
      </c>
      <c r="Q316" s="340" t="s">
        <v>2433</v>
      </c>
      <c r="R316" s="338">
        <v>1</v>
      </c>
      <c r="S316" s="404" t="s">
        <v>1413</v>
      </c>
      <c r="T316" s="394">
        <v>0.14000000000000001</v>
      </c>
      <c r="U316" s="398" t="s">
        <v>1531</v>
      </c>
    </row>
    <row r="317" spans="1:21" ht="15">
      <c r="A317" s="427">
        <v>7.4</v>
      </c>
      <c r="B317" s="405" t="s">
        <v>521</v>
      </c>
      <c r="C317" s="394">
        <v>0.14000000000000001</v>
      </c>
      <c r="D317" s="405" t="s">
        <v>521</v>
      </c>
      <c r="E317" s="398" t="s">
        <v>1531</v>
      </c>
      <c r="F317" s="404" t="s">
        <v>1413</v>
      </c>
      <c r="G317" s="398" t="s">
        <v>1531</v>
      </c>
      <c r="H317" s="404" t="s">
        <v>1413</v>
      </c>
      <c r="I317" s="404" t="s">
        <v>1413</v>
      </c>
      <c r="J317" s="404" t="s">
        <v>1413</v>
      </c>
      <c r="K317" s="405">
        <v>1</v>
      </c>
      <c r="L317" s="405">
        <v>0.1</v>
      </c>
      <c r="M317" s="406" t="s">
        <v>1531</v>
      </c>
      <c r="N317" s="425" t="s">
        <v>1131</v>
      </c>
      <c r="O317" s="391" t="s">
        <v>898</v>
      </c>
      <c r="P317" s="414" t="s">
        <v>1413</v>
      </c>
      <c r="Q317" s="340" t="s">
        <v>2433</v>
      </c>
      <c r="R317" s="338">
        <v>1</v>
      </c>
      <c r="S317" s="404" t="s">
        <v>1413</v>
      </c>
      <c r="T317" s="394">
        <v>0.14000000000000001</v>
      </c>
      <c r="U317" s="398" t="s">
        <v>1531</v>
      </c>
    </row>
    <row r="318" spans="1:21" ht="15.6" thickBot="1">
      <c r="A318" s="412">
        <v>6.7</v>
      </c>
      <c r="B318" s="409" t="s">
        <v>521</v>
      </c>
      <c r="C318" s="396">
        <v>0.14000000000000001</v>
      </c>
      <c r="D318" s="409" t="s">
        <v>521</v>
      </c>
      <c r="E318" s="399" t="s">
        <v>1531</v>
      </c>
      <c r="F318" s="408" t="s">
        <v>1413</v>
      </c>
      <c r="G318" s="399" t="s">
        <v>1531</v>
      </c>
      <c r="H318" s="408" t="s">
        <v>1413</v>
      </c>
      <c r="I318" s="408" t="s">
        <v>1413</v>
      </c>
      <c r="J318" s="408" t="s">
        <v>1413</v>
      </c>
      <c r="K318" s="409">
        <v>1</v>
      </c>
      <c r="L318" s="409">
        <v>0.1</v>
      </c>
      <c r="M318" s="410" t="s">
        <v>1531</v>
      </c>
      <c r="N318" s="426" t="s">
        <v>1132</v>
      </c>
      <c r="O318" s="393" t="s">
        <v>899</v>
      </c>
      <c r="P318" s="416" t="s">
        <v>1413</v>
      </c>
      <c r="Q318" s="340" t="s">
        <v>2433</v>
      </c>
      <c r="R318" s="338">
        <v>1</v>
      </c>
      <c r="S318" s="408" t="s">
        <v>1413</v>
      </c>
      <c r="T318" s="396">
        <v>0.14000000000000001</v>
      </c>
      <c r="U318" s="399" t="s">
        <v>1531</v>
      </c>
    </row>
    <row r="319" spans="1:21" ht="15">
      <c r="A319" s="403" t="s">
        <v>1531</v>
      </c>
      <c r="B319" s="404" t="s">
        <v>1413</v>
      </c>
      <c r="C319" s="398" t="s">
        <v>1531</v>
      </c>
      <c r="D319" s="404" t="s">
        <v>1413</v>
      </c>
      <c r="E319" s="394">
        <v>49</v>
      </c>
      <c r="F319" s="405" t="s">
        <v>520</v>
      </c>
      <c r="G319" s="398" t="s">
        <v>1531</v>
      </c>
      <c r="H319" s="404" t="s">
        <v>1413</v>
      </c>
      <c r="I319" s="404" t="s">
        <v>1413</v>
      </c>
      <c r="J319" s="404" t="s">
        <v>1413</v>
      </c>
      <c r="K319" s="405">
        <v>1</v>
      </c>
      <c r="L319" s="411" t="s">
        <v>1531</v>
      </c>
      <c r="M319" s="406" t="s">
        <v>1531</v>
      </c>
      <c r="N319" s="425" t="s">
        <v>2388</v>
      </c>
      <c r="O319" s="391" t="s">
        <v>1588</v>
      </c>
      <c r="P319" s="414" t="s">
        <v>1413</v>
      </c>
      <c r="Q319" s="340" t="s">
        <v>2433</v>
      </c>
      <c r="R319" s="338">
        <v>1</v>
      </c>
      <c r="S319" s="404" t="s">
        <v>1413</v>
      </c>
      <c r="T319" s="398" t="s">
        <v>1531</v>
      </c>
      <c r="U319" s="398" t="s">
        <v>1531</v>
      </c>
    </row>
    <row r="320" spans="1:21" ht="15">
      <c r="A320" s="403" t="s">
        <v>1531</v>
      </c>
      <c r="B320" s="404" t="s">
        <v>1413</v>
      </c>
      <c r="C320" s="398" t="s">
        <v>1531</v>
      </c>
      <c r="D320" s="404" t="s">
        <v>1413</v>
      </c>
      <c r="E320" s="394">
        <v>4.0000000000000003E-5</v>
      </c>
      <c r="F320" s="405" t="s">
        <v>1412</v>
      </c>
      <c r="G320" s="398" t="s">
        <v>1531</v>
      </c>
      <c r="H320" s="404" t="s">
        <v>1413</v>
      </c>
      <c r="I320" s="404" t="s">
        <v>1413</v>
      </c>
      <c r="J320" s="404" t="s">
        <v>1413</v>
      </c>
      <c r="K320" s="405">
        <v>1</v>
      </c>
      <c r="L320" s="405">
        <v>0.1</v>
      </c>
      <c r="M320" s="406" t="s">
        <v>1531</v>
      </c>
      <c r="N320" s="425" t="s">
        <v>1133</v>
      </c>
      <c r="O320" s="391" t="s">
        <v>900</v>
      </c>
      <c r="P320" s="414" t="s">
        <v>1413</v>
      </c>
      <c r="Q320" s="340" t="s">
        <v>2433</v>
      </c>
      <c r="R320" s="338">
        <v>1</v>
      </c>
      <c r="S320" s="404" t="s">
        <v>1413</v>
      </c>
      <c r="T320" s="398" t="s">
        <v>1531</v>
      </c>
      <c r="U320" s="398" t="s">
        <v>1531</v>
      </c>
    </row>
    <row r="321" spans="1:21" ht="15.6" thickBot="1">
      <c r="A321" s="407" t="s">
        <v>1531</v>
      </c>
      <c r="B321" s="408" t="s">
        <v>1413</v>
      </c>
      <c r="C321" s="399" t="s">
        <v>1531</v>
      </c>
      <c r="D321" s="408" t="s">
        <v>1413</v>
      </c>
      <c r="E321" s="396">
        <v>0.01</v>
      </c>
      <c r="F321" s="409" t="s">
        <v>1412</v>
      </c>
      <c r="G321" s="399" t="s">
        <v>1531</v>
      </c>
      <c r="H321" s="408" t="s">
        <v>1413</v>
      </c>
      <c r="I321" s="409" t="s">
        <v>969</v>
      </c>
      <c r="J321" s="408" t="s">
        <v>1413</v>
      </c>
      <c r="K321" s="409">
        <v>1</v>
      </c>
      <c r="L321" s="413" t="s">
        <v>1531</v>
      </c>
      <c r="M321" s="410" t="s">
        <v>1531</v>
      </c>
      <c r="N321" s="426" t="s">
        <v>1134</v>
      </c>
      <c r="O321" s="393" t="s">
        <v>901</v>
      </c>
      <c r="P321" s="416" t="s">
        <v>1413</v>
      </c>
      <c r="Q321" s="340" t="s">
        <v>2433</v>
      </c>
      <c r="R321" s="338">
        <v>1</v>
      </c>
      <c r="S321" s="408" t="s">
        <v>1413</v>
      </c>
      <c r="T321" s="399" t="s">
        <v>1531</v>
      </c>
      <c r="U321" s="399" t="s">
        <v>1531</v>
      </c>
    </row>
    <row r="322" spans="1:21" ht="15">
      <c r="A322" s="403" t="s">
        <v>1531</v>
      </c>
      <c r="B322" s="404" t="s">
        <v>1413</v>
      </c>
      <c r="C322" s="398" t="s">
        <v>1531</v>
      </c>
      <c r="D322" s="404" t="s">
        <v>1413</v>
      </c>
      <c r="E322" s="394">
        <v>2E-3</v>
      </c>
      <c r="F322" s="405" t="s">
        <v>1412</v>
      </c>
      <c r="G322" s="398" t="s">
        <v>1531</v>
      </c>
      <c r="H322" s="404" t="s">
        <v>1413</v>
      </c>
      <c r="I322" s="404" t="s">
        <v>1413</v>
      </c>
      <c r="J322" s="404" t="s">
        <v>1413</v>
      </c>
      <c r="K322" s="405">
        <v>1</v>
      </c>
      <c r="L322" s="405">
        <v>0.1</v>
      </c>
      <c r="M322" s="406" t="s">
        <v>1531</v>
      </c>
      <c r="N322" s="425" t="s">
        <v>1135</v>
      </c>
      <c r="O322" s="391" t="s">
        <v>902</v>
      </c>
      <c r="P322" s="414" t="s">
        <v>1413</v>
      </c>
      <c r="Q322" s="340" t="s">
        <v>2433</v>
      </c>
      <c r="R322" s="338">
        <v>1</v>
      </c>
      <c r="S322" s="404" t="s">
        <v>1413</v>
      </c>
      <c r="T322" s="398" t="s">
        <v>1531</v>
      </c>
      <c r="U322" s="398" t="s">
        <v>1531</v>
      </c>
    </row>
    <row r="323" spans="1:21" ht="15">
      <c r="A323" s="403" t="s">
        <v>1531</v>
      </c>
      <c r="B323" s="404" t="s">
        <v>1413</v>
      </c>
      <c r="C323" s="398" t="s">
        <v>1531</v>
      </c>
      <c r="D323" s="404" t="s">
        <v>1413</v>
      </c>
      <c r="E323" s="394">
        <v>0.02</v>
      </c>
      <c r="F323" s="405" t="s">
        <v>1474</v>
      </c>
      <c r="G323" s="398" t="s">
        <v>1531</v>
      </c>
      <c r="H323" s="404" t="s">
        <v>1413</v>
      </c>
      <c r="I323" s="404" t="s">
        <v>1413</v>
      </c>
      <c r="J323" s="404" t="s">
        <v>1413</v>
      </c>
      <c r="K323" s="405">
        <v>1</v>
      </c>
      <c r="L323" s="405">
        <v>0.1</v>
      </c>
      <c r="M323" s="406" t="s">
        <v>1531</v>
      </c>
      <c r="N323" s="425" t="s">
        <v>1136</v>
      </c>
      <c r="O323" s="391" t="s">
        <v>903</v>
      </c>
      <c r="P323" s="414" t="s">
        <v>1413</v>
      </c>
      <c r="Q323" s="340" t="s">
        <v>2433</v>
      </c>
      <c r="R323" s="338">
        <v>1</v>
      </c>
      <c r="S323" s="404" t="s">
        <v>1413</v>
      </c>
      <c r="T323" s="398" t="s">
        <v>1531</v>
      </c>
      <c r="U323" s="398" t="s">
        <v>1531</v>
      </c>
    </row>
    <row r="324" spans="1:21" ht="15.6" thickBot="1">
      <c r="A324" s="407" t="s">
        <v>1531</v>
      </c>
      <c r="B324" s="408" t="s">
        <v>1413</v>
      </c>
      <c r="C324" s="399" t="s">
        <v>1531</v>
      </c>
      <c r="D324" s="408" t="s">
        <v>1413</v>
      </c>
      <c r="E324" s="396">
        <v>6.0000000000000001E-3</v>
      </c>
      <c r="F324" s="409" t="s">
        <v>1412</v>
      </c>
      <c r="G324" s="399" t="s">
        <v>1531</v>
      </c>
      <c r="H324" s="408" t="s">
        <v>1413</v>
      </c>
      <c r="I324" s="409" t="s">
        <v>969</v>
      </c>
      <c r="J324" s="408" t="s">
        <v>1413</v>
      </c>
      <c r="K324" s="409">
        <v>1</v>
      </c>
      <c r="L324" s="413" t="s">
        <v>1531</v>
      </c>
      <c r="M324" s="410" t="s">
        <v>1531</v>
      </c>
      <c r="N324" s="426" t="s">
        <v>438</v>
      </c>
      <c r="O324" s="393" t="s">
        <v>905</v>
      </c>
      <c r="P324" s="416" t="s">
        <v>1413</v>
      </c>
      <c r="Q324" s="340" t="s">
        <v>2434</v>
      </c>
      <c r="R324" s="338">
        <v>1</v>
      </c>
      <c r="S324" s="408" t="s">
        <v>1413</v>
      </c>
      <c r="T324" s="399" t="s">
        <v>1531</v>
      </c>
      <c r="U324" s="399" t="s">
        <v>1531</v>
      </c>
    </row>
    <row r="325" spans="1:21" ht="15">
      <c r="A325" s="403" t="s">
        <v>1531</v>
      </c>
      <c r="B325" s="404" t="s">
        <v>1413</v>
      </c>
      <c r="C325" s="398" t="s">
        <v>1531</v>
      </c>
      <c r="D325" s="404" t="s">
        <v>1413</v>
      </c>
      <c r="E325" s="394">
        <v>0.02</v>
      </c>
      <c r="F325" s="405" t="s">
        <v>1412</v>
      </c>
      <c r="G325" s="398" t="s">
        <v>1531</v>
      </c>
      <c r="H325" s="404" t="s">
        <v>1413</v>
      </c>
      <c r="I325" s="404" t="s">
        <v>1413</v>
      </c>
      <c r="J325" s="404" t="s">
        <v>1413</v>
      </c>
      <c r="K325" s="405">
        <v>1</v>
      </c>
      <c r="L325" s="405">
        <v>0.1</v>
      </c>
      <c r="M325" s="406" t="s">
        <v>1531</v>
      </c>
      <c r="N325" s="425" t="s">
        <v>1137</v>
      </c>
      <c r="O325" s="391" t="s">
        <v>906</v>
      </c>
      <c r="P325" s="429">
        <v>100</v>
      </c>
      <c r="Q325" s="340" t="s">
        <v>2433</v>
      </c>
      <c r="R325" s="338">
        <v>1</v>
      </c>
      <c r="S325" s="404" t="s">
        <v>1413</v>
      </c>
      <c r="T325" s="398" t="s">
        <v>1531</v>
      </c>
      <c r="U325" s="398" t="s">
        <v>1531</v>
      </c>
    </row>
    <row r="326" spans="1:21" ht="15">
      <c r="A326" s="403" t="s">
        <v>1531</v>
      </c>
      <c r="B326" s="404" t="s">
        <v>1413</v>
      </c>
      <c r="C326" s="398" t="s">
        <v>1531</v>
      </c>
      <c r="D326" s="404" t="s">
        <v>1413</v>
      </c>
      <c r="E326" s="394">
        <v>2.9999999999999997E-4</v>
      </c>
      <c r="F326" s="405" t="s">
        <v>1412</v>
      </c>
      <c r="G326" s="398" t="s">
        <v>1531</v>
      </c>
      <c r="H326" s="404" t="s">
        <v>1413</v>
      </c>
      <c r="I326" s="404" t="s">
        <v>1413</v>
      </c>
      <c r="J326" s="404" t="s">
        <v>1413</v>
      </c>
      <c r="K326" s="405">
        <v>1</v>
      </c>
      <c r="L326" s="405">
        <v>0.1</v>
      </c>
      <c r="M326" s="406" t="s">
        <v>1531</v>
      </c>
      <c r="N326" s="425" t="s">
        <v>380</v>
      </c>
      <c r="O326" s="391" t="s">
        <v>907</v>
      </c>
      <c r="P326" s="429">
        <v>2</v>
      </c>
      <c r="Q326" s="340" t="s">
        <v>2433</v>
      </c>
      <c r="R326" s="338">
        <v>1</v>
      </c>
      <c r="S326" s="404" t="s">
        <v>1413</v>
      </c>
      <c r="T326" s="398" t="s">
        <v>1531</v>
      </c>
      <c r="U326" s="398" t="s">
        <v>1531</v>
      </c>
    </row>
    <row r="327" spans="1:21" ht="15.6" thickBot="1">
      <c r="A327" s="412">
        <v>9.9000000000000008E-3</v>
      </c>
      <c r="B327" s="409" t="s">
        <v>1412</v>
      </c>
      <c r="C327" s="396">
        <v>1.1999999999999999E-6</v>
      </c>
      <c r="D327" s="409" t="s">
        <v>1412</v>
      </c>
      <c r="E327" s="396">
        <v>6.0000000000000001E-3</v>
      </c>
      <c r="F327" s="409" t="s">
        <v>520</v>
      </c>
      <c r="G327" s="396">
        <v>1E-3</v>
      </c>
      <c r="H327" s="409" t="s">
        <v>1412</v>
      </c>
      <c r="I327" s="409" t="s">
        <v>969</v>
      </c>
      <c r="J327" s="408" t="s">
        <v>1413</v>
      </c>
      <c r="K327" s="409">
        <v>1</v>
      </c>
      <c r="L327" s="413" t="s">
        <v>1531</v>
      </c>
      <c r="M327" s="397">
        <v>10500</v>
      </c>
      <c r="N327" s="426" t="s">
        <v>1439</v>
      </c>
      <c r="O327" s="393" t="s">
        <v>908</v>
      </c>
      <c r="P327" s="416" t="s">
        <v>1413</v>
      </c>
      <c r="Q327" s="340" t="s">
        <v>2433</v>
      </c>
      <c r="R327" s="338">
        <v>1</v>
      </c>
      <c r="S327" s="408" t="s">
        <v>1413</v>
      </c>
      <c r="T327" s="396">
        <v>1.1999999999999999E-6</v>
      </c>
      <c r="U327" s="396">
        <v>1E-3</v>
      </c>
    </row>
    <row r="328" spans="1:21" ht="15">
      <c r="A328" s="403" t="s">
        <v>1531</v>
      </c>
      <c r="B328" s="404" t="s">
        <v>1413</v>
      </c>
      <c r="C328" s="398" t="s">
        <v>1531</v>
      </c>
      <c r="D328" s="404" t="s">
        <v>1413</v>
      </c>
      <c r="E328" s="398" t="s">
        <v>1531</v>
      </c>
      <c r="F328" s="404" t="s">
        <v>1413</v>
      </c>
      <c r="G328" s="394">
        <v>0.02</v>
      </c>
      <c r="H328" s="405" t="s">
        <v>1412</v>
      </c>
      <c r="I328" s="405" t="s">
        <v>969</v>
      </c>
      <c r="J328" s="404" t="s">
        <v>1413</v>
      </c>
      <c r="K328" s="405">
        <v>1</v>
      </c>
      <c r="L328" s="411" t="s">
        <v>1531</v>
      </c>
      <c r="M328" s="395">
        <v>15300</v>
      </c>
      <c r="N328" s="425" t="s">
        <v>1138</v>
      </c>
      <c r="O328" s="391" t="s">
        <v>909</v>
      </c>
      <c r="P328" s="414" t="s">
        <v>1413</v>
      </c>
      <c r="Q328" s="340" t="s">
        <v>2434</v>
      </c>
      <c r="R328" s="338">
        <v>1</v>
      </c>
      <c r="S328" s="404" t="s">
        <v>1413</v>
      </c>
      <c r="T328" s="398" t="s">
        <v>1531</v>
      </c>
      <c r="U328" s="394">
        <v>0.02</v>
      </c>
    </row>
    <row r="329" spans="1:21" ht="15">
      <c r="A329" s="403" t="s">
        <v>1531</v>
      </c>
      <c r="B329" s="404" t="s">
        <v>1413</v>
      </c>
      <c r="C329" s="398" t="s">
        <v>1531</v>
      </c>
      <c r="D329" s="404" t="s">
        <v>1413</v>
      </c>
      <c r="E329" s="394">
        <v>0.05</v>
      </c>
      <c r="F329" s="405" t="s">
        <v>1474</v>
      </c>
      <c r="G329" s="398" t="s">
        <v>1531</v>
      </c>
      <c r="H329" s="404" t="s">
        <v>1413</v>
      </c>
      <c r="I329" s="405" t="s">
        <v>969</v>
      </c>
      <c r="J329" s="404" t="s">
        <v>1413</v>
      </c>
      <c r="K329" s="405">
        <v>1</v>
      </c>
      <c r="L329" s="411" t="s">
        <v>1531</v>
      </c>
      <c r="M329" s="406" t="s">
        <v>1531</v>
      </c>
      <c r="N329" s="425" t="s">
        <v>1139</v>
      </c>
      <c r="O329" s="391" t="s">
        <v>904</v>
      </c>
      <c r="P329" s="414" t="s">
        <v>1413</v>
      </c>
      <c r="Q329" s="340" t="s">
        <v>2434</v>
      </c>
      <c r="R329" s="338">
        <v>1</v>
      </c>
      <c r="S329" s="404" t="s">
        <v>1413</v>
      </c>
      <c r="T329" s="398" t="s">
        <v>1531</v>
      </c>
      <c r="U329" s="398" t="s">
        <v>1531</v>
      </c>
    </row>
    <row r="330" spans="1:21" ht="15.6" thickBot="1">
      <c r="A330" s="407" t="s">
        <v>1531</v>
      </c>
      <c r="B330" s="408" t="s">
        <v>1413</v>
      </c>
      <c r="C330" s="399" t="s">
        <v>1531</v>
      </c>
      <c r="D330" s="408" t="s">
        <v>1413</v>
      </c>
      <c r="E330" s="396">
        <v>0.04</v>
      </c>
      <c r="F330" s="409" t="s">
        <v>520</v>
      </c>
      <c r="G330" s="399" t="s">
        <v>1531</v>
      </c>
      <c r="H330" s="408" t="s">
        <v>1413</v>
      </c>
      <c r="I330" s="408" t="s">
        <v>1413</v>
      </c>
      <c r="J330" s="408" t="s">
        <v>1413</v>
      </c>
      <c r="K330" s="409">
        <v>1</v>
      </c>
      <c r="L330" s="409">
        <v>0.1</v>
      </c>
      <c r="M330" s="410" t="s">
        <v>1531</v>
      </c>
      <c r="N330" s="426" t="s">
        <v>2297</v>
      </c>
      <c r="O330" s="393" t="s">
        <v>2282</v>
      </c>
      <c r="P330" s="416" t="s">
        <v>1413</v>
      </c>
      <c r="Q330" s="340" t="s">
        <v>2434</v>
      </c>
      <c r="R330" s="338">
        <v>1</v>
      </c>
      <c r="S330" s="408" t="s">
        <v>1413</v>
      </c>
      <c r="T330" s="399" t="s">
        <v>1531</v>
      </c>
      <c r="U330" s="399" t="s">
        <v>1531</v>
      </c>
    </row>
    <row r="331" spans="1:21" ht="15">
      <c r="A331" s="403" t="s">
        <v>1531</v>
      </c>
      <c r="B331" s="404" t="s">
        <v>1413</v>
      </c>
      <c r="C331" s="398" t="s">
        <v>1531</v>
      </c>
      <c r="D331" s="404" t="s">
        <v>1413</v>
      </c>
      <c r="E331" s="394">
        <v>5.0000000000000001E-3</v>
      </c>
      <c r="F331" s="405" t="s">
        <v>1412</v>
      </c>
      <c r="G331" s="398" t="s">
        <v>1531</v>
      </c>
      <c r="H331" s="404" t="s">
        <v>1413</v>
      </c>
      <c r="I331" s="404" t="s">
        <v>1413</v>
      </c>
      <c r="J331" s="404" t="s">
        <v>1413</v>
      </c>
      <c r="K331" s="405">
        <v>1</v>
      </c>
      <c r="L331" s="405">
        <v>0.1</v>
      </c>
      <c r="M331" s="406" t="s">
        <v>1531</v>
      </c>
      <c r="N331" s="425" t="s">
        <v>1140</v>
      </c>
      <c r="O331" s="391" t="s">
        <v>910</v>
      </c>
      <c r="P331" s="414" t="s">
        <v>1413</v>
      </c>
      <c r="Q331" s="340" t="s">
        <v>2434</v>
      </c>
      <c r="R331" s="338">
        <v>1</v>
      </c>
      <c r="S331" s="404" t="s">
        <v>1413</v>
      </c>
      <c r="T331" s="398" t="s">
        <v>1531</v>
      </c>
      <c r="U331" s="398" t="s">
        <v>1531</v>
      </c>
    </row>
    <row r="332" spans="1:21" ht="15">
      <c r="A332" s="403" t="s">
        <v>1531</v>
      </c>
      <c r="B332" s="404" t="s">
        <v>1413</v>
      </c>
      <c r="C332" s="398" t="s">
        <v>1531</v>
      </c>
      <c r="D332" s="404" t="s">
        <v>1413</v>
      </c>
      <c r="E332" s="394">
        <v>5.0000000000000001E-4</v>
      </c>
      <c r="F332" s="405" t="s">
        <v>1412</v>
      </c>
      <c r="G332" s="398" t="s">
        <v>1531</v>
      </c>
      <c r="H332" s="404" t="s">
        <v>1413</v>
      </c>
      <c r="I332" s="404" t="s">
        <v>1413</v>
      </c>
      <c r="J332" s="404" t="s">
        <v>1413</v>
      </c>
      <c r="K332" s="405">
        <v>1</v>
      </c>
      <c r="L332" s="405">
        <v>0.1</v>
      </c>
      <c r="M332" s="406" t="s">
        <v>1531</v>
      </c>
      <c r="N332" s="425" t="s">
        <v>1141</v>
      </c>
      <c r="O332" s="391" t="s">
        <v>911</v>
      </c>
      <c r="P332" s="414" t="s">
        <v>1413</v>
      </c>
      <c r="Q332" s="340" t="s">
        <v>2434</v>
      </c>
      <c r="R332" s="338">
        <v>1</v>
      </c>
      <c r="S332" s="404" t="s">
        <v>1413</v>
      </c>
      <c r="T332" s="398" t="s">
        <v>1531</v>
      </c>
      <c r="U332" s="398" t="s">
        <v>1531</v>
      </c>
    </row>
    <row r="333" spans="1:21" ht="15.6" thickBot="1">
      <c r="A333" s="407" t="s">
        <v>1531</v>
      </c>
      <c r="B333" s="408" t="s">
        <v>1413</v>
      </c>
      <c r="C333" s="399" t="s">
        <v>1531</v>
      </c>
      <c r="D333" s="408" t="s">
        <v>1413</v>
      </c>
      <c r="E333" s="396">
        <v>0.1</v>
      </c>
      <c r="F333" s="409" t="s">
        <v>520</v>
      </c>
      <c r="G333" s="396">
        <v>0.06</v>
      </c>
      <c r="H333" s="409" t="s">
        <v>520</v>
      </c>
      <c r="I333" s="409" t="s">
        <v>969</v>
      </c>
      <c r="J333" s="408" t="s">
        <v>1413</v>
      </c>
      <c r="K333" s="409">
        <v>1</v>
      </c>
      <c r="L333" s="413" t="s">
        <v>1531</v>
      </c>
      <c r="M333" s="397">
        <v>23800</v>
      </c>
      <c r="N333" s="426" t="s">
        <v>1142</v>
      </c>
      <c r="O333" s="393" t="s">
        <v>912</v>
      </c>
      <c r="P333" s="416" t="s">
        <v>1413</v>
      </c>
      <c r="Q333" s="340" t="s">
        <v>2434</v>
      </c>
      <c r="R333" s="338">
        <v>1</v>
      </c>
      <c r="S333" s="408" t="s">
        <v>1413</v>
      </c>
      <c r="T333" s="399" t="s">
        <v>1531</v>
      </c>
      <c r="U333" s="396">
        <v>0.06</v>
      </c>
    </row>
    <row r="334" spans="1:21" ht="15">
      <c r="A334" s="403" t="s">
        <v>1531</v>
      </c>
      <c r="B334" s="404" t="s">
        <v>1413</v>
      </c>
      <c r="C334" s="398" t="s">
        <v>1531</v>
      </c>
      <c r="D334" s="404" t="s">
        <v>1413</v>
      </c>
      <c r="E334" s="394">
        <v>0.09</v>
      </c>
      <c r="F334" s="405" t="s">
        <v>520</v>
      </c>
      <c r="G334" s="394">
        <v>0.2</v>
      </c>
      <c r="H334" s="405" t="s">
        <v>1412</v>
      </c>
      <c r="I334" s="405" t="s">
        <v>969</v>
      </c>
      <c r="J334" s="404" t="s">
        <v>1413</v>
      </c>
      <c r="K334" s="405">
        <v>1</v>
      </c>
      <c r="L334" s="411" t="s">
        <v>1531</v>
      </c>
      <c r="M334" s="395">
        <v>106000</v>
      </c>
      <c r="N334" s="425" t="s">
        <v>1143</v>
      </c>
      <c r="O334" s="391" t="s">
        <v>913</v>
      </c>
      <c r="P334" s="414" t="s">
        <v>1413</v>
      </c>
      <c r="Q334" s="340" t="s">
        <v>2433</v>
      </c>
      <c r="R334" s="338">
        <v>1</v>
      </c>
      <c r="S334" s="404" t="s">
        <v>1413</v>
      </c>
      <c r="T334" s="398" t="s">
        <v>1531</v>
      </c>
      <c r="U334" s="394">
        <v>0.2</v>
      </c>
    </row>
    <row r="335" spans="1:21" ht="15">
      <c r="A335" s="403" t="s">
        <v>1531</v>
      </c>
      <c r="B335" s="404" t="s">
        <v>1413</v>
      </c>
      <c r="C335" s="398" t="s">
        <v>1531</v>
      </c>
      <c r="D335" s="404" t="s">
        <v>1413</v>
      </c>
      <c r="E335" s="394">
        <v>0.9</v>
      </c>
      <c r="F335" s="405" t="s">
        <v>1412</v>
      </c>
      <c r="G335" s="394">
        <v>7.0000000000000007E-2</v>
      </c>
      <c r="H335" s="405" t="s">
        <v>520</v>
      </c>
      <c r="I335" s="405" t="s">
        <v>969</v>
      </c>
      <c r="J335" s="404" t="s">
        <v>1413</v>
      </c>
      <c r="K335" s="405">
        <v>1</v>
      </c>
      <c r="L335" s="411" t="s">
        <v>1531</v>
      </c>
      <c r="M335" s="395">
        <v>10800</v>
      </c>
      <c r="N335" s="425" t="s">
        <v>1144</v>
      </c>
      <c r="O335" s="391" t="s">
        <v>914</v>
      </c>
      <c r="P335" s="414" t="s">
        <v>1413</v>
      </c>
      <c r="Q335" s="340" t="s">
        <v>2434</v>
      </c>
      <c r="R335" s="338">
        <v>1</v>
      </c>
      <c r="S335" s="404" t="s">
        <v>1413</v>
      </c>
      <c r="T335" s="398" t="s">
        <v>1531</v>
      </c>
      <c r="U335" s="394">
        <v>7.0000000000000007E-2</v>
      </c>
    </row>
    <row r="336" spans="1:21" ht="15.6" thickBot="1">
      <c r="A336" s="407" t="s">
        <v>1531</v>
      </c>
      <c r="B336" s="408" t="s">
        <v>1413</v>
      </c>
      <c r="C336" s="399" t="s">
        <v>1531</v>
      </c>
      <c r="D336" s="408" t="s">
        <v>1413</v>
      </c>
      <c r="E336" s="396">
        <v>5.0000000000000001E-3</v>
      </c>
      <c r="F336" s="409" t="s">
        <v>520</v>
      </c>
      <c r="G336" s="396">
        <v>8.0000000000000002E-3</v>
      </c>
      <c r="H336" s="409" t="s">
        <v>520</v>
      </c>
      <c r="I336" s="409" t="s">
        <v>969</v>
      </c>
      <c r="J336" s="408" t="s">
        <v>1413</v>
      </c>
      <c r="K336" s="409">
        <v>1</v>
      </c>
      <c r="L336" s="413" t="s">
        <v>1531</v>
      </c>
      <c r="M336" s="397">
        <v>2500</v>
      </c>
      <c r="N336" s="426" t="s">
        <v>1145</v>
      </c>
      <c r="O336" s="393" t="s">
        <v>915</v>
      </c>
      <c r="P336" s="416" t="s">
        <v>1413</v>
      </c>
      <c r="Q336" s="340" t="s">
        <v>2433</v>
      </c>
      <c r="R336" s="338">
        <v>1</v>
      </c>
      <c r="S336" s="408" t="s">
        <v>1413</v>
      </c>
      <c r="T336" s="399" t="s">
        <v>1531</v>
      </c>
      <c r="U336" s="396">
        <v>8.0000000000000002E-3</v>
      </c>
    </row>
    <row r="337" spans="1:21" ht="15">
      <c r="A337" s="403" t="s">
        <v>1531</v>
      </c>
      <c r="B337" s="404" t="s">
        <v>1413</v>
      </c>
      <c r="C337" s="398" t="s">
        <v>1531</v>
      </c>
      <c r="D337" s="404" t="s">
        <v>1413</v>
      </c>
      <c r="E337" s="398" t="s">
        <v>1531</v>
      </c>
      <c r="F337" s="404" t="s">
        <v>1413</v>
      </c>
      <c r="G337" s="394">
        <v>10</v>
      </c>
      <c r="H337" s="405" t="s">
        <v>1412</v>
      </c>
      <c r="I337" s="405" t="s">
        <v>969</v>
      </c>
      <c r="J337" s="404" t="s">
        <v>1413</v>
      </c>
      <c r="K337" s="405">
        <v>1</v>
      </c>
      <c r="L337" s="411" t="s">
        <v>1531</v>
      </c>
      <c r="M337" s="395">
        <v>2120</v>
      </c>
      <c r="N337" s="425" t="s">
        <v>2046</v>
      </c>
      <c r="O337" s="391" t="s">
        <v>916</v>
      </c>
      <c r="P337" s="414" t="s">
        <v>1413</v>
      </c>
      <c r="Q337" s="340" t="s">
        <v>2434</v>
      </c>
      <c r="R337" s="338">
        <v>1</v>
      </c>
      <c r="S337" s="404" t="s">
        <v>1413</v>
      </c>
      <c r="T337" s="398" t="s">
        <v>1531</v>
      </c>
      <c r="U337" s="394">
        <v>10</v>
      </c>
    </row>
    <row r="338" spans="1:21" ht="15">
      <c r="A338" s="403" t="s">
        <v>1531</v>
      </c>
      <c r="B338" s="404" t="s">
        <v>1413</v>
      </c>
      <c r="C338" s="398" t="s">
        <v>1531</v>
      </c>
      <c r="D338" s="404" t="s">
        <v>1413</v>
      </c>
      <c r="E338" s="394">
        <v>0.2</v>
      </c>
      <c r="F338" s="405" t="s">
        <v>1412</v>
      </c>
      <c r="G338" s="398" t="s">
        <v>1531</v>
      </c>
      <c r="H338" s="404" t="s">
        <v>1413</v>
      </c>
      <c r="I338" s="405" t="s">
        <v>969</v>
      </c>
      <c r="J338" s="404" t="s">
        <v>1413</v>
      </c>
      <c r="K338" s="405">
        <v>1</v>
      </c>
      <c r="L338" s="411" t="s">
        <v>1531</v>
      </c>
      <c r="M338" s="395">
        <v>10100</v>
      </c>
      <c r="N338" s="425" t="s">
        <v>1146</v>
      </c>
      <c r="O338" s="391" t="s">
        <v>917</v>
      </c>
      <c r="P338" s="414" t="s">
        <v>1413</v>
      </c>
      <c r="Q338" s="340" t="s">
        <v>2433</v>
      </c>
      <c r="R338" s="338">
        <v>1</v>
      </c>
      <c r="S338" s="404" t="s">
        <v>1413</v>
      </c>
      <c r="T338" s="398" t="s">
        <v>1531</v>
      </c>
      <c r="U338" s="398" t="s">
        <v>1531</v>
      </c>
    </row>
    <row r="339" spans="1:21" ht="15.6" thickBot="1">
      <c r="A339" s="407" t="s">
        <v>1531</v>
      </c>
      <c r="B339" s="408" t="s">
        <v>1413</v>
      </c>
      <c r="C339" s="399" t="s">
        <v>1531</v>
      </c>
      <c r="D339" s="408" t="s">
        <v>1413</v>
      </c>
      <c r="E339" s="399" t="s">
        <v>1531</v>
      </c>
      <c r="F339" s="408" t="s">
        <v>1413</v>
      </c>
      <c r="G339" s="396">
        <v>0.3</v>
      </c>
      <c r="H339" s="409" t="s">
        <v>520</v>
      </c>
      <c r="I339" s="409" t="s">
        <v>969</v>
      </c>
      <c r="J339" s="408" t="s">
        <v>1413</v>
      </c>
      <c r="K339" s="409">
        <v>1</v>
      </c>
      <c r="L339" s="413" t="s">
        <v>1531</v>
      </c>
      <c r="M339" s="397">
        <v>1100</v>
      </c>
      <c r="N339" s="426" t="s">
        <v>1147</v>
      </c>
      <c r="O339" s="393" t="s">
        <v>918</v>
      </c>
      <c r="P339" s="416" t="s">
        <v>1413</v>
      </c>
      <c r="Q339" s="340" t="s">
        <v>2433</v>
      </c>
      <c r="R339" s="338">
        <v>1</v>
      </c>
      <c r="S339" s="408" t="s">
        <v>1413</v>
      </c>
      <c r="T339" s="399" t="s">
        <v>1531</v>
      </c>
      <c r="U339" s="396">
        <v>0.3</v>
      </c>
    </row>
    <row r="340" spans="1:21" ht="15">
      <c r="A340" s="427">
        <v>1.0999999999999999E-2</v>
      </c>
      <c r="B340" s="405" t="s">
        <v>521</v>
      </c>
      <c r="C340" s="394">
        <v>2.5000000000000002E-6</v>
      </c>
      <c r="D340" s="405" t="s">
        <v>521</v>
      </c>
      <c r="E340" s="394">
        <v>0.1</v>
      </c>
      <c r="F340" s="405" t="s">
        <v>1412</v>
      </c>
      <c r="G340" s="394">
        <v>1</v>
      </c>
      <c r="H340" s="405" t="s">
        <v>1412</v>
      </c>
      <c r="I340" s="405" t="s">
        <v>969</v>
      </c>
      <c r="J340" s="404" t="s">
        <v>1413</v>
      </c>
      <c r="K340" s="405">
        <v>1</v>
      </c>
      <c r="L340" s="411" t="s">
        <v>1531</v>
      </c>
      <c r="M340" s="395">
        <v>480</v>
      </c>
      <c r="N340" s="425" t="s">
        <v>381</v>
      </c>
      <c r="O340" s="391" t="s">
        <v>920</v>
      </c>
      <c r="P340" s="429">
        <v>700</v>
      </c>
      <c r="Q340" s="340" t="s">
        <v>2434</v>
      </c>
      <c r="R340" s="338">
        <v>1</v>
      </c>
      <c r="S340" s="404" t="s">
        <v>1413</v>
      </c>
      <c r="T340" s="394">
        <v>2.5000000000000002E-6</v>
      </c>
      <c r="U340" s="394">
        <v>1</v>
      </c>
    </row>
    <row r="341" spans="1:21" ht="15">
      <c r="A341" s="403" t="s">
        <v>1531</v>
      </c>
      <c r="B341" s="404" t="s">
        <v>1413</v>
      </c>
      <c r="C341" s="398" t="s">
        <v>1531</v>
      </c>
      <c r="D341" s="404" t="s">
        <v>1413</v>
      </c>
      <c r="E341" s="394">
        <v>7.0000000000000007E-2</v>
      </c>
      <c r="F341" s="405" t="s">
        <v>520</v>
      </c>
      <c r="G341" s="398" t="s">
        <v>1531</v>
      </c>
      <c r="H341" s="404" t="s">
        <v>1413</v>
      </c>
      <c r="I341" s="404" t="s">
        <v>1413</v>
      </c>
      <c r="J341" s="404" t="s">
        <v>1413</v>
      </c>
      <c r="K341" s="405">
        <v>1</v>
      </c>
      <c r="L341" s="405">
        <v>0.1</v>
      </c>
      <c r="M341" s="406" t="s">
        <v>1531</v>
      </c>
      <c r="N341" s="425" t="s">
        <v>1149</v>
      </c>
      <c r="O341" s="391" t="s">
        <v>921</v>
      </c>
      <c r="P341" s="414" t="s">
        <v>1413</v>
      </c>
      <c r="Q341" s="340" t="s">
        <v>2434</v>
      </c>
      <c r="R341" s="338">
        <v>1</v>
      </c>
      <c r="S341" s="404" t="s">
        <v>1413</v>
      </c>
      <c r="T341" s="398" t="s">
        <v>1531</v>
      </c>
      <c r="U341" s="398" t="s">
        <v>1531</v>
      </c>
    </row>
    <row r="342" spans="1:21" ht="15.6" thickBot="1">
      <c r="A342" s="407" t="s">
        <v>1531</v>
      </c>
      <c r="B342" s="408" t="s">
        <v>1413</v>
      </c>
      <c r="C342" s="399" t="s">
        <v>1531</v>
      </c>
      <c r="D342" s="408" t="s">
        <v>1413</v>
      </c>
      <c r="E342" s="396">
        <v>0.09</v>
      </c>
      <c r="F342" s="409" t="s">
        <v>520</v>
      </c>
      <c r="G342" s="399" t="s">
        <v>1531</v>
      </c>
      <c r="H342" s="408" t="s">
        <v>1413</v>
      </c>
      <c r="I342" s="409" t="s">
        <v>969</v>
      </c>
      <c r="J342" s="408" t="s">
        <v>1413</v>
      </c>
      <c r="K342" s="409">
        <v>1</v>
      </c>
      <c r="L342" s="413" t="s">
        <v>1531</v>
      </c>
      <c r="M342" s="397">
        <v>189000</v>
      </c>
      <c r="N342" s="426" t="s">
        <v>1150</v>
      </c>
      <c r="O342" s="393" t="s">
        <v>922</v>
      </c>
      <c r="P342" s="416" t="s">
        <v>1413</v>
      </c>
      <c r="Q342" s="340" t="s">
        <v>2434</v>
      </c>
      <c r="R342" s="338">
        <v>1</v>
      </c>
      <c r="S342" s="408" t="s">
        <v>1413</v>
      </c>
      <c r="T342" s="399" t="s">
        <v>1531</v>
      </c>
      <c r="U342" s="399" t="s">
        <v>1531</v>
      </c>
    </row>
    <row r="343" spans="1:21" ht="15">
      <c r="A343" s="403" t="s">
        <v>1531</v>
      </c>
      <c r="B343" s="404" t="s">
        <v>1413</v>
      </c>
      <c r="C343" s="398" t="s">
        <v>1531</v>
      </c>
      <c r="D343" s="404" t="s">
        <v>1413</v>
      </c>
      <c r="E343" s="394">
        <v>2</v>
      </c>
      <c r="F343" s="405" t="s">
        <v>1412</v>
      </c>
      <c r="G343" s="394">
        <v>0.4</v>
      </c>
      <c r="H343" s="405" t="s">
        <v>521</v>
      </c>
      <c r="I343" s="404" t="s">
        <v>1413</v>
      </c>
      <c r="J343" s="404" t="s">
        <v>1413</v>
      </c>
      <c r="K343" s="405">
        <v>1</v>
      </c>
      <c r="L343" s="405">
        <v>0.1</v>
      </c>
      <c r="M343" s="406" t="s">
        <v>1531</v>
      </c>
      <c r="N343" s="425" t="s">
        <v>1151</v>
      </c>
      <c r="O343" s="391" t="s">
        <v>923</v>
      </c>
      <c r="P343" s="414" t="s">
        <v>1413</v>
      </c>
      <c r="Q343" s="340" t="s">
        <v>2434</v>
      </c>
      <c r="R343" s="338">
        <v>1</v>
      </c>
      <c r="S343" s="404" t="s">
        <v>1413</v>
      </c>
      <c r="T343" s="398" t="s">
        <v>1531</v>
      </c>
      <c r="U343" s="394">
        <v>0.4</v>
      </c>
    </row>
    <row r="344" spans="1:21" ht="15">
      <c r="A344" s="403" t="s">
        <v>1531</v>
      </c>
      <c r="B344" s="404" t="s">
        <v>1413</v>
      </c>
      <c r="C344" s="398" t="s">
        <v>1531</v>
      </c>
      <c r="D344" s="404" t="s">
        <v>1413</v>
      </c>
      <c r="E344" s="394">
        <v>0.1</v>
      </c>
      <c r="F344" s="405" t="s">
        <v>1412</v>
      </c>
      <c r="G344" s="394">
        <v>1.6</v>
      </c>
      <c r="H344" s="405" t="s">
        <v>1412</v>
      </c>
      <c r="I344" s="404" t="s">
        <v>1413</v>
      </c>
      <c r="J344" s="404" t="s">
        <v>1413</v>
      </c>
      <c r="K344" s="405">
        <v>1</v>
      </c>
      <c r="L344" s="405">
        <v>0.1</v>
      </c>
      <c r="M344" s="406" t="s">
        <v>1531</v>
      </c>
      <c r="N344" s="425" t="s">
        <v>1152</v>
      </c>
      <c r="O344" s="391" t="s">
        <v>924</v>
      </c>
      <c r="P344" s="414" t="s">
        <v>1413</v>
      </c>
      <c r="Q344" s="340" t="s">
        <v>2433</v>
      </c>
      <c r="R344" s="338">
        <v>1</v>
      </c>
      <c r="S344" s="404" t="s">
        <v>1413</v>
      </c>
      <c r="T344" s="398" t="s">
        <v>1531</v>
      </c>
      <c r="U344" s="394">
        <v>1.6</v>
      </c>
    </row>
    <row r="345" spans="1:21" ht="15.6" thickBot="1">
      <c r="A345" s="412">
        <v>0.31</v>
      </c>
      <c r="B345" s="409" t="s">
        <v>521</v>
      </c>
      <c r="C345" s="396">
        <v>3.0000000000000001E-3</v>
      </c>
      <c r="D345" s="409" t="s">
        <v>1412</v>
      </c>
      <c r="E345" s="399" t="s">
        <v>1531</v>
      </c>
      <c r="F345" s="408" t="s">
        <v>1413</v>
      </c>
      <c r="G345" s="396">
        <v>0.03</v>
      </c>
      <c r="H345" s="409" t="s">
        <v>521</v>
      </c>
      <c r="I345" s="409" t="s">
        <v>969</v>
      </c>
      <c r="J345" s="409" t="s">
        <v>522</v>
      </c>
      <c r="K345" s="409">
        <v>1</v>
      </c>
      <c r="L345" s="413" t="s">
        <v>1531</v>
      </c>
      <c r="M345" s="397">
        <v>121000</v>
      </c>
      <c r="N345" s="426" t="s">
        <v>1153</v>
      </c>
      <c r="O345" s="393" t="s">
        <v>925</v>
      </c>
      <c r="P345" s="416" t="s">
        <v>1413</v>
      </c>
      <c r="Q345" s="340" t="s">
        <v>2433</v>
      </c>
      <c r="R345" s="338">
        <v>1</v>
      </c>
      <c r="S345" s="409" t="s">
        <v>2424</v>
      </c>
      <c r="T345" s="396">
        <v>3.0000000000000001E-3</v>
      </c>
      <c r="U345" s="396">
        <v>0.03</v>
      </c>
    </row>
    <row r="346" spans="1:21" ht="15">
      <c r="A346" s="427">
        <v>4.4999999999999998E-2</v>
      </c>
      <c r="B346" s="405" t="s">
        <v>521</v>
      </c>
      <c r="C346" s="394">
        <v>1.2999999999999999E-5</v>
      </c>
      <c r="D346" s="405" t="s">
        <v>521</v>
      </c>
      <c r="E346" s="394">
        <v>8.0000000000000007E-5</v>
      </c>
      <c r="F346" s="405" t="s">
        <v>1412</v>
      </c>
      <c r="G346" s="398" t="s">
        <v>1531</v>
      </c>
      <c r="H346" s="404" t="s">
        <v>1413</v>
      </c>
      <c r="I346" s="404" t="s">
        <v>1413</v>
      </c>
      <c r="J346" s="404" t="s">
        <v>1413</v>
      </c>
      <c r="K346" s="405">
        <v>1</v>
      </c>
      <c r="L346" s="405">
        <v>0.1</v>
      </c>
      <c r="M346" s="406" t="s">
        <v>1531</v>
      </c>
      <c r="N346" s="425" t="s">
        <v>1154</v>
      </c>
      <c r="O346" s="391" t="s">
        <v>926</v>
      </c>
      <c r="P346" s="414" t="s">
        <v>1413</v>
      </c>
      <c r="Q346" s="340" t="s">
        <v>2433</v>
      </c>
      <c r="R346" s="338">
        <v>1</v>
      </c>
      <c r="S346" s="404" t="s">
        <v>1413</v>
      </c>
      <c r="T346" s="394">
        <v>1.2999999999999999E-5</v>
      </c>
      <c r="U346" s="398" t="s">
        <v>1531</v>
      </c>
    </row>
    <row r="347" spans="1:21" ht="15">
      <c r="A347" s="427">
        <v>65</v>
      </c>
      <c r="B347" s="405" t="s">
        <v>521</v>
      </c>
      <c r="C347" s="394">
        <v>1.9E-2</v>
      </c>
      <c r="D347" s="405" t="s">
        <v>521</v>
      </c>
      <c r="E347" s="398" t="s">
        <v>1531</v>
      </c>
      <c r="F347" s="404" t="s">
        <v>1413</v>
      </c>
      <c r="G347" s="398" t="s">
        <v>1531</v>
      </c>
      <c r="H347" s="404" t="s">
        <v>1413</v>
      </c>
      <c r="I347" s="405" t="s">
        <v>969</v>
      </c>
      <c r="J347" s="404" t="s">
        <v>1413</v>
      </c>
      <c r="K347" s="405">
        <v>1</v>
      </c>
      <c r="L347" s="411" t="s">
        <v>1531</v>
      </c>
      <c r="M347" s="395">
        <v>154000</v>
      </c>
      <c r="N347" s="425" t="s">
        <v>585</v>
      </c>
      <c r="O347" s="391" t="s">
        <v>927</v>
      </c>
      <c r="P347" s="414" t="s">
        <v>1413</v>
      </c>
      <c r="Q347" s="340" t="s">
        <v>2433</v>
      </c>
      <c r="R347" s="338">
        <v>1</v>
      </c>
      <c r="S347" s="404" t="s">
        <v>1413</v>
      </c>
      <c r="T347" s="394">
        <v>1.9E-2</v>
      </c>
      <c r="U347" s="398" t="s">
        <v>1531</v>
      </c>
    </row>
    <row r="348" spans="1:21" ht="15.6" thickBot="1">
      <c r="A348" s="407" t="s">
        <v>1531</v>
      </c>
      <c r="B348" s="408" t="s">
        <v>1413</v>
      </c>
      <c r="C348" s="399" t="s">
        <v>1531</v>
      </c>
      <c r="D348" s="408" t="s">
        <v>1413</v>
      </c>
      <c r="E348" s="396">
        <v>3</v>
      </c>
      <c r="F348" s="409" t="s">
        <v>1412</v>
      </c>
      <c r="G348" s="399" t="s">
        <v>1531</v>
      </c>
      <c r="H348" s="408" t="s">
        <v>1413</v>
      </c>
      <c r="I348" s="408" t="s">
        <v>1413</v>
      </c>
      <c r="J348" s="408" t="s">
        <v>1413</v>
      </c>
      <c r="K348" s="409">
        <v>1</v>
      </c>
      <c r="L348" s="409">
        <v>0.1</v>
      </c>
      <c r="M348" s="410" t="s">
        <v>1531</v>
      </c>
      <c r="N348" s="426" t="s">
        <v>1155</v>
      </c>
      <c r="O348" s="393" t="s">
        <v>928</v>
      </c>
      <c r="P348" s="416" t="s">
        <v>1413</v>
      </c>
      <c r="Q348" s="340" t="s">
        <v>2433</v>
      </c>
      <c r="R348" s="338">
        <v>1</v>
      </c>
      <c r="S348" s="408" t="s">
        <v>1413</v>
      </c>
      <c r="T348" s="399" t="s">
        <v>1531</v>
      </c>
      <c r="U348" s="399" t="s">
        <v>1531</v>
      </c>
    </row>
    <row r="349" spans="1:21" ht="15">
      <c r="A349" s="403" t="s">
        <v>1531</v>
      </c>
      <c r="B349" s="404" t="s">
        <v>1413</v>
      </c>
      <c r="C349" s="398" t="s">
        <v>1531</v>
      </c>
      <c r="D349" s="404" t="s">
        <v>1413</v>
      </c>
      <c r="E349" s="394">
        <v>1.0000000000000001E-5</v>
      </c>
      <c r="F349" s="405" t="s">
        <v>1412</v>
      </c>
      <c r="G349" s="398" t="s">
        <v>1531</v>
      </c>
      <c r="H349" s="404" t="s">
        <v>1413</v>
      </c>
      <c r="I349" s="404" t="s">
        <v>1413</v>
      </c>
      <c r="J349" s="404" t="s">
        <v>1413</v>
      </c>
      <c r="K349" s="405">
        <v>1</v>
      </c>
      <c r="L349" s="405">
        <v>0.1</v>
      </c>
      <c r="M349" s="406" t="s">
        <v>1531</v>
      </c>
      <c r="N349" s="425" t="s">
        <v>1148</v>
      </c>
      <c r="O349" s="391" t="s">
        <v>919</v>
      </c>
      <c r="P349" s="414" t="s">
        <v>1413</v>
      </c>
      <c r="Q349" s="340" t="s">
        <v>2434</v>
      </c>
      <c r="R349" s="338">
        <v>1</v>
      </c>
      <c r="S349" s="404" t="s">
        <v>1413</v>
      </c>
      <c r="T349" s="398" t="s">
        <v>1531</v>
      </c>
      <c r="U349" s="398" t="s">
        <v>1531</v>
      </c>
    </row>
    <row r="350" spans="1:21" ht="15">
      <c r="A350" s="403" t="s">
        <v>1531</v>
      </c>
      <c r="B350" s="404" t="s">
        <v>1413</v>
      </c>
      <c r="C350" s="398" t="s">
        <v>1531</v>
      </c>
      <c r="D350" s="404" t="s">
        <v>1413</v>
      </c>
      <c r="E350" s="394">
        <v>2.5000000000000001E-4</v>
      </c>
      <c r="F350" s="405" t="s">
        <v>1412</v>
      </c>
      <c r="G350" s="398" t="s">
        <v>1531</v>
      </c>
      <c r="H350" s="404" t="s">
        <v>1413</v>
      </c>
      <c r="I350" s="404" t="s">
        <v>1413</v>
      </c>
      <c r="J350" s="404" t="s">
        <v>1413</v>
      </c>
      <c r="K350" s="405">
        <v>1</v>
      </c>
      <c r="L350" s="405">
        <v>0.1</v>
      </c>
      <c r="M350" s="406" t="s">
        <v>1531</v>
      </c>
      <c r="N350" s="425" t="s">
        <v>1156</v>
      </c>
      <c r="O350" s="391" t="s">
        <v>930</v>
      </c>
      <c r="P350" s="414" t="s">
        <v>1413</v>
      </c>
      <c r="Q350" s="340" t="s">
        <v>2434</v>
      </c>
      <c r="R350" s="338">
        <v>1</v>
      </c>
      <c r="S350" s="404" t="s">
        <v>1413</v>
      </c>
      <c r="T350" s="398" t="s">
        <v>1531</v>
      </c>
      <c r="U350" s="398" t="s">
        <v>1531</v>
      </c>
    </row>
    <row r="351" spans="1:21" ht="15.6" thickBot="1">
      <c r="A351" s="407" t="s">
        <v>1531</v>
      </c>
      <c r="B351" s="408" t="s">
        <v>1413</v>
      </c>
      <c r="C351" s="399" t="s">
        <v>1531</v>
      </c>
      <c r="D351" s="408" t="s">
        <v>1413</v>
      </c>
      <c r="E351" s="396">
        <v>2.5000000000000001E-2</v>
      </c>
      <c r="F351" s="409" t="s">
        <v>1412</v>
      </c>
      <c r="G351" s="399" t="s">
        <v>1531</v>
      </c>
      <c r="H351" s="408" t="s">
        <v>1413</v>
      </c>
      <c r="I351" s="408" t="s">
        <v>1413</v>
      </c>
      <c r="J351" s="408" t="s">
        <v>1413</v>
      </c>
      <c r="K351" s="409">
        <v>1</v>
      </c>
      <c r="L351" s="409">
        <v>0.1</v>
      </c>
      <c r="M351" s="410" t="s">
        <v>1531</v>
      </c>
      <c r="N351" s="426" t="s">
        <v>1157</v>
      </c>
      <c r="O351" s="393" t="s">
        <v>931</v>
      </c>
      <c r="P351" s="416" t="s">
        <v>1413</v>
      </c>
      <c r="Q351" s="340" t="s">
        <v>2434</v>
      </c>
      <c r="R351" s="338">
        <v>1</v>
      </c>
      <c r="S351" s="408" t="s">
        <v>1413</v>
      </c>
      <c r="T351" s="399" t="s">
        <v>1531</v>
      </c>
      <c r="U351" s="399" t="s">
        <v>1531</v>
      </c>
    </row>
    <row r="352" spans="1:21" ht="15">
      <c r="A352" s="403" t="s">
        <v>1531</v>
      </c>
      <c r="B352" s="404" t="s">
        <v>1413</v>
      </c>
      <c r="C352" s="398" t="s">
        <v>1531</v>
      </c>
      <c r="D352" s="404" t="s">
        <v>1413</v>
      </c>
      <c r="E352" s="394">
        <v>2.5000000000000001E-2</v>
      </c>
      <c r="F352" s="405" t="s">
        <v>1412</v>
      </c>
      <c r="G352" s="398" t="s">
        <v>1531</v>
      </c>
      <c r="H352" s="404" t="s">
        <v>1413</v>
      </c>
      <c r="I352" s="404" t="s">
        <v>1413</v>
      </c>
      <c r="J352" s="404" t="s">
        <v>1413</v>
      </c>
      <c r="K352" s="405">
        <v>1</v>
      </c>
      <c r="L352" s="405">
        <v>0.1</v>
      </c>
      <c r="M352" s="406" t="s">
        <v>1531</v>
      </c>
      <c r="N352" s="425" t="s">
        <v>2309</v>
      </c>
      <c r="O352" s="391" t="s">
        <v>240</v>
      </c>
      <c r="P352" s="414" t="s">
        <v>1413</v>
      </c>
      <c r="Q352" s="340" t="s">
        <v>2433</v>
      </c>
      <c r="R352" s="338">
        <v>1</v>
      </c>
      <c r="S352" s="404" t="s">
        <v>1413</v>
      </c>
      <c r="T352" s="398" t="s">
        <v>1531</v>
      </c>
      <c r="U352" s="398" t="s">
        <v>1531</v>
      </c>
    </row>
    <row r="353" spans="1:21" ht="15">
      <c r="A353" s="403" t="s">
        <v>1531</v>
      </c>
      <c r="B353" s="404" t="s">
        <v>1413</v>
      </c>
      <c r="C353" s="398" t="s">
        <v>1531</v>
      </c>
      <c r="D353" s="404" t="s">
        <v>1413</v>
      </c>
      <c r="E353" s="394">
        <v>1.2999999999999999E-2</v>
      </c>
      <c r="F353" s="405" t="s">
        <v>1412</v>
      </c>
      <c r="G353" s="398" t="s">
        <v>1531</v>
      </c>
      <c r="H353" s="404" t="s">
        <v>1413</v>
      </c>
      <c r="I353" s="404" t="s">
        <v>1413</v>
      </c>
      <c r="J353" s="404" t="s">
        <v>1413</v>
      </c>
      <c r="K353" s="405">
        <v>1</v>
      </c>
      <c r="L353" s="405">
        <v>0.1</v>
      </c>
      <c r="M353" s="406" t="s">
        <v>1531</v>
      </c>
      <c r="N353" s="425" t="s">
        <v>1158</v>
      </c>
      <c r="O353" s="391" t="s">
        <v>932</v>
      </c>
      <c r="P353" s="414" t="s">
        <v>1413</v>
      </c>
      <c r="Q353" s="340" t="s">
        <v>2433</v>
      </c>
      <c r="R353" s="338">
        <v>1</v>
      </c>
      <c r="S353" s="404" t="s">
        <v>1413</v>
      </c>
      <c r="T353" s="398" t="s">
        <v>1531</v>
      </c>
      <c r="U353" s="398" t="s">
        <v>1531</v>
      </c>
    </row>
    <row r="354" spans="1:21" ht="15.6" thickBot="1">
      <c r="A354" s="407" t="s">
        <v>1531</v>
      </c>
      <c r="B354" s="408" t="s">
        <v>1413</v>
      </c>
      <c r="C354" s="399" t="s">
        <v>1531</v>
      </c>
      <c r="D354" s="408" t="s">
        <v>1413</v>
      </c>
      <c r="E354" s="396">
        <v>0.04</v>
      </c>
      <c r="F354" s="409" t="s">
        <v>1412</v>
      </c>
      <c r="G354" s="399" t="s">
        <v>1531</v>
      </c>
      <c r="H354" s="408" t="s">
        <v>1413</v>
      </c>
      <c r="I354" s="408" t="s">
        <v>1413</v>
      </c>
      <c r="J354" s="408" t="s">
        <v>1413</v>
      </c>
      <c r="K354" s="409">
        <v>1</v>
      </c>
      <c r="L354" s="409">
        <v>0.13</v>
      </c>
      <c r="M354" s="410" t="s">
        <v>1531</v>
      </c>
      <c r="N354" s="426" t="s">
        <v>2356</v>
      </c>
      <c r="O354" s="393" t="s">
        <v>212</v>
      </c>
      <c r="P354" s="416" t="s">
        <v>1413</v>
      </c>
      <c r="Q354" s="340" t="s">
        <v>2433</v>
      </c>
      <c r="R354" s="338">
        <v>1</v>
      </c>
      <c r="S354" s="408" t="s">
        <v>1413</v>
      </c>
      <c r="T354" s="399" t="s">
        <v>1531</v>
      </c>
      <c r="U354" s="399" t="s">
        <v>1531</v>
      </c>
    </row>
    <row r="355" spans="1:21" ht="15">
      <c r="A355" s="403" t="s">
        <v>1531</v>
      </c>
      <c r="B355" s="404" t="s">
        <v>1413</v>
      </c>
      <c r="C355" s="398" t="s">
        <v>1531</v>
      </c>
      <c r="D355" s="404" t="s">
        <v>1413</v>
      </c>
      <c r="E355" s="394">
        <v>0.04</v>
      </c>
      <c r="F355" s="405" t="s">
        <v>1412</v>
      </c>
      <c r="G355" s="398" t="s">
        <v>1531</v>
      </c>
      <c r="H355" s="404" t="s">
        <v>1413</v>
      </c>
      <c r="I355" s="405" t="s">
        <v>969</v>
      </c>
      <c r="J355" s="404" t="s">
        <v>1413</v>
      </c>
      <c r="K355" s="405">
        <v>1</v>
      </c>
      <c r="L355" s="405">
        <v>0.13</v>
      </c>
      <c r="M355" s="406" t="s">
        <v>1531</v>
      </c>
      <c r="N355" s="425" t="s">
        <v>2332</v>
      </c>
      <c r="O355" s="391" t="s">
        <v>213</v>
      </c>
      <c r="P355" s="414" t="s">
        <v>1413</v>
      </c>
      <c r="Q355" s="340" t="s">
        <v>2433</v>
      </c>
      <c r="R355" s="338">
        <v>1</v>
      </c>
      <c r="S355" s="404" t="s">
        <v>1413</v>
      </c>
      <c r="T355" s="398" t="s">
        <v>1531</v>
      </c>
      <c r="U355" s="398" t="s">
        <v>1531</v>
      </c>
    </row>
    <row r="356" spans="1:21" ht="15">
      <c r="A356" s="403" t="s">
        <v>1531</v>
      </c>
      <c r="B356" s="404" t="s">
        <v>1413</v>
      </c>
      <c r="C356" s="398" t="s">
        <v>1531</v>
      </c>
      <c r="D356" s="404" t="s">
        <v>1413</v>
      </c>
      <c r="E356" s="394">
        <v>0.04</v>
      </c>
      <c r="F356" s="405" t="s">
        <v>521</v>
      </c>
      <c r="G356" s="394">
        <v>1.2999999999999999E-2</v>
      </c>
      <c r="H356" s="405" t="s">
        <v>521</v>
      </c>
      <c r="I356" s="404" t="s">
        <v>1413</v>
      </c>
      <c r="J356" s="404" t="s">
        <v>1413</v>
      </c>
      <c r="K356" s="405">
        <v>1</v>
      </c>
      <c r="L356" s="411" t="s">
        <v>1531</v>
      </c>
      <c r="M356" s="406" t="s">
        <v>1531</v>
      </c>
      <c r="N356" s="425" t="s">
        <v>586</v>
      </c>
      <c r="O356" s="391" t="s">
        <v>933</v>
      </c>
      <c r="P356" s="414" t="s">
        <v>1413</v>
      </c>
      <c r="Q356" s="340" t="s">
        <v>2433</v>
      </c>
      <c r="R356" s="338">
        <v>1</v>
      </c>
      <c r="S356" s="404" t="s">
        <v>1413</v>
      </c>
      <c r="T356" s="398" t="s">
        <v>1531</v>
      </c>
      <c r="U356" s="394">
        <v>1.2999999999999999E-2</v>
      </c>
    </row>
    <row r="357" spans="1:21" ht="15.6" thickBot="1">
      <c r="A357" s="407" t="s">
        <v>1531</v>
      </c>
      <c r="B357" s="408" t="s">
        <v>1413</v>
      </c>
      <c r="C357" s="399" t="s">
        <v>1531</v>
      </c>
      <c r="D357" s="408" t="s">
        <v>1413</v>
      </c>
      <c r="E357" s="396">
        <v>0.06</v>
      </c>
      <c r="F357" s="409" t="s">
        <v>1412</v>
      </c>
      <c r="G357" s="396">
        <v>1.2999999999999999E-2</v>
      </c>
      <c r="H357" s="409" t="s">
        <v>521</v>
      </c>
      <c r="I357" s="408" t="s">
        <v>1413</v>
      </c>
      <c r="J357" s="408" t="s">
        <v>1413</v>
      </c>
      <c r="K357" s="409">
        <v>1</v>
      </c>
      <c r="L357" s="413" t="s">
        <v>1531</v>
      </c>
      <c r="M357" s="410" t="s">
        <v>1531</v>
      </c>
      <c r="N357" s="426" t="s">
        <v>1159</v>
      </c>
      <c r="O357" s="393" t="s">
        <v>934</v>
      </c>
      <c r="P357" s="415">
        <v>4000</v>
      </c>
      <c r="Q357" s="340" t="s">
        <v>2433</v>
      </c>
      <c r="R357" s="338">
        <v>1</v>
      </c>
      <c r="S357" s="408" t="s">
        <v>1413</v>
      </c>
      <c r="T357" s="399" t="s">
        <v>1531</v>
      </c>
      <c r="U357" s="396">
        <v>1.2999999999999999E-2</v>
      </c>
    </row>
    <row r="358" spans="1:21" ht="15">
      <c r="A358" s="403" t="s">
        <v>1531</v>
      </c>
      <c r="B358" s="404" t="s">
        <v>1413</v>
      </c>
      <c r="C358" s="398" t="s">
        <v>1531</v>
      </c>
      <c r="D358" s="404" t="s">
        <v>1413</v>
      </c>
      <c r="E358" s="394">
        <v>0.08</v>
      </c>
      <c r="F358" s="405" t="s">
        <v>1412</v>
      </c>
      <c r="G358" s="398" t="s">
        <v>1531</v>
      </c>
      <c r="H358" s="404" t="s">
        <v>1413</v>
      </c>
      <c r="I358" s="404" t="s">
        <v>1413</v>
      </c>
      <c r="J358" s="404" t="s">
        <v>1413</v>
      </c>
      <c r="K358" s="405">
        <v>1</v>
      </c>
      <c r="L358" s="405">
        <v>0.1</v>
      </c>
      <c r="M358" s="406" t="s">
        <v>1531</v>
      </c>
      <c r="N358" s="425" t="s">
        <v>1160</v>
      </c>
      <c r="O358" s="391" t="s">
        <v>935</v>
      </c>
      <c r="P358" s="414" t="s">
        <v>1413</v>
      </c>
      <c r="Q358" s="340" t="s">
        <v>2433</v>
      </c>
      <c r="R358" s="338">
        <v>1</v>
      </c>
      <c r="S358" s="404" t="s">
        <v>1413</v>
      </c>
      <c r="T358" s="398" t="s">
        <v>1531</v>
      </c>
      <c r="U358" s="398" t="s">
        <v>1531</v>
      </c>
    </row>
    <row r="359" spans="1:21" ht="15">
      <c r="A359" s="403" t="s">
        <v>1531</v>
      </c>
      <c r="B359" s="404" t="s">
        <v>1413</v>
      </c>
      <c r="C359" s="398" t="s">
        <v>1531</v>
      </c>
      <c r="D359" s="404" t="s">
        <v>1413</v>
      </c>
      <c r="E359" s="394">
        <v>1.4999999999999999E-2</v>
      </c>
      <c r="F359" s="405" t="s">
        <v>1474</v>
      </c>
      <c r="G359" s="398" t="s">
        <v>1531</v>
      </c>
      <c r="H359" s="404" t="s">
        <v>1413</v>
      </c>
      <c r="I359" s="404" t="s">
        <v>1413</v>
      </c>
      <c r="J359" s="404" t="s">
        <v>1413</v>
      </c>
      <c r="K359" s="405">
        <v>1</v>
      </c>
      <c r="L359" s="405">
        <v>0.1</v>
      </c>
      <c r="M359" s="406" t="s">
        <v>1531</v>
      </c>
      <c r="N359" s="425" t="s">
        <v>1161</v>
      </c>
      <c r="O359" s="391" t="s">
        <v>936</v>
      </c>
      <c r="P359" s="414" t="s">
        <v>1413</v>
      </c>
      <c r="Q359" s="340" t="s">
        <v>2433</v>
      </c>
      <c r="R359" s="338">
        <v>1</v>
      </c>
      <c r="S359" s="404" t="s">
        <v>1413</v>
      </c>
      <c r="T359" s="398" t="s">
        <v>1531</v>
      </c>
      <c r="U359" s="398" t="s">
        <v>1531</v>
      </c>
    </row>
    <row r="360" spans="1:21" ht="15.6" thickBot="1">
      <c r="A360" s="407" t="s">
        <v>1531</v>
      </c>
      <c r="B360" s="408" t="s">
        <v>1413</v>
      </c>
      <c r="C360" s="399" t="s">
        <v>1531</v>
      </c>
      <c r="D360" s="408" t="s">
        <v>1413</v>
      </c>
      <c r="E360" s="396">
        <v>2E-3</v>
      </c>
      <c r="F360" s="409" t="s">
        <v>1474</v>
      </c>
      <c r="G360" s="399" t="s">
        <v>1531</v>
      </c>
      <c r="H360" s="408" t="s">
        <v>1413</v>
      </c>
      <c r="I360" s="408" t="s">
        <v>1413</v>
      </c>
      <c r="J360" s="408" t="s">
        <v>1413</v>
      </c>
      <c r="K360" s="409">
        <v>1</v>
      </c>
      <c r="L360" s="409">
        <v>0.1</v>
      </c>
      <c r="M360" s="410" t="s">
        <v>1531</v>
      </c>
      <c r="N360" s="426" t="s">
        <v>2310</v>
      </c>
      <c r="O360" s="393" t="s">
        <v>141</v>
      </c>
      <c r="P360" s="416" t="s">
        <v>1413</v>
      </c>
      <c r="Q360" s="340" t="s">
        <v>2433</v>
      </c>
      <c r="R360" s="338">
        <v>1</v>
      </c>
      <c r="S360" s="408" t="s">
        <v>1413</v>
      </c>
      <c r="T360" s="399" t="s">
        <v>1531</v>
      </c>
      <c r="U360" s="399" t="s">
        <v>1531</v>
      </c>
    </row>
    <row r="361" spans="1:21" ht="15">
      <c r="A361" s="403" t="s">
        <v>1531</v>
      </c>
      <c r="B361" s="404" t="s">
        <v>1413</v>
      </c>
      <c r="C361" s="398" t="s">
        <v>1531</v>
      </c>
      <c r="D361" s="404" t="s">
        <v>1413</v>
      </c>
      <c r="E361" s="394">
        <v>0.5</v>
      </c>
      <c r="F361" s="405" t="s">
        <v>1474</v>
      </c>
      <c r="G361" s="398" t="s">
        <v>1531</v>
      </c>
      <c r="H361" s="404" t="s">
        <v>1413</v>
      </c>
      <c r="I361" s="404" t="s">
        <v>1413</v>
      </c>
      <c r="J361" s="404" t="s">
        <v>1413</v>
      </c>
      <c r="K361" s="405">
        <v>1</v>
      </c>
      <c r="L361" s="405">
        <v>0.1</v>
      </c>
      <c r="M361" s="406" t="s">
        <v>1531</v>
      </c>
      <c r="N361" s="425" t="s">
        <v>1162</v>
      </c>
      <c r="O361" s="391" t="s">
        <v>937</v>
      </c>
      <c r="P361" s="414" t="s">
        <v>1413</v>
      </c>
      <c r="Q361" s="340" t="s">
        <v>2433</v>
      </c>
      <c r="R361" s="338">
        <v>1</v>
      </c>
      <c r="S361" s="404" t="s">
        <v>1413</v>
      </c>
      <c r="T361" s="398" t="s">
        <v>1531</v>
      </c>
      <c r="U361" s="398" t="s">
        <v>1531</v>
      </c>
    </row>
    <row r="362" spans="1:21" ht="15">
      <c r="A362" s="403" t="s">
        <v>1531</v>
      </c>
      <c r="B362" s="404" t="s">
        <v>1413</v>
      </c>
      <c r="C362" s="398" t="s">
        <v>1531</v>
      </c>
      <c r="D362" s="404" t="s">
        <v>1413</v>
      </c>
      <c r="E362" s="394">
        <v>0.01</v>
      </c>
      <c r="F362" s="405" t="s">
        <v>1412</v>
      </c>
      <c r="G362" s="398" t="s">
        <v>1531</v>
      </c>
      <c r="H362" s="404" t="s">
        <v>1413</v>
      </c>
      <c r="I362" s="404" t="s">
        <v>1413</v>
      </c>
      <c r="J362" s="404" t="s">
        <v>1413</v>
      </c>
      <c r="K362" s="405">
        <v>1</v>
      </c>
      <c r="L362" s="405">
        <v>0.1</v>
      </c>
      <c r="M362" s="406" t="s">
        <v>1531</v>
      </c>
      <c r="N362" s="425" t="s">
        <v>1163</v>
      </c>
      <c r="O362" s="391" t="s">
        <v>938</v>
      </c>
      <c r="P362" s="414" t="s">
        <v>1413</v>
      </c>
      <c r="Q362" s="340" t="s">
        <v>2434</v>
      </c>
      <c r="R362" s="338">
        <v>1</v>
      </c>
      <c r="S362" s="404" t="s">
        <v>1413</v>
      </c>
      <c r="T362" s="398" t="s">
        <v>1531</v>
      </c>
      <c r="U362" s="398" t="s">
        <v>1531</v>
      </c>
    </row>
    <row r="363" spans="1:21" ht="15.6" thickBot="1">
      <c r="A363" s="407" t="s">
        <v>1531</v>
      </c>
      <c r="B363" s="408" t="s">
        <v>1413</v>
      </c>
      <c r="C363" s="399" t="s">
        <v>1531</v>
      </c>
      <c r="D363" s="408" t="s">
        <v>1413</v>
      </c>
      <c r="E363" s="396">
        <v>0.09</v>
      </c>
      <c r="F363" s="409" t="s">
        <v>1474</v>
      </c>
      <c r="G363" s="399" t="s">
        <v>1531</v>
      </c>
      <c r="H363" s="408" t="s">
        <v>1413</v>
      </c>
      <c r="I363" s="408" t="s">
        <v>1413</v>
      </c>
      <c r="J363" s="408" t="s">
        <v>1413</v>
      </c>
      <c r="K363" s="409">
        <v>1</v>
      </c>
      <c r="L363" s="409">
        <v>0.1</v>
      </c>
      <c r="M363" s="410" t="s">
        <v>1531</v>
      </c>
      <c r="N363" s="426" t="s">
        <v>1164</v>
      </c>
      <c r="O363" s="393" t="s">
        <v>939</v>
      </c>
      <c r="P363" s="416" t="s">
        <v>1413</v>
      </c>
      <c r="Q363" s="340" t="s">
        <v>2434</v>
      </c>
      <c r="R363" s="338">
        <v>1</v>
      </c>
      <c r="S363" s="408" t="s">
        <v>1413</v>
      </c>
      <c r="T363" s="399" t="s">
        <v>1531</v>
      </c>
      <c r="U363" s="399" t="s">
        <v>1531</v>
      </c>
    </row>
    <row r="364" spans="1:21" ht="15">
      <c r="A364" s="403" t="s">
        <v>1531</v>
      </c>
      <c r="B364" s="404" t="s">
        <v>1413</v>
      </c>
      <c r="C364" s="398" t="s">
        <v>1531</v>
      </c>
      <c r="D364" s="404" t="s">
        <v>1413</v>
      </c>
      <c r="E364" s="394">
        <v>2.5000000000000001E-3</v>
      </c>
      <c r="F364" s="405" t="s">
        <v>1474</v>
      </c>
      <c r="G364" s="398" t="s">
        <v>1531</v>
      </c>
      <c r="H364" s="404" t="s">
        <v>1413</v>
      </c>
      <c r="I364" s="404" t="s">
        <v>1413</v>
      </c>
      <c r="J364" s="404" t="s">
        <v>1413</v>
      </c>
      <c r="K364" s="405">
        <v>1</v>
      </c>
      <c r="L364" s="405">
        <v>0.1</v>
      </c>
      <c r="M364" s="406" t="s">
        <v>1531</v>
      </c>
      <c r="N364" s="425" t="s">
        <v>1165</v>
      </c>
      <c r="O364" s="391" t="s">
        <v>940</v>
      </c>
      <c r="P364" s="414" t="s">
        <v>1413</v>
      </c>
      <c r="Q364" s="340" t="s">
        <v>2433</v>
      </c>
      <c r="R364" s="338">
        <v>1</v>
      </c>
      <c r="S364" s="404" t="s">
        <v>1413</v>
      </c>
      <c r="T364" s="398" t="s">
        <v>1531</v>
      </c>
      <c r="U364" s="398" t="s">
        <v>1531</v>
      </c>
    </row>
    <row r="365" spans="1:21" ht="15">
      <c r="A365" s="403" t="s">
        <v>1531</v>
      </c>
      <c r="B365" s="404" t="s">
        <v>1413</v>
      </c>
      <c r="C365" s="398" t="s">
        <v>1531</v>
      </c>
      <c r="D365" s="404" t="s">
        <v>1413</v>
      </c>
      <c r="E365" s="394">
        <v>2E-3</v>
      </c>
      <c r="F365" s="405" t="s">
        <v>1412</v>
      </c>
      <c r="G365" s="398" t="s">
        <v>1531</v>
      </c>
      <c r="H365" s="404" t="s">
        <v>1413</v>
      </c>
      <c r="I365" s="404" t="s">
        <v>1413</v>
      </c>
      <c r="J365" s="404" t="s">
        <v>1413</v>
      </c>
      <c r="K365" s="405">
        <v>1</v>
      </c>
      <c r="L365" s="405">
        <v>0.1</v>
      </c>
      <c r="M365" s="406" t="s">
        <v>1531</v>
      </c>
      <c r="N365" s="425" t="s">
        <v>1166</v>
      </c>
      <c r="O365" s="391" t="s">
        <v>941</v>
      </c>
      <c r="P365" s="414" t="s">
        <v>1413</v>
      </c>
      <c r="Q365" s="340" t="s">
        <v>2433</v>
      </c>
      <c r="R365" s="338">
        <v>1047786</v>
      </c>
      <c r="S365" s="404" t="s">
        <v>1413</v>
      </c>
      <c r="T365" s="398" t="s">
        <v>1531</v>
      </c>
      <c r="U365" s="398" t="s">
        <v>1531</v>
      </c>
    </row>
    <row r="366" spans="1:21" ht="15.6" thickBot="1">
      <c r="A366" s="407" t="s">
        <v>1531</v>
      </c>
      <c r="B366" s="408" t="s">
        <v>1413</v>
      </c>
      <c r="C366" s="396">
        <v>1.2999999999999999E-5</v>
      </c>
      <c r="D366" s="409" t="s">
        <v>1412</v>
      </c>
      <c r="E366" s="396">
        <v>0.2</v>
      </c>
      <c r="F366" s="409" t="s">
        <v>1412</v>
      </c>
      <c r="G366" s="396">
        <v>9.7999999999999997E-3</v>
      </c>
      <c r="H366" s="409" t="s">
        <v>1414</v>
      </c>
      <c r="I366" s="409" t="s">
        <v>969</v>
      </c>
      <c r="J366" s="408" t="s">
        <v>1413</v>
      </c>
      <c r="K366" s="409">
        <v>1</v>
      </c>
      <c r="L366" s="413" t="s">
        <v>1531</v>
      </c>
      <c r="M366" s="397">
        <v>42400</v>
      </c>
      <c r="N366" s="426" t="s">
        <v>1405</v>
      </c>
      <c r="O366" s="393" t="s">
        <v>942</v>
      </c>
      <c r="P366" s="416" t="s">
        <v>1413</v>
      </c>
      <c r="Q366" s="340" t="s">
        <v>2433</v>
      </c>
      <c r="R366" s="338">
        <v>1</v>
      </c>
      <c r="S366" s="408" t="s">
        <v>1413</v>
      </c>
      <c r="T366" s="396">
        <v>1.2999999999999999E-5</v>
      </c>
      <c r="U366" s="396">
        <v>9.7999999999999997E-3</v>
      </c>
    </row>
    <row r="367" spans="1:21" ht="15">
      <c r="A367" s="403" t="s">
        <v>1531</v>
      </c>
      <c r="B367" s="404" t="s">
        <v>1413</v>
      </c>
      <c r="C367" s="398" t="s">
        <v>1531</v>
      </c>
      <c r="D367" s="404" t="s">
        <v>1413</v>
      </c>
      <c r="E367" s="394">
        <v>0.9</v>
      </c>
      <c r="F367" s="405" t="s">
        <v>520</v>
      </c>
      <c r="G367" s="394">
        <v>2.9999999999999997E-4</v>
      </c>
      <c r="H367" s="405" t="s">
        <v>961</v>
      </c>
      <c r="I367" s="405" t="s">
        <v>969</v>
      </c>
      <c r="J367" s="404" t="s">
        <v>1413</v>
      </c>
      <c r="K367" s="405">
        <v>1</v>
      </c>
      <c r="L367" s="411" t="s">
        <v>1531</v>
      </c>
      <c r="M367" s="395">
        <v>106000</v>
      </c>
      <c r="N367" s="425" t="s">
        <v>1167</v>
      </c>
      <c r="O367" s="391" t="s">
        <v>943</v>
      </c>
      <c r="P367" s="414" t="s">
        <v>1413</v>
      </c>
      <c r="Q367" s="340" t="s">
        <v>2433</v>
      </c>
      <c r="R367" s="338">
        <v>1</v>
      </c>
      <c r="S367" s="404" t="s">
        <v>1413</v>
      </c>
      <c r="T367" s="398" t="s">
        <v>1531</v>
      </c>
      <c r="U367" s="394">
        <v>2.9999999999999997E-4</v>
      </c>
    </row>
    <row r="368" spans="1:21" ht="15">
      <c r="A368" s="403" t="s">
        <v>1531</v>
      </c>
      <c r="B368" s="404" t="s">
        <v>1413</v>
      </c>
      <c r="C368" s="398" t="s">
        <v>1531</v>
      </c>
      <c r="D368" s="404" t="s">
        <v>1413</v>
      </c>
      <c r="E368" s="394">
        <v>2.5</v>
      </c>
      <c r="F368" s="405" t="s">
        <v>1474</v>
      </c>
      <c r="G368" s="398" t="s">
        <v>1531</v>
      </c>
      <c r="H368" s="404" t="s">
        <v>1413</v>
      </c>
      <c r="I368" s="404" t="s">
        <v>1413</v>
      </c>
      <c r="J368" s="404" t="s">
        <v>1413</v>
      </c>
      <c r="K368" s="405">
        <v>1</v>
      </c>
      <c r="L368" s="405">
        <v>0.1</v>
      </c>
      <c r="M368" s="406" t="s">
        <v>1531</v>
      </c>
      <c r="N368" s="425" t="s">
        <v>1168</v>
      </c>
      <c r="O368" s="391" t="s">
        <v>944</v>
      </c>
      <c r="P368" s="414" t="s">
        <v>1413</v>
      </c>
      <c r="Q368" s="340" t="s">
        <v>2434</v>
      </c>
      <c r="R368" s="338">
        <v>1</v>
      </c>
      <c r="S368" s="404" t="s">
        <v>1413</v>
      </c>
      <c r="T368" s="398" t="s">
        <v>1531</v>
      </c>
      <c r="U368" s="398" t="s">
        <v>1531</v>
      </c>
    </row>
    <row r="369" spans="1:21" ht="15.6" thickBot="1">
      <c r="A369" s="407" t="s">
        <v>1531</v>
      </c>
      <c r="B369" s="408" t="s">
        <v>1413</v>
      </c>
      <c r="C369" s="399" t="s">
        <v>1531</v>
      </c>
      <c r="D369" s="408" t="s">
        <v>1413</v>
      </c>
      <c r="E369" s="396">
        <v>1E-3</v>
      </c>
      <c r="F369" s="409" t="s">
        <v>1412</v>
      </c>
      <c r="G369" s="399" t="s">
        <v>1531</v>
      </c>
      <c r="H369" s="408" t="s">
        <v>1413</v>
      </c>
      <c r="I369" s="409" t="s">
        <v>969</v>
      </c>
      <c r="J369" s="408" t="s">
        <v>1413</v>
      </c>
      <c r="K369" s="409">
        <v>1</v>
      </c>
      <c r="L369" s="409">
        <v>0.03</v>
      </c>
      <c r="M369" s="397">
        <v>6220</v>
      </c>
      <c r="N369" s="426" t="s">
        <v>2333</v>
      </c>
      <c r="O369" s="393" t="s">
        <v>946</v>
      </c>
      <c r="P369" s="416" t="s">
        <v>1413</v>
      </c>
      <c r="Q369" s="340" t="s">
        <v>2434</v>
      </c>
      <c r="R369" s="338">
        <v>1</v>
      </c>
      <c r="S369" s="408" t="s">
        <v>1413</v>
      </c>
      <c r="T369" s="399" t="s">
        <v>1531</v>
      </c>
      <c r="U369" s="399" t="s">
        <v>1531</v>
      </c>
    </row>
    <row r="370" spans="1:21" ht="15">
      <c r="A370" s="403" t="s">
        <v>1531</v>
      </c>
      <c r="B370" s="404" t="s">
        <v>1413</v>
      </c>
      <c r="C370" s="398" t="s">
        <v>1531</v>
      </c>
      <c r="D370" s="404" t="s">
        <v>1413</v>
      </c>
      <c r="E370" s="398" t="s">
        <v>1531</v>
      </c>
      <c r="F370" s="404" t="s">
        <v>1413</v>
      </c>
      <c r="G370" s="398" t="s">
        <v>1531</v>
      </c>
      <c r="H370" s="404" t="s">
        <v>1413</v>
      </c>
      <c r="I370" s="404" t="s">
        <v>1413</v>
      </c>
      <c r="J370" s="404" t="s">
        <v>1413</v>
      </c>
      <c r="K370" s="411" t="s">
        <v>1531</v>
      </c>
      <c r="L370" s="411" t="s">
        <v>1531</v>
      </c>
      <c r="M370" s="406" t="s">
        <v>1531</v>
      </c>
      <c r="N370" s="425" t="s">
        <v>1169</v>
      </c>
      <c r="O370" s="391" t="s">
        <v>1413</v>
      </c>
      <c r="P370" s="414" t="s">
        <v>1413</v>
      </c>
      <c r="Q370" s="340" t="s">
        <v>2433</v>
      </c>
      <c r="R370" s="338">
        <v>1</v>
      </c>
      <c r="S370" s="404" t="s">
        <v>1413</v>
      </c>
      <c r="T370" s="398" t="s">
        <v>1531</v>
      </c>
      <c r="U370" s="398" t="s">
        <v>1531</v>
      </c>
    </row>
    <row r="371" spans="1:21" ht="15">
      <c r="A371" s="427">
        <v>3.8</v>
      </c>
      <c r="B371" s="405" t="s">
        <v>406</v>
      </c>
      <c r="C371" s="398" t="s">
        <v>1531</v>
      </c>
      <c r="D371" s="404" t="s">
        <v>1413</v>
      </c>
      <c r="E371" s="398" t="s">
        <v>1531</v>
      </c>
      <c r="F371" s="404" t="s">
        <v>1413</v>
      </c>
      <c r="G371" s="398" t="s">
        <v>1531</v>
      </c>
      <c r="H371" s="404" t="s">
        <v>1413</v>
      </c>
      <c r="I371" s="404" t="s">
        <v>1413</v>
      </c>
      <c r="J371" s="404" t="s">
        <v>1413</v>
      </c>
      <c r="K371" s="405">
        <v>1</v>
      </c>
      <c r="L371" s="405">
        <v>0.1</v>
      </c>
      <c r="M371" s="406" t="s">
        <v>1531</v>
      </c>
      <c r="N371" s="425" t="s">
        <v>1170</v>
      </c>
      <c r="O371" s="391" t="s">
        <v>947</v>
      </c>
      <c r="P371" s="414" t="s">
        <v>1413</v>
      </c>
      <c r="Q371" s="340" t="s">
        <v>2433</v>
      </c>
      <c r="R371" s="338">
        <v>1</v>
      </c>
      <c r="S371" s="404" t="s">
        <v>1413</v>
      </c>
      <c r="T371" s="398" t="s">
        <v>1531</v>
      </c>
      <c r="U371" s="398" t="s">
        <v>1531</v>
      </c>
    </row>
    <row r="372" spans="1:21" ht="15.6" thickBot="1">
      <c r="A372" s="407" t="s">
        <v>1531</v>
      </c>
      <c r="B372" s="408" t="s">
        <v>1413</v>
      </c>
      <c r="C372" s="399" t="s">
        <v>1531</v>
      </c>
      <c r="D372" s="408" t="s">
        <v>1413</v>
      </c>
      <c r="E372" s="396">
        <v>3.0000000000000001E-3</v>
      </c>
      <c r="F372" s="409" t="s">
        <v>1412</v>
      </c>
      <c r="G372" s="396">
        <v>0.05</v>
      </c>
      <c r="H372" s="409" t="s">
        <v>406</v>
      </c>
      <c r="I372" s="409" t="s">
        <v>969</v>
      </c>
      <c r="J372" s="408" t="s">
        <v>1413</v>
      </c>
      <c r="K372" s="409">
        <v>1</v>
      </c>
      <c r="L372" s="413" t="s">
        <v>1531</v>
      </c>
      <c r="M372" s="397">
        <v>10100</v>
      </c>
      <c r="N372" s="426" t="s">
        <v>1171</v>
      </c>
      <c r="O372" s="393" t="s">
        <v>948</v>
      </c>
      <c r="P372" s="416" t="s">
        <v>1413</v>
      </c>
      <c r="Q372" s="340" t="s">
        <v>2434</v>
      </c>
      <c r="R372" s="338">
        <v>1</v>
      </c>
      <c r="S372" s="408" t="s">
        <v>1413</v>
      </c>
      <c r="T372" s="399" t="s">
        <v>1531</v>
      </c>
      <c r="U372" s="396">
        <v>0.05</v>
      </c>
    </row>
    <row r="373" spans="1:21" ht="15">
      <c r="A373" s="427">
        <v>1.5</v>
      </c>
      <c r="B373" s="405" t="s">
        <v>521</v>
      </c>
      <c r="C373" s="394">
        <v>4.2999999999999999E-4</v>
      </c>
      <c r="D373" s="405" t="s">
        <v>521</v>
      </c>
      <c r="E373" s="398" t="s">
        <v>1531</v>
      </c>
      <c r="F373" s="404" t="s">
        <v>1413</v>
      </c>
      <c r="G373" s="398" t="s">
        <v>1531</v>
      </c>
      <c r="H373" s="404" t="s">
        <v>1413</v>
      </c>
      <c r="I373" s="404" t="s">
        <v>1413</v>
      </c>
      <c r="J373" s="404" t="s">
        <v>1413</v>
      </c>
      <c r="K373" s="405">
        <v>1</v>
      </c>
      <c r="L373" s="405">
        <v>0.1</v>
      </c>
      <c r="M373" s="406" t="s">
        <v>1531</v>
      </c>
      <c r="N373" s="425" t="s">
        <v>1172</v>
      </c>
      <c r="O373" s="391" t="s">
        <v>949</v>
      </c>
      <c r="P373" s="414" t="s">
        <v>1413</v>
      </c>
      <c r="Q373" s="340" t="s">
        <v>2434</v>
      </c>
      <c r="R373" s="338">
        <v>1</v>
      </c>
      <c r="S373" s="404" t="s">
        <v>1413</v>
      </c>
      <c r="T373" s="394">
        <v>4.2999999999999999E-4</v>
      </c>
      <c r="U373" s="398" t="s">
        <v>1531</v>
      </c>
    </row>
    <row r="374" spans="1:21" ht="15">
      <c r="A374" s="427">
        <v>0.03</v>
      </c>
      <c r="B374" s="405" t="s">
        <v>1412</v>
      </c>
      <c r="C374" s="394">
        <v>8.6000000000000007E-6</v>
      </c>
      <c r="D374" s="405" t="s">
        <v>521</v>
      </c>
      <c r="E374" s="398" t="s">
        <v>1531</v>
      </c>
      <c r="F374" s="404" t="s">
        <v>1413</v>
      </c>
      <c r="G374" s="398" t="s">
        <v>1531</v>
      </c>
      <c r="H374" s="404" t="s">
        <v>1413</v>
      </c>
      <c r="I374" s="404" t="s">
        <v>1413</v>
      </c>
      <c r="J374" s="404" t="s">
        <v>1413</v>
      </c>
      <c r="K374" s="405">
        <v>1</v>
      </c>
      <c r="L374" s="405">
        <v>0.1</v>
      </c>
      <c r="M374" s="406" t="s">
        <v>1531</v>
      </c>
      <c r="N374" s="425" t="s">
        <v>1406</v>
      </c>
      <c r="O374" s="391" t="s">
        <v>950</v>
      </c>
      <c r="P374" s="414" t="s">
        <v>1413</v>
      </c>
      <c r="Q374" s="340" t="s">
        <v>2433</v>
      </c>
      <c r="R374" s="338">
        <v>1</v>
      </c>
      <c r="S374" s="404" t="s">
        <v>1413</v>
      </c>
      <c r="T374" s="394">
        <v>8.6000000000000007E-6</v>
      </c>
      <c r="U374" s="398" t="s">
        <v>1531</v>
      </c>
    </row>
    <row r="375" spans="1:21" ht="15.6" thickBot="1">
      <c r="A375" s="407" t="s">
        <v>1531</v>
      </c>
      <c r="B375" s="408" t="s">
        <v>1413</v>
      </c>
      <c r="C375" s="399" t="s">
        <v>1531</v>
      </c>
      <c r="D375" s="408" t="s">
        <v>1413</v>
      </c>
      <c r="E375" s="396">
        <v>6.0000000000000001E-3</v>
      </c>
      <c r="F375" s="409" t="s">
        <v>1474</v>
      </c>
      <c r="G375" s="399" t="s">
        <v>1531</v>
      </c>
      <c r="H375" s="408" t="s">
        <v>1413</v>
      </c>
      <c r="I375" s="408" t="s">
        <v>1413</v>
      </c>
      <c r="J375" s="408" t="s">
        <v>1413</v>
      </c>
      <c r="K375" s="409">
        <v>1</v>
      </c>
      <c r="L375" s="409">
        <v>0.1</v>
      </c>
      <c r="M375" s="410" t="s">
        <v>1531</v>
      </c>
      <c r="N375" s="426" t="s">
        <v>1173</v>
      </c>
      <c r="O375" s="393" t="s">
        <v>951</v>
      </c>
      <c r="P375" s="416" t="s">
        <v>1413</v>
      </c>
      <c r="Q375" s="340" t="s">
        <v>2433</v>
      </c>
      <c r="R375" s="338">
        <v>1</v>
      </c>
      <c r="S375" s="408" t="s">
        <v>1413</v>
      </c>
      <c r="T375" s="399" t="s">
        <v>1531</v>
      </c>
      <c r="U375" s="399" t="s">
        <v>1531</v>
      </c>
    </row>
    <row r="376" spans="1:21" ht="15">
      <c r="A376" s="403" t="s">
        <v>1531</v>
      </c>
      <c r="B376" s="404" t="s">
        <v>1413</v>
      </c>
      <c r="C376" s="398" t="s">
        <v>1531</v>
      </c>
      <c r="D376" s="404" t="s">
        <v>1413</v>
      </c>
      <c r="E376" s="394">
        <v>0.1</v>
      </c>
      <c r="F376" s="405" t="s">
        <v>1414</v>
      </c>
      <c r="G376" s="394">
        <v>8.0000000000000007E-5</v>
      </c>
      <c r="H376" s="405" t="s">
        <v>521</v>
      </c>
      <c r="I376" s="404" t="s">
        <v>1413</v>
      </c>
      <c r="J376" s="404" t="s">
        <v>1413</v>
      </c>
      <c r="K376" s="405">
        <v>1</v>
      </c>
      <c r="L376" s="405">
        <v>0.1</v>
      </c>
      <c r="M376" s="406" t="s">
        <v>1531</v>
      </c>
      <c r="N376" s="425" t="s">
        <v>587</v>
      </c>
      <c r="O376" s="391" t="s">
        <v>952</v>
      </c>
      <c r="P376" s="414" t="s">
        <v>1413</v>
      </c>
      <c r="Q376" s="340" t="s">
        <v>2433</v>
      </c>
      <c r="R376" s="338">
        <v>1</v>
      </c>
      <c r="S376" s="404" t="s">
        <v>1413</v>
      </c>
      <c r="T376" s="398" t="s">
        <v>1531</v>
      </c>
      <c r="U376" s="394">
        <v>8.0000000000000007E-5</v>
      </c>
    </row>
    <row r="377" spans="1:21" ht="15">
      <c r="A377" s="403" t="s">
        <v>1531</v>
      </c>
      <c r="B377" s="404" t="s">
        <v>1413</v>
      </c>
      <c r="C377" s="398" t="s">
        <v>1531</v>
      </c>
      <c r="D377" s="404" t="s">
        <v>1413</v>
      </c>
      <c r="E377" s="394">
        <v>4.0000000000000002E-4</v>
      </c>
      <c r="F377" s="405" t="s">
        <v>1412</v>
      </c>
      <c r="G377" s="394">
        <v>1E-3</v>
      </c>
      <c r="H377" s="405" t="s">
        <v>406</v>
      </c>
      <c r="I377" s="405" t="s">
        <v>969</v>
      </c>
      <c r="J377" s="404" t="s">
        <v>1413</v>
      </c>
      <c r="K377" s="405">
        <v>1</v>
      </c>
      <c r="L377" s="411" t="s">
        <v>1531</v>
      </c>
      <c r="M377" s="395">
        <v>106000</v>
      </c>
      <c r="N377" s="425" t="s">
        <v>1174</v>
      </c>
      <c r="O377" s="391" t="s">
        <v>953</v>
      </c>
      <c r="P377" s="414" t="s">
        <v>1413</v>
      </c>
      <c r="Q377" s="340" t="s">
        <v>2433</v>
      </c>
      <c r="R377" s="338">
        <v>1</v>
      </c>
      <c r="S377" s="404" t="s">
        <v>1413</v>
      </c>
      <c r="T377" s="398" t="s">
        <v>1531</v>
      </c>
      <c r="U377" s="394">
        <v>1E-3</v>
      </c>
    </row>
    <row r="378" spans="1:21" ht="15.6" thickBot="1">
      <c r="A378" s="407" t="s">
        <v>1531</v>
      </c>
      <c r="B378" s="408" t="s">
        <v>1413</v>
      </c>
      <c r="C378" s="399" t="s">
        <v>1531</v>
      </c>
      <c r="D378" s="408" t="s">
        <v>1413</v>
      </c>
      <c r="E378" s="396">
        <v>0.1</v>
      </c>
      <c r="F378" s="409" t="s">
        <v>1412</v>
      </c>
      <c r="G378" s="399" t="s">
        <v>1531</v>
      </c>
      <c r="H378" s="408" t="s">
        <v>1413</v>
      </c>
      <c r="I378" s="408" t="s">
        <v>1413</v>
      </c>
      <c r="J378" s="408" t="s">
        <v>1413</v>
      </c>
      <c r="K378" s="409">
        <v>1</v>
      </c>
      <c r="L378" s="409">
        <v>0.1</v>
      </c>
      <c r="M378" s="410" t="s">
        <v>1531</v>
      </c>
      <c r="N378" s="426" t="s">
        <v>1175</v>
      </c>
      <c r="O378" s="393" t="s">
        <v>954</v>
      </c>
      <c r="P378" s="415">
        <v>700</v>
      </c>
      <c r="Q378" s="340" t="s">
        <v>2434</v>
      </c>
      <c r="R378" s="338">
        <v>1</v>
      </c>
      <c r="S378" s="408" t="s">
        <v>1413</v>
      </c>
      <c r="T378" s="399" t="s">
        <v>1531</v>
      </c>
      <c r="U378" s="399" t="s">
        <v>1531</v>
      </c>
    </row>
    <row r="379" spans="1:21" ht="15">
      <c r="A379" s="403" t="s">
        <v>1531</v>
      </c>
      <c r="B379" s="404" t="s">
        <v>1413</v>
      </c>
      <c r="C379" s="398" t="s">
        <v>1531</v>
      </c>
      <c r="D379" s="404" t="s">
        <v>1413</v>
      </c>
      <c r="E379" s="394">
        <v>0.01</v>
      </c>
      <c r="F379" s="405" t="s">
        <v>961</v>
      </c>
      <c r="G379" s="398" t="s">
        <v>1531</v>
      </c>
      <c r="H379" s="404" t="s">
        <v>1413</v>
      </c>
      <c r="I379" s="405" t="s">
        <v>969</v>
      </c>
      <c r="J379" s="404" t="s">
        <v>1413</v>
      </c>
      <c r="K379" s="405">
        <v>1</v>
      </c>
      <c r="L379" s="411" t="s">
        <v>1531</v>
      </c>
      <c r="M379" s="406" t="s">
        <v>1531</v>
      </c>
      <c r="N379" s="425" t="s">
        <v>2080</v>
      </c>
      <c r="O379" s="391" t="s">
        <v>2081</v>
      </c>
      <c r="P379" s="414" t="s">
        <v>1413</v>
      </c>
      <c r="Q379" s="340" t="s">
        <v>2434</v>
      </c>
      <c r="R379" s="338">
        <v>1</v>
      </c>
      <c r="S379" s="404" t="s">
        <v>1413</v>
      </c>
      <c r="T379" s="398" t="s">
        <v>1531</v>
      </c>
      <c r="U379" s="398" t="s">
        <v>1531</v>
      </c>
    </row>
    <row r="380" spans="1:21" ht="15">
      <c r="A380" s="403" t="s">
        <v>1531</v>
      </c>
      <c r="B380" s="404" t="s">
        <v>1413</v>
      </c>
      <c r="C380" s="398" t="s">
        <v>1531</v>
      </c>
      <c r="D380" s="404" t="s">
        <v>1413</v>
      </c>
      <c r="E380" s="394">
        <v>0.02</v>
      </c>
      <c r="F380" s="405" t="s">
        <v>520</v>
      </c>
      <c r="G380" s="398" t="s">
        <v>1531</v>
      </c>
      <c r="H380" s="404" t="s">
        <v>1413</v>
      </c>
      <c r="I380" s="404" t="s">
        <v>1413</v>
      </c>
      <c r="J380" s="404" t="s">
        <v>1413</v>
      </c>
      <c r="K380" s="405">
        <v>1</v>
      </c>
      <c r="L380" s="405">
        <v>0.1</v>
      </c>
      <c r="M380" s="406" t="s">
        <v>1531</v>
      </c>
      <c r="N380" s="425" t="s">
        <v>2082</v>
      </c>
      <c r="O380" s="391" t="s">
        <v>2083</v>
      </c>
      <c r="P380" s="414" t="s">
        <v>1413</v>
      </c>
      <c r="Q380" s="340" t="s">
        <v>2433</v>
      </c>
      <c r="R380" s="338">
        <v>1</v>
      </c>
      <c r="S380" s="404" t="s">
        <v>1413</v>
      </c>
      <c r="T380" s="398" t="s">
        <v>1531</v>
      </c>
      <c r="U380" s="398" t="s">
        <v>1531</v>
      </c>
    </row>
    <row r="381" spans="1:21" ht="15.6" thickBot="1">
      <c r="A381" s="407" t="s">
        <v>1531</v>
      </c>
      <c r="B381" s="408" t="s">
        <v>1413</v>
      </c>
      <c r="C381" s="399" t="s">
        <v>1531</v>
      </c>
      <c r="D381" s="408" t="s">
        <v>1413</v>
      </c>
      <c r="E381" s="396">
        <v>0.03</v>
      </c>
      <c r="F381" s="409" t="s">
        <v>961</v>
      </c>
      <c r="G381" s="399" t="s">
        <v>1531</v>
      </c>
      <c r="H381" s="408" t="s">
        <v>1413</v>
      </c>
      <c r="I381" s="408" t="s">
        <v>1413</v>
      </c>
      <c r="J381" s="408" t="s">
        <v>1413</v>
      </c>
      <c r="K381" s="409">
        <v>1</v>
      </c>
      <c r="L381" s="409">
        <v>0.1</v>
      </c>
      <c r="M381" s="410" t="s">
        <v>1531</v>
      </c>
      <c r="N381" s="426" t="s">
        <v>2447</v>
      </c>
      <c r="O381" s="393" t="s">
        <v>2448</v>
      </c>
      <c r="P381" s="416" t="s">
        <v>1413</v>
      </c>
      <c r="Q381" s="340" t="s">
        <v>2433</v>
      </c>
      <c r="R381" s="338">
        <v>1</v>
      </c>
      <c r="S381" s="408" t="s">
        <v>1413</v>
      </c>
      <c r="T381" s="399" t="s">
        <v>1531</v>
      </c>
      <c r="U381" s="399" t="s">
        <v>1531</v>
      </c>
    </row>
    <row r="382" spans="1:21" ht="15">
      <c r="A382" s="403" t="s">
        <v>1531</v>
      </c>
      <c r="B382" s="404" t="s">
        <v>1413</v>
      </c>
      <c r="C382" s="398" t="s">
        <v>1531</v>
      </c>
      <c r="D382" s="404" t="s">
        <v>1413</v>
      </c>
      <c r="E382" s="394">
        <v>5.0000000000000002E-5</v>
      </c>
      <c r="F382" s="405" t="s">
        <v>1412</v>
      </c>
      <c r="G382" s="398" t="s">
        <v>1531</v>
      </c>
      <c r="H382" s="404" t="s">
        <v>1413</v>
      </c>
      <c r="I382" s="404" t="s">
        <v>1413</v>
      </c>
      <c r="J382" s="404" t="s">
        <v>1413</v>
      </c>
      <c r="K382" s="405">
        <v>1</v>
      </c>
      <c r="L382" s="405">
        <v>0.1</v>
      </c>
      <c r="M382" s="406" t="s">
        <v>1531</v>
      </c>
      <c r="N382" s="425" t="s">
        <v>1176</v>
      </c>
      <c r="O382" s="391" t="s">
        <v>957</v>
      </c>
      <c r="P382" s="414" t="s">
        <v>1413</v>
      </c>
      <c r="Q382" s="340" t="s">
        <v>2434</v>
      </c>
      <c r="R382" s="338">
        <v>1</v>
      </c>
      <c r="S382" s="404" t="s">
        <v>1413</v>
      </c>
      <c r="T382" s="398" t="s">
        <v>1531</v>
      </c>
      <c r="U382" s="398" t="s">
        <v>1531</v>
      </c>
    </row>
    <row r="383" spans="1:21" ht="15">
      <c r="A383" s="427">
        <v>4.5</v>
      </c>
      <c r="B383" s="405" t="s">
        <v>1412</v>
      </c>
      <c r="C383" s="394">
        <v>1.2999999999999999E-3</v>
      </c>
      <c r="D383" s="405" t="s">
        <v>1412</v>
      </c>
      <c r="E383" s="394">
        <v>5.0000000000000001E-4</v>
      </c>
      <c r="F383" s="405" t="s">
        <v>1412</v>
      </c>
      <c r="G383" s="398" t="s">
        <v>1531</v>
      </c>
      <c r="H383" s="404" t="s">
        <v>1413</v>
      </c>
      <c r="I383" s="405" t="s">
        <v>969</v>
      </c>
      <c r="J383" s="404" t="s">
        <v>1413</v>
      </c>
      <c r="K383" s="405">
        <v>1</v>
      </c>
      <c r="L383" s="411" t="s">
        <v>1531</v>
      </c>
      <c r="M383" s="406" t="s">
        <v>1531</v>
      </c>
      <c r="N383" s="425" t="s">
        <v>382</v>
      </c>
      <c r="O383" s="391" t="s">
        <v>959</v>
      </c>
      <c r="P383" s="429">
        <v>0.4</v>
      </c>
      <c r="Q383" s="340" t="s">
        <v>2434</v>
      </c>
      <c r="R383" s="338">
        <v>1</v>
      </c>
      <c r="S383" s="404" t="s">
        <v>1413</v>
      </c>
      <c r="T383" s="394">
        <v>1.2999999999999999E-3</v>
      </c>
      <c r="U383" s="398" t="s">
        <v>1531</v>
      </c>
    </row>
    <row r="384" spans="1:21" ht="15.6" thickBot="1">
      <c r="A384" s="412">
        <v>9.1</v>
      </c>
      <c r="B384" s="409" t="s">
        <v>1412</v>
      </c>
      <c r="C384" s="396">
        <v>2.5999999999999999E-3</v>
      </c>
      <c r="D384" s="409" t="s">
        <v>1412</v>
      </c>
      <c r="E384" s="396">
        <v>1.2999999999999999E-5</v>
      </c>
      <c r="F384" s="409" t="s">
        <v>1412</v>
      </c>
      <c r="G384" s="399" t="s">
        <v>1531</v>
      </c>
      <c r="H384" s="408" t="s">
        <v>1413</v>
      </c>
      <c r="I384" s="409" t="s">
        <v>969</v>
      </c>
      <c r="J384" s="408" t="s">
        <v>1413</v>
      </c>
      <c r="K384" s="409">
        <v>1</v>
      </c>
      <c r="L384" s="413" t="s">
        <v>1531</v>
      </c>
      <c r="M384" s="410" t="s">
        <v>1531</v>
      </c>
      <c r="N384" s="426" t="s">
        <v>1177</v>
      </c>
      <c r="O384" s="393" t="s">
        <v>1</v>
      </c>
      <c r="P384" s="415">
        <v>0.2</v>
      </c>
      <c r="Q384" s="340" t="s">
        <v>2434</v>
      </c>
      <c r="R384" s="338">
        <v>1</v>
      </c>
      <c r="S384" s="408" t="s">
        <v>1413</v>
      </c>
      <c r="T384" s="396">
        <v>2.5999999999999999E-3</v>
      </c>
      <c r="U384" s="399" t="s">
        <v>1531</v>
      </c>
    </row>
    <row r="385" spans="1:21" ht="30">
      <c r="A385" s="427">
        <v>3.9</v>
      </c>
      <c r="B385" s="405" t="s">
        <v>360</v>
      </c>
      <c r="C385" s="394">
        <v>1.1000000000000001E-3</v>
      </c>
      <c r="D385" s="405" t="s">
        <v>360</v>
      </c>
      <c r="E385" s="394">
        <v>2.3E-5</v>
      </c>
      <c r="F385" s="405" t="s">
        <v>360</v>
      </c>
      <c r="G385" s="394">
        <v>1.2999999999999999E-3</v>
      </c>
      <c r="H385" s="405" t="s">
        <v>360</v>
      </c>
      <c r="I385" s="405" t="s">
        <v>969</v>
      </c>
      <c r="J385" s="404" t="s">
        <v>1413</v>
      </c>
      <c r="K385" s="405">
        <v>1</v>
      </c>
      <c r="L385" s="405">
        <v>0.14000000000000001</v>
      </c>
      <c r="M385" s="406" t="s">
        <v>1531</v>
      </c>
      <c r="N385" s="425" t="s">
        <v>2237</v>
      </c>
      <c r="O385" s="391" t="s">
        <v>188</v>
      </c>
      <c r="P385" s="414" t="s">
        <v>1413</v>
      </c>
      <c r="Q385" s="340" t="s">
        <v>2434</v>
      </c>
      <c r="R385" s="338">
        <v>1</v>
      </c>
      <c r="S385" s="404" t="s">
        <v>1413</v>
      </c>
      <c r="T385" s="394">
        <v>1.1000000000000001E-3</v>
      </c>
      <c r="U385" s="394">
        <v>1.2999999999999999E-3</v>
      </c>
    </row>
    <row r="386" spans="1:21" ht="15">
      <c r="A386" s="403" t="s">
        <v>1531</v>
      </c>
      <c r="B386" s="404" t="s">
        <v>1413</v>
      </c>
      <c r="C386" s="398" t="s">
        <v>1531</v>
      </c>
      <c r="D386" s="404" t="s">
        <v>1413</v>
      </c>
      <c r="E386" s="398" t="s">
        <v>1531</v>
      </c>
      <c r="F386" s="404" t="s">
        <v>1413</v>
      </c>
      <c r="G386" s="394">
        <v>3.0000000000000001E-3</v>
      </c>
      <c r="H386" s="405" t="s">
        <v>961</v>
      </c>
      <c r="I386" s="405" t="s">
        <v>969</v>
      </c>
      <c r="J386" s="404" t="s">
        <v>1413</v>
      </c>
      <c r="K386" s="405">
        <v>1</v>
      </c>
      <c r="L386" s="411" t="s">
        <v>1531</v>
      </c>
      <c r="M386" s="395">
        <v>209</v>
      </c>
      <c r="N386" s="425" t="s">
        <v>2502</v>
      </c>
      <c r="O386" s="391" t="s">
        <v>2503</v>
      </c>
      <c r="P386" s="414" t="s">
        <v>1413</v>
      </c>
      <c r="Q386" s="340" t="s">
        <v>2434</v>
      </c>
      <c r="R386" s="338">
        <v>1</v>
      </c>
      <c r="S386" s="404" t="s">
        <v>1413</v>
      </c>
      <c r="T386" s="398" t="s">
        <v>1531</v>
      </c>
      <c r="U386" s="394">
        <v>3.0000000000000001E-3</v>
      </c>
    </row>
    <row r="387" spans="1:21" ht="15.6" thickBot="1">
      <c r="A387" s="407" t="s">
        <v>1531</v>
      </c>
      <c r="B387" s="408" t="s">
        <v>1413</v>
      </c>
      <c r="C387" s="399" t="s">
        <v>1531</v>
      </c>
      <c r="D387" s="408" t="s">
        <v>1413</v>
      </c>
      <c r="E387" s="396">
        <v>2.9999999999999997E-4</v>
      </c>
      <c r="F387" s="409" t="s">
        <v>961</v>
      </c>
      <c r="G387" s="396">
        <v>0.4</v>
      </c>
      <c r="H387" s="409" t="s">
        <v>520</v>
      </c>
      <c r="I387" s="409" t="s">
        <v>969</v>
      </c>
      <c r="J387" s="408" t="s">
        <v>1413</v>
      </c>
      <c r="K387" s="409">
        <v>1</v>
      </c>
      <c r="L387" s="413" t="s">
        <v>1531</v>
      </c>
      <c r="M387" s="397">
        <v>57.9</v>
      </c>
      <c r="N387" s="426" t="s">
        <v>2449</v>
      </c>
      <c r="O387" s="393" t="s">
        <v>2450</v>
      </c>
      <c r="P387" s="416" t="s">
        <v>1413</v>
      </c>
      <c r="Q387" s="340" t="s">
        <v>2434</v>
      </c>
      <c r="R387" s="338">
        <v>1</v>
      </c>
      <c r="S387" s="408" t="s">
        <v>1413</v>
      </c>
      <c r="T387" s="399" t="s">
        <v>1531</v>
      </c>
      <c r="U387" s="396">
        <v>0.4</v>
      </c>
    </row>
    <row r="388" spans="1:21" ht="15">
      <c r="A388" s="403" t="s">
        <v>1531</v>
      </c>
      <c r="B388" s="404" t="s">
        <v>1413</v>
      </c>
      <c r="C388" s="398" t="s">
        <v>1531</v>
      </c>
      <c r="D388" s="404" t="s">
        <v>1413</v>
      </c>
      <c r="E388" s="394">
        <v>2E-3</v>
      </c>
      <c r="F388" s="405" t="s">
        <v>1412</v>
      </c>
      <c r="G388" s="398" t="s">
        <v>1531</v>
      </c>
      <c r="H388" s="404" t="s">
        <v>1413</v>
      </c>
      <c r="I388" s="405" t="s">
        <v>969</v>
      </c>
      <c r="J388" s="404" t="s">
        <v>1413</v>
      </c>
      <c r="K388" s="405">
        <v>1</v>
      </c>
      <c r="L388" s="411" t="s">
        <v>1531</v>
      </c>
      <c r="M388" s="406" t="s">
        <v>1531</v>
      </c>
      <c r="N388" s="425" t="s">
        <v>1178</v>
      </c>
      <c r="O388" s="391" t="s">
        <v>2</v>
      </c>
      <c r="P388" s="414" t="s">
        <v>1413</v>
      </c>
      <c r="Q388" s="340" t="s">
        <v>2434</v>
      </c>
      <c r="R388" s="338">
        <v>1</v>
      </c>
      <c r="S388" s="404" t="s">
        <v>1413</v>
      </c>
      <c r="T388" s="398" t="s">
        <v>1531</v>
      </c>
      <c r="U388" s="398" t="s">
        <v>1531</v>
      </c>
    </row>
    <row r="389" spans="1:21" ht="30">
      <c r="A389" s="403" t="s">
        <v>1531</v>
      </c>
      <c r="B389" s="404" t="s">
        <v>1413</v>
      </c>
      <c r="C389" s="398" t="s">
        <v>1531</v>
      </c>
      <c r="D389" s="404" t="s">
        <v>1413</v>
      </c>
      <c r="E389" s="394">
        <v>2.0000000000000001E-4</v>
      </c>
      <c r="F389" s="405" t="s">
        <v>1412</v>
      </c>
      <c r="G389" s="398" t="s">
        <v>1531</v>
      </c>
      <c r="H389" s="404" t="s">
        <v>1413</v>
      </c>
      <c r="I389" s="404" t="s">
        <v>1413</v>
      </c>
      <c r="J389" s="404" t="s">
        <v>1413</v>
      </c>
      <c r="K389" s="405">
        <v>1</v>
      </c>
      <c r="L389" s="405">
        <v>0.1</v>
      </c>
      <c r="M389" s="406" t="s">
        <v>1531</v>
      </c>
      <c r="N389" s="425" t="s">
        <v>535</v>
      </c>
      <c r="O389" s="391" t="s">
        <v>3</v>
      </c>
      <c r="P389" s="414" t="s">
        <v>1413</v>
      </c>
      <c r="Q389" s="340" t="s">
        <v>2434</v>
      </c>
      <c r="R389" s="338">
        <v>1</v>
      </c>
      <c r="S389" s="404" t="s">
        <v>1413</v>
      </c>
      <c r="T389" s="398" t="s">
        <v>1531</v>
      </c>
      <c r="U389" s="398" t="s">
        <v>1531</v>
      </c>
    </row>
    <row r="390" spans="1:21" ht="15.6" thickBot="1">
      <c r="A390" s="412">
        <v>1.6</v>
      </c>
      <c r="B390" s="409" t="s">
        <v>1412</v>
      </c>
      <c r="C390" s="396">
        <v>4.6000000000000001E-4</v>
      </c>
      <c r="D390" s="409" t="s">
        <v>1412</v>
      </c>
      <c r="E390" s="396">
        <v>8.0000000000000004E-4</v>
      </c>
      <c r="F390" s="409" t="s">
        <v>1412</v>
      </c>
      <c r="G390" s="399" t="s">
        <v>1531</v>
      </c>
      <c r="H390" s="408" t="s">
        <v>1413</v>
      </c>
      <c r="I390" s="409" t="s">
        <v>969</v>
      </c>
      <c r="J390" s="408" t="s">
        <v>1413</v>
      </c>
      <c r="K390" s="409">
        <v>1</v>
      </c>
      <c r="L390" s="413" t="s">
        <v>1531</v>
      </c>
      <c r="M390" s="410" t="s">
        <v>1531</v>
      </c>
      <c r="N390" s="426" t="s">
        <v>383</v>
      </c>
      <c r="O390" s="393" t="s">
        <v>4</v>
      </c>
      <c r="P390" s="415">
        <v>1</v>
      </c>
      <c r="Q390" s="340" t="s">
        <v>2434</v>
      </c>
      <c r="R390" s="338">
        <v>1</v>
      </c>
      <c r="S390" s="408" t="s">
        <v>1413</v>
      </c>
      <c r="T390" s="396">
        <v>4.6000000000000001E-4</v>
      </c>
      <c r="U390" s="399" t="s">
        <v>1531</v>
      </c>
    </row>
    <row r="391" spans="1:21" ht="15">
      <c r="A391" s="427">
        <v>3.9</v>
      </c>
      <c r="B391" s="405" t="s">
        <v>360</v>
      </c>
      <c r="C391" s="394">
        <v>1.1000000000000001E-3</v>
      </c>
      <c r="D391" s="405" t="s">
        <v>360</v>
      </c>
      <c r="E391" s="394">
        <v>2.3E-5</v>
      </c>
      <c r="F391" s="405" t="s">
        <v>360</v>
      </c>
      <c r="G391" s="394">
        <v>1.2999999999999999E-3</v>
      </c>
      <c r="H391" s="405" t="s">
        <v>360</v>
      </c>
      <c r="I391" s="405" t="s">
        <v>969</v>
      </c>
      <c r="J391" s="404" t="s">
        <v>1413</v>
      </c>
      <c r="K391" s="405">
        <v>1</v>
      </c>
      <c r="L391" s="405">
        <v>0.14000000000000001</v>
      </c>
      <c r="M391" s="406" t="s">
        <v>1531</v>
      </c>
      <c r="N391" s="425" t="s">
        <v>2238</v>
      </c>
      <c r="O391" s="391" t="s">
        <v>191</v>
      </c>
      <c r="P391" s="414" t="s">
        <v>1413</v>
      </c>
      <c r="Q391" s="340" t="s">
        <v>2433</v>
      </c>
      <c r="R391" s="338">
        <v>1047786</v>
      </c>
      <c r="S391" s="404" t="s">
        <v>1413</v>
      </c>
      <c r="T391" s="394">
        <v>1.1000000000000001E-3</v>
      </c>
      <c r="U391" s="394">
        <v>1.2999999999999999E-3</v>
      </c>
    </row>
    <row r="392" spans="1:21" ht="15">
      <c r="A392" s="427">
        <v>3.9</v>
      </c>
      <c r="B392" s="405" t="s">
        <v>360</v>
      </c>
      <c r="C392" s="394">
        <v>1.1000000000000001E-3</v>
      </c>
      <c r="D392" s="405" t="s">
        <v>360</v>
      </c>
      <c r="E392" s="394">
        <v>2.3E-5</v>
      </c>
      <c r="F392" s="405" t="s">
        <v>360</v>
      </c>
      <c r="G392" s="394">
        <v>1.2999999999999999E-3</v>
      </c>
      <c r="H392" s="405" t="s">
        <v>360</v>
      </c>
      <c r="I392" s="405" t="s">
        <v>969</v>
      </c>
      <c r="J392" s="404" t="s">
        <v>1413</v>
      </c>
      <c r="K392" s="405">
        <v>1</v>
      </c>
      <c r="L392" s="405">
        <v>0.14000000000000001</v>
      </c>
      <c r="M392" s="406" t="s">
        <v>1531</v>
      </c>
      <c r="N392" s="425" t="s">
        <v>2239</v>
      </c>
      <c r="O392" s="391" t="s">
        <v>190</v>
      </c>
      <c r="P392" s="414" t="s">
        <v>1413</v>
      </c>
      <c r="Q392" s="340" t="s">
        <v>2434</v>
      </c>
      <c r="R392" s="338">
        <v>1</v>
      </c>
      <c r="S392" s="404" t="s">
        <v>1413</v>
      </c>
      <c r="T392" s="394">
        <v>1.1000000000000001E-3</v>
      </c>
      <c r="U392" s="394">
        <v>1.2999999999999999E-3</v>
      </c>
    </row>
    <row r="393" spans="1:21" ht="15.6" thickBot="1">
      <c r="A393" s="412">
        <v>3.9</v>
      </c>
      <c r="B393" s="409" t="s">
        <v>360</v>
      </c>
      <c r="C393" s="396">
        <v>1.1000000000000001E-3</v>
      </c>
      <c r="D393" s="409" t="s">
        <v>360</v>
      </c>
      <c r="E393" s="396">
        <v>2.3E-5</v>
      </c>
      <c r="F393" s="409" t="s">
        <v>360</v>
      </c>
      <c r="G393" s="396">
        <v>1.2999999999999999E-3</v>
      </c>
      <c r="H393" s="409" t="s">
        <v>360</v>
      </c>
      <c r="I393" s="409" t="s">
        <v>969</v>
      </c>
      <c r="J393" s="408" t="s">
        <v>1413</v>
      </c>
      <c r="K393" s="409">
        <v>1</v>
      </c>
      <c r="L393" s="409">
        <v>0.14000000000000001</v>
      </c>
      <c r="M393" s="410" t="s">
        <v>1531</v>
      </c>
      <c r="N393" s="426" t="s">
        <v>2240</v>
      </c>
      <c r="O393" s="393" t="s">
        <v>189</v>
      </c>
      <c r="P393" s="416" t="s">
        <v>1413</v>
      </c>
      <c r="Q393" s="340" t="s">
        <v>2434</v>
      </c>
      <c r="R393" s="338">
        <v>1</v>
      </c>
      <c r="S393" s="408" t="s">
        <v>1413</v>
      </c>
      <c r="T393" s="396">
        <v>1.1000000000000001E-3</v>
      </c>
      <c r="U393" s="396">
        <v>1.2999999999999999E-3</v>
      </c>
    </row>
    <row r="394" spans="1:21" ht="15">
      <c r="A394" s="427">
        <v>3900</v>
      </c>
      <c r="B394" s="405" t="s">
        <v>360</v>
      </c>
      <c r="C394" s="394">
        <v>1.1000000000000001</v>
      </c>
      <c r="D394" s="405" t="s">
        <v>360</v>
      </c>
      <c r="E394" s="394">
        <v>2.3000000000000001E-8</v>
      </c>
      <c r="F394" s="405" t="s">
        <v>360</v>
      </c>
      <c r="G394" s="394">
        <v>1.3E-6</v>
      </c>
      <c r="H394" s="405" t="s">
        <v>360</v>
      </c>
      <c r="I394" s="405" t="s">
        <v>969</v>
      </c>
      <c r="J394" s="404" t="s">
        <v>1413</v>
      </c>
      <c r="K394" s="405">
        <v>1</v>
      </c>
      <c r="L394" s="405">
        <v>0.14000000000000001</v>
      </c>
      <c r="M394" s="406" t="s">
        <v>1531</v>
      </c>
      <c r="N394" s="425" t="s">
        <v>2241</v>
      </c>
      <c r="O394" s="391" t="s">
        <v>192</v>
      </c>
      <c r="P394" s="414" t="s">
        <v>1413</v>
      </c>
      <c r="Q394" s="340" t="s">
        <v>2433</v>
      </c>
      <c r="R394" s="338">
        <v>1</v>
      </c>
      <c r="S394" s="404" t="s">
        <v>1413</v>
      </c>
      <c r="T394" s="394">
        <v>1.1000000000000001</v>
      </c>
      <c r="U394" s="394">
        <v>1.3E-6</v>
      </c>
    </row>
    <row r="395" spans="1:21" ht="15">
      <c r="A395" s="427">
        <v>7.8E-2</v>
      </c>
      <c r="B395" s="405" t="s">
        <v>1412</v>
      </c>
      <c r="C395" s="394">
        <v>2.1999999999999999E-5</v>
      </c>
      <c r="D395" s="405" t="s">
        <v>1412</v>
      </c>
      <c r="E395" s="394">
        <v>1E-3</v>
      </c>
      <c r="F395" s="405" t="s">
        <v>520</v>
      </c>
      <c r="G395" s="398" t="s">
        <v>1531</v>
      </c>
      <c r="H395" s="404" t="s">
        <v>1413</v>
      </c>
      <c r="I395" s="405" t="s">
        <v>969</v>
      </c>
      <c r="J395" s="404" t="s">
        <v>1413</v>
      </c>
      <c r="K395" s="405">
        <v>1</v>
      </c>
      <c r="L395" s="411" t="s">
        <v>1531</v>
      </c>
      <c r="M395" s="395">
        <v>16.8</v>
      </c>
      <c r="N395" s="425" t="s">
        <v>1179</v>
      </c>
      <c r="O395" s="391" t="s">
        <v>5</v>
      </c>
      <c r="P395" s="414" t="s">
        <v>1413</v>
      </c>
      <c r="Q395" s="340" t="s">
        <v>2433</v>
      </c>
      <c r="R395" s="338">
        <v>1</v>
      </c>
      <c r="S395" s="404" t="s">
        <v>1413</v>
      </c>
      <c r="T395" s="394">
        <v>2.1999999999999999E-5</v>
      </c>
      <c r="U395" s="398" t="s">
        <v>1531</v>
      </c>
    </row>
    <row r="396" spans="1:21" ht="15.6" thickBot="1">
      <c r="A396" s="412">
        <v>6.3</v>
      </c>
      <c r="B396" s="409" t="s">
        <v>1412</v>
      </c>
      <c r="C396" s="396">
        <v>1.8E-3</v>
      </c>
      <c r="D396" s="409" t="s">
        <v>1412</v>
      </c>
      <c r="E396" s="396">
        <v>8.0000000000000002E-3</v>
      </c>
      <c r="F396" s="409" t="s">
        <v>1414</v>
      </c>
      <c r="G396" s="399" t="s">
        <v>1531</v>
      </c>
      <c r="H396" s="408" t="s">
        <v>1413</v>
      </c>
      <c r="I396" s="408" t="s">
        <v>1413</v>
      </c>
      <c r="J396" s="408" t="s">
        <v>1413</v>
      </c>
      <c r="K396" s="409">
        <v>1</v>
      </c>
      <c r="L396" s="409">
        <v>0.1</v>
      </c>
      <c r="M396" s="410" t="s">
        <v>1531</v>
      </c>
      <c r="N396" s="426" t="s">
        <v>1180</v>
      </c>
      <c r="O396" s="393" t="s">
        <v>6</v>
      </c>
      <c r="P396" s="416" t="s">
        <v>1413</v>
      </c>
      <c r="Q396" s="340" t="s">
        <v>2433</v>
      </c>
      <c r="R396" s="338">
        <v>1</v>
      </c>
      <c r="S396" s="408" t="s">
        <v>1413</v>
      </c>
      <c r="T396" s="396">
        <v>1.8E-3</v>
      </c>
      <c r="U396" s="399" t="s">
        <v>1531</v>
      </c>
    </row>
    <row r="397" spans="1:21" ht="15">
      <c r="A397" s="427">
        <v>1.8</v>
      </c>
      <c r="B397" s="405" t="s">
        <v>1412</v>
      </c>
      <c r="C397" s="394">
        <v>5.2999999999999998E-4</v>
      </c>
      <c r="D397" s="405" t="s">
        <v>1412</v>
      </c>
      <c r="E397" s="398" t="s">
        <v>1531</v>
      </c>
      <c r="F397" s="404" t="s">
        <v>1413</v>
      </c>
      <c r="G397" s="398" t="s">
        <v>1531</v>
      </c>
      <c r="H397" s="404" t="s">
        <v>1413</v>
      </c>
      <c r="I397" s="404" t="s">
        <v>1413</v>
      </c>
      <c r="J397" s="404" t="s">
        <v>1413</v>
      </c>
      <c r="K397" s="405">
        <v>1</v>
      </c>
      <c r="L397" s="405">
        <v>0.1</v>
      </c>
      <c r="M397" s="406" t="s">
        <v>1531</v>
      </c>
      <c r="N397" s="425" t="s">
        <v>1181</v>
      </c>
      <c r="O397" s="391" t="s">
        <v>7</v>
      </c>
      <c r="P397" s="414" t="s">
        <v>1413</v>
      </c>
      <c r="Q397" s="340" t="s">
        <v>2434</v>
      </c>
      <c r="R397" s="338">
        <v>1</v>
      </c>
      <c r="S397" s="404" t="s">
        <v>1413</v>
      </c>
      <c r="T397" s="394">
        <v>5.2999999999999998E-4</v>
      </c>
      <c r="U397" s="398" t="s">
        <v>1531</v>
      </c>
    </row>
    <row r="398" spans="1:21" ht="15">
      <c r="A398" s="427">
        <v>1.1000000000000001</v>
      </c>
      <c r="B398" s="405" t="s">
        <v>521</v>
      </c>
      <c r="C398" s="394">
        <v>3.1E-4</v>
      </c>
      <c r="D398" s="405" t="s">
        <v>521</v>
      </c>
      <c r="E398" s="394">
        <v>2.9999999999999997E-4</v>
      </c>
      <c r="F398" s="405" t="s">
        <v>1412</v>
      </c>
      <c r="G398" s="398" t="s">
        <v>1531</v>
      </c>
      <c r="H398" s="404" t="s">
        <v>1413</v>
      </c>
      <c r="I398" s="404" t="s">
        <v>1413</v>
      </c>
      <c r="J398" s="404" t="s">
        <v>1413</v>
      </c>
      <c r="K398" s="405">
        <v>1</v>
      </c>
      <c r="L398" s="405">
        <v>0.04</v>
      </c>
      <c r="M398" s="406" t="s">
        <v>1531</v>
      </c>
      <c r="N398" s="425" t="s">
        <v>1182</v>
      </c>
      <c r="O398" s="391" t="s">
        <v>8</v>
      </c>
      <c r="P398" s="429">
        <v>0.2</v>
      </c>
      <c r="Q398" s="340" t="s">
        <v>2433</v>
      </c>
      <c r="R398" s="338">
        <v>1</v>
      </c>
      <c r="S398" s="404" t="s">
        <v>1413</v>
      </c>
      <c r="T398" s="394">
        <v>3.1E-4</v>
      </c>
      <c r="U398" s="398" t="s">
        <v>1531</v>
      </c>
    </row>
    <row r="399" spans="1:21" ht="15.6" thickBot="1">
      <c r="A399" s="412">
        <v>1.8</v>
      </c>
      <c r="B399" s="409" t="s">
        <v>1412</v>
      </c>
      <c r="C399" s="396">
        <v>5.1000000000000004E-4</v>
      </c>
      <c r="D399" s="409" t="s">
        <v>1412</v>
      </c>
      <c r="E399" s="399" t="s">
        <v>1531</v>
      </c>
      <c r="F399" s="408" t="s">
        <v>1413</v>
      </c>
      <c r="G399" s="399" t="s">
        <v>1531</v>
      </c>
      <c r="H399" s="408" t="s">
        <v>1413</v>
      </c>
      <c r="I399" s="408" t="s">
        <v>1413</v>
      </c>
      <c r="J399" s="408" t="s">
        <v>1413</v>
      </c>
      <c r="K399" s="409">
        <v>1</v>
      </c>
      <c r="L399" s="409">
        <v>0.1</v>
      </c>
      <c r="M399" s="410" t="s">
        <v>1531</v>
      </c>
      <c r="N399" s="426" t="s">
        <v>1183</v>
      </c>
      <c r="O399" s="393" t="s">
        <v>9</v>
      </c>
      <c r="P399" s="416" t="s">
        <v>1413</v>
      </c>
      <c r="Q399" s="340" t="s">
        <v>2434</v>
      </c>
      <c r="R399" s="338">
        <v>1</v>
      </c>
      <c r="S399" s="408" t="s">
        <v>1413</v>
      </c>
      <c r="T399" s="396">
        <v>5.1000000000000004E-4</v>
      </c>
      <c r="U399" s="399" t="s">
        <v>1531</v>
      </c>
    </row>
    <row r="400" spans="1:21" ht="15">
      <c r="A400" s="403" t="s">
        <v>1531</v>
      </c>
      <c r="B400" s="404" t="s">
        <v>1413</v>
      </c>
      <c r="C400" s="398" t="s">
        <v>1531</v>
      </c>
      <c r="D400" s="404" t="s">
        <v>1413</v>
      </c>
      <c r="E400" s="394">
        <v>6.0000000000000001E-3</v>
      </c>
      <c r="F400" s="405" t="s">
        <v>1412</v>
      </c>
      <c r="G400" s="394">
        <v>2.0000000000000001E-4</v>
      </c>
      <c r="H400" s="405" t="s">
        <v>1412</v>
      </c>
      <c r="I400" s="405" t="s">
        <v>969</v>
      </c>
      <c r="J400" s="404" t="s">
        <v>1413</v>
      </c>
      <c r="K400" s="405">
        <v>1</v>
      </c>
      <c r="L400" s="411" t="s">
        <v>1531</v>
      </c>
      <c r="M400" s="395">
        <v>15.7</v>
      </c>
      <c r="N400" s="425" t="s">
        <v>384</v>
      </c>
      <c r="O400" s="391" t="s">
        <v>10</v>
      </c>
      <c r="P400" s="429">
        <v>50</v>
      </c>
      <c r="Q400" s="340" t="s">
        <v>2433</v>
      </c>
      <c r="R400" s="338">
        <v>1</v>
      </c>
      <c r="S400" s="404" t="s">
        <v>1413</v>
      </c>
      <c r="T400" s="398" t="s">
        <v>1531</v>
      </c>
      <c r="U400" s="394">
        <v>2.0000000000000001E-4</v>
      </c>
    </row>
    <row r="401" spans="1:21" ht="15">
      <c r="A401" s="427">
        <v>6200</v>
      </c>
      <c r="B401" s="405" t="s">
        <v>1412</v>
      </c>
      <c r="C401" s="394">
        <v>1.3</v>
      </c>
      <c r="D401" s="405" t="s">
        <v>1412</v>
      </c>
      <c r="E401" s="398" t="s">
        <v>1531</v>
      </c>
      <c r="F401" s="404" t="s">
        <v>1413</v>
      </c>
      <c r="G401" s="398" t="s">
        <v>1531</v>
      </c>
      <c r="H401" s="404" t="s">
        <v>1413</v>
      </c>
      <c r="I401" s="404" t="s">
        <v>1413</v>
      </c>
      <c r="J401" s="404" t="s">
        <v>1413</v>
      </c>
      <c r="K401" s="405">
        <v>1</v>
      </c>
      <c r="L401" s="405">
        <v>0.03</v>
      </c>
      <c r="M401" s="406" t="s">
        <v>1531</v>
      </c>
      <c r="N401" s="425" t="s">
        <v>2410</v>
      </c>
      <c r="O401" s="506" t="s">
        <v>2176</v>
      </c>
      <c r="P401" s="414" t="s">
        <v>1413</v>
      </c>
      <c r="Q401" s="340" t="s">
        <v>2433</v>
      </c>
      <c r="R401" s="338">
        <v>1</v>
      </c>
      <c r="S401" s="404" t="s">
        <v>1413</v>
      </c>
      <c r="T401" s="394">
        <v>1.3</v>
      </c>
      <c r="U401" s="398" t="s">
        <v>1531</v>
      </c>
    </row>
    <row r="402" spans="1:21" ht="15.6" thickBot="1">
      <c r="A402" s="412">
        <v>0.04</v>
      </c>
      <c r="B402" s="409" t="s">
        <v>1412</v>
      </c>
      <c r="C402" s="396">
        <v>1.1E-5</v>
      </c>
      <c r="D402" s="409" t="s">
        <v>521</v>
      </c>
      <c r="E402" s="396">
        <v>6.9999999999999999E-4</v>
      </c>
      <c r="F402" s="409" t="s">
        <v>1412</v>
      </c>
      <c r="G402" s="396">
        <v>0.03</v>
      </c>
      <c r="H402" s="409" t="s">
        <v>1412</v>
      </c>
      <c r="I402" s="409" t="s">
        <v>969</v>
      </c>
      <c r="J402" s="408" t="s">
        <v>1413</v>
      </c>
      <c r="K402" s="409">
        <v>1</v>
      </c>
      <c r="L402" s="413" t="s">
        <v>1531</v>
      </c>
      <c r="M402" s="410" t="s">
        <v>1531</v>
      </c>
      <c r="N402" s="426" t="s">
        <v>385</v>
      </c>
      <c r="O402" s="393" t="s">
        <v>11</v>
      </c>
      <c r="P402" s="416" t="s">
        <v>1413</v>
      </c>
      <c r="Q402" s="340" t="s">
        <v>2434</v>
      </c>
      <c r="R402" s="338">
        <v>1</v>
      </c>
      <c r="S402" s="408" t="s">
        <v>1413</v>
      </c>
      <c r="T402" s="396">
        <v>1.1E-5</v>
      </c>
      <c r="U402" s="396">
        <v>0.03</v>
      </c>
    </row>
    <row r="403" spans="1:21" ht="15">
      <c r="A403" s="403" t="s">
        <v>1531</v>
      </c>
      <c r="B403" s="404" t="s">
        <v>1413</v>
      </c>
      <c r="C403" s="398" t="s">
        <v>1531</v>
      </c>
      <c r="D403" s="404" t="s">
        <v>1413</v>
      </c>
      <c r="E403" s="394">
        <v>2.9999999999999997E-4</v>
      </c>
      <c r="F403" s="405" t="s">
        <v>1412</v>
      </c>
      <c r="G403" s="398" t="s">
        <v>1531</v>
      </c>
      <c r="H403" s="404" t="s">
        <v>1413</v>
      </c>
      <c r="I403" s="404" t="s">
        <v>1413</v>
      </c>
      <c r="J403" s="404" t="s">
        <v>1413</v>
      </c>
      <c r="K403" s="405">
        <v>1</v>
      </c>
      <c r="L403" s="405">
        <v>0.1</v>
      </c>
      <c r="M403" s="406" t="s">
        <v>1531</v>
      </c>
      <c r="N403" s="425" t="s">
        <v>1184</v>
      </c>
      <c r="O403" s="391" t="s">
        <v>12</v>
      </c>
      <c r="P403" s="414" t="s">
        <v>1413</v>
      </c>
      <c r="Q403" s="340" t="s">
        <v>2433</v>
      </c>
      <c r="R403" s="338">
        <v>1</v>
      </c>
      <c r="S403" s="404" t="s">
        <v>1413</v>
      </c>
      <c r="T403" s="398" t="s">
        <v>1531</v>
      </c>
      <c r="U403" s="398" t="s">
        <v>1531</v>
      </c>
    </row>
    <row r="404" spans="1:21" ht="15">
      <c r="A404" s="427">
        <v>0.11</v>
      </c>
      <c r="B404" s="405" t="s">
        <v>1412</v>
      </c>
      <c r="C404" s="398" t="s">
        <v>1531</v>
      </c>
      <c r="D404" s="404" t="s">
        <v>1413</v>
      </c>
      <c r="E404" s="394">
        <v>3.0000000000000001E-3</v>
      </c>
      <c r="F404" s="405" t="s">
        <v>1412</v>
      </c>
      <c r="G404" s="398" t="s">
        <v>1531</v>
      </c>
      <c r="H404" s="404" t="s">
        <v>1413</v>
      </c>
      <c r="I404" s="404" t="s">
        <v>1413</v>
      </c>
      <c r="J404" s="404" t="s">
        <v>1413</v>
      </c>
      <c r="K404" s="405">
        <v>1</v>
      </c>
      <c r="L404" s="405">
        <v>1.4999999999999999E-2</v>
      </c>
      <c r="M404" s="406" t="s">
        <v>1531</v>
      </c>
      <c r="N404" s="425" t="s">
        <v>1185</v>
      </c>
      <c r="O404" s="391" t="s">
        <v>13</v>
      </c>
      <c r="P404" s="414" t="s">
        <v>1413</v>
      </c>
      <c r="Q404" s="340" t="s">
        <v>2433</v>
      </c>
      <c r="R404" s="338">
        <v>1</v>
      </c>
      <c r="S404" s="404" t="s">
        <v>1413</v>
      </c>
      <c r="T404" s="398" t="s">
        <v>1531</v>
      </c>
      <c r="U404" s="398" t="s">
        <v>1531</v>
      </c>
    </row>
    <row r="405" spans="1:21" ht="15.6" thickBot="1">
      <c r="A405" s="407" t="s">
        <v>1531</v>
      </c>
      <c r="B405" s="408" t="s">
        <v>1413</v>
      </c>
      <c r="C405" s="399" t="s">
        <v>1531</v>
      </c>
      <c r="D405" s="408" t="s">
        <v>1413</v>
      </c>
      <c r="E405" s="399" t="s">
        <v>1531</v>
      </c>
      <c r="F405" s="408" t="s">
        <v>1413</v>
      </c>
      <c r="G405" s="396">
        <v>1.0000000000000001E-5</v>
      </c>
      <c r="H405" s="409" t="s">
        <v>1412</v>
      </c>
      <c r="I405" s="409" t="s">
        <v>969</v>
      </c>
      <c r="J405" s="408" t="s">
        <v>1413</v>
      </c>
      <c r="K405" s="409">
        <v>1</v>
      </c>
      <c r="L405" s="413" t="s">
        <v>1531</v>
      </c>
      <c r="M405" s="397">
        <v>3390</v>
      </c>
      <c r="N405" s="426" t="s">
        <v>1186</v>
      </c>
      <c r="O405" s="393" t="s">
        <v>14</v>
      </c>
      <c r="P405" s="416" t="s">
        <v>1413</v>
      </c>
      <c r="Q405" s="340" t="s">
        <v>2433</v>
      </c>
      <c r="R405" s="338">
        <v>1</v>
      </c>
      <c r="S405" s="408" t="s">
        <v>1413</v>
      </c>
      <c r="T405" s="399" t="s">
        <v>1531</v>
      </c>
      <c r="U405" s="396">
        <v>1.0000000000000001E-5</v>
      </c>
    </row>
    <row r="406" spans="1:21" ht="15">
      <c r="A406" s="403" t="s">
        <v>1531</v>
      </c>
      <c r="B406" s="404" t="s">
        <v>1413</v>
      </c>
      <c r="C406" s="398" t="s">
        <v>1531</v>
      </c>
      <c r="D406" s="404" t="s">
        <v>1413</v>
      </c>
      <c r="E406" s="394">
        <v>4.0000000000000002E-4</v>
      </c>
      <c r="F406" s="405" t="s">
        <v>520</v>
      </c>
      <c r="G406" s="398" t="s">
        <v>1531</v>
      </c>
      <c r="H406" s="404" t="s">
        <v>1413</v>
      </c>
      <c r="I406" s="404" t="s">
        <v>1413</v>
      </c>
      <c r="J406" s="404" t="s">
        <v>1413</v>
      </c>
      <c r="K406" s="405">
        <v>1</v>
      </c>
      <c r="L406" s="405">
        <v>0.1</v>
      </c>
      <c r="M406" s="406" t="s">
        <v>1531</v>
      </c>
      <c r="N406" s="425" t="s">
        <v>1832</v>
      </c>
      <c r="O406" s="391" t="s">
        <v>1833</v>
      </c>
      <c r="P406" s="414" t="s">
        <v>1413</v>
      </c>
      <c r="Q406" s="340" t="s">
        <v>2434</v>
      </c>
      <c r="R406" s="338">
        <v>1</v>
      </c>
      <c r="S406" s="404" t="s">
        <v>1413</v>
      </c>
      <c r="T406" s="398" t="s">
        <v>1531</v>
      </c>
      <c r="U406" s="398" t="s">
        <v>1531</v>
      </c>
    </row>
    <row r="407" spans="1:21" ht="15">
      <c r="A407" s="403" t="s">
        <v>1531</v>
      </c>
      <c r="B407" s="404" t="s">
        <v>1413</v>
      </c>
      <c r="C407" s="398" t="s">
        <v>1531</v>
      </c>
      <c r="D407" s="404" t="s">
        <v>1413</v>
      </c>
      <c r="E407" s="398" t="s">
        <v>1531</v>
      </c>
      <c r="F407" s="404" t="s">
        <v>1413</v>
      </c>
      <c r="G407" s="394">
        <v>0.7</v>
      </c>
      <c r="H407" s="405" t="s">
        <v>1412</v>
      </c>
      <c r="I407" s="405" t="s">
        <v>969</v>
      </c>
      <c r="J407" s="404" t="s">
        <v>1413</v>
      </c>
      <c r="K407" s="405">
        <v>1</v>
      </c>
      <c r="L407" s="411" t="s">
        <v>1531</v>
      </c>
      <c r="M407" s="395">
        <v>141</v>
      </c>
      <c r="N407" s="425" t="s">
        <v>1187</v>
      </c>
      <c r="O407" s="391" t="s">
        <v>15</v>
      </c>
      <c r="P407" s="414" t="s">
        <v>1413</v>
      </c>
      <c r="Q407" s="340" t="s">
        <v>2434</v>
      </c>
      <c r="R407" s="338">
        <v>1</v>
      </c>
      <c r="S407" s="404" t="s">
        <v>1413</v>
      </c>
      <c r="T407" s="398" t="s">
        <v>1531</v>
      </c>
      <c r="U407" s="394">
        <v>0.7</v>
      </c>
    </row>
    <row r="408" spans="1:21" ht="15.6" thickBot="1">
      <c r="A408" s="407" t="s">
        <v>1531</v>
      </c>
      <c r="B408" s="408" t="s">
        <v>1413</v>
      </c>
      <c r="C408" s="399" t="s">
        <v>1531</v>
      </c>
      <c r="D408" s="408" t="s">
        <v>1413</v>
      </c>
      <c r="E408" s="396">
        <v>2</v>
      </c>
      <c r="F408" s="409" t="s">
        <v>520</v>
      </c>
      <c r="G408" s="399" t="s">
        <v>1531</v>
      </c>
      <c r="H408" s="408" t="s">
        <v>1413</v>
      </c>
      <c r="I408" s="408" t="s">
        <v>1413</v>
      </c>
      <c r="J408" s="408" t="s">
        <v>1413</v>
      </c>
      <c r="K408" s="409">
        <v>1</v>
      </c>
      <c r="L408" s="409">
        <v>0.1</v>
      </c>
      <c r="M408" s="410" t="s">
        <v>1531</v>
      </c>
      <c r="N408" s="426" t="s">
        <v>1188</v>
      </c>
      <c r="O408" s="393" t="s">
        <v>16</v>
      </c>
      <c r="P408" s="416" t="s">
        <v>1413</v>
      </c>
      <c r="Q408" s="340" t="s">
        <v>2434</v>
      </c>
      <c r="R408" s="338">
        <v>1</v>
      </c>
      <c r="S408" s="408" t="s">
        <v>1413</v>
      </c>
      <c r="T408" s="399" t="s">
        <v>1531</v>
      </c>
      <c r="U408" s="399" t="s">
        <v>1531</v>
      </c>
    </row>
    <row r="409" spans="1:21" ht="15">
      <c r="A409" s="403" t="s">
        <v>1531</v>
      </c>
      <c r="B409" s="404" t="s">
        <v>1413</v>
      </c>
      <c r="C409" s="398" t="s">
        <v>1531</v>
      </c>
      <c r="D409" s="404" t="s">
        <v>1413</v>
      </c>
      <c r="E409" s="394">
        <v>5.0000000000000001E-3</v>
      </c>
      <c r="F409" s="405" t="s">
        <v>1412</v>
      </c>
      <c r="G409" s="394">
        <v>0.03</v>
      </c>
      <c r="H409" s="405" t="s">
        <v>1412</v>
      </c>
      <c r="I409" s="405" t="s">
        <v>969</v>
      </c>
      <c r="J409" s="404" t="s">
        <v>1413</v>
      </c>
      <c r="K409" s="405">
        <v>1</v>
      </c>
      <c r="L409" s="411" t="s">
        <v>1531</v>
      </c>
      <c r="M409" s="395">
        <v>3280</v>
      </c>
      <c r="N409" s="425" t="s">
        <v>588</v>
      </c>
      <c r="O409" s="391" t="s">
        <v>17</v>
      </c>
      <c r="P409" s="414" t="s">
        <v>1413</v>
      </c>
      <c r="Q409" s="340" t="s">
        <v>2434</v>
      </c>
      <c r="R409" s="338">
        <v>1</v>
      </c>
      <c r="S409" s="404" t="s">
        <v>1413</v>
      </c>
      <c r="T409" s="398" t="s">
        <v>1531</v>
      </c>
      <c r="U409" s="394">
        <v>0.03</v>
      </c>
    </row>
    <row r="410" spans="1:21" ht="15">
      <c r="A410" s="403" t="s">
        <v>1531</v>
      </c>
      <c r="B410" s="404" t="s">
        <v>1413</v>
      </c>
      <c r="C410" s="398" t="s">
        <v>1531</v>
      </c>
      <c r="D410" s="404" t="s">
        <v>1413</v>
      </c>
      <c r="E410" s="394">
        <v>3.3000000000000002E-2</v>
      </c>
      <c r="F410" s="405" t="s">
        <v>1412</v>
      </c>
      <c r="G410" s="398" t="s">
        <v>1531</v>
      </c>
      <c r="H410" s="404" t="s">
        <v>1413</v>
      </c>
      <c r="I410" s="404" t="s">
        <v>1413</v>
      </c>
      <c r="J410" s="404" t="s">
        <v>1413</v>
      </c>
      <c r="K410" s="405">
        <v>1</v>
      </c>
      <c r="L410" s="405">
        <v>0.1</v>
      </c>
      <c r="M410" s="406" t="s">
        <v>1531</v>
      </c>
      <c r="N410" s="425" t="s">
        <v>1189</v>
      </c>
      <c r="O410" s="391" t="s">
        <v>18</v>
      </c>
      <c r="P410" s="414" t="s">
        <v>1413</v>
      </c>
      <c r="Q410" s="340" t="s">
        <v>2434</v>
      </c>
      <c r="R410" s="338">
        <v>1</v>
      </c>
      <c r="S410" s="404" t="s">
        <v>1413</v>
      </c>
      <c r="T410" s="398" t="s">
        <v>1531</v>
      </c>
      <c r="U410" s="398" t="s">
        <v>1531</v>
      </c>
    </row>
    <row r="411" spans="1:21" ht="15.6" thickBot="1">
      <c r="A411" s="407" t="s">
        <v>1531</v>
      </c>
      <c r="B411" s="408" t="s">
        <v>1413</v>
      </c>
      <c r="C411" s="399" t="s">
        <v>1531</v>
      </c>
      <c r="D411" s="408" t="s">
        <v>1413</v>
      </c>
      <c r="E411" s="396">
        <v>2.5000000000000001E-2</v>
      </c>
      <c r="F411" s="409" t="s">
        <v>1412</v>
      </c>
      <c r="G411" s="399" t="s">
        <v>1531</v>
      </c>
      <c r="H411" s="408" t="s">
        <v>1413</v>
      </c>
      <c r="I411" s="408" t="s">
        <v>1413</v>
      </c>
      <c r="J411" s="408" t="s">
        <v>1413</v>
      </c>
      <c r="K411" s="409">
        <v>1</v>
      </c>
      <c r="L411" s="409">
        <v>0.1</v>
      </c>
      <c r="M411" s="410" t="s">
        <v>1531</v>
      </c>
      <c r="N411" s="426" t="s">
        <v>2311</v>
      </c>
      <c r="O411" s="393" t="s">
        <v>248</v>
      </c>
      <c r="P411" s="416" t="s">
        <v>1413</v>
      </c>
      <c r="Q411" s="340" t="s">
        <v>2433</v>
      </c>
      <c r="R411" s="338">
        <v>1</v>
      </c>
      <c r="S411" s="408" t="s">
        <v>1413</v>
      </c>
      <c r="T411" s="399" t="s">
        <v>1531</v>
      </c>
      <c r="U411" s="399" t="s">
        <v>1531</v>
      </c>
    </row>
    <row r="412" spans="1:21" ht="15">
      <c r="A412" s="403" t="s">
        <v>1531</v>
      </c>
      <c r="B412" s="404" t="s">
        <v>1413</v>
      </c>
      <c r="C412" s="398" t="s">
        <v>1531</v>
      </c>
      <c r="D412" s="404" t="s">
        <v>1413</v>
      </c>
      <c r="E412" s="394">
        <v>1.7000000000000001E-2</v>
      </c>
      <c r="F412" s="405" t="s">
        <v>1474</v>
      </c>
      <c r="G412" s="398" t="s">
        <v>1531</v>
      </c>
      <c r="H412" s="404" t="s">
        <v>1413</v>
      </c>
      <c r="I412" s="404" t="s">
        <v>1413</v>
      </c>
      <c r="J412" s="404" t="s">
        <v>1413</v>
      </c>
      <c r="K412" s="405">
        <v>1</v>
      </c>
      <c r="L412" s="405">
        <v>0.1</v>
      </c>
      <c r="M412" s="406" t="s">
        <v>1531</v>
      </c>
      <c r="N412" s="425" t="s">
        <v>2312</v>
      </c>
      <c r="O412" s="391" t="s">
        <v>654</v>
      </c>
      <c r="P412" s="414" t="s">
        <v>1413</v>
      </c>
      <c r="Q412" s="340" t="s">
        <v>2433</v>
      </c>
      <c r="R412" s="338">
        <v>1</v>
      </c>
      <c r="S412" s="404" t="s">
        <v>1413</v>
      </c>
      <c r="T412" s="398" t="s">
        <v>1531</v>
      </c>
      <c r="U412" s="398" t="s">
        <v>1531</v>
      </c>
    </row>
    <row r="413" spans="1:21" ht="15">
      <c r="A413" s="427">
        <v>3</v>
      </c>
      <c r="B413" s="405" t="s">
        <v>1412</v>
      </c>
      <c r="C413" s="394">
        <v>4.8999999999999998E-3</v>
      </c>
      <c r="D413" s="405" t="s">
        <v>1412</v>
      </c>
      <c r="E413" s="398" t="s">
        <v>1531</v>
      </c>
      <c r="F413" s="404" t="s">
        <v>1413</v>
      </c>
      <c r="G413" s="394">
        <v>3.0000000000000001E-5</v>
      </c>
      <c r="H413" s="405" t="s">
        <v>520</v>
      </c>
      <c r="I413" s="405" t="s">
        <v>969</v>
      </c>
      <c r="J413" s="404" t="s">
        <v>1413</v>
      </c>
      <c r="K413" s="405">
        <v>1</v>
      </c>
      <c r="L413" s="411" t="s">
        <v>1531</v>
      </c>
      <c r="M413" s="406" t="s">
        <v>1531</v>
      </c>
      <c r="N413" s="425" t="s">
        <v>1407</v>
      </c>
      <c r="O413" s="391" t="s">
        <v>19</v>
      </c>
      <c r="P413" s="414" t="s">
        <v>1413</v>
      </c>
      <c r="Q413" s="340" t="s">
        <v>2433</v>
      </c>
      <c r="R413" s="338">
        <v>1</v>
      </c>
      <c r="S413" s="404" t="s">
        <v>1413</v>
      </c>
      <c r="T413" s="394">
        <v>4.8999999999999998E-3</v>
      </c>
      <c r="U413" s="394">
        <v>3.0000000000000001E-5</v>
      </c>
    </row>
    <row r="414" spans="1:21" ht="15.6" thickBot="1">
      <c r="A414" s="412">
        <v>3</v>
      </c>
      <c r="B414" s="409" t="s">
        <v>1412</v>
      </c>
      <c r="C414" s="396">
        <v>4.8999999999999998E-3</v>
      </c>
      <c r="D414" s="409" t="s">
        <v>1412</v>
      </c>
      <c r="E414" s="399" t="s">
        <v>1531</v>
      </c>
      <c r="F414" s="408" t="s">
        <v>1413</v>
      </c>
      <c r="G414" s="399" t="s">
        <v>1531</v>
      </c>
      <c r="H414" s="408" t="s">
        <v>1413</v>
      </c>
      <c r="I414" s="408" t="s">
        <v>1413</v>
      </c>
      <c r="J414" s="408" t="s">
        <v>1413</v>
      </c>
      <c r="K414" s="409">
        <v>1</v>
      </c>
      <c r="L414" s="413" t="s">
        <v>1531</v>
      </c>
      <c r="M414" s="410" t="s">
        <v>1531</v>
      </c>
      <c r="N414" s="426" t="s">
        <v>1190</v>
      </c>
      <c r="O414" s="393" t="s">
        <v>20</v>
      </c>
      <c r="P414" s="416" t="s">
        <v>1413</v>
      </c>
      <c r="Q414" s="340" t="s">
        <v>2433</v>
      </c>
      <c r="R414" s="338">
        <v>1</v>
      </c>
      <c r="S414" s="408" t="s">
        <v>1413</v>
      </c>
      <c r="T414" s="396">
        <v>4.8999999999999998E-3</v>
      </c>
      <c r="U414" s="399" t="s">
        <v>1531</v>
      </c>
    </row>
    <row r="415" spans="1:21" ht="15">
      <c r="A415" s="403" t="s">
        <v>1531</v>
      </c>
      <c r="B415" s="404" t="s">
        <v>1413</v>
      </c>
      <c r="C415" s="398" t="s">
        <v>1531</v>
      </c>
      <c r="D415" s="404" t="s">
        <v>1413</v>
      </c>
      <c r="E415" s="398" t="s">
        <v>1531</v>
      </c>
      <c r="F415" s="404" t="s">
        <v>1413</v>
      </c>
      <c r="G415" s="394">
        <v>0.02</v>
      </c>
      <c r="H415" s="405" t="s">
        <v>1412</v>
      </c>
      <c r="I415" s="405" t="s">
        <v>969</v>
      </c>
      <c r="J415" s="404" t="s">
        <v>1413</v>
      </c>
      <c r="K415" s="405">
        <v>1</v>
      </c>
      <c r="L415" s="411" t="s">
        <v>1531</v>
      </c>
      <c r="M415" s="406" t="s">
        <v>1531</v>
      </c>
      <c r="N415" s="425" t="s">
        <v>1191</v>
      </c>
      <c r="O415" s="391" t="s">
        <v>21</v>
      </c>
      <c r="P415" s="414" t="s">
        <v>1413</v>
      </c>
      <c r="Q415" s="340" t="s">
        <v>2433</v>
      </c>
      <c r="R415" s="338">
        <v>1</v>
      </c>
      <c r="S415" s="404" t="s">
        <v>1413</v>
      </c>
      <c r="T415" s="398" t="s">
        <v>1531</v>
      </c>
      <c r="U415" s="394">
        <v>0.02</v>
      </c>
    </row>
    <row r="416" spans="1:21" ht="15">
      <c r="A416" s="403" t="s">
        <v>1531</v>
      </c>
      <c r="B416" s="404" t="s">
        <v>1413</v>
      </c>
      <c r="C416" s="398" t="s">
        <v>1531</v>
      </c>
      <c r="D416" s="404" t="s">
        <v>1413</v>
      </c>
      <c r="E416" s="394">
        <v>5.9999999999999995E-4</v>
      </c>
      <c r="F416" s="405" t="s">
        <v>1412</v>
      </c>
      <c r="G416" s="394">
        <v>8.0000000000000004E-4</v>
      </c>
      <c r="H416" s="405" t="s">
        <v>1412</v>
      </c>
      <c r="I416" s="405" t="s">
        <v>969</v>
      </c>
      <c r="J416" s="404" t="s">
        <v>1413</v>
      </c>
      <c r="K416" s="405">
        <v>1</v>
      </c>
      <c r="L416" s="411" t="s">
        <v>1531</v>
      </c>
      <c r="M416" s="395">
        <v>10000000</v>
      </c>
      <c r="N416" s="425" t="s">
        <v>2242</v>
      </c>
      <c r="O416" s="391" t="s">
        <v>794</v>
      </c>
      <c r="P416" s="414" t="s">
        <v>1413</v>
      </c>
      <c r="Q416" s="340" t="s">
        <v>2433</v>
      </c>
      <c r="R416" s="338">
        <v>1</v>
      </c>
      <c r="S416" s="404" t="s">
        <v>1413</v>
      </c>
      <c r="T416" s="398" t="s">
        <v>1531</v>
      </c>
      <c r="U416" s="394">
        <v>8.0000000000000004E-4</v>
      </c>
    </row>
    <row r="417" spans="1:21" ht="15.6" thickBot="1">
      <c r="A417" s="407" t="s">
        <v>1531</v>
      </c>
      <c r="B417" s="408" t="s">
        <v>1413</v>
      </c>
      <c r="C417" s="399" t="s">
        <v>1531</v>
      </c>
      <c r="D417" s="408" t="s">
        <v>1413</v>
      </c>
      <c r="E417" s="396">
        <v>0.04</v>
      </c>
      <c r="F417" s="409" t="s">
        <v>521</v>
      </c>
      <c r="G417" s="396">
        <v>1.4E-2</v>
      </c>
      <c r="H417" s="409" t="s">
        <v>521</v>
      </c>
      <c r="I417" s="409" t="s">
        <v>969</v>
      </c>
      <c r="J417" s="408" t="s">
        <v>1413</v>
      </c>
      <c r="K417" s="409">
        <v>1</v>
      </c>
      <c r="L417" s="413" t="s">
        <v>1531</v>
      </c>
      <c r="M417" s="410" t="s">
        <v>1531</v>
      </c>
      <c r="N417" s="426" t="s">
        <v>589</v>
      </c>
      <c r="O417" s="393" t="s">
        <v>22</v>
      </c>
      <c r="P417" s="416" t="s">
        <v>1413</v>
      </c>
      <c r="Q417" s="340" t="s">
        <v>2433</v>
      </c>
      <c r="R417" s="338">
        <v>1</v>
      </c>
      <c r="S417" s="408" t="s">
        <v>1413</v>
      </c>
      <c r="T417" s="399" t="s">
        <v>1531</v>
      </c>
      <c r="U417" s="396">
        <v>1.4E-2</v>
      </c>
    </row>
    <row r="418" spans="1:21" ht="15">
      <c r="A418" s="403" t="s">
        <v>1531</v>
      </c>
      <c r="B418" s="404" t="s">
        <v>1413</v>
      </c>
      <c r="C418" s="398" t="s">
        <v>1531</v>
      </c>
      <c r="D418" s="404" t="s">
        <v>1413</v>
      </c>
      <c r="E418" s="398" t="s">
        <v>1531</v>
      </c>
      <c r="F418" s="404" t="s">
        <v>1413</v>
      </c>
      <c r="G418" s="394">
        <v>2E-3</v>
      </c>
      <c r="H418" s="405" t="s">
        <v>1412</v>
      </c>
      <c r="I418" s="405" t="s">
        <v>969</v>
      </c>
      <c r="J418" s="404" t="s">
        <v>1413</v>
      </c>
      <c r="K418" s="405">
        <v>1</v>
      </c>
      <c r="L418" s="411" t="s">
        <v>1531</v>
      </c>
      <c r="M418" s="406" t="s">
        <v>1531</v>
      </c>
      <c r="N418" s="425" t="s">
        <v>1192</v>
      </c>
      <c r="O418" s="391" t="s">
        <v>23</v>
      </c>
      <c r="P418" s="414" t="s">
        <v>1413</v>
      </c>
      <c r="Q418" s="340" t="s">
        <v>2433</v>
      </c>
      <c r="R418" s="338">
        <v>1</v>
      </c>
      <c r="S418" s="404" t="s">
        <v>1413</v>
      </c>
      <c r="T418" s="398" t="s">
        <v>1531</v>
      </c>
      <c r="U418" s="394">
        <v>2E-3</v>
      </c>
    </row>
    <row r="419" spans="1:21" ht="15">
      <c r="A419" s="427">
        <v>0.06</v>
      </c>
      <c r="B419" s="405" t="s">
        <v>520</v>
      </c>
      <c r="C419" s="398" t="s">
        <v>1531</v>
      </c>
      <c r="D419" s="404" t="s">
        <v>1413</v>
      </c>
      <c r="E419" s="394">
        <v>0.04</v>
      </c>
      <c r="F419" s="405" t="s">
        <v>520</v>
      </c>
      <c r="G419" s="398" t="s">
        <v>1531</v>
      </c>
      <c r="H419" s="404" t="s">
        <v>1413</v>
      </c>
      <c r="I419" s="404" t="s">
        <v>1413</v>
      </c>
      <c r="J419" s="404" t="s">
        <v>1413</v>
      </c>
      <c r="K419" s="405">
        <v>1</v>
      </c>
      <c r="L419" s="405">
        <v>0.1</v>
      </c>
      <c r="M419" s="406" t="s">
        <v>1531</v>
      </c>
      <c r="N419" s="425" t="s">
        <v>534</v>
      </c>
      <c r="O419" s="391" t="s">
        <v>24</v>
      </c>
      <c r="P419" s="414" t="s">
        <v>1413</v>
      </c>
      <c r="Q419" s="340" t="s">
        <v>2433</v>
      </c>
      <c r="R419" s="338">
        <v>1</v>
      </c>
      <c r="S419" s="404" t="s">
        <v>1413</v>
      </c>
      <c r="T419" s="398" t="s">
        <v>1531</v>
      </c>
      <c r="U419" s="398" t="s">
        <v>1531</v>
      </c>
    </row>
    <row r="420" spans="1:21" ht="15.6" thickBot="1">
      <c r="A420" s="412">
        <v>6.0999999999999999E-2</v>
      </c>
      <c r="B420" s="409" t="s">
        <v>1474</v>
      </c>
      <c r="C420" s="399" t="s">
        <v>1531</v>
      </c>
      <c r="D420" s="408" t="s">
        <v>1413</v>
      </c>
      <c r="E420" s="396">
        <v>2.5000000000000001E-3</v>
      </c>
      <c r="F420" s="409" t="s">
        <v>1474</v>
      </c>
      <c r="G420" s="399" t="s">
        <v>1531</v>
      </c>
      <c r="H420" s="408" t="s">
        <v>1413</v>
      </c>
      <c r="I420" s="408" t="s">
        <v>1413</v>
      </c>
      <c r="J420" s="408" t="s">
        <v>1413</v>
      </c>
      <c r="K420" s="409">
        <v>1</v>
      </c>
      <c r="L420" s="409">
        <v>0.1</v>
      </c>
      <c r="M420" s="410" t="s">
        <v>1531</v>
      </c>
      <c r="N420" s="426" t="s">
        <v>1193</v>
      </c>
      <c r="O420" s="393" t="s">
        <v>25</v>
      </c>
      <c r="P420" s="416" t="s">
        <v>1413</v>
      </c>
      <c r="Q420" s="340" t="s">
        <v>2434</v>
      </c>
      <c r="R420" s="338">
        <v>1</v>
      </c>
      <c r="S420" s="408" t="s">
        <v>1413</v>
      </c>
      <c r="T420" s="399" t="s">
        <v>1531</v>
      </c>
      <c r="U420" s="399" t="s">
        <v>1531</v>
      </c>
    </row>
    <row r="421" spans="1:21" ht="15">
      <c r="A421" s="403" t="s">
        <v>1531</v>
      </c>
      <c r="B421" s="404" t="s">
        <v>1413</v>
      </c>
      <c r="C421" s="398" t="s">
        <v>1531</v>
      </c>
      <c r="D421" s="404" t="s">
        <v>1413</v>
      </c>
      <c r="E421" s="394">
        <v>0.25</v>
      </c>
      <c r="F421" s="405" t="s">
        <v>1412</v>
      </c>
      <c r="G421" s="398" t="s">
        <v>1531</v>
      </c>
      <c r="H421" s="404" t="s">
        <v>1413</v>
      </c>
      <c r="I421" s="404" t="s">
        <v>1413</v>
      </c>
      <c r="J421" s="404" t="s">
        <v>1413</v>
      </c>
      <c r="K421" s="405">
        <v>1</v>
      </c>
      <c r="L421" s="405">
        <v>0.1</v>
      </c>
      <c r="M421" s="406" t="s">
        <v>1531</v>
      </c>
      <c r="N421" s="425" t="s">
        <v>1194</v>
      </c>
      <c r="O421" s="391" t="s">
        <v>26</v>
      </c>
      <c r="P421" s="414" t="s">
        <v>1413</v>
      </c>
      <c r="Q421" s="340" t="s">
        <v>2433</v>
      </c>
      <c r="R421" s="338">
        <v>1</v>
      </c>
      <c r="S421" s="404" t="s">
        <v>1413</v>
      </c>
      <c r="T421" s="398" t="s">
        <v>1531</v>
      </c>
      <c r="U421" s="398" t="s">
        <v>1531</v>
      </c>
    </row>
    <row r="422" spans="1:21" ht="15">
      <c r="A422" s="403" t="s">
        <v>1531</v>
      </c>
      <c r="B422" s="404" t="s">
        <v>1413</v>
      </c>
      <c r="C422" s="398" t="s">
        <v>1531</v>
      </c>
      <c r="D422" s="404" t="s">
        <v>1413</v>
      </c>
      <c r="E422" s="394">
        <v>2.5</v>
      </c>
      <c r="F422" s="405" t="s">
        <v>1474</v>
      </c>
      <c r="G422" s="398" t="s">
        <v>1531</v>
      </c>
      <c r="H422" s="404" t="s">
        <v>1413</v>
      </c>
      <c r="I422" s="404" t="s">
        <v>1413</v>
      </c>
      <c r="J422" s="404" t="s">
        <v>1413</v>
      </c>
      <c r="K422" s="405">
        <v>1</v>
      </c>
      <c r="L422" s="405">
        <v>0.1</v>
      </c>
      <c r="M422" s="406" t="s">
        <v>1531</v>
      </c>
      <c r="N422" s="425" t="s">
        <v>2313</v>
      </c>
      <c r="O422" s="391" t="s">
        <v>239</v>
      </c>
      <c r="P422" s="414" t="s">
        <v>1413</v>
      </c>
      <c r="Q422" s="340" t="s">
        <v>2434</v>
      </c>
      <c r="R422" s="338">
        <v>1</v>
      </c>
      <c r="S422" s="404" t="s">
        <v>1413</v>
      </c>
      <c r="T422" s="398" t="s">
        <v>1531</v>
      </c>
      <c r="U422" s="398" t="s">
        <v>1531</v>
      </c>
    </row>
    <row r="423" spans="1:21" ht="15.6" thickBot="1">
      <c r="A423" s="412">
        <v>0.1</v>
      </c>
      <c r="B423" s="409" t="s">
        <v>360</v>
      </c>
      <c r="C423" s="396">
        <v>6.0000000000000002E-5</v>
      </c>
      <c r="D423" s="409" t="s">
        <v>360</v>
      </c>
      <c r="E423" s="399" t="s">
        <v>1531</v>
      </c>
      <c r="F423" s="408" t="s">
        <v>1413</v>
      </c>
      <c r="G423" s="399" t="s">
        <v>1531</v>
      </c>
      <c r="H423" s="408" t="s">
        <v>1413</v>
      </c>
      <c r="I423" s="408" t="s">
        <v>1413</v>
      </c>
      <c r="J423" s="409" t="s">
        <v>522</v>
      </c>
      <c r="K423" s="409">
        <v>1</v>
      </c>
      <c r="L423" s="409">
        <v>0.13</v>
      </c>
      <c r="M423" s="410" t="s">
        <v>1531</v>
      </c>
      <c r="N423" s="426" t="s">
        <v>2357</v>
      </c>
      <c r="O423" s="393" t="s">
        <v>214</v>
      </c>
      <c r="P423" s="416" t="s">
        <v>1413</v>
      </c>
      <c r="Q423" s="340" t="s">
        <v>2433</v>
      </c>
      <c r="R423" s="338">
        <v>1</v>
      </c>
      <c r="S423" s="409" t="s">
        <v>2424</v>
      </c>
      <c r="T423" s="396">
        <v>6.0000000000000002E-5</v>
      </c>
      <c r="U423" s="399" t="s">
        <v>1531</v>
      </c>
    </row>
    <row r="424" spans="1:21" ht="15">
      <c r="A424" s="403" t="s">
        <v>1531</v>
      </c>
      <c r="B424" s="404" t="s">
        <v>1413</v>
      </c>
      <c r="C424" s="398" t="s">
        <v>1531</v>
      </c>
      <c r="D424" s="404" t="s">
        <v>1413</v>
      </c>
      <c r="E424" s="394">
        <v>0.01</v>
      </c>
      <c r="F424" s="405" t="s">
        <v>1414</v>
      </c>
      <c r="G424" s="398" t="s">
        <v>1531</v>
      </c>
      <c r="H424" s="404" t="s">
        <v>1413</v>
      </c>
      <c r="I424" s="404" t="s">
        <v>1413</v>
      </c>
      <c r="J424" s="404" t="s">
        <v>1413</v>
      </c>
      <c r="K424" s="405">
        <v>1</v>
      </c>
      <c r="L424" s="411" t="s">
        <v>1531</v>
      </c>
      <c r="M424" s="406" t="s">
        <v>1531</v>
      </c>
      <c r="N424" s="425" t="s">
        <v>590</v>
      </c>
      <c r="O424" s="391" t="s">
        <v>27</v>
      </c>
      <c r="P424" s="414" t="s">
        <v>1413</v>
      </c>
      <c r="Q424" s="340" t="s">
        <v>2433</v>
      </c>
      <c r="R424" s="338">
        <v>1</v>
      </c>
      <c r="S424" s="404" t="s">
        <v>1413</v>
      </c>
      <c r="T424" s="398" t="s">
        <v>1531</v>
      </c>
      <c r="U424" s="398" t="s">
        <v>1531</v>
      </c>
    </row>
    <row r="425" spans="1:21" ht="15">
      <c r="A425" s="403" t="s">
        <v>1531</v>
      </c>
      <c r="B425" s="404" t="s">
        <v>1413</v>
      </c>
      <c r="C425" s="398" t="s">
        <v>1531</v>
      </c>
      <c r="D425" s="404" t="s">
        <v>1413</v>
      </c>
      <c r="E425" s="394">
        <v>0.04</v>
      </c>
      <c r="F425" s="405" t="s">
        <v>1412</v>
      </c>
      <c r="G425" s="398" t="s">
        <v>1531</v>
      </c>
      <c r="H425" s="404" t="s">
        <v>1413</v>
      </c>
      <c r="I425" s="404" t="s">
        <v>1413</v>
      </c>
      <c r="J425" s="404" t="s">
        <v>1413</v>
      </c>
      <c r="K425" s="405">
        <v>1</v>
      </c>
      <c r="L425" s="405">
        <v>0.1</v>
      </c>
      <c r="M425" s="406" t="s">
        <v>1531</v>
      </c>
      <c r="N425" s="425" t="s">
        <v>1195</v>
      </c>
      <c r="O425" s="391" t="s">
        <v>28</v>
      </c>
      <c r="P425" s="414" t="s">
        <v>1413</v>
      </c>
      <c r="Q425" s="340" t="s">
        <v>2433</v>
      </c>
      <c r="R425" s="338">
        <v>1</v>
      </c>
      <c r="S425" s="404" t="s">
        <v>1413</v>
      </c>
      <c r="T425" s="398" t="s">
        <v>1531</v>
      </c>
      <c r="U425" s="398" t="s">
        <v>1531</v>
      </c>
    </row>
    <row r="426" spans="1:21" ht="15.6" thickBot="1">
      <c r="A426" s="407" t="s">
        <v>1531</v>
      </c>
      <c r="B426" s="408" t="s">
        <v>1413</v>
      </c>
      <c r="C426" s="399" t="s">
        <v>1531</v>
      </c>
      <c r="D426" s="408" t="s">
        <v>1413</v>
      </c>
      <c r="E426" s="396">
        <v>0.7</v>
      </c>
      <c r="F426" s="409" t="s">
        <v>520</v>
      </c>
      <c r="G426" s="399" t="s">
        <v>1531</v>
      </c>
      <c r="H426" s="408" t="s">
        <v>1413</v>
      </c>
      <c r="I426" s="408" t="s">
        <v>1413</v>
      </c>
      <c r="J426" s="408" t="s">
        <v>1413</v>
      </c>
      <c r="K426" s="409">
        <v>1</v>
      </c>
      <c r="L426" s="413" t="s">
        <v>1531</v>
      </c>
      <c r="M426" s="410" t="s">
        <v>1531</v>
      </c>
      <c r="N426" s="426" t="s">
        <v>1196</v>
      </c>
      <c r="O426" s="393" t="s">
        <v>29</v>
      </c>
      <c r="P426" s="416" t="s">
        <v>1413</v>
      </c>
      <c r="Q426" s="340" t="s">
        <v>2434</v>
      </c>
      <c r="R426" s="338">
        <v>0</v>
      </c>
      <c r="S426" s="408" t="s">
        <v>1413</v>
      </c>
      <c r="T426" s="399" t="s">
        <v>1531</v>
      </c>
      <c r="U426" s="399" t="s">
        <v>1531</v>
      </c>
    </row>
    <row r="427" spans="1:21" ht="15">
      <c r="A427" s="403" t="s">
        <v>1531</v>
      </c>
      <c r="B427" s="404" t="s">
        <v>1413</v>
      </c>
      <c r="C427" s="398" t="s">
        <v>1531</v>
      </c>
      <c r="D427" s="404" t="s">
        <v>1413</v>
      </c>
      <c r="E427" s="394">
        <v>0.3</v>
      </c>
      <c r="F427" s="405" t="s">
        <v>1412</v>
      </c>
      <c r="G427" s="398" t="s">
        <v>1531</v>
      </c>
      <c r="H427" s="404" t="s">
        <v>1413</v>
      </c>
      <c r="I427" s="405" t="s">
        <v>969</v>
      </c>
      <c r="J427" s="404" t="s">
        <v>1413</v>
      </c>
      <c r="K427" s="405">
        <v>1</v>
      </c>
      <c r="L427" s="411" t="s">
        <v>1531</v>
      </c>
      <c r="M427" s="395">
        <v>10000</v>
      </c>
      <c r="N427" s="425" t="s">
        <v>1197</v>
      </c>
      <c r="O427" s="391" t="s">
        <v>30</v>
      </c>
      <c r="P427" s="414" t="s">
        <v>1413</v>
      </c>
      <c r="Q427" s="340" t="s">
        <v>2433</v>
      </c>
      <c r="R427" s="338">
        <v>1</v>
      </c>
      <c r="S427" s="404" t="s">
        <v>1413</v>
      </c>
      <c r="T427" s="398" t="s">
        <v>1531</v>
      </c>
      <c r="U427" s="398" t="s">
        <v>1531</v>
      </c>
    </row>
    <row r="428" spans="1:21" ht="15">
      <c r="A428" s="427">
        <v>9.5E-4</v>
      </c>
      <c r="B428" s="405" t="s">
        <v>1412</v>
      </c>
      <c r="C428" s="398" t="s">
        <v>1531</v>
      </c>
      <c r="D428" s="404" t="s">
        <v>1413</v>
      </c>
      <c r="E428" s="394">
        <v>0.2</v>
      </c>
      <c r="F428" s="405" t="s">
        <v>1412</v>
      </c>
      <c r="G428" s="394">
        <v>2</v>
      </c>
      <c r="H428" s="405" t="s">
        <v>521</v>
      </c>
      <c r="I428" s="404" t="s">
        <v>1413</v>
      </c>
      <c r="J428" s="404" t="s">
        <v>1413</v>
      </c>
      <c r="K428" s="405">
        <v>1</v>
      </c>
      <c r="L428" s="405">
        <v>0.1</v>
      </c>
      <c r="M428" s="406" t="s">
        <v>1531</v>
      </c>
      <c r="N428" s="425" t="s">
        <v>386</v>
      </c>
      <c r="O428" s="391" t="s">
        <v>31</v>
      </c>
      <c r="P428" s="414" t="s">
        <v>1413</v>
      </c>
      <c r="Q428" s="340" t="s">
        <v>2433</v>
      </c>
      <c r="R428" s="338">
        <v>1047786</v>
      </c>
      <c r="S428" s="404" t="s">
        <v>1413</v>
      </c>
      <c r="T428" s="398" t="s">
        <v>1531</v>
      </c>
      <c r="U428" s="394">
        <v>2</v>
      </c>
    </row>
    <row r="429" spans="1:21" ht="15.6" thickBot="1">
      <c r="A429" s="407" t="s">
        <v>1531</v>
      </c>
      <c r="B429" s="408" t="s">
        <v>1413</v>
      </c>
      <c r="C429" s="399" t="s">
        <v>1531</v>
      </c>
      <c r="D429" s="408" t="s">
        <v>1413</v>
      </c>
      <c r="E429" s="396">
        <v>1.4999999999999999E-2</v>
      </c>
      <c r="F429" s="409" t="s">
        <v>1412</v>
      </c>
      <c r="G429" s="399" t="s">
        <v>1531</v>
      </c>
      <c r="H429" s="408" t="s">
        <v>1413</v>
      </c>
      <c r="I429" s="409" t="s">
        <v>969</v>
      </c>
      <c r="J429" s="408" t="s">
        <v>1413</v>
      </c>
      <c r="K429" s="409">
        <v>1</v>
      </c>
      <c r="L429" s="413" t="s">
        <v>1531</v>
      </c>
      <c r="M429" s="410" t="s">
        <v>1531</v>
      </c>
      <c r="N429" s="426" t="s">
        <v>1198</v>
      </c>
      <c r="O429" s="393" t="s">
        <v>32</v>
      </c>
      <c r="P429" s="416" t="s">
        <v>1413</v>
      </c>
      <c r="Q429" s="340" t="s">
        <v>2434</v>
      </c>
      <c r="R429" s="338">
        <v>1</v>
      </c>
      <c r="S429" s="408" t="s">
        <v>1413</v>
      </c>
      <c r="T429" s="399" t="s">
        <v>1531</v>
      </c>
      <c r="U429" s="399" t="s">
        <v>1531</v>
      </c>
    </row>
    <row r="430" spans="1:21" ht="15">
      <c r="A430" s="403" t="s">
        <v>1531</v>
      </c>
      <c r="B430" s="404" t="s">
        <v>1413</v>
      </c>
      <c r="C430" s="398" t="s">
        <v>1531</v>
      </c>
      <c r="D430" s="404" t="s">
        <v>1413</v>
      </c>
      <c r="E430" s="394">
        <v>2</v>
      </c>
      <c r="F430" s="405" t="s">
        <v>520</v>
      </c>
      <c r="G430" s="394">
        <v>0.2</v>
      </c>
      <c r="H430" s="405" t="s">
        <v>520</v>
      </c>
      <c r="I430" s="405" t="s">
        <v>969</v>
      </c>
      <c r="J430" s="404" t="s">
        <v>1413</v>
      </c>
      <c r="K430" s="405">
        <v>1</v>
      </c>
      <c r="L430" s="411" t="s">
        <v>1531</v>
      </c>
      <c r="M430" s="395">
        <v>109000</v>
      </c>
      <c r="N430" s="425" t="s">
        <v>591</v>
      </c>
      <c r="O430" s="391" t="s">
        <v>33</v>
      </c>
      <c r="P430" s="414" t="s">
        <v>1413</v>
      </c>
      <c r="Q430" s="340" t="s">
        <v>2434</v>
      </c>
      <c r="R430" s="338">
        <v>1</v>
      </c>
      <c r="S430" s="404" t="s">
        <v>1413</v>
      </c>
      <c r="T430" s="398" t="s">
        <v>1531</v>
      </c>
      <c r="U430" s="394">
        <v>0.2</v>
      </c>
    </row>
    <row r="431" spans="1:21" ht="15">
      <c r="A431" s="403" t="s">
        <v>1531</v>
      </c>
      <c r="B431" s="404" t="s">
        <v>1413</v>
      </c>
      <c r="C431" s="398" t="s">
        <v>1531</v>
      </c>
      <c r="D431" s="404" t="s">
        <v>1413</v>
      </c>
      <c r="E431" s="394">
        <v>0.1</v>
      </c>
      <c r="F431" s="405" t="s">
        <v>1412</v>
      </c>
      <c r="G431" s="398" t="s">
        <v>1531</v>
      </c>
      <c r="H431" s="404" t="s">
        <v>1413</v>
      </c>
      <c r="I431" s="404" t="s">
        <v>1413</v>
      </c>
      <c r="J431" s="404" t="s">
        <v>1413</v>
      </c>
      <c r="K431" s="405">
        <v>1</v>
      </c>
      <c r="L431" s="405">
        <v>0.1</v>
      </c>
      <c r="M431" s="406" t="s">
        <v>1531</v>
      </c>
      <c r="N431" s="425" t="s">
        <v>1199</v>
      </c>
      <c r="O431" s="391" t="s">
        <v>34</v>
      </c>
      <c r="P431" s="414" t="s">
        <v>1413</v>
      </c>
      <c r="Q431" s="340" t="s">
        <v>2434</v>
      </c>
      <c r="R431" s="338">
        <v>1</v>
      </c>
      <c r="S431" s="404" t="s">
        <v>1413</v>
      </c>
      <c r="T431" s="398" t="s">
        <v>1531</v>
      </c>
      <c r="U431" s="398" t="s">
        <v>1531</v>
      </c>
    </row>
    <row r="432" spans="1:21" ht="15.6" thickBot="1">
      <c r="A432" s="407" t="s">
        <v>1531</v>
      </c>
      <c r="B432" s="408" t="s">
        <v>1413</v>
      </c>
      <c r="C432" s="399" t="s">
        <v>1531</v>
      </c>
      <c r="D432" s="408" t="s">
        <v>1413</v>
      </c>
      <c r="E432" s="396">
        <v>0.05</v>
      </c>
      <c r="F432" s="409" t="s">
        <v>1412</v>
      </c>
      <c r="G432" s="399" t="s">
        <v>1531</v>
      </c>
      <c r="H432" s="408" t="s">
        <v>1413</v>
      </c>
      <c r="I432" s="408" t="s">
        <v>1413</v>
      </c>
      <c r="J432" s="408" t="s">
        <v>1413</v>
      </c>
      <c r="K432" s="409">
        <v>1</v>
      </c>
      <c r="L432" s="409">
        <v>0.1</v>
      </c>
      <c r="M432" s="410" t="s">
        <v>1531</v>
      </c>
      <c r="N432" s="426" t="s">
        <v>1200</v>
      </c>
      <c r="O432" s="393" t="s">
        <v>35</v>
      </c>
      <c r="P432" s="416" t="s">
        <v>1413</v>
      </c>
      <c r="Q432" s="340" t="s">
        <v>2433</v>
      </c>
      <c r="R432" s="338">
        <v>1</v>
      </c>
      <c r="S432" s="408" t="s">
        <v>1413</v>
      </c>
      <c r="T432" s="399" t="s">
        <v>1531</v>
      </c>
      <c r="U432" s="399" t="s">
        <v>1531</v>
      </c>
    </row>
    <row r="433" spans="1:21" ht="15">
      <c r="A433" s="403" t="s">
        <v>1531</v>
      </c>
      <c r="B433" s="404" t="s">
        <v>1413</v>
      </c>
      <c r="C433" s="398" t="s">
        <v>1531</v>
      </c>
      <c r="D433" s="404" t="s">
        <v>1413</v>
      </c>
      <c r="E433" s="398" t="s">
        <v>1531</v>
      </c>
      <c r="F433" s="404" t="s">
        <v>1413</v>
      </c>
      <c r="G433" s="394">
        <v>0.3</v>
      </c>
      <c r="H433" s="405" t="s">
        <v>1414</v>
      </c>
      <c r="I433" s="405" t="s">
        <v>969</v>
      </c>
      <c r="J433" s="404" t="s">
        <v>1413</v>
      </c>
      <c r="K433" s="405">
        <v>1</v>
      </c>
      <c r="L433" s="411" t="s">
        <v>1531</v>
      </c>
      <c r="M433" s="406" t="s">
        <v>1531</v>
      </c>
      <c r="N433" s="425" t="s">
        <v>592</v>
      </c>
      <c r="O433" s="391" t="s">
        <v>2504</v>
      </c>
      <c r="P433" s="414" t="s">
        <v>1413</v>
      </c>
      <c r="Q433" s="340" t="s">
        <v>2434</v>
      </c>
      <c r="R433" s="338">
        <v>1</v>
      </c>
      <c r="S433" s="404" t="s">
        <v>1413</v>
      </c>
      <c r="T433" s="398" t="s">
        <v>1531</v>
      </c>
      <c r="U433" s="394">
        <v>0.3</v>
      </c>
    </row>
    <row r="434" spans="1:21" ht="15">
      <c r="A434" s="403" t="s">
        <v>1531</v>
      </c>
      <c r="B434" s="404" t="s">
        <v>1413</v>
      </c>
      <c r="C434" s="398" t="s">
        <v>1531</v>
      </c>
      <c r="D434" s="404" t="s">
        <v>1413</v>
      </c>
      <c r="E434" s="394">
        <v>8.0000000000000002E-3</v>
      </c>
      <c r="F434" s="405" t="s">
        <v>1474</v>
      </c>
      <c r="G434" s="398" t="s">
        <v>1531</v>
      </c>
      <c r="H434" s="404" t="s">
        <v>1413</v>
      </c>
      <c r="I434" s="404" t="s">
        <v>1413</v>
      </c>
      <c r="J434" s="404" t="s">
        <v>1413</v>
      </c>
      <c r="K434" s="405">
        <v>1</v>
      </c>
      <c r="L434" s="405">
        <v>0.1</v>
      </c>
      <c r="M434" s="406" t="s">
        <v>1531</v>
      </c>
      <c r="N434" s="425" t="s">
        <v>1201</v>
      </c>
      <c r="O434" s="391" t="s">
        <v>37</v>
      </c>
      <c r="P434" s="414" t="s">
        <v>1413</v>
      </c>
      <c r="Q434" s="340" t="s">
        <v>2433</v>
      </c>
      <c r="R434" s="338">
        <v>1</v>
      </c>
      <c r="S434" s="404" t="s">
        <v>1413</v>
      </c>
      <c r="T434" s="398" t="s">
        <v>1531</v>
      </c>
      <c r="U434" s="398" t="s">
        <v>1531</v>
      </c>
    </row>
    <row r="435" spans="1:21" ht="15.6" thickBot="1">
      <c r="A435" s="407" t="s">
        <v>1531</v>
      </c>
      <c r="B435" s="408" t="s">
        <v>1413</v>
      </c>
      <c r="C435" s="399" t="s">
        <v>1531</v>
      </c>
      <c r="D435" s="408" t="s">
        <v>1413</v>
      </c>
      <c r="E435" s="396">
        <v>2.0000000000000001E-4</v>
      </c>
      <c r="F435" s="409" t="s">
        <v>961</v>
      </c>
      <c r="G435" s="399" t="s">
        <v>1531</v>
      </c>
      <c r="H435" s="408" t="s">
        <v>1413</v>
      </c>
      <c r="I435" s="408" t="s">
        <v>1413</v>
      </c>
      <c r="J435" s="408" t="s">
        <v>1413</v>
      </c>
      <c r="K435" s="409">
        <v>1</v>
      </c>
      <c r="L435" s="409">
        <v>0.1</v>
      </c>
      <c r="M435" s="410" t="s">
        <v>1531</v>
      </c>
      <c r="N435" s="426" t="s">
        <v>2505</v>
      </c>
      <c r="O435" s="393" t="s">
        <v>2506</v>
      </c>
      <c r="P435" s="416" t="s">
        <v>1413</v>
      </c>
      <c r="Q435" s="340" t="s">
        <v>2433</v>
      </c>
      <c r="R435" s="338">
        <v>1</v>
      </c>
      <c r="S435" s="408" t="s">
        <v>1413</v>
      </c>
      <c r="T435" s="399" t="s">
        <v>1531</v>
      </c>
      <c r="U435" s="399" t="s">
        <v>1531</v>
      </c>
    </row>
    <row r="436" spans="1:21" ht="15">
      <c r="A436" s="427">
        <v>8.5000000000000006E-3</v>
      </c>
      <c r="B436" s="405" t="s">
        <v>521</v>
      </c>
      <c r="C436" s="394">
        <v>1.2E-5</v>
      </c>
      <c r="D436" s="405" t="s">
        <v>521</v>
      </c>
      <c r="E436" s="398" t="s">
        <v>1531</v>
      </c>
      <c r="F436" s="404" t="s">
        <v>1413</v>
      </c>
      <c r="G436" s="398" t="s">
        <v>1531</v>
      </c>
      <c r="H436" s="404" t="s">
        <v>1413</v>
      </c>
      <c r="I436" s="404" t="s">
        <v>1413</v>
      </c>
      <c r="J436" s="404" t="s">
        <v>1413</v>
      </c>
      <c r="K436" s="405">
        <v>1</v>
      </c>
      <c r="L436" s="405">
        <v>0.1</v>
      </c>
      <c r="M436" s="406" t="s">
        <v>1531</v>
      </c>
      <c r="N436" s="425" t="s">
        <v>2372</v>
      </c>
      <c r="O436" s="391" t="s">
        <v>38</v>
      </c>
      <c r="P436" s="414" t="s">
        <v>1413</v>
      </c>
      <c r="Q436" s="340" t="s">
        <v>2433</v>
      </c>
      <c r="R436" s="338">
        <v>1</v>
      </c>
      <c r="S436" s="404" t="s">
        <v>1413</v>
      </c>
      <c r="T436" s="394">
        <v>1.2E-5</v>
      </c>
      <c r="U436" s="398" t="s">
        <v>1531</v>
      </c>
    </row>
    <row r="437" spans="1:21" ht="15">
      <c r="A437" s="403" t="s">
        <v>1531</v>
      </c>
      <c r="B437" s="404" t="s">
        <v>1413</v>
      </c>
      <c r="C437" s="398" t="s">
        <v>1531</v>
      </c>
      <c r="D437" s="404" t="s">
        <v>1413</v>
      </c>
      <c r="E437" s="398" t="s">
        <v>1531</v>
      </c>
      <c r="F437" s="404" t="s">
        <v>1413</v>
      </c>
      <c r="G437" s="398" t="s">
        <v>1531</v>
      </c>
      <c r="H437" s="404" t="s">
        <v>1413</v>
      </c>
      <c r="I437" s="404" t="s">
        <v>1413</v>
      </c>
      <c r="J437" s="404" t="s">
        <v>1413</v>
      </c>
      <c r="K437" s="405">
        <v>1</v>
      </c>
      <c r="L437" s="411" t="s">
        <v>1531</v>
      </c>
      <c r="M437" s="406" t="s">
        <v>1531</v>
      </c>
      <c r="N437" s="425" t="s">
        <v>2373</v>
      </c>
      <c r="O437" s="391" t="s">
        <v>39</v>
      </c>
      <c r="P437" s="429">
        <v>15</v>
      </c>
      <c r="Q437" s="340" t="s">
        <v>2433</v>
      </c>
      <c r="R437" s="338">
        <v>1</v>
      </c>
      <c r="S437" s="404" t="s">
        <v>1413</v>
      </c>
      <c r="T437" s="398" t="s">
        <v>1531</v>
      </c>
      <c r="U437" s="398" t="s">
        <v>1531</v>
      </c>
    </row>
    <row r="438" spans="1:21" ht="15.6" thickBot="1">
      <c r="A438" s="407" t="s">
        <v>1531</v>
      </c>
      <c r="B438" s="408" t="s">
        <v>1413</v>
      </c>
      <c r="C438" s="399" t="s">
        <v>1531</v>
      </c>
      <c r="D438" s="408" t="s">
        <v>1413</v>
      </c>
      <c r="E438" s="399" t="s">
        <v>1531</v>
      </c>
      <c r="F438" s="408" t="s">
        <v>1413</v>
      </c>
      <c r="G438" s="399" t="s">
        <v>1531</v>
      </c>
      <c r="H438" s="408" t="s">
        <v>1413</v>
      </c>
      <c r="I438" s="408" t="s">
        <v>1413</v>
      </c>
      <c r="J438" s="408" t="s">
        <v>1413</v>
      </c>
      <c r="K438" s="413" t="s">
        <v>1531</v>
      </c>
      <c r="L438" s="413" t="s">
        <v>1531</v>
      </c>
      <c r="M438" s="410" t="s">
        <v>1531</v>
      </c>
      <c r="N438" s="426" t="s">
        <v>1202</v>
      </c>
      <c r="O438" s="393" t="s">
        <v>1413</v>
      </c>
      <c r="P438" s="416" t="s">
        <v>1413</v>
      </c>
      <c r="Q438" s="340" t="s">
        <v>2433</v>
      </c>
      <c r="R438" s="338">
        <v>1</v>
      </c>
      <c r="S438" s="408" t="s">
        <v>1413</v>
      </c>
      <c r="T438" s="399" t="s">
        <v>1531</v>
      </c>
      <c r="U438" s="399" t="s">
        <v>1531</v>
      </c>
    </row>
    <row r="439" spans="1:21" ht="15">
      <c r="A439" s="427">
        <v>8.5000000000000006E-3</v>
      </c>
      <c r="B439" s="405" t="s">
        <v>521</v>
      </c>
      <c r="C439" s="394">
        <v>1.2E-5</v>
      </c>
      <c r="D439" s="405" t="s">
        <v>521</v>
      </c>
      <c r="E439" s="398" t="s">
        <v>1531</v>
      </c>
      <c r="F439" s="404" t="s">
        <v>1413</v>
      </c>
      <c r="G439" s="398" t="s">
        <v>1531</v>
      </c>
      <c r="H439" s="404" t="s">
        <v>1413</v>
      </c>
      <c r="I439" s="404" t="s">
        <v>1413</v>
      </c>
      <c r="J439" s="404" t="s">
        <v>1413</v>
      </c>
      <c r="K439" s="405">
        <v>1</v>
      </c>
      <c r="L439" s="411" t="s">
        <v>1531</v>
      </c>
      <c r="M439" s="406" t="s">
        <v>1531</v>
      </c>
      <c r="N439" s="425" t="s">
        <v>2371</v>
      </c>
      <c r="O439" s="391" t="s">
        <v>2116</v>
      </c>
      <c r="P439" s="414" t="s">
        <v>1413</v>
      </c>
      <c r="Q439" s="340" t="s">
        <v>2433</v>
      </c>
      <c r="R439" s="338">
        <v>1</v>
      </c>
      <c r="S439" s="404" t="s">
        <v>1413</v>
      </c>
      <c r="T439" s="394">
        <v>1.2E-5</v>
      </c>
      <c r="U439" s="398" t="s">
        <v>1531</v>
      </c>
    </row>
    <row r="440" spans="1:21" ht="15">
      <c r="A440" s="427">
        <v>8.5000000000000006E-3</v>
      </c>
      <c r="B440" s="405" t="s">
        <v>521</v>
      </c>
      <c r="C440" s="394">
        <v>1.2E-5</v>
      </c>
      <c r="D440" s="405" t="s">
        <v>521</v>
      </c>
      <c r="E440" s="398" t="s">
        <v>1531</v>
      </c>
      <c r="F440" s="404" t="s">
        <v>1413</v>
      </c>
      <c r="G440" s="398" t="s">
        <v>1531</v>
      </c>
      <c r="H440" s="404" t="s">
        <v>1413</v>
      </c>
      <c r="I440" s="404" t="s">
        <v>1413</v>
      </c>
      <c r="J440" s="404" t="s">
        <v>1413</v>
      </c>
      <c r="K440" s="405">
        <v>1</v>
      </c>
      <c r="L440" s="405">
        <v>0.1</v>
      </c>
      <c r="M440" s="406" t="s">
        <v>1531</v>
      </c>
      <c r="N440" s="425" t="s">
        <v>2374</v>
      </c>
      <c r="O440" s="391" t="s">
        <v>40</v>
      </c>
      <c r="P440" s="414" t="s">
        <v>1413</v>
      </c>
      <c r="Q440" s="340" t="s">
        <v>2433</v>
      </c>
      <c r="R440" s="338">
        <v>1</v>
      </c>
      <c r="S440" s="404" t="s">
        <v>1413</v>
      </c>
      <c r="T440" s="394">
        <v>1.2E-5</v>
      </c>
      <c r="U440" s="398" t="s">
        <v>1531</v>
      </c>
    </row>
    <row r="441" spans="1:21" ht="15.6" thickBot="1">
      <c r="A441" s="407" t="s">
        <v>1531</v>
      </c>
      <c r="B441" s="408" t="s">
        <v>1413</v>
      </c>
      <c r="C441" s="399" t="s">
        <v>1531</v>
      </c>
      <c r="D441" s="408" t="s">
        <v>1413</v>
      </c>
      <c r="E441" s="396">
        <v>5.0000000000000004E-6</v>
      </c>
      <c r="F441" s="409" t="s">
        <v>520</v>
      </c>
      <c r="G441" s="399" t="s">
        <v>1531</v>
      </c>
      <c r="H441" s="408" t="s">
        <v>1413</v>
      </c>
      <c r="I441" s="409" t="s">
        <v>969</v>
      </c>
      <c r="J441" s="408" t="s">
        <v>1413</v>
      </c>
      <c r="K441" s="409">
        <v>1</v>
      </c>
      <c r="L441" s="413" t="s">
        <v>1531</v>
      </c>
      <c r="M441" s="397">
        <v>383</v>
      </c>
      <c r="N441" s="426" t="s">
        <v>2284</v>
      </c>
      <c r="O441" s="393" t="s">
        <v>2283</v>
      </c>
      <c r="P441" s="416" t="s">
        <v>1413</v>
      </c>
      <c r="Q441" s="340" t="s">
        <v>2434</v>
      </c>
      <c r="R441" s="338">
        <v>1</v>
      </c>
      <c r="S441" s="408" t="s">
        <v>1413</v>
      </c>
      <c r="T441" s="399" t="s">
        <v>1531</v>
      </c>
      <c r="U441" s="399" t="s">
        <v>1531</v>
      </c>
    </row>
    <row r="442" spans="1:21" ht="15">
      <c r="A442" s="403" t="s">
        <v>1531</v>
      </c>
      <c r="B442" s="404" t="s">
        <v>1413</v>
      </c>
      <c r="C442" s="398" t="s">
        <v>1531</v>
      </c>
      <c r="D442" s="404" t="s">
        <v>1413</v>
      </c>
      <c r="E442" s="394">
        <v>7.7000000000000002E-3</v>
      </c>
      <c r="F442" s="405" t="s">
        <v>1474</v>
      </c>
      <c r="G442" s="398" t="s">
        <v>1531</v>
      </c>
      <c r="H442" s="404" t="s">
        <v>1413</v>
      </c>
      <c r="I442" s="404" t="s">
        <v>1413</v>
      </c>
      <c r="J442" s="404" t="s">
        <v>1413</v>
      </c>
      <c r="K442" s="405">
        <v>1</v>
      </c>
      <c r="L442" s="405">
        <v>0.1</v>
      </c>
      <c r="M442" s="406" t="s">
        <v>1531</v>
      </c>
      <c r="N442" s="425" t="s">
        <v>1203</v>
      </c>
      <c r="O442" s="391" t="s">
        <v>42</v>
      </c>
      <c r="P442" s="414" t="s">
        <v>1413</v>
      </c>
      <c r="Q442" s="340" t="s">
        <v>2433</v>
      </c>
      <c r="R442" s="338">
        <v>1</v>
      </c>
      <c r="S442" s="404" t="s">
        <v>1413</v>
      </c>
      <c r="T442" s="398" t="s">
        <v>1531</v>
      </c>
      <c r="U442" s="398" t="s">
        <v>1531</v>
      </c>
    </row>
    <row r="443" spans="1:21" ht="15">
      <c r="A443" s="403" t="s">
        <v>1531</v>
      </c>
      <c r="B443" s="404" t="s">
        <v>1413</v>
      </c>
      <c r="C443" s="398" t="s">
        <v>1531</v>
      </c>
      <c r="D443" s="404" t="s">
        <v>1413</v>
      </c>
      <c r="E443" s="394">
        <v>2E-3</v>
      </c>
      <c r="F443" s="405" t="s">
        <v>520</v>
      </c>
      <c r="G443" s="398" t="s">
        <v>1531</v>
      </c>
      <c r="H443" s="404" t="s">
        <v>1413</v>
      </c>
      <c r="I443" s="404" t="s">
        <v>1413</v>
      </c>
      <c r="J443" s="404" t="s">
        <v>1413</v>
      </c>
      <c r="K443" s="405">
        <v>1</v>
      </c>
      <c r="L443" s="411" t="s">
        <v>1531</v>
      </c>
      <c r="M443" s="406" t="s">
        <v>1531</v>
      </c>
      <c r="N443" s="425" t="s">
        <v>536</v>
      </c>
      <c r="O443" s="391" t="s">
        <v>43</v>
      </c>
      <c r="P443" s="414" t="s">
        <v>1413</v>
      </c>
      <c r="Q443" s="340" t="s">
        <v>2433</v>
      </c>
      <c r="R443" s="338">
        <v>1</v>
      </c>
      <c r="S443" s="404" t="s">
        <v>1413</v>
      </c>
      <c r="T443" s="398" t="s">
        <v>1531</v>
      </c>
      <c r="U443" s="398" t="s">
        <v>1531</v>
      </c>
    </row>
    <row r="444" spans="1:21" ht="15.6" thickBot="1">
      <c r="A444" s="407" t="s">
        <v>1531</v>
      </c>
      <c r="B444" s="408" t="s">
        <v>1413</v>
      </c>
      <c r="C444" s="399" t="s">
        <v>1531</v>
      </c>
      <c r="D444" s="408" t="s">
        <v>1413</v>
      </c>
      <c r="E444" s="396">
        <v>6.9999999999999999E-4</v>
      </c>
      <c r="F444" s="409" t="s">
        <v>1412</v>
      </c>
      <c r="G444" s="399" t="s">
        <v>1531</v>
      </c>
      <c r="H444" s="408" t="s">
        <v>1413</v>
      </c>
      <c r="I444" s="408" t="s">
        <v>1413</v>
      </c>
      <c r="J444" s="408" t="s">
        <v>1413</v>
      </c>
      <c r="K444" s="409">
        <v>1</v>
      </c>
      <c r="L444" s="413" t="s">
        <v>1531</v>
      </c>
      <c r="M444" s="410" t="s">
        <v>1531</v>
      </c>
      <c r="N444" s="426" t="s">
        <v>2377</v>
      </c>
      <c r="O444" s="393" t="s">
        <v>44</v>
      </c>
      <c r="P444" s="416" t="s">
        <v>1413</v>
      </c>
      <c r="Q444" s="340" t="s">
        <v>2433</v>
      </c>
      <c r="R444" s="338">
        <v>1</v>
      </c>
      <c r="S444" s="408" t="s">
        <v>1413</v>
      </c>
      <c r="T444" s="399" t="s">
        <v>1531</v>
      </c>
      <c r="U444" s="399" t="s">
        <v>1531</v>
      </c>
    </row>
    <row r="445" spans="1:21" ht="15">
      <c r="A445" s="403" t="s">
        <v>1531</v>
      </c>
      <c r="B445" s="404" t="s">
        <v>1413</v>
      </c>
      <c r="C445" s="398" t="s">
        <v>1531</v>
      </c>
      <c r="D445" s="404" t="s">
        <v>1413</v>
      </c>
      <c r="E445" s="394">
        <v>0.02</v>
      </c>
      <c r="F445" s="405" t="s">
        <v>1412</v>
      </c>
      <c r="G445" s="398" t="s">
        <v>1531</v>
      </c>
      <c r="H445" s="404" t="s">
        <v>1413</v>
      </c>
      <c r="I445" s="404" t="s">
        <v>1413</v>
      </c>
      <c r="J445" s="404" t="s">
        <v>1413</v>
      </c>
      <c r="K445" s="405">
        <v>1</v>
      </c>
      <c r="L445" s="405">
        <v>0.1</v>
      </c>
      <c r="M445" s="406" t="s">
        <v>1531</v>
      </c>
      <c r="N445" s="425" t="s">
        <v>1204</v>
      </c>
      <c r="O445" s="391" t="s">
        <v>49</v>
      </c>
      <c r="P445" s="414" t="s">
        <v>1413</v>
      </c>
      <c r="Q445" s="340" t="s">
        <v>2434</v>
      </c>
      <c r="R445" s="338">
        <v>2</v>
      </c>
      <c r="S445" s="404" t="s">
        <v>1413</v>
      </c>
      <c r="T445" s="398" t="s">
        <v>1531</v>
      </c>
      <c r="U445" s="398" t="s">
        <v>1531</v>
      </c>
    </row>
    <row r="446" spans="1:21" ht="15">
      <c r="A446" s="403" t="s">
        <v>1531</v>
      </c>
      <c r="B446" s="404" t="s">
        <v>1413</v>
      </c>
      <c r="C446" s="398" t="s">
        <v>1531</v>
      </c>
      <c r="D446" s="404" t="s">
        <v>1413</v>
      </c>
      <c r="E446" s="394">
        <v>0.1</v>
      </c>
      <c r="F446" s="405" t="s">
        <v>1412</v>
      </c>
      <c r="G446" s="394">
        <v>6.9999999999999999E-4</v>
      </c>
      <c r="H446" s="405" t="s">
        <v>521</v>
      </c>
      <c r="I446" s="404" t="s">
        <v>1413</v>
      </c>
      <c r="J446" s="404" t="s">
        <v>1413</v>
      </c>
      <c r="K446" s="405">
        <v>1</v>
      </c>
      <c r="L446" s="405">
        <v>0.1</v>
      </c>
      <c r="M446" s="406" t="s">
        <v>1531</v>
      </c>
      <c r="N446" s="425" t="s">
        <v>1205</v>
      </c>
      <c r="O446" s="391" t="s">
        <v>50</v>
      </c>
      <c r="P446" s="414" t="s">
        <v>1413</v>
      </c>
      <c r="Q446" s="340" t="s">
        <v>2433</v>
      </c>
      <c r="R446" s="338">
        <v>1</v>
      </c>
      <c r="S446" s="404" t="s">
        <v>1413</v>
      </c>
      <c r="T446" s="398" t="s">
        <v>1531</v>
      </c>
      <c r="U446" s="394">
        <v>6.9999999999999999E-4</v>
      </c>
    </row>
    <row r="447" spans="1:21" ht="15.6" thickBot="1">
      <c r="A447" s="407" t="s">
        <v>1531</v>
      </c>
      <c r="B447" s="408" t="s">
        <v>1413</v>
      </c>
      <c r="C447" s="399" t="s">
        <v>1531</v>
      </c>
      <c r="D447" s="408" t="s">
        <v>1413</v>
      </c>
      <c r="E447" s="396">
        <v>0.5</v>
      </c>
      <c r="F447" s="409" t="s">
        <v>1412</v>
      </c>
      <c r="G447" s="399" t="s">
        <v>1531</v>
      </c>
      <c r="H447" s="408" t="s">
        <v>1413</v>
      </c>
      <c r="I447" s="408" t="s">
        <v>1413</v>
      </c>
      <c r="J447" s="408" t="s">
        <v>1413</v>
      </c>
      <c r="K447" s="409">
        <v>1</v>
      </c>
      <c r="L447" s="409">
        <v>0.1</v>
      </c>
      <c r="M447" s="410" t="s">
        <v>1531</v>
      </c>
      <c r="N447" s="426" t="s">
        <v>1206</v>
      </c>
      <c r="O447" s="393" t="s">
        <v>51</v>
      </c>
      <c r="P447" s="416" t="s">
        <v>1413</v>
      </c>
      <c r="Q447" s="340" t="s">
        <v>2433</v>
      </c>
      <c r="R447" s="338">
        <v>1</v>
      </c>
      <c r="S447" s="408" t="s">
        <v>1413</v>
      </c>
      <c r="T447" s="399" t="s">
        <v>1531</v>
      </c>
      <c r="U447" s="399" t="s">
        <v>1531</v>
      </c>
    </row>
    <row r="448" spans="1:21" ht="15">
      <c r="A448" s="403" t="s">
        <v>1531</v>
      </c>
      <c r="B448" s="404" t="s">
        <v>1413</v>
      </c>
      <c r="C448" s="398" t="s">
        <v>1531</v>
      </c>
      <c r="D448" s="404" t="s">
        <v>1413</v>
      </c>
      <c r="E448" s="394">
        <v>1E-4</v>
      </c>
      <c r="F448" s="405" t="s">
        <v>520</v>
      </c>
      <c r="G448" s="398" t="s">
        <v>1531</v>
      </c>
      <c r="H448" s="404" t="s">
        <v>1413</v>
      </c>
      <c r="I448" s="404" t="s">
        <v>1413</v>
      </c>
      <c r="J448" s="404" t="s">
        <v>1413</v>
      </c>
      <c r="K448" s="405">
        <v>1</v>
      </c>
      <c r="L448" s="405">
        <v>0.1</v>
      </c>
      <c r="M448" s="406" t="s">
        <v>1531</v>
      </c>
      <c r="N448" s="425" t="s">
        <v>1207</v>
      </c>
      <c r="O448" s="391" t="s">
        <v>52</v>
      </c>
      <c r="P448" s="414" t="s">
        <v>1413</v>
      </c>
      <c r="Q448" s="340" t="s">
        <v>2433</v>
      </c>
      <c r="R448" s="338">
        <v>1047786</v>
      </c>
      <c r="S448" s="404" t="s">
        <v>1413</v>
      </c>
      <c r="T448" s="398" t="s">
        <v>1531</v>
      </c>
      <c r="U448" s="398" t="s">
        <v>1531</v>
      </c>
    </row>
    <row r="449" spans="1:21" ht="15">
      <c r="A449" s="403" t="s">
        <v>1531</v>
      </c>
      <c r="B449" s="404" t="s">
        <v>1413</v>
      </c>
      <c r="C449" s="398" t="s">
        <v>1531</v>
      </c>
      <c r="D449" s="404" t="s">
        <v>1413</v>
      </c>
      <c r="E449" s="394">
        <v>0.03</v>
      </c>
      <c r="F449" s="405" t="s">
        <v>406</v>
      </c>
      <c r="G449" s="398" t="s">
        <v>1531</v>
      </c>
      <c r="H449" s="404" t="s">
        <v>1413</v>
      </c>
      <c r="I449" s="404" t="s">
        <v>1413</v>
      </c>
      <c r="J449" s="404" t="s">
        <v>1413</v>
      </c>
      <c r="K449" s="405">
        <v>1</v>
      </c>
      <c r="L449" s="405">
        <v>0.1</v>
      </c>
      <c r="M449" s="406" t="s">
        <v>1531</v>
      </c>
      <c r="N449" s="425" t="s">
        <v>1208</v>
      </c>
      <c r="O449" s="391" t="s">
        <v>53</v>
      </c>
      <c r="P449" s="414" t="s">
        <v>1413</v>
      </c>
      <c r="Q449" s="340" t="s">
        <v>2434</v>
      </c>
      <c r="R449" s="338">
        <v>1</v>
      </c>
      <c r="S449" s="404" t="s">
        <v>1413</v>
      </c>
      <c r="T449" s="398" t="s">
        <v>1531</v>
      </c>
      <c r="U449" s="398" t="s">
        <v>1531</v>
      </c>
    </row>
    <row r="450" spans="1:21" ht="15.6" thickBot="1">
      <c r="A450" s="407" t="s">
        <v>1531</v>
      </c>
      <c r="B450" s="408" t="s">
        <v>1413</v>
      </c>
      <c r="C450" s="399" t="s">
        <v>1531</v>
      </c>
      <c r="D450" s="408" t="s">
        <v>1413</v>
      </c>
      <c r="E450" s="396">
        <v>5.0000000000000001E-3</v>
      </c>
      <c r="F450" s="409" t="s">
        <v>1412</v>
      </c>
      <c r="G450" s="399" t="s">
        <v>1531</v>
      </c>
      <c r="H450" s="408" t="s">
        <v>1413</v>
      </c>
      <c r="I450" s="408" t="s">
        <v>1413</v>
      </c>
      <c r="J450" s="408" t="s">
        <v>1413</v>
      </c>
      <c r="K450" s="409">
        <v>1</v>
      </c>
      <c r="L450" s="409">
        <v>0.1</v>
      </c>
      <c r="M450" s="410" t="s">
        <v>1531</v>
      </c>
      <c r="N450" s="426" t="s">
        <v>1209</v>
      </c>
      <c r="O450" s="393" t="s">
        <v>54</v>
      </c>
      <c r="P450" s="416" t="s">
        <v>1413</v>
      </c>
      <c r="Q450" s="340" t="s">
        <v>2434</v>
      </c>
      <c r="R450" s="338">
        <v>1</v>
      </c>
      <c r="S450" s="408" t="s">
        <v>1413</v>
      </c>
      <c r="T450" s="399" t="s">
        <v>1531</v>
      </c>
      <c r="U450" s="399" t="s">
        <v>1531</v>
      </c>
    </row>
    <row r="451" spans="1:21" ht="15">
      <c r="A451" s="403" t="s">
        <v>1531</v>
      </c>
      <c r="B451" s="404" t="s">
        <v>1413</v>
      </c>
      <c r="C451" s="398" t="s">
        <v>1531</v>
      </c>
      <c r="D451" s="404" t="s">
        <v>1413</v>
      </c>
      <c r="E451" s="394">
        <v>0.14000000000000001</v>
      </c>
      <c r="F451" s="405" t="s">
        <v>1412</v>
      </c>
      <c r="G451" s="394">
        <v>5.0000000000000002E-5</v>
      </c>
      <c r="H451" s="405" t="s">
        <v>1412</v>
      </c>
      <c r="I451" s="404" t="s">
        <v>1413</v>
      </c>
      <c r="J451" s="404" t="s">
        <v>1413</v>
      </c>
      <c r="K451" s="405">
        <v>1</v>
      </c>
      <c r="L451" s="411" t="s">
        <v>1531</v>
      </c>
      <c r="M451" s="406" t="s">
        <v>1531</v>
      </c>
      <c r="N451" s="425" t="s">
        <v>556</v>
      </c>
      <c r="O451" s="391" t="s">
        <v>55</v>
      </c>
      <c r="P451" s="414" t="s">
        <v>1413</v>
      </c>
      <c r="Q451" s="340" t="s">
        <v>2433</v>
      </c>
      <c r="R451" s="338">
        <v>1</v>
      </c>
      <c r="S451" s="404" t="s">
        <v>1413</v>
      </c>
      <c r="T451" s="398" t="s">
        <v>1531</v>
      </c>
      <c r="U451" s="394">
        <v>5.0000000000000002E-5</v>
      </c>
    </row>
    <row r="452" spans="1:21" ht="15">
      <c r="A452" s="403" t="s">
        <v>1531</v>
      </c>
      <c r="B452" s="404" t="s">
        <v>1413</v>
      </c>
      <c r="C452" s="398" t="s">
        <v>1531</v>
      </c>
      <c r="D452" s="404" t="s">
        <v>1413</v>
      </c>
      <c r="E452" s="394">
        <v>2.4E-2</v>
      </c>
      <c r="F452" s="405" t="s">
        <v>405</v>
      </c>
      <c r="G452" s="394">
        <v>5.0000000000000002E-5</v>
      </c>
      <c r="H452" s="405" t="s">
        <v>1412</v>
      </c>
      <c r="I452" s="404" t="s">
        <v>1413</v>
      </c>
      <c r="J452" s="404" t="s">
        <v>1413</v>
      </c>
      <c r="K452" s="405">
        <v>0.04</v>
      </c>
      <c r="L452" s="411" t="s">
        <v>1531</v>
      </c>
      <c r="M452" s="406" t="s">
        <v>1531</v>
      </c>
      <c r="N452" s="425" t="s">
        <v>1533</v>
      </c>
      <c r="O452" s="391" t="s">
        <v>55</v>
      </c>
      <c r="P452" s="414" t="s">
        <v>1413</v>
      </c>
      <c r="Q452" s="340" t="s">
        <v>2433</v>
      </c>
      <c r="R452" s="338">
        <v>1</v>
      </c>
      <c r="S452" s="404" t="s">
        <v>1413</v>
      </c>
      <c r="T452" s="398" t="s">
        <v>1531</v>
      </c>
      <c r="U452" s="394">
        <v>5.0000000000000002E-5</v>
      </c>
    </row>
    <row r="453" spans="1:21" ht="15.6" thickBot="1">
      <c r="A453" s="407" t="s">
        <v>1531</v>
      </c>
      <c r="B453" s="408" t="s">
        <v>1413</v>
      </c>
      <c r="C453" s="399" t="s">
        <v>1531</v>
      </c>
      <c r="D453" s="408" t="s">
        <v>1413</v>
      </c>
      <c r="E453" s="396">
        <v>5.0000000000000001E-4</v>
      </c>
      <c r="F453" s="409" t="s">
        <v>1412</v>
      </c>
      <c r="G453" s="399" t="s">
        <v>1531</v>
      </c>
      <c r="H453" s="408" t="s">
        <v>1413</v>
      </c>
      <c r="I453" s="408" t="s">
        <v>1413</v>
      </c>
      <c r="J453" s="408" t="s">
        <v>1413</v>
      </c>
      <c r="K453" s="409">
        <v>1</v>
      </c>
      <c r="L453" s="409">
        <v>0.1</v>
      </c>
      <c r="M453" s="410" t="s">
        <v>1531</v>
      </c>
      <c r="N453" s="426" t="s">
        <v>1210</v>
      </c>
      <c r="O453" s="393" t="s">
        <v>46</v>
      </c>
      <c r="P453" s="416" t="s">
        <v>1413</v>
      </c>
      <c r="Q453" s="340" t="s">
        <v>2433</v>
      </c>
      <c r="R453" s="338">
        <v>1</v>
      </c>
      <c r="S453" s="408" t="s">
        <v>1413</v>
      </c>
      <c r="T453" s="399" t="s">
        <v>1531</v>
      </c>
      <c r="U453" s="399" t="s">
        <v>1531</v>
      </c>
    </row>
    <row r="454" spans="1:21" ht="15">
      <c r="A454" s="403" t="s">
        <v>1531</v>
      </c>
      <c r="B454" s="404" t="s">
        <v>1413</v>
      </c>
      <c r="C454" s="398" t="s">
        <v>1531</v>
      </c>
      <c r="D454" s="404" t="s">
        <v>1413</v>
      </c>
      <c r="E454" s="394">
        <v>4.4000000000000003E-3</v>
      </c>
      <c r="F454" s="405" t="s">
        <v>1474</v>
      </c>
      <c r="G454" s="398" t="s">
        <v>1531</v>
      </c>
      <c r="H454" s="404" t="s">
        <v>1413</v>
      </c>
      <c r="I454" s="404" t="s">
        <v>1413</v>
      </c>
      <c r="J454" s="404" t="s">
        <v>1413</v>
      </c>
      <c r="K454" s="405">
        <v>1</v>
      </c>
      <c r="L454" s="405">
        <v>0.1</v>
      </c>
      <c r="M454" s="406" t="s">
        <v>1531</v>
      </c>
      <c r="N454" s="425" t="s">
        <v>1211</v>
      </c>
      <c r="O454" s="391" t="s">
        <v>47</v>
      </c>
      <c r="P454" s="414" t="s">
        <v>1413</v>
      </c>
      <c r="Q454" s="340" t="s">
        <v>2433</v>
      </c>
      <c r="R454" s="338">
        <v>1</v>
      </c>
      <c r="S454" s="404" t="s">
        <v>1413</v>
      </c>
      <c r="T454" s="398" t="s">
        <v>1531</v>
      </c>
      <c r="U454" s="398" t="s">
        <v>1531</v>
      </c>
    </row>
    <row r="455" spans="1:21" ht="15">
      <c r="A455" s="403" t="s">
        <v>1531</v>
      </c>
      <c r="B455" s="404" t="s">
        <v>1413</v>
      </c>
      <c r="C455" s="398" t="s">
        <v>1531</v>
      </c>
      <c r="D455" s="404" t="s">
        <v>1413</v>
      </c>
      <c r="E455" s="394">
        <v>1E-3</v>
      </c>
      <c r="F455" s="405" t="s">
        <v>1412</v>
      </c>
      <c r="G455" s="398" t="s">
        <v>1531</v>
      </c>
      <c r="H455" s="404" t="s">
        <v>1413</v>
      </c>
      <c r="I455" s="404" t="s">
        <v>1413</v>
      </c>
      <c r="J455" s="404" t="s">
        <v>1413</v>
      </c>
      <c r="K455" s="405">
        <v>1</v>
      </c>
      <c r="L455" s="405">
        <v>0.1</v>
      </c>
      <c r="M455" s="406" t="s">
        <v>1531</v>
      </c>
      <c r="N455" s="425" t="s">
        <v>1212</v>
      </c>
      <c r="O455" s="391" t="s">
        <v>48</v>
      </c>
      <c r="P455" s="414" t="s">
        <v>1413</v>
      </c>
      <c r="Q455" s="340" t="s">
        <v>2434</v>
      </c>
      <c r="R455" s="338">
        <v>2</v>
      </c>
      <c r="S455" s="404" t="s">
        <v>1413</v>
      </c>
      <c r="T455" s="398" t="s">
        <v>1531</v>
      </c>
      <c r="U455" s="398" t="s">
        <v>1531</v>
      </c>
    </row>
    <row r="456" spans="1:21" ht="15.6" thickBot="1">
      <c r="A456" s="407" t="s">
        <v>1531</v>
      </c>
      <c r="B456" s="408" t="s">
        <v>1413</v>
      </c>
      <c r="C456" s="399" t="s">
        <v>1531</v>
      </c>
      <c r="D456" s="408" t="s">
        <v>1413</v>
      </c>
      <c r="E456" s="396">
        <v>9.0000000000000006E-5</v>
      </c>
      <c r="F456" s="409" t="s">
        <v>406</v>
      </c>
      <c r="G456" s="399" t="s">
        <v>1531</v>
      </c>
      <c r="H456" s="408" t="s">
        <v>1413</v>
      </c>
      <c r="I456" s="408" t="s">
        <v>1413</v>
      </c>
      <c r="J456" s="408" t="s">
        <v>1413</v>
      </c>
      <c r="K456" s="409">
        <v>1</v>
      </c>
      <c r="L456" s="409">
        <v>0.1</v>
      </c>
      <c r="M456" s="410" t="s">
        <v>1531</v>
      </c>
      <c r="N456" s="426" t="s">
        <v>1213</v>
      </c>
      <c r="O456" s="393" t="s">
        <v>56</v>
      </c>
      <c r="P456" s="416" t="s">
        <v>1413</v>
      </c>
      <c r="Q456" s="340" t="s">
        <v>2433</v>
      </c>
      <c r="R456" s="338">
        <v>1</v>
      </c>
      <c r="S456" s="408" t="s">
        <v>1413</v>
      </c>
      <c r="T456" s="399" t="s">
        <v>1531</v>
      </c>
      <c r="U456" s="399" t="s">
        <v>1531</v>
      </c>
    </row>
    <row r="457" spans="1:21" ht="15">
      <c r="A457" s="403" t="s">
        <v>1531</v>
      </c>
      <c r="B457" s="404" t="s">
        <v>1413</v>
      </c>
      <c r="C457" s="398" t="s">
        <v>1531</v>
      </c>
      <c r="D457" s="404" t="s">
        <v>1413</v>
      </c>
      <c r="E457" s="394">
        <v>0.03</v>
      </c>
      <c r="F457" s="405" t="s">
        <v>1412</v>
      </c>
      <c r="G457" s="398" t="s">
        <v>1531</v>
      </c>
      <c r="H457" s="404" t="s">
        <v>1413</v>
      </c>
      <c r="I457" s="404" t="s">
        <v>1413</v>
      </c>
      <c r="J457" s="404" t="s">
        <v>1413</v>
      </c>
      <c r="K457" s="405">
        <v>1</v>
      </c>
      <c r="L457" s="405">
        <v>0.1</v>
      </c>
      <c r="M457" s="406" t="s">
        <v>1531</v>
      </c>
      <c r="N457" s="425" t="s">
        <v>1214</v>
      </c>
      <c r="O457" s="391" t="s">
        <v>57</v>
      </c>
      <c r="P457" s="414" t="s">
        <v>1413</v>
      </c>
      <c r="Q457" s="340" t="s">
        <v>2433</v>
      </c>
      <c r="R457" s="338">
        <v>1</v>
      </c>
      <c r="S457" s="404" t="s">
        <v>1413</v>
      </c>
      <c r="T457" s="398" t="s">
        <v>1531</v>
      </c>
      <c r="U457" s="398" t="s">
        <v>1531</v>
      </c>
    </row>
    <row r="458" spans="1:21" ht="15">
      <c r="A458" s="427">
        <v>1.0999999999999999E-2</v>
      </c>
      <c r="B458" s="405" t="s">
        <v>520</v>
      </c>
      <c r="C458" s="398" t="s">
        <v>1531</v>
      </c>
      <c r="D458" s="404" t="s">
        <v>1413</v>
      </c>
      <c r="E458" s="394">
        <v>4.0000000000000001E-3</v>
      </c>
      <c r="F458" s="405" t="s">
        <v>520</v>
      </c>
      <c r="G458" s="398" t="s">
        <v>1531</v>
      </c>
      <c r="H458" s="404" t="s">
        <v>1413</v>
      </c>
      <c r="I458" s="404" t="s">
        <v>1413</v>
      </c>
      <c r="J458" s="404" t="s">
        <v>1413</v>
      </c>
      <c r="K458" s="405">
        <v>1</v>
      </c>
      <c r="L458" s="405">
        <v>0.1</v>
      </c>
      <c r="M458" s="406" t="s">
        <v>1531</v>
      </c>
      <c r="N458" s="425" t="s">
        <v>2451</v>
      </c>
      <c r="O458" s="391" t="s">
        <v>2452</v>
      </c>
      <c r="P458" s="414" t="s">
        <v>1413</v>
      </c>
      <c r="Q458" s="340" t="s">
        <v>2433</v>
      </c>
      <c r="R458" s="338">
        <v>1</v>
      </c>
      <c r="S458" s="404" t="s">
        <v>1413</v>
      </c>
      <c r="T458" s="398" t="s">
        <v>1531</v>
      </c>
      <c r="U458" s="398" t="s">
        <v>1531</v>
      </c>
    </row>
    <row r="459" spans="1:21" ht="15.6" thickBot="1">
      <c r="A459" s="407" t="s">
        <v>1531</v>
      </c>
      <c r="B459" s="408" t="s">
        <v>1413</v>
      </c>
      <c r="C459" s="399" t="s">
        <v>1531</v>
      </c>
      <c r="D459" s="408" t="s">
        <v>1413</v>
      </c>
      <c r="E459" s="396">
        <v>2.9999999999999997E-4</v>
      </c>
      <c r="F459" s="409" t="s">
        <v>1412</v>
      </c>
      <c r="G459" s="396">
        <v>2.9999999999999997E-4</v>
      </c>
      <c r="H459" s="409" t="s">
        <v>405</v>
      </c>
      <c r="I459" s="408" t="s">
        <v>1413</v>
      </c>
      <c r="J459" s="408" t="s">
        <v>1413</v>
      </c>
      <c r="K459" s="409">
        <v>7.0000000000000007E-2</v>
      </c>
      <c r="L459" s="413" t="s">
        <v>1531</v>
      </c>
      <c r="M459" s="410" t="s">
        <v>1531</v>
      </c>
      <c r="N459" s="426" t="s">
        <v>2359</v>
      </c>
      <c r="O459" s="393" t="s">
        <v>58</v>
      </c>
      <c r="P459" s="415">
        <v>2</v>
      </c>
      <c r="Q459" s="340" t="s">
        <v>2433</v>
      </c>
      <c r="R459" s="338">
        <v>1</v>
      </c>
      <c r="S459" s="408" t="s">
        <v>1413</v>
      </c>
      <c r="T459" s="399" t="s">
        <v>1531</v>
      </c>
      <c r="U459" s="396">
        <v>2.9999999999999997E-4</v>
      </c>
    </row>
    <row r="460" spans="1:21" ht="15">
      <c r="A460" s="403" t="s">
        <v>1531</v>
      </c>
      <c r="B460" s="404" t="s">
        <v>1413</v>
      </c>
      <c r="C460" s="398" t="s">
        <v>1531</v>
      </c>
      <c r="D460" s="404" t="s">
        <v>1413</v>
      </c>
      <c r="E460" s="398" t="s">
        <v>1531</v>
      </c>
      <c r="F460" s="404" t="s">
        <v>1413</v>
      </c>
      <c r="G460" s="394">
        <v>2.9999999999999997E-4</v>
      </c>
      <c r="H460" s="405" t="s">
        <v>1412</v>
      </c>
      <c r="I460" s="405" t="s">
        <v>969</v>
      </c>
      <c r="J460" s="404" t="s">
        <v>1413</v>
      </c>
      <c r="K460" s="405">
        <v>1</v>
      </c>
      <c r="L460" s="411" t="s">
        <v>1531</v>
      </c>
      <c r="M460" s="395">
        <v>3.13</v>
      </c>
      <c r="N460" s="425" t="s">
        <v>2243</v>
      </c>
      <c r="O460" s="391" t="s">
        <v>59</v>
      </c>
      <c r="P460" s="429">
        <v>2</v>
      </c>
      <c r="Q460" s="340" t="s">
        <v>2434</v>
      </c>
      <c r="R460" s="338">
        <v>1</v>
      </c>
      <c r="S460" s="404" t="s">
        <v>1413</v>
      </c>
      <c r="T460" s="398" t="s">
        <v>1531</v>
      </c>
      <c r="U460" s="394">
        <v>2.9999999999999997E-4</v>
      </c>
    </row>
    <row r="461" spans="1:21" ht="15">
      <c r="A461" s="403" t="s">
        <v>1531</v>
      </c>
      <c r="B461" s="404" t="s">
        <v>1413</v>
      </c>
      <c r="C461" s="398" t="s">
        <v>1531</v>
      </c>
      <c r="D461" s="404" t="s">
        <v>1413</v>
      </c>
      <c r="E461" s="398" t="s">
        <v>1531</v>
      </c>
      <c r="F461" s="404" t="s">
        <v>1413</v>
      </c>
      <c r="G461" s="398" t="s">
        <v>1531</v>
      </c>
      <c r="H461" s="404" t="s">
        <v>1413</v>
      </c>
      <c r="I461" s="404" t="s">
        <v>1413</v>
      </c>
      <c r="J461" s="404" t="s">
        <v>1413</v>
      </c>
      <c r="K461" s="411" t="s">
        <v>1531</v>
      </c>
      <c r="L461" s="411" t="s">
        <v>1531</v>
      </c>
      <c r="M461" s="406" t="s">
        <v>1531</v>
      </c>
      <c r="N461" s="425" t="s">
        <v>1215</v>
      </c>
      <c r="O461" s="391" t="s">
        <v>1413</v>
      </c>
      <c r="P461" s="414" t="s">
        <v>1413</v>
      </c>
      <c r="Q461" s="340" t="s">
        <v>2434</v>
      </c>
      <c r="R461" s="338">
        <v>1</v>
      </c>
      <c r="S461" s="404" t="s">
        <v>1413</v>
      </c>
      <c r="T461" s="398" t="s">
        <v>1531</v>
      </c>
      <c r="U461" s="398" t="s">
        <v>1531</v>
      </c>
    </row>
    <row r="462" spans="1:21" ht="15.6" thickBot="1">
      <c r="A462" s="407" t="s">
        <v>1531</v>
      </c>
      <c r="B462" s="408" t="s">
        <v>1413</v>
      </c>
      <c r="C462" s="399" t="s">
        <v>1531</v>
      </c>
      <c r="D462" s="408" t="s">
        <v>1413</v>
      </c>
      <c r="E462" s="396">
        <v>3.0000000000000001E-5</v>
      </c>
      <c r="F462" s="409" t="s">
        <v>1412</v>
      </c>
      <c r="G462" s="399" t="s">
        <v>1531</v>
      </c>
      <c r="H462" s="408" t="s">
        <v>1413</v>
      </c>
      <c r="I462" s="409" t="s">
        <v>969</v>
      </c>
      <c r="J462" s="408" t="s">
        <v>1413</v>
      </c>
      <c r="K462" s="409">
        <v>1</v>
      </c>
      <c r="L462" s="413" t="s">
        <v>1531</v>
      </c>
      <c r="M462" s="410" t="s">
        <v>1531</v>
      </c>
      <c r="N462" s="426" t="s">
        <v>1216</v>
      </c>
      <c r="O462" s="393" t="s">
        <v>62</v>
      </c>
      <c r="P462" s="416" t="s">
        <v>1413</v>
      </c>
      <c r="Q462" s="340" t="s">
        <v>2434</v>
      </c>
      <c r="R462" s="338">
        <v>1</v>
      </c>
      <c r="S462" s="408" t="s">
        <v>1413</v>
      </c>
      <c r="T462" s="399" t="s">
        <v>1531</v>
      </c>
      <c r="U462" s="399" t="s">
        <v>1531</v>
      </c>
    </row>
    <row r="463" spans="1:21" ht="15">
      <c r="A463" s="403" t="s">
        <v>1531</v>
      </c>
      <c r="B463" s="404" t="s">
        <v>1413</v>
      </c>
      <c r="C463" s="398" t="s">
        <v>1531</v>
      </c>
      <c r="D463" s="404" t="s">
        <v>1413</v>
      </c>
      <c r="E463" s="394">
        <v>1E-4</v>
      </c>
      <c r="F463" s="405" t="s">
        <v>1474</v>
      </c>
      <c r="G463" s="398" t="s">
        <v>1531</v>
      </c>
      <c r="H463" s="404" t="s">
        <v>1413</v>
      </c>
      <c r="I463" s="404" t="s">
        <v>1413</v>
      </c>
      <c r="J463" s="404" t="s">
        <v>1413</v>
      </c>
      <c r="K463" s="405">
        <v>1</v>
      </c>
      <c r="L463" s="405">
        <v>0.1</v>
      </c>
      <c r="M463" s="406" t="s">
        <v>1531</v>
      </c>
      <c r="N463" s="425" t="s">
        <v>1217</v>
      </c>
      <c r="O463" s="391" t="s">
        <v>63</v>
      </c>
      <c r="P463" s="414" t="s">
        <v>1413</v>
      </c>
      <c r="Q463" s="340" t="s">
        <v>2433</v>
      </c>
      <c r="R463" s="338">
        <v>1</v>
      </c>
      <c r="S463" s="404" t="s">
        <v>1413</v>
      </c>
      <c r="T463" s="398" t="s">
        <v>1531</v>
      </c>
      <c r="U463" s="398" t="s">
        <v>1531</v>
      </c>
    </row>
    <row r="464" spans="1:21" ht="15">
      <c r="A464" s="403" t="s">
        <v>1531</v>
      </c>
      <c r="B464" s="404" t="s">
        <v>1413</v>
      </c>
      <c r="C464" s="398" t="s">
        <v>1531</v>
      </c>
      <c r="D464" s="404" t="s">
        <v>1413</v>
      </c>
      <c r="E464" s="394">
        <v>0.06</v>
      </c>
      <c r="F464" s="405" t="s">
        <v>1412</v>
      </c>
      <c r="G464" s="398" t="s">
        <v>1531</v>
      </c>
      <c r="H464" s="404" t="s">
        <v>1413</v>
      </c>
      <c r="I464" s="404" t="s">
        <v>1413</v>
      </c>
      <c r="J464" s="404" t="s">
        <v>1413</v>
      </c>
      <c r="K464" s="405">
        <v>1</v>
      </c>
      <c r="L464" s="405">
        <v>0.1</v>
      </c>
      <c r="M464" s="406" t="s">
        <v>1531</v>
      </c>
      <c r="N464" s="425" t="s">
        <v>1218</v>
      </c>
      <c r="O464" s="391" t="s">
        <v>64</v>
      </c>
      <c r="P464" s="414" t="s">
        <v>1413</v>
      </c>
      <c r="Q464" s="340" t="s">
        <v>2434</v>
      </c>
      <c r="R464" s="338">
        <v>1</v>
      </c>
      <c r="S464" s="404" t="s">
        <v>1413</v>
      </c>
      <c r="T464" s="398" t="s">
        <v>1531</v>
      </c>
      <c r="U464" s="398" t="s">
        <v>1531</v>
      </c>
    </row>
    <row r="465" spans="1:21" ht="15.6" thickBot="1">
      <c r="A465" s="407" t="s">
        <v>1531</v>
      </c>
      <c r="B465" s="408" t="s">
        <v>1413</v>
      </c>
      <c r="C465" s="399" t="s">
        <v>1531</v>
      </c>
      <c r="D465" s="408" t="s">
        <v>1413</v>
      </c>
      <c r="E465" s="396">
        <v>1E-4</v>
      </c>
      <c r="F465" s="409" t="s">
        <v>1412</v>
      </c>
      <c r="G465" s="396">
        <v>0.03</v>
      </c>
      <c r="H465" s="409" t="s">
        <v>520</v>
      </c>
      <c r="I465" s="409" t="s">
        <v>969</v>
      </c>
      <c r="J465" s="408" t="s">
        <v>1413</v>
      </c>
      <c r="K465" s="409">
        <v>1</v>
      </c>
      <c r="L465" s="413" t="s">
        <v>1531</v>
      </c>
      <c r="M465" s="397">
        <v>4580</v>
      </c>
      <c r="N465" s="426" t="s">
        <v>1441</v>
      </c>
      <c r="O465" s="393" t="s">
        <v>65</v>
      </c>
      <c r="P465" s="416" t="s">
        <v>1413</v>
      </c>
      <c r="Q465" s="340" t="s">
        <v>2434</v>
      </c>
      <c r="R465" s="338">
        <v>1</v>
      </c>
      <c r="S465" s="408" t="s">
        <v>1413</v>
      </c>
      <c r="T465" s="399" t="s">
        <v>1531</v>
      </c>
      <c r="U465" s="396">
        <v>0.03</v>
      </c>
    </row>
    <row r="466" spans="1:21" ht="15">
      <c r="A466" s="403" t="s">
        <v>1531</v>
      </c>
      <c r="B466" s="404" t="s">
        <v>1413</v>
      </c>
      <c r="C466" s="398" t="s">
        <v>1531</v>
      </c>
      <c r="D466" s="404" t="s">
        <v>1413</v>
      </c>
      <c r="E466" s="394">
        <v>5.0000000000000002E-5</v>
      </c>
      <c r="F466" s="405" t="s">
        <v>1412</v>
      </c>
      <c r="G466" s="398" t="s">
        <v>1531</v>
      </c>
      <c r="H466" s="404" t="s">
        <v>1413</v>
      </c>
      <c r="I466" s="404" t="s">
        <v>1413</v>
      </c>
      <c r="J466" s="404" t="s">
        <v>1413</v>
      </c>
      <c r="K466" s="405">
        <v>1</v>
      </c>
      <c r="L466" s="405">
        <v>0.1</v>
      </c>
      <c r="M466" s="406" t="s">
        <v>1531</v>
      </c>
      <c r="N466" s="425" t="s">
        <v>1219</v>
      </c>
      <c r="O466" s="391" t="s">
        <v>66</v>
      </c>
      <c r="P466" s="414" t="s">
        <v>1413</v>
      </c>
      <c r="Q466" s="340" t="s">
        <v>2433</v>
      </c>
      <c r="R466" s="338">
        <v>1</v>
      </c>
      <c r="S466" s="404" t="s">
        <v>1413</v>
      </c>
      <c r="T466" s="398" t="s">
        <v>1531</v>
      </c>
      <c r="U466" s="398" t="s">
        <v>1531</v>
      </c>
    </row>
    <row r="467" spans="1:21" ht="15">
      <c r="A467" s="403" t="s">
        <v>1531</v>
      </c>
      <c r="B467" s="404" t="s">
        <v>1413</v>
      </c>
      <c r="C467" s="398" t="s">
        <v>1531</v>
      </c>
      <c r="D467" s="404" t="s">
        <v>1413</v>
      </c>
      <c r="E467" s="394">
        <v>2</v>
      </c>
      <c r="F467" s="405" t="s">
        <v>1412</v>
      </c>
      <c r="G467" s="394">
        <v>20</v>
      </c>
      <c r="H467" s="405" t="s">
        <v>1412</v>
      </c>
      <c r="I467" s="405" t="s">
        <v>969</v>
      </c>
      <c r="J467" s="404" t="s">
        <v>1413</v>
      </c>
      <c r="K467" s="405">
        <v>1</v>
      </c>
      <c r="L467" s="411" t="s">
        <v>1531</v>
      </c>
      <c r="M467" s="395">
        <v>106000</v>
      </c>
      <c r="N467" s="425" t="s">
        <v>1220</v>
      </c>
      <c r="O467" s="391" t="s">
        <v>67</v>
      </c>
      <c r="P467" s="414" t="s">
        <v>1413</v>
      </c>
      <c r="Q467" s="340" t="s">
        <v>2434</v>
      </c>
      <c r="R467" s="338">
        <v>1</v>
      </c>
      <c r="S467" s="404" t="s">
        <v>1413</v>
      </c>
      <c r="T467" s="398" t="s">
        <v>1531</v>
      </c>
      <c r="U467" s="394">
        <v>20</v>
      </c>
    </row>
    <row r="468" spans="1:21" ht="15.6" thickBot="1">
      <c r="A468" s="407" t="s">
        <v>1531</v>
      </c>
      <c r="B468" s="408" t="s">
        <v>1413</v>
      </c>
      <c r="C468" s="399" t="s">
        <v>1531</v>
      </c>
      <c r="D468" s="408" t="s">
        <v>1413</v>
      </c>
      <c r="E468" s="396">
        <v>1.5E-3</v>
      </c>
      <c r="F468" s="409" t="s">
        <v>1474</v>
      </c>
      <c r="G468" s="399" t="s">
        <v>1531</v>
      </c>
      <c r="H468" s="408" t="s">
        <v>1413</v>
      </c>
      <c r="I468" s="408" t="s">
        <v>1413</v>
      </c>
      <c r="J468" s="408" t="s">
        <v>1413</v>
      </c>
      <c r="K468" s="409">
        <v>1</v>
      </c>
      <c r="L468" s="409">
        <v>0.1</v>
      </c>
      <c r="M468" s="410" t="s">
        <v>1531</v>
      </c>
      <c r="N468" s="426" t="s">
        <v>1221</v>
      </c>
      <c r="O468" s="393" t="s">
        <v>68</v>
      </c>
      <c r="P468" s="416" t="s">
        <v>1413</v>
      </c>
      <c r="Q468" s="340" t="s">
        <v>2434</v>
      </c>
      <c r="R468" s="338">
        <v>1</v>
      </c>
      <c r="S468" s="408" t="s">
        <v>1413</v>
      </c>
      <c r="T468" s="399" t="s">
        <v>1531</v>
      </c>
      <c r="U468" s="399" t="s">
        <v>1531</v>
      </c>
    </row>
    <row r="469" spans="1:21" ht="15">
      <c r="A469" s="403" t="s">
        <v>1531</v>
      </c>
      <c r="B469" s="404" t="s">
        <v>1413</v>
      </c>
      <c r="C469" s="398" t="s">
        <v>1531</v>
      </c>
      <c r="D469" s="404" t="s">
        <v>1413</v>
      </c>
      <c r="E469" s="394">
        <v>2.5000000000000001E-2</v>
      </c>
      <c r="F469" s="405" t="s">
        <v>1412</v>
      </c>
      <c r="G469" s="398" t="s">
        <v>1531</v>
      </c>
      <c r="H469" s="404" t="s">
        <v>1413</v>
      </c>
      <c r="I469" s="404" t="s">
        <v>1413</v>
      </c>
      <c r="J469" s="404" t="s">
        <v>1413</v>
      </c>
      <c r="K469" s="405">
        <v>1</v>
      </c>
      <c r="L469" s="405">
        <v>0.1</v>
      </c>
      <c r="M469" s="406" t="s">
        <v>1531</v>
      </c>
      <c r="N469" s="425" t="s">
        <v>1222</v>
      </c>
      <c r="O469" s="391" t="s">
        <v>69</v>
      </c>
      <c r="P469" s="414" t="s">
        <v>1413</v>
      </c>
      <c r="Q469" s="340" t="s">
        <v>2434</v>
      </c>
      <c r="R469" s="338">
        <v>1</v>
      </c>
      <c r="S469" s="404" t="s">
        <v>1413</v>
      </c>
      <c r="T469" s="398" t="s">
        <v>1531</v>
      </c>
      <c r="U469" s="398" t="s">
        <v>1531</v>
      </c>
    </row>
    <row r="470" spans="1:21" ht="15">
      <c r="A470" s="427">
        <v>4.9000000000000002E-2</v>
      </c>
      <c r="B470" s="405" t="s">
        <v>521</v>
      </c>
      <c r="C470" s="394">
        <v>1.4E-5</v>
      </c>
      <c r="D470" s="405" t="s">
        <v>521</v>
      </c>
      <c r="E470" s="398" t="s">
        <v>1531</v>
      </c>
      <c r="F470" s="404" t="s">
        <v>1413</v>
      </c>
      <c r="G470" s="398" t="s">
        <v>1531</v>
      </c>
      <c r="H470" s="404" t="s">
        <v>1413</v>
      </c>
      <c r="I470" s="404" t="s">
        <v>1413</v>
      </c>
      <c r="J470" s="404" t="s">
        <v>1413</v>
      </c>
      <c r="K470" s="405">
        <v>1</v>
      </c>
      <c r="L470" s="405">
        <v>0.1</v>
      </c>
      <c r="M470" s="406" t="s">
        <v>1531</v>
      </c>
      <c r="N470" s="425" t="s">
        <v>1223</v>
      </c>
      <c r="O470" s="391" t="s">
        <v>70</v>
      </c>
      <c r="P470" s="414" t="s">
        <v>1413</v>
      </c>
      <c r="Q470" s="340" t="s">
        <v>2434</v>
      </c>
      <c r="R470" s="338">
        <v>1</v>
      </c>
      <c r="S470" s="404" t="s">
        <v>1413</v>
      </c>
      <c r="T470" s="394">
        <v>1.4E-5</v>
      </c>
      <c r="U470" s="398" t="s">
        <v>1531</v>
      </c>
    </row>
    <row r="471" spans="1:21" ht="15.6" thickBot="1">
      <c r="A471" s="407" t="s">
        <v>1531</v>
      </c>
      <c r="B471" s="408" t="s">
        <v>1413</v>
      </c>
      <c r="C471" s="399" t="s">
        <v>1531</v>
      </c>
      <c r="D471" s="408" t="s">
        <v>1413</v>
      </c>
      <c r="E471" s="396">
        <v>5.0000000000000001E-3</v>
      </c>
      <c r="F471" s="409" t="s">
        <v>1412</v>
      </c>
      <c r="G471" s="399" t="s">
        <v>1531</v>
      </c>
      <c r="H471" s="408" t="s">
        <v>1413</v>
      </c>
      <c r="I471" s="408" t="s">
        <v>1413</v>
      </c>
      <c r="J471" s="408" t="s">
        <v>1413</v>
      </c>
      <c r="K471" s="409">
        <v>1</v>
      </c>
      <c r="L471" s="409">
        <v>0.1</v>
      </c>
      <c r="M471" s="410" t="s">
        <v>1531</v>
      </c>
      <c r="N471" s="426" t="s">
        <v>387</v>
      </c>
      <c r="O471" s="393" t="s">
        <v>71</v>
      </c>
      <c r="P471" s="415">
        <v>40</v>
      </c>
      <c r="Q471" s="340" t="s">
        <v>2434</v>
      </c>
      <c r="R471" s="338">
        <v>1</v>
      </c>
      <c r="S471" s="408" t="s">
        <v>1413</v>
      </c>
      <c r="T471" s="399" t="s">
        <v>1531</v>
      </c>
      <c r="U471" s="399" t="s">
        <v>1531</v>
      </c>
    </row>
    <row r="472" spans="1:21" ht="15">
      <c r="A472" s="403" t="s">
        <v>1531</v>
      </c>
      <c r="B472" s="404" t="s">
        <v>1413</v>
      </c>
      <c r="C472" s="398" t="s">
        <v>1531</v>
      </c>
      <c r="D472" s="404" t="s">
        <v>1413</v>
      </c>
      <c r="E472" s="394">
        <v>8.0000000000000002E-3</v>
      </c>
      <c r="F472" s="405" t="s">
        <v>520</v>
      </c>
      <c r="G472" s="394">
        <v>1E-3</v>
      </c>
      <c r="H472" s="405" t="s">
        <v>520</v>
      </c>
      <c r="I472" s="405" t="s">
        <v>969</v>
      </c>
      <c r="J472" s="404" t="s">
        <v>1413</v>
      </c>
      <c r="K472" s="405">
        <v>1</v>
      </c>
      <c r="L472" s="411" t="s">
        <v>1531</v>
      </c>
      <c r="M472" s="395">
        <v>115000</v>
      </c>
      <c r="N472" s="425" t="s">
        <v>1224</v>
      </c>
      <c r="O472" s="391" t="s">
        <v>72</v>
      </c>
      <c r="P472" s="414" t="s">
        <v>1413</v>
      </c>
      <c r="Q472" s="340" t="s">
        <v>2434</v>
      </c>
      <c r="R472" s="338">
        <v>1</v>
      </c>
      <c r="S472" s="404" t="s">
        <v>1413</v>
      </c>
      <c r="T472" s="398" t="s">
        <v>1531</v>
      </c>
      <c r="U472" s="394">
        <v>1E-3</v>
      </c>
    </row>
    <row r="473" spans="1:21" ht="15">
      <c r="A473" s="403" t="s">
        <v>1531</v>
      </c>
      <c r="B473" s="404" t="s">
        <v>1413</v>
      </c>
      <c r="C473" s="398" t="s">
        <v>1531</v>
      </c>
      <c r="D473" s="404" t="s">
        <v>1413</v>
      </c>
      <c r="E473" s="394">
        <v>5.0000000000000001E-3</v>
      </c>
      <c r="F473" s="405" t="s">
        <v>520</v>
      </c>
      <c r="G473" s="394">
        <v>0.02</v>
      </c>
      <c r="H473" s="405" t="s">
        <v>1412</v>
      </c>
      <c r="I473" s="405" t="s">
        <v>969</v>
      </c>
      <c r="J473" s="404" t="s">
        <v>1413</v>
      </c>
      <c r="K473" s="405">
        <v>1</v>
      </c>
      <c r="L473" s="411" t="s">
        <v>1531</v>
      </c>
      <c r="M473" s="395">
        <v>106000</v>
      </c>
      <c r="N473" s="425" t="s">
        <v>1225</v>
      </c>
      <c r="O473" s="391" t="s">
        <v>73</v>
      </c>
      <c r="P473" s="414" t="s">
        <v>1413</v>
      </c>
      <c r="Q473" s="340" t="s">
        <v>2433</v>
      </c>
      <c r="R473" s="338">
        <v>1</v>
      </c>
      <c r="S473" s="404" t="s">
        <v>1413</v>
      </c>
      <c r="T473" s="398" t="s">
        <v>1531</v>
      </c>
      <c r="U473" s="394">
        <v>0.02</v>
      </c>
    </row>
    <row r="474" spans="1:21" ht="15.6" thickBot="1">
      <c r="A474" s="407" t="s">
        <v>1531</v>
      </c>
      <c r="B474" s="408" t="s">
        <v>1413</v>
      </c>
      <c r="C474" s="399" t="s">
        <v>1531</v>
      </c>
      <c r="D474" s="408" t="s">
        <v>1413</v>
      </c>
      <c r="E474" s="396">
        <v>1</v>
      </c>
      <c r="F474" s="409" t="s">
        <v>961</v>
      </c>
      <c r="G474" s="399" t="s">
        <v>1531</v>
      </c>
      <c r="H474" s="408" t="s">
        <v>1413</v>
      </c>
      <c r="I474" s="409" t="s">
        <v>969</v>
      </c>
      <c r="J474" s="408" t="s">
        <v>1413</v>
      </c>
      <c r="K474" s="409">
        <v>1</v>
      </c>
      <c r="L474" s="413" t="s">
        <v>1531</v>
      </c>
      <c r="M474" s="397">
        <v>29000</v>
      </c>
      <c r="N474" s="426" t="s">
        <v>1226</v>
      </c>
      <c r="O474" s="393" t="s">
        <v>74</v>
      </c>
      <c r="P474" s="416" t="s">
        <v>1413</v>
      </c>
      <c r="Q474" s="340" t="s">
        <v>2433</v>
      </c>
      <c r="R474" s="338">
        <v>1</v>
      </c>
      <c r="S474" s="408" t="s">
        <v>1413</v>
      </c>
      <c r="T474" s="399" t="s">
        <v>1531</v>
      </c>
      <c r="U474" s="399" t="s">
        <v>1531</v>
      </c>
    </row>
    <row r="475" spans="1:21" ht="15">
      <c r="A475" s="403" t="s">
        <v>1531</v>
      </c>
      <c r="B475" s="404" t="s">
        <v>1413</v>
      </c>
      <c r="C475" s="398" t="s">
        <v>1531</v>
      </c>
      <c r="D475" s="404" t="s">
        <v>1413</v>
      </c>
      <c r="E475" s="398" t="s">
        <v>1531</v>
      </c>
      <c r="F475" s="404" t="s">
        <v>1413</v>
      </c>
      <c r="G475" s="394">
        <v>0.02</v>
      </c>
      <c r="H475" s="405" t="s">
        <v>520</v>
      </c>
      <c r="I475" s="405" t="s">
        <v>969</v>
      </c>
      <c r="J475" s="404" t="s">
        <v>1413</v>
      </c>
      <c r="K475" s="405">
        <v>1</v>
      </c>
      <c r="L475" s="411" t="s">
        <v>1531</v>
      </c>
      <c r="M475" s="395">
        <v>6750</v>
      </c>
      <c r="N475" s="425" t="s">
        <v>1227</v>
      </c>
      <c r="O475" s="391" t="s">
        <v>75</v>
      </c>
      <c r="P475" s="414" t="s">
        <v>1413</v>
      </c>
      <c r="Q475" s="340" t="s">
        <v>2434</v>
      </c>
      <c r="R475" s="338">
        <v>1</v>
      </c>
      <c r="S475" s="404" t="s">
        <v>1413</v>
      </c>
      <c r="T475" s="398" t="s">
        <v>1531</v>
      </c>
      <c r="U475" s="394">
        <v>0.02</v>
      </c>
    </row>
    <row r="476" spans="1:21" ht="15">
      <c r="A476" s="403" t="s">
        <v>1531</v>
      </c>
      <c r="B476" s="404" t="s">
        <v>1413</v>
      </c>
      <c r="C476" s="398" t="s">
        <v>1531</v>
      </c>
      <c r="D476" s="404" t="s">
        <v>1413</v>
      </c>
      <c r="E476" s="394">
        <v>0.6</v>
      </c>
      <c r="F476" s="405" t="s">
        <v>1412</v>
      </c>
      <c r="G476" s="394">
        <v>5</v>
      </c>
      <c r="H476" s="405" t="s">
        <v>1412</v>
      </c>
      <c r="I476" s="405" t="s">
        <v>969</v>
      </c>
      <c r="J476" s="404" t="s">
        <v>1413</v>
      </c>
      <c r="K476" s="405">
        <v>1</v>
      </c>
      <c r="L476" s="411" t="s">
        <v>1531</v>
      </c>
      <c r="M476" s="395">
        <v>28400</v>
      </c>
      <c r="N476" s="425" t="s">
        <v>1228</v>
      </c>
      <c r="O476" s="391" t="s">
        <v>76</v>
      </c>
      <c r="P476" s="414" t="s">
        <v>1413</v>
      </c>
      <c r="Q476" s="340" t="s">
        <v>2434</v>
      </c>
      <c r="R476" s="338">
        <v>1</v>
      </c>
      <c r="S476" s="404" t="s">
        <v>1413</v>
      </c>
      <c r="T476" s="398" t="s">
        <v>1531</v>
      </c>
      <c r="U476" s="394">
        <v>5</v>
      </c>
    </row>
    <row r="477" spans="1:21" ht="15.6" thickBot="1">
      <c r="A477" s="407" t="s">
        <v>1531</v>
      </c>
      <c r="B477" s="408" t="s">
        <v>1413</v>
      </c>
      <c r="C477" s="396">
        <v>1E-3</v>
      </c>
      <c r="D477" s="409" t="s">
        <v>961</v>
      </c>
      <c r="E477" s="396">
        <v>1E-3</v>
      </c>
      <c r="F477" s="409" t="s">
        <v>520</v>
      </c>
      <c r="G477" s="396">
        <v>2.0000000000000002E-5</v>
      </c>
      <c r="H477" s="409" t="s">
        <v>961</v>
      </c>
      <c r="I477" s="409" t="s">
        <v>969</v>
      </c>
      <c r="J477" s="408" t="s">
        <v>1413</v>
      </c>
      <c r="K477" s="409">
        <v>1</v>
      </c>
      <c r="L477" s="413" t="s">
        <v>1531</v>
      </c>
      <c r="M477" s="397">
        <v>180000</v>
      </c>
      <c r="N477" s="426" t="s">
        <v>1567</v>
      </c>
      <c r="O477" s="393" t="s">
        <v>1568</v>
      </c>
      <c r="P477" s="416" t="s">
        <v>1413</v>
      </c>
      <c r="Q477" s="340" t="s">
        <v>2434</v>
      </c>
      <c r="R477" s="338">
        <v>1</v>
      </c>
      <c r="S477" s="408" t="s">
        <v>1413</v>
      </c>
      <c r="T477" s="396">
        <v>1E-3</v>
      </c>
      <c r="U477" s="396">
        <v>2.0000000000000002E-5</v>
      </c>
    </row>
    <row r="478" spans="1:21" ht="30">
      <c r="A478" s="403" t="s">
        <v>1531</v>
      </c>
      <c r="B478" s="404" t="s">
        <v>1413</v>
      </c>
      <c r="C478" s="398" t="s">
        <v>1531</v>
      </c>
      <c r="D478" s="404" t="s">
        <v>1413</v>
      </c>
      <c r="E478" s="398" t="s">
        <v>1531</v>
      </c>
      <c r="F478" s="404" t="s">
        <v>1413</v>
      </c>
      <c r="G478" s="394">
        <v>3</v>
      </c>
      <c r="H478" s="405" t="s">
        <v>1412</v>
      </c>
      <c r="I478" s="405" t="s">
        <v>969</v>
      </c>
      <c r="J478" s="404" t="s">
        <v>1413</v>
      </c>
      <c r="K478" s="405">
        <v>1</v>
      </c>
      <c r="L478" s="411" t="s">
        <v>1531</v>
      </c>
      <c r="M478" s="395">
        <v>3360</v>
      </c>
      <c r="N478" s="425" t="s">
        <v>1229</v>
      </c>
      <c r="O478" s="391" t="s">
        <v>77</v>
      </c>
      <c r="P478" s="414" t="s">
        <v>1413</v>
      </c>
      <c r="Q478" s="340" t="s">
        <v>2433</v>
      </c>
      <c r="R478" s="338">
        <v>1</v>
      </c>
      <c r="S478" s="404" t="s">
        <v>1413</v>
      </c>
      <c r="T478" s="398" t="s">
        <v>1531</v>
      </c>
      <c r="U478" s="394">
        <v>3</v>
      </c>
    </row>
    <row r="479" spans="1:21" ht="15">
      <c r="A479" s="403" t="s">
        <v>1531</v>
      </c>
      <c r="B479" s="404" t="s">
        <v>1413</v>
      </c>
      <c r="C479" s="398" t="s">
        <v>1531</v>
      </c>
      <c r="D479" s="404" t="s">
        <v>1413</v>
      </c>
      <c r="E479" s="398" t="s">
        <v>1531</v>
      </c>
      <c r="F479" s="404" t="s">
        <v>1413</v>
      </c>
      <c r="G479" s="394">
        <v>1E-3</v>
      </c>
      <c r="H479" s="405" t="s">
        <v>521</v>
      </c>
      <c r="I479" s="405" t="s">
        <v>969</v>
      </c>
      <c r="J479" s="404" t="s">
        <v>1413</v>
      </c>
      <c r="K479" s="405">
        <v>1</v>
      </c>
      <c r="L479" s="411" t="s">
        <v>1531</v>
      </c>
      <c r="M479" s="395">
        <v>10100</v>
      </c>
      <c r="N479" s="425" t="s">
        <v>593</v>
      </c>
      <c r="O479" s="391" t="s">
        <v>78</v>
      </c>
      <c r="P479" s="414" t="s">
        <v>1413</v>
      </c>
      <c r="Q479" s="340" t="s">
        <v>2433</v>
      </c>
      <c r="R479" s="338">
        <v>1</v>
      </c>
      <c r="S479" s="404" t="s">
        <v>1413</v>
      </c>
      <c r="T479" s="398" t="s">
        <v>1531</v>
      </c>
      <c r="U479" s="394">
        <v>1E-3</v>
      </c>
    </row>
    <row r="480" spans="1:21" ht="15.6" thickBot="1">
      <c r="A480" s="407" t="s">
        <v>1531</v>
      </c>
      <c r="B480" s="408" t="s">
        <v>1413</v>
      </c>
      <c r="C480" s="399" t="s">
        <v>1531</v>
      </c>
      <c r="D480" s="408" t="s">
        <v>1413</v>
      </c>
      <c r="E480" s="396">
        <v>1E-4</v>
      </c>
      <c r="F480" s="409" t="s">
        <v>1412</v>
      </c>
      <c r="G480" s="399" t="s">
        <v>1531</v>
      </c>
      <c r="H480" s="408" t="s">
        <v>1413</v>
      </c>
      <c r="I480" s="408" t="s">
        <v>1413</v>
      </c>
      <c r="J480" s="408" t="s">
        <v>1413</v>
      </c>
      <c r="K480" s="409">
        <v>1</v>
      </c>
      <c r="L480" s="413" t="s">
        <v>1531</v>
      </c>
      <c r="M480" s="410" t="s">
        <v>1531</v>
      </c>
      <c r="N480" s="426" t="s">
        <v>2375</v>
      </c>
      <c r="O480" s="393" t="s">
        <v>60</v>
      </c>
      <c r="P480" s="416" t="s">
        <v>1413</v>
      </c>
      <c r="Q480" s="340" t="s">
        <v>2433</v>
      </c>
      <c r="R480" s="338">
        <v>1</v>
      </c>
      <c r="S480" s="408" t="s">
        <v>1413</v>
      </c>
      <c r="T480" s="399" t="s">
        <v>1531</v>
      </c>
      <c r="U480" s="399" t="s">
        <v>1531</v>
      </c>
    </row>
    <row r="481" spans="1:21" ht="15">
      <c r="A481" s="403" t="s">
        <v>1531</v>
      </c>
      <c r="B481" s="404" t="s">
        <v>1413</v>
      </c>
      <c r="C481" s="398" t="s">
        <v>1531</v>
      </c>
      <c r="D481" s="404" t="s">
        <v>1413</v>
      </c>
      <c r="E481" s="394">
        <v>1.4</v>
      </c>
      <c r="F481" s="405" t="s">
        <v>1412</v>
      </c>
      <c r="G481" s="394">
        <v>0.7</v>
      </c>
      <c r="H481" s="405" t="s">
        <v>1412</v>
      </c>
      <c r="I481" s="405" t="s">
        <v>969</v>
      </c>
      <c r="J481" s="404" t="s">
        <v>1413</v>
      </c>
      <c r="K481" s="405">
        <v>1</v>
      </c>
      <c r="L481" s="411" t="s">
        <v>1531</v>
      </c>
      <c r="M481" s="395">
        <v>2360</v>
      </c>
      <c r="N481" s="425" t="s">
        <v>1230</v>
      </c>
      <c r="O481" s="391" t="s">
        <v>79</v>
      </c>
      <c r="P481" s="414" t="s">
        <v>1413</v>
      </c>
      <c r="Q481" s="340" t="s">
        <v>2434</v>
      </c>
      <c r="R481" s="338">
        <v>1</v>
      </c>
      <c r="S481" s="404" t="s">
        <v>1413</v>
      </c>
      <c r="T481" s="398" t="s">
        <v>1531</v>
      </c>
      <c r="U481" s="394">
        <v>0.7</v>
      </c>
    </row>
    <row r="482" spans="1:21" ht="15">
      <c r="A482" s="427">
        <v>9.9000000000000005E-2</v>
      </c>
      <c r="B482" s="405" t="s">
        <v>521</v>
      </c>
      <c r="C482" s="394">
        <v>2.8E-5</v>
      </c>
      <c r="D482" s="405" t="s">
        <v>521</v>
      </c>
      <c r="E482" s="398" t="s">
        <v>1531</v>
      </c>
      <c r="F482" s="404" t="s">
        <v>1413</v>
      </c>
      <c r="G482" s="398" t="s">
        <v>1531</v>
      </c>
      <c r="H482" s="404" t="s">
        <v>1413</v>
      </c>
      <c r="I482" s="404" t="s">
        <v>1413</v>
      </c>
      <c r="J482" s="404" t="s">
        <v>1413</v>
      </c>
      <c r="K482" s="405">
        <v>1</v>
      </c>
      <c r="L482" s="405">
        <v>0.1</v>
      </c>
      <c r="M482" s="406" t="s">
        <v>1531</v>
      </c>
      <c r="N482" s="425" t="s">
        <v>595</v>
      </c>
      <c r="O482" s="391" t="s">
        <v>83</v>
      </c>
      <c r="P482" s="414" t="s">
        <v>1413</v>
      </c>
      <c r="Q482" s="340" t="s">
        <v>2433</v>
      </c>
      <c r="R482" s="338">
        <v>1</v>
      </c>
      <c r="S482" s="404" t="s">
        <v>1413</v>
      </c>
      <c r="T482" s="394">
        <v>2.8E-5</v>
      </c>
      <c r="U482" s="398" t="s">
        <v>1531</v>
      </c>
    </row>
    <row r="483" spans="1:21" ht="15.6" thickBot="1">
      <c r="A483" s="407" t="s">
        <v>1531</v>
      </c>
      <c r="B483" s="408" t="s">
        <v>1413</v>
      </c>
      <c r="C483" s="399" t="s">
        <v>1531</v>
      </c>
      <c r="D483" s="408" t="s">
        <v>1413</v>
      </c>
      <c r="E483" s="396">
        <v>2.5000000000000001E-4</v>
      </c>
      <c r="F483" s="409" t="s">
        <v>1412</v>
      </c>
      <c r="G483" s="399" t="s">
        <v>1531</v>
      </c>
      <c r="H483" s="408" t="s">
        <v>1413</v>
      </c>
      <c r="I483" s="408" t="s">
        <v>1413</v>
      </c>
      <c r="J483" s="408" t="s">
        <v>1413</v>
      </c>
      <c r="K483" s="409">
        <v>1</v>
      </c>
      <c r="L483" s="409">
        <v>0.1</v>
      </c>
      <c r="M483" s="410" t="s">
        <v>1531</v>
      </c>
      <c r="N483" s="426" t="s">
        <v>1231</v>
      </c>
      <c r="O483" s="393" t="s">
        <v>80</v>
      </c>
      <c r="P483" s="416" t="s">
        <v>1413</v>
      </c>
      <c r="Q483" s="340" t="s">
        <v>2434</v>
      </c>
      <c r="R483" s="338">
        <v>1</v>
      </c>
      <c r="S483" s="408" t="s">
        <v>1413</v>
      </c>
      <c r="T483" s="399" t="s">
        <v>1531</v>
      </c>
      <c r="U483" s="399" t="s">
        <v>1531</v>
      </c>
    </row>
    <row r="484" spans="1:21" ht="15">
      <c r="A484" s="403" t="s">
        <v>1531</v>
      </c>
      <c r="B484" s="404" t="s">
        <v>1413</v>
      </c>
      <c r="C484" s="398" t="s">
        <v>1531</v>
      </c>
      <c r="D484" s="404" t="s">
        <v>1413</v>
      </c>
      <c r="E484" s="394">
        <v>0.06</v>
      </c>
      <c r="F484" s="405" t="s">
        <v>961</v>
      </c>
      <c r="G484" s="398" t="s">
        <v>1531</v>
      </c>
      <c r="H484" s="404" t="s">
        <v>1413</v>
      </c>
      <c r="I484" s="404" t="s">
        <v>1413</v>
      </c>
      <c r="J484" s="404" t="s">
        <v>1413</v>
      </c>
      <c r="K484" s="405">
        <v>1</v>
      </c>
      <c r="L484" s="405">
        <v>0.1</v>
      </c>
      <c r="M484" s="406" t="s">
        <v>1531</v>
      </c>
      <c r="N484" s="425" t="s">
        <v>594</v>
      </c>
      <c r="O484" s="391" t="s">
        <v>81</v>
      </c>
      <c r="P484" s="414" t="s">
        <v>1413</v>
      </c>
      <c r="Q484" s="340" t="s">
        <v>2433</v>
      </c>
      <c r="R484" s="338">
        <v>1</v>
      </c>
      <c r="S484" s="404" t="s">
        <v>1413</v>
      </c>
      <c r="T484" s="398" t="s">
        <v>1531</v>
      </c>
      <c r="U484" s="398" t="s">
        <v>1531</v>
      </c>
    </row>
    <row r="485" spans="1:21" ht="15">
      <c r="A485" s="403" t="s">
        <v>1531</v>
      </c>
      <c r="B485" s="404" t="s">
        <v>1413</v>
      </c>
      <c r="C485" s="398" t="s">
        <v>1531</v>
      </c>
      <c r="D485" s="404" t="s">
        <v>1413</v>
      </c>
      <c r="E485" s="394">
        <v>6.0000000000000001E-3</v>
      </c>
      <c r="F485" s="405" t="s">
        <v>406</v>
      </c>
      <c r="G485" s="394">
        <v>0.04</v>
      </c>
      <c r="H485" s="405" t="s">
        <v>406</v>
      </c>
      <c r="I485" s="405" t="s">
        <v>969</v>
      </c>
      <c r="J485" s="404" t="s">
        <v>1413</v>
      </c>
      <c r="K485" s="405">
        <v>1</v>
      </c>
      <c r="L485" s="411" t="s">
        <v>1531</v>
      </c>
      <c r="M485" s="395">
        <v>393</v>
      </c>
      <c r="N485" s="425" t="s">
        <v>1232</v>
      </c>
      <c r="O485" s="391" t="s">
        <v>82</v>
      </c>
      <c r="P485" s="414" t="s">
        <v>1413</v>
      </c>
      <c r="Q485" s="340" t="s">
        <v>2433</v>
      </c>
      <c r="R485" s="338">
        <v>1</v>
      </c>
      <c r="S485" s="404" t="s">
        <v>1413</v>
      </c>
      <c r="T485" s="398" t="s">
        <v>1531</v>
      </c>
      <c r="U485" s="394">
        <v>0.04</v>
      </c>
    </row>
    <row r="486" spans="1:21" ht="15.6" thickBot="1">
      <c r="A486" s="412">
        <v>1.8E-3</v>
      </c>
      <c r="B486" s="409" t="s">
        <v>521</v>
      </c>
      <c r="C486" s="396">
        <v>2.6E-7</v>
      </c>
      <c r="D486" s="409" t="s">
        <v>521</v>
      </c>
      <c r="E486" s="399" t="s">
        <v>1531</v>
      </c>
      <c r="F486" s="408" t="s">
        <v>1413</v>
      </c>
      <c r="G486" s="396">
        <v>3</v>
      </c>
      <c r="H486" s="409" t="s">
        <v>1412</v>
      </c>
      <c r="I486" s="409" t="s">
        <v>969</v>
      </c>
      <c r="J486" s="408" t="s">
        <v>1413</v>
      </c>
      <c r="K486" s="409">
        <v>1</v>
      </c>
      <c r="L486" s="413" t="s">
        <v>1531</v>
      </c>
      <c r="M486" s="397">
        <v>8870</v>
      </c>
      <c r="N486" s="426" t="s">
        <v>1233</v>
      </c>
      <c r="O486" s="393" t="s">
        <v>84</v>
      </c>
      <c r="P486" s="416" t="s">
        <v>1413</v>
      </c>
      <c r="Q486" s="340" t="s">
        <v>2434</v>
      </c>
      <c r="R486" s="338">
        <v>1</v>
      </c>
      <c r="S486" s="408" t="s">
        <v>1413</v>
      </c>
      <c r="T486" s="396">
        <v>2.6E-7</v>
      </c>
      <c r="U486" s="396">
        <v>3</v>
      </c>
    </row>
    <row r="487" spans="1:21" ht="30">
      <c r="A487" s="403" t="s">
        <v>1531</v>
      </c>
      <c r="B487" s="404" t="s">
        <v>1413</v>
      </c>
      <c r="C487" s="398" t="s">
        <v>1531</v>
      </c>
      <c r="D487" s="404" t="s">
        <v>1413</v>
      </c>
      <c r="E487" s="394">
        <v>2.9999999999999997E-4</v>
      </c>
      <c r="F487" s="405" t="s">
        <v>961</v>
      </c>
      <c r="G487" s="398" t="s">
        <v>1531</v>
      </c>
      <c r="H487" s="404" t="s">
        <v>1413</v>
      </c>
      <c r="I487" s="404" t="s">
        <v>1413</v>
      </c>
      <c r="J487" s="404" t="s">
        <v>1413</v>
      </c>
      <c r="K487" s="405">
        <v>1</v>
      </c>
      <c r="L487" s="405">
        <v>0.1</v>
      </c>
      <c r="M487" s="406" t="s">
        <v>1531</v>
      </c>
      <c r="N487" s="425" t="s">
        <v>1569</v>
      </c>
      <c r="O487" s="391" t="s">
        <v>1570</v>
      </c>
      <c r="P487" s="414" t="s">
        <v>1413</v>
      </c>
      <c r="Q487" s="340" t="s">
        <v>2434</v>
      </c>
      <c r="R487" s="338">
        <v>1</v>
      </c>
      <c r="S487" s="404" t="s">
        <v>1413</v>
      </c>
      <c r="T487" s="398" t="s">
        <v>1531</v>
      </c>
      <c r="U487" s="398" t="s">
        <v>1531</v>
      </c>
    </row>
    <row r="488" spans="1:21" ht="15">
      <c r="A488" s="403" t="s">
        <v>1531</v>
      </c>
      <c r="B488" s="404" t="s">
        <v>1413</v>
      </c>
      <c r="C488" s="398" t="s">
        <v>1531</v>
      </c>
      <c r="D488" s="404" t="s">
        <v>1413</v>
      </c>
      <c r="E488" s="398" t="s">
        <v>1531</v>
      </c>
      <c r="F488" s="404" t="s">
        <v>1413</v>
      </c>
      <c r="G488" s="394">
        <v>3</v>
      </c>
      <c r="H488" s="405" t="s">
        <v>961</v>
      </c>
      <c r="I488" s="405" t="s">
        <v>969</v>
      </c>
      <c r="J488" s="404" t="s">
        <v>1413</v>
      </c>
      <c r="K488" s="405">
        <v>1</v>
      </c>
      <c r="L488" s="411" t="s">
        <v>1531</v>
      </c>
      <c r="M488" s="395">
        <v>2450</v>
      </c>
      <c r="N488" s="425" t="s">
        <v>2507</v>
      </c>
      <c r="O488" s="391" t="s">
        <v>2508</v>
      </c>
      <c r="P488" s="414" t="s">
        <v>1413</v>
      </c>
      <c r="Q488" s="340" t="s">
        <v>2434</v>
      </c>
      <c r="R488" s="338">
        <v>1</v>
      </c>
      <c r="S488" s="404" t="s">
        <v>1413</v>
      </c>
      <c r="T488" s="398" t="s">
        <v>1531</v>
      </c>
      <c r="U488" s="394">
        <v>3</v>
      </c>
    </row>
    <row r="489" spans="1:21" ht="15.6" thickBot="1">
      <c r="A489" s="412">
        <v>8.9999999999999993E-3</v>
      </c>
      <c r="B489" s="409" t="s">
        <v>520</v>
      </c>
      <c r="C489" s="399" t="s">
        <v>1531</v>
      </c>
      <c r="D489" s="408" t="s">
        <v>1413</v>
      </c>
      <c r="E489" s="396">
        <v>0.02</v>
      </c>
      <c r="F489" s="409" t="s">
        <v>961</v>
      </c>
      <c r="G489" s="399" t="s">
        <v>1531</v>
      </c>
      <c r="H489" s="408" t="s">
        <v>1413</v>
      </c>
      <c r="I489" s="408" t="s">
        <v>1413</v>
      </c>
      <c r="J489" s="408" t="s">
        <v>1413</v>
      </c>
      <c r="K489" s="409">
        <v>1</v>
      </c>
      <c r="L489" s="409">
        <v>0.1</v>
      </c>
      <c r="M489" s="410" t="s">
        <v>1531</v>
      </c>
      <c r="N489" s="426" t="s">
        <v>1234</v>
      </c>
      <c r="O489" s="393" t="s">
        <v>85</v>
      </c>
      <c r="P489" s="416" t="s">
        <v>1413</v>
      </c>
      <c r="Q489" s="340" t="s">
        <v>2434</v>
      </c>
      <c r="R489" s="338">
        <v>1</v>
      </c>
      <c r="S489" s="408" t="s">
        <v>1413</v>
      </c>
      <c r="T489" s="399" t="s">
        <v>1531</v>
      </c>
      <c r="U489" s="399" t="s">
        <v>1531</v>
      </c>
    </row>
    <row r="490" spans="1:21" ht="15">
      <c r="A490" s="427">
        <v>0.13</v>
      </c>
      <c r="B490" s="405" t="s">
        <v>521</v>
      </c>
      <c r="C490" s="394">
        <v>3.6999999999999998E-5</v>
      </c>
      <c r="D490" s="405" t="s">
        <v>521</v>
      </c>
      <c r="E490" s="398" t="s">
        <v>1531</v>
      </c>
      <c r="F490" s="404" t="s">
        <v>1413</v>
      </c>
      <c r="G490" s="398" t="s">
        <v>1531</v>
      </c>
      <c r="H490" s="404" t="s">
        <v>1413</v>
      </c>
      <c r="I490" s="404" t="s">
        <v>1413</v>
      </c>
      <c r="J490" s="404" t="s">
        <v>1413</v>
      </c>
      <c r="K490" s="405">
        <v>1</v>
      </c>
      <c r="L490" s="405">
        <v>0.1</v>
      </c>
      <c r="M490" s="406" t="s">
        <v>1531</v>
      </c>
      <c r="N490" s="425" t="s">
        <v>1235</v>
      </c>
      <c r="O490" s="391" t="s">
        <v>87</v>
      </c>
      <c r="P490" s="414" t="s">
        <v>1413</v>
      </c>
      <c r="Q490" s="340" t="s">
        <v>2434</v>
      </c>
      <c r="R490" s="338">
        <v>1</v>
      </c>
      <c r="S490" s="404" t="s">
        <v>1413</v>
      </c>
      <c r="T490" s="394">
        <v>3.6999999999999998E-5</v>
      </c>
      <c r="U490" s="398" t="s">
        <v>1531</v>
      </c>
    </row>
    <row r="491" spans="1:21" ht="15">
      <c r="A491" s="403" t="s">
        <v>1531</v>
      </c>
      <c r="B491" s="404" t="s">
        <v>1413</v>
      </c>
      <c r="C491" s="398" t="s">
        <v>1531</v>
      </c>
      <c r="D491" s="404" t="s">
        <v>1413</v>
      </c>
      <c r="E491" s="394">
        <v>0.01</v>
      </c>
      <c r="F491" s="405" t="s">
        <v>1414</v>
      </c>
      <c r="G491" s="398" t="s">
        <v>1531</v>
      </c>
      <c r="H491" s="404" t="s">
        <v>1413</v>
      </c>
      <c r="I491" s="404" t="s">
        <v>1413</v>
      </c>
      <c r="J491" s="404" t="s">
        <v>1413</v>
      </c>
      <c r="K491" s="405">
        <v>1</v>
      </c>
      <c r="L491" s="405">
        <v>0.1</v>
      </c>
      <c r="M491" s="406" t="s">
        <v>1531</v>
      </c>
      <c r="N491" s="425" t="s">
        <v>1236</v>
      </c>
      <c r="O491" s="391" t="s">
        <v>88</v>
      </c>
      <c r="P491" s="414" t="s">
        <v>1413</v>
      </c>
      <c r="Q491" s="340" t="s">
        <v>2433</v>
      </c>
      <c r="R491" s="338">
        <v>1</v>
      </c>
      <c r="S491" s="404" t="s">
        <v>1413</v>
      </c>
      <c r="T491" s="398" t="s">
        <v>1531</v>
      </c>
      <c r="U491" s="398" t="s">
        <v>1531</v>
      </c>
    </row>
    <row r="492" spans="1:21" ht="30.6" thickBot="1">
      <c r="A492" s="407" t="s">
        <v>1531</v>
      </c>
      <c r="B492" s="408" t="s">
        <v>1413</v>
      </c>
      <c r="C492" s="399" t="s">
        <v>1531</v>
      </c>
      <c r="D492" s="408" t="s">
        <v>1413</v>
      </c>
      <c r="E492" s="396">
        <v>2.0000000000000001E-4</v>
      </c>
      <c r="F492" s="409" t="s">
        <v>961</v>
      </c>
      <c r="G492" s="399" t="s">
        <v>1531</v>
      </c>
      <c r="H492" s="408" t="s">
        <v>1413</v>
      </c>
      <c r="I492" s="408" t="s">
        <v>1413</v>
      </c>
      <c r="J492" s="408" t="s">
        <v>1413</v>
      </c>
      <c r="K492" s="409">
        <v>1</v>
      </c>
      <c r="L492" s="409">
        <v>0.1</v>
      </c>
      <c r="M492" s="410" t="s">
        <v>1531</v>
      </c>
      <c r="N492" s="426" t="s">
        <v>1571</v>
      </c>
      <c r="O492" s="393" t="s">
        <v>1572</v>
      </c>
      <c r="P492" s="416" t="s">
        <v>1413</v>
      </c>
      <c r="Q492" s="340" t="s">
        <v>2433</v>
      </c>
      <c r="R492" s="338">
        <v>1</v>
      </c>
      <c r="S492" s="408" t="s">
        <v>1413</v>
      </c>
      <c r="T492" s="399" t="s">
        <v>1531</v>
      </c>
      <c r="U492" s="399" t="s">
        <v>1531</v>
      </c>
    </row>
    <row r="493" spans="1:21" ht="15">
      <c r="A493" s="427">
        <v>0.1</v>
      </c>
      <c r="B493" s="405" t="s">
        <v>961</v>
      </c>
      <c r="C493" s="398" t="s">
        <v>1531</v>
      </c>
      <c r="D493" s="404" t="s">
        <v>1413</v>
      </c>
      <c r="E493" s="394">
        <v>2.9999999999999997E-4</v>
      </c>
      <c r="F493" s="405" t="s">
        <v>961</v>
      </c>
      <c r="G493" s="398" t="s">
        <v>1531</v>
      </c>
      <c r="H493" s="404" t="s">
        <v>1413</v>
      </c>
      <c r="I493" s="404" t="s">
        <v>1413</v>
      </c>
      <c r="J493" s="404" t="s">
        <v>1413</v>
      </c>
      <c r="K493" s="405">
        <v>1</v>
      </c>
      <c r="L493" s="405">
        <v>0.1</v>
      </c>
      <c r="M493" s="406" t="s">
        <v>1531</v>
      </c>
      <c r="N493" s="425" t="s">
        <v>1573</v>
      </c>
      <c r="O493" s="391" t="s">
        <v>1574</v>
      </c>
      <c r="P493" s="414" t="s">
        <v>1413</v>
      </c>
      <c r="Q493" s="340" t="s">
        <v>2433</v>
      </c>
      <c r="R493" s="338">
        <v>1</v>
      </c>
      <c r="S493" s="404" t="s">
        <v>1413</v>
      </c>
      <c r="T493" s="398" t="s">
        <v>1531</v>
      </c>
      <c r="U493" s="398" t="s">
        <v>1531</v>
      </c>
    </row>
    <row r="494" spans="1:21" ht="15">
      <c r="A494" s="427">
        <v>22</v>
      </c>
      <c r="B494" s="405" t="s">
        <v>521</v>
      </c>
      <c r="C494" s="394">
        <v>6.3E-3</v>
      </c>
      <c r="D494" s="405" t="s">
        <v>521</v>
      </c>
      <c r="E494" s="398" t="s">
        <v>1531</v>
      </c>
      <c r="F494" s="404" t="s">
        <v>1413</v>
      </c>
      <c r="G494" s="398" t="s">
        <v>1531</v>
      </c>
      <c r="H494" s="404" t="s">
        <v>1413</v>
      </c>
      <c r="I494" s="404" t="s">
        <v>1413</v>
      </c>
      <c r="J494" s="405" t="s">
        <v>522</v>
      </c>
      <c r="K494" s="405">
        <v>1</v>
      </c>
      <c r="L494" s="405">
        <v>0.1</v>
      </c>
      <c r="M494" s="406" t="s">
        <v>1531</v>
      </c>
      <c r="N494" s="425" t="s">
        <v>597</v>
      </c>
      <c r="O494" s="391" t="s">
        <v>89</v>
      </c>
      <c r="P494" s="414" t="s">
        <v>1413</v>
      </c>
      <c r="Q494" s="340" t="s">
        <v>2433</v>
      </c>
      <c r="R494" s="338">
        <v>1</v>
      </c>
      <c r="S494" s="405" t="s">
        <v>2424</v>
      </c>
      <c r="T494" s="394">
        <v>6.3E-3</v>
      </c>
      <c r="U494" s="398" t="s">
        <v>1531</v>
      </c>
    </row>
    <row r="495" spans="1:21" ht="15.6" thickBot="1">
      <c r="A495" s="412">
        <v>2E-3</v>
      </c>
      <c r="B495" s="409" t="s">
        <v>1412</v>
      </c>
      <c r="C495" s="396">
        <v>1E-8</v>
      </c>
      <c r="D495" s="409" t="s">
        <v>1412</v>
      </c>
      <c r="E495" s="396">
        <v>6.0000000000000001E-3</v>
      </c>
      <c r="F495" s="409" t="s">
        <v>1412</v>
      </c>
      <c r="G495" s="396">
        <v>0.6</v>
      </c>
      <c r="H495" s="409" t="s">
        <v>1412</v>
      </c>
      <c r="I495" s="409" t="s">
        <v>969</v>
      </c>
      <c r="J495" s="409" t="s">
        <v>522</v>
      </c>
      <c r="K495" s="409">
        <v>1</v>
      </c>
      <c r="L495" s="413" t="s">
        <v>1531</v>
      </c>
      <c r="M495" s="397">
        <v>3320</v>
      </c>
      <c r="N495" s="426" t="s">
        <v>1237</v>
      </c>
      <c r="O495" s="393" t="s">
        <v>90</v>
      </c>
      <c r="P495" s="415">
        <v>5</v>
      </c>
      <c r="Q495" s="340" t="s">
        <v>2433</v>
      </c>
      <c r="R495" s="338">
        <v>1</v>
      </c>
      <c r="S495" s="409" t="s">
        <v>2424</v>
      </c>
      <c r="T495" s="396">
        <v>1E-8</v>
      </c>
      <c r="U495" s="396">
        <v>0.6</v>
      </c>
    </row>
    <row r="496" spans="1:21" ht="15">
      <c r="A496" s="427">
        <v>0.1</v>
      </c>
      <c r="B496" s="405" t="s">
        <v>520</v>
      </c>
      <c r="C496" s="394">
        <v>4.2999999999999999E-4</v>
      </c>
      <c r="D496" s="405" t="s">
        <v>521</v>
      </c>
      <c r="E496" s="394">
        <v>2E-3</v>
      </c>
      <c r="F496" s="405" t="s">
        <v>520</v>
      </c>
      <c r="G496" s="398" t="s">
        <v>1531</v>
      </c>
      <c r="H496" s="404" t="s">
        <v>1413</v>
      </c>
      <c r="I496" s="404" t="s">
        <v>1413</v>
      </c>
      <c r="J496" s="405" t="s">
        <v>522</v>
      </c>
      <c r="K496" s="405">
        <v>1</v>
      </c>
      <c r="L496" s="405">
        <v>0.1</v>
      </c>
      <c r="M496" s="406" t="s">
        <v>1531</v>
      </c>
      <c r="N496" s="425" t="s">
        <v>1238</v>
      </c>
      <c r="O496" s="391" t="s">
        <v>91</v>
      </c>
      <c r="P496" s="414" t="s">
        <v>1413</v>
      </c>
      <c r="Q496" s="340" t="s">
        <v>2434</v>
      </c>
      <c r="R496" s="338">
        <v>1</v>
      </c>
      <c r="S496" s="405" t="s">
        <v>2424</v>
      </c>
      <c r="T496" s="394">
        <v>4.2999999999999999E-4</v>
      </c>
      <c r="U496" s="398" t="s">
        <v>1531</v>
      </c>
    </row>
    <row r="497" spans="1:21" ht="15">
      <c r="A497" s="427">
        <v>4.5999999999999999E-2</v>
      </c>
      <c r="B497" s="405" t="s">
        <v>1412</v>
      </c>
      <c r="C497" s="394">
        <v>1.2999999999999999E-5</v>
      </c>
      <c r="D497" s="405" t="s">
        <v>521</v>
      </c>
      <c r="E497" s="398" t="s">
        <v>1531</v>
      </c>
      <c r="F497" s="404" t="s">
        <v>1413</v>
      </c>
      <c r="G497" s="398" t="s">
        <v>1531</v>
      </c>
      <c r="H497" s="404" t="s">
        <v>1413</v>
      </c>
      <c r="I497" s="404" t="s">
        <v>1413</v>
      </c>
      <c r="J497" s="404" t="s">
        <v>1413</v>
      </c>
      <c r="K497" s="405">
        <v>1</v>
      </c>
      <c r="L497" s="405">
        <v>0.1</v>
      </c>
      <c r="M497" s="406" t="s">
        <v>1531</v>
      </c>
      <c r="N497" s="425" t="s">
        <v>1239</v>
      </c>
      <c r="O497" s="391" t="s">
        <v>92</v>
      </c>
      <c r="P497" s="414" t="s">
        <v>1413</v>
      </c>
      <c r="Q497" s="340" t="s">
        <v>2433</v>
      </c>
      <c r="R497" s="338">
        <v>1</v>
      </c>
      <c r="S497" s="404" t="s">
        <v>1413</v>
      </c>
      <c r="T497" s="394">
        <v>1.2999999999999999E-5</v>
      </c>
      <c r="U497" s="398" t="s">
        <v>1531</v>
      </c>
    </row>
    <row r="498" spans="1:21" ht="15.6" thickBot="1">
      <c r="A498" s="412">
        <v>1.6</v>
      </c>
      <c r="B498" s="409" t="s">
        <v>521</v>
      </c>
      <c r="C498" s="396">
        <v>4.6000000000000001E-4</v>
      </c>
      <c r="D498" s="409" t="s">
        <v>521</v>
      </c>
      <c r="E498" s="399" t="s">
        <v>1531</v>
      </c>
      <c r="F498" s="408" t="s">
        <v>1413</v>
      </c>
      <c r="G498" s="396">
        <v>0.02</v>
      </c>
      <c r="H498" s="409" t="s">
        <v>521</v>
      </c>
      <c r="I498" s="408" t="s">
        <v>1413</v>
      </c>
      <c r="J498" s="408" t="s">
        <v>1413</v>
      </c>
      <c r="K498" s="409">
        <v>1</v>
      </c>
      <c r="L498" s="409">
        <v>0.1</v>
      </c>
      <c r="M498" s="410" t="s">
        <v>1531</v>
      </c>
      <c r="N498" s="426" t="s">
        <v>1240</v>
      </c>
      <c r="O498" s="393" t="s">
        <v>93</v>
      </c>
      <c r="P498" s="416" t="s">
        <v>1413</v>
      </c>
      <c r="Q498" s="340" t="s">
        <v>2433</v>
      </c>
      <c r="R498" s="338">
        <v>1</v>
      </c>
      <c r="S498" s="408" t="s">
        <v>1413</v>
      </c>
      <c r="T498" s="396">
        <v>4.6000000000000001E-4</v>
      </c>
      <c r="U498" s="396">
        <v>0.02</v>
      </c>
    </row>
    <row r="499" spans="1:21" ht="15">
      <c r="A499" s="403" t="s">
        <v>1531</v>
      </c>
      <c r="B499" s="404" t="s">
        <v>1413</v>
      </c>
      <c r="C499" s="398" t="s">
        <v>1531</v>
      </c>
      <c r="D499" s="404" t="s">
        <v>1413</v>
      </c>
      <c r="E499" s="398" t="s">
        <v>1531</v>
      </c>
      <c r="F499" s="404" t="s">
        <v>1413</v>
      </c>
      <c r="G499" s="394">
        <v>5.9999999999999995E-4</v>
      </c>
      <c r="H499" s="405" t="s">
        <v>1412</v>
      </c>
      <c r="I499" s="404" t="s">
        <v>1413</v>
      </c>
      <c r="J499" s="404" t="s">
        <v>1413</v>
      </c>
      <c r="K499" s="405">
        <v>1</v>
      </c>
      <c r="L499" s="405">
        <v>0.1</v>
      </c>
      <c r="M499" s="406" t="s">
        <v>1531</v>
      </c>
      <c r="N499" s="425" t="s">
        <v>1241</v>
      </c>
      <c r="O499" s="391" t="s">
        <v>94</v>
      </c>
      <c r="P499" s="414" t="s">
        <v>1413</v>
      </c>
      <c r="Q499" s="340" t="s">
        <v>2433</v>
      </c>
      <c r="R499" s="338">
        <v>1</v>
      </c>
      <c r="S499" s="404" t="s">
        <v>1413</v>
      </c>
      <c r="T499" s="398" t="s">
        <v>1531</v>
      </c>
      <c r="U499" s="394">
        <v>5.9999999999999995E-4</v>
      </c>
    </row>
    <row r="500" spans="1:21" ht="15">
      <c r="A500" s="427">
        <v>2.9000000000000001E-2</v>
      </c>
      <c r="B500" s="405" t="s">
        <v>520</v>
      </c>
      <c r="C500" s="398" t="s">
        <v>1531</v>
      </c>
      <c r="D500" s="404" t="s">
        <v>1413</v>
      </c>
      <c r="E500" s="394">
        <v>7.0000000000000007E-2</v>
      </c>
      <c r="F500" s="405" t="s">
        <v>1414</v>
      </c>
      <c r="G500" s="398" t="s">
        <v>1531</v>
      </c>
      <c r="H500" s="404" t="s">
        <v>1413</v>
      </c>
      <c r="I500" s="405" t="s">
        <v>969</v>
      </c>
      <c r="J500" s="404" t="s">
        <v>1413</v>
      </c>
      <c r="K500" s="405">
        <v>1</v>
      </c>
      <c r="L500" s="405">
        <v>0.13</v>
      </c>
      <c r="M500" s="395">
        <v>394</v>
      </c>
      <c r="N500" s="425" t="s">
        <v>2334</v>
      </c>
      <c r="O500" s="391" t="s">
        <v>215</v>
      </c>
      <c r="P500" s="414" t="s">
        <v>1413</v>
      </c>
      <c r="Q500" s="340" t="s">
        <v>2433</v>
      </c>
      <c r="R500" s="338">
        <v>1</v>
      </c>
      <c r="S500" s="404" t="s">
        <v>1413</v>
      </c>
      <c r="T500" s="398" t="s">
        <v>1531</v>
      </c>
      <c r="U500" s="398" t="s">
        <v>1531</v>
      </c>
    </row>
    <row r="501" spans="1:21" ht="15.6" thickBot="1">
      <c r="A501" s="407" t="s">
        <v>1531</v>
      </c>
      <c r="B501" s="408" t="s">
        <v>1413</v>
      </c>
      <c r="C501" s="399" t="s">
        <v>1531</v>
      </c>
      <c r="D501" s="408" t="s">
        <v>1413</v>
      </c>
      <c r="E501" s="396">
        <v>4.0000000000000001E-3</v>
      </c>
      <c r="F501" s="409" t="s">
        <v>1412</v>
      </c>
      <c r="G501" s="399" t="s">
        <v>1531</v>
      </c>
      <c r="H501" s="408" t="s">
        <v>1413</v>
      </c>
      <c r="I501" s="409" t="s">
        <v>969</v>
      </c>
      <c r="J501" s="408" t="s">
        <v>1413</v>
      </c>
      <c r="K501" s="409">
        <v>1</v>
      </c>
      <c r="L501" s="409">
        <v>0.13</v>
      </c>
      <c r="M501" s="410" t="s">
        <v>1531</v>
      </c>
      <c r="N501" s="426" t="s">
        <v>2335</v>
      </c>
      <c r="O501" s="393" t="s">
        <v>216</v>
      </c>
      <c r="P501" s="416" t="s">
        <v>1413</v>
      </c>
      <c r="Q501" s="340" t="s">
        <v>2433</v>
      </c>
      <c r="R501" s="338">
        <v>1</v>
      </c>
      <c r="S501" s="408" t="s">
        <v>1413</v>
      </c>
      <c r="T501" s="399" t="s">
        <v>1531</v>
      </c>
      <c r="U501" s="399" t="s">
        <v>1531</v>
      </c>
    </row>
    <row r="502" spans="1:21" ht="15">
      <c r="A502" s="427">
        <v>8.3000000000000007</v>
      </c>
      <c r="B502" s="405" t="s">
        <v>521</v>
      </c>
      <c r="C502" s="394">
        <v>2.3999999999999998E-3</v>
      </c>
      <c r="D502" s="405" t="s">
        <v>521</v>
      </c>
      <c r="E502" s="398" t="s">
        <v>1531</v>
      </c>
      <c r="F502" s="404" t="s">
        <v>1413</v>
      </c>
      <c r="G502" s="398" t="s">
        <v>1531</v>
      </c>
      <c r="H502" s="404" t="s">
        <v>1413</v>
      </c>
      <c r="I502" s="404" t="s">
        <v>1413</v>
      </c>
      <c r="J502" s="404" t="s">
        <v>1413</v>
      </c>
      <c r="K502" s="405">
        <v>1</v>
      </c>
      <c r="L502" s="405">
        <v>0.1</v>
      </c>
      <c r="M502" s="406" t="s">
        <v>1531</v>
      </c>
      <c r="N502" s="425" t="s">
        <v>596</v>
      </c>
      <c r="O502" s="391" t="s">
        <v>86</v>
      </c>
      <c r="P502" s="414" t="s">
        <v>1413</v>
      </c>
      <c r="Q502" s="340" t="s">
        <v>2434</v>
      </c>
      <c r="R502" s="338">
        <v>1</v>
      </c>
      <c r="S502" s="404" t="s">
        <v>1413</v>
      </c>
      <c r="T502" s="394">
        <v>2.3999999999999998E-3</v>
      </c>
      <c r="U502" s="398" t="s">
        <v>1531</v>
      </c>
    </row>
    <row r="503" spans="1:21" ht="15">
      <c r="A503" s="403" t="s">
        <v>1531</v>
      </c>
      <c r="B503" s="404" t="s">
        <v>1413</v>
      </c>
      <c r="C503" s="398" t="s">
        <v>1531</v>
      </c>
      <c r="D503" s="404" t="s">
        <v>1413</v>
      </c>
      <c r="E503" s="394">
        <v>7.0000000000000007E-2</v>
      </c>
      <c r="F503" s="405" t="s">
        <v>406</v>
      </c>
      <c r="G503" s="398" t="s">
        <v>1531</v>
      </c>
      <c r="H503" s="404" t="s">
        <v>1413</v>
      </c>
      <c r="I503" s="405" t="s">
        <v>969</v>
      </c>
      <c r="J503" s="404" t="s">
        <v>1413</v>
      </c>
      <c r="K503" s="405">
        <v>1</v>
      </c>
      <c r="L503" s="411" t="s">
        <v>1531</v>
      </c>
      <c r="M503" s="395">
        <v>500</v>
      </c>
      <c r="N503" s="425" t="s">
        <v>1242</v>
      </c>
      <c r="O503" s="391" t="s">
        <v>95</v>
      </c>
      <c r="P503" s="414" t="s">
        <v>1413</v>
      </c>
      <c r="Q503" s="340" t="s">
        <v>2433</v>
      </c>
      <c r="R503" s="338">
        <v>1</v>
      </c>
      <c r="S503" s="404" t="s">
        <v>1413</v>
      </c>
      <c r="T503" s="398" t="s">
        <v>1531</v>
      </c>
      <c r="U503" s="398" t="s">
        <v>1531</v>
      </c>
    </row>
    <row r="504" spans="1:21" ht="15.6" thickBot="1">
      <c r="A504" s="407" t="s">
        <v>1531</v>
      </c>
      <c r="B504" s="408" t="s">
        <v>1413</v>
      </c>
      <c r="C504" s="399" t="s">
        <v>1531</v>
      </c>
      <c r="D504" s="408" t="s">
        <v>1413</v>
      </c>
      <c r="E504" s="396">
        <v>0.15</v>
      </c>
      <c r="F504" s="409" t="s">
        <v>1412</v>
      </c>
      <c r="G504" s="399" t="s">
        <v>1531</v>
      </c>
      <c r="H504" s="408" t="s">
        <v>1413</v>
      </c>
      <c r="I504" s="408" t="s">
        <v>1413</v>
      </c>
      <c r="J504" s="408" t="s">
        <v>1413</v>
      </c>
      <c r="K504" s="409">
        <v>1</v>
      </c>
      <c r="L504" s="409">
        <v>0.1</v>
      </c>
      <c r="M504" s="410" t="s">
        <v>1531</v>
      </c>
      <c r="N504" s="426" t="s">
        <v>1243</v>
      </c>
      <c r="O504" s="393" t="s">
        <v>96</v>
      </c>
      <c r="P504" s="416" t="s">
        <v>1413</v>
      </c>
      <c r="Q504" s="340" t="s">
        <v>2433</v>
      </c>
      <c r="R504" s="338">
        <v>1</v>
      </c>
      <c r="S504" s="408" t="s">
        <v>1413</v>
      </c>
      <c r="T504" s="399" t="s">
        <v>1531</v>
      </c>
      <c r="U504" s="399" t="s">
        <v>1531</v>
      </c>
    </row>
    <row r="505" spans="1:21" ht="15">
      <c r="A505" s="403" t="s">
        <v>1531</v>
      </c>
      <c r="B505" s="404" t="s">
        <v>1413</v>
      </c>
      <c r="C505" s="398" t="s">
        <v>1531</v>
      </c>
      <c r="D505" s="404" t="s">
        <v>1413</v>
      </c>
      <c r="E505" s="394">
        <v>2.5000000000000001E-2</v>
      </c>
      <c r="F505" s="405" t="s">
        <v>1412</v>
      </c>
      <c r="G505" s="398" t="s">
        <v>1531</v>
      </c>
      <c r="H505" s="404" t="s">
        <v>1413</v>
      </c>
      <c r="I505" s="404" t="s">
        <v>1413</v>
      </c>
      <c r="J505" s="404" t="s">
        <v>1413</v>
      </c>
      <c r="K505" s="405">
        <v>1</v>
      </c>
      <c r="L505" s="405">
        <v>0.1</v>
      </c>
      <c r="M505" s="406" t="s">
        <v>1531</v>
      </c>
      <c r="N505" s="425" t="s">
        <v>1244</v>
      </c>
      <c r="O505" s="391" t="s">
        <v>97</v>
      </c>
      <c r="P505" s="414" t="s">
        <v>1413</v>
      </c>
      <c r="Q505" s="340" t="s">
        <v>2433</v>
      </c>
      <c r="R505" s="338">
        <v>1</v>
      </c>
      <c r="S505" s="404" t="s">
        <v>1413</v>
      </c>
      <c r="T505" s="398" t="s">
        <v>1531</v>
      </c>
      <c r="U505" s="398" t="s">
        <v>1531</v>
      </c>
    </row>
    <row r="506" spans="1:21" ht="15">
      <c r="A506" s="403" t="s">
        <v>1531</v>
      </c>
      <c r="B506" s="404" t="s">
        <v>1413</v>
      </c>
      <c r="C506" s="398" t="s">
        <v>1531</v>
      </c>
      <c r="D506" s="404" t="s">
        <v>1413</v>
      </c>
      <c r="E506" s="394">
        <v>0.25</v>
      </c>
      <c r="F506" s="405" t="s">
        <v>1412</v>
      </c>
      <c r="G506" s="398" t="s">
        <v>1531</v>
      </c>
      <c r="H506" s="404" t="s">
        <v>1413</v>
      </c>
      <c r="I506" s="404" t="s">
        <v>1413</v>
      </c>
      <c r="J506" s="404" t="s">
        <v>1413</v>
      </c>
      <c r="K506" s="405">
        <v>1</v>
      </c>
      <c r="L506" s="405">
        <v>0.1</v>
      </c>
      <c r="M506" s="406" t="s">
        <v>1531</v>
      </c>
      <c r="N506" s="425" t="s">
        <v>2314</v>
      </c>
      <c r="O506" s="391" t="s">
        <v>649</v>
      </c>
      <c r="P506" s="414" t="s">
        <v>1413</v>
      </c>
      <c r="Q506" s="340" t="s">
        <v>2433</v>
      </c>
      <c r="R506" s="338">
        <v>1</v>
      </c>
      <c r="S506" s="404" t="s">
        <v>1413</v>
      </c>
      <c r="T506" s="398" t="s">
        <v>1531</v>
      </c>
      <c r="U506" s="398" t="s">
        <v>1531</v>
      </c>
    </row>
    <row r="507" spans="1:21" ht="15.6" thickBot="1">
      <c r="A507" s="407" t="s">
        <v>1531</v>
      </c>
      <c r="B507" s="408" t="s">
        <v>1413</v>
      </c>
      <c r="C507" s="399" t="s">
        <v>1531</v>
      </c>
      <c r="D507" s="408" t="s">
        <v>1413</v>
      </c>
      <c r="E507" s="396">
        <v>3</v>
      </c>
      <c r="F507" s="409" t="s">
        <v>520</v>
      </c>
      <c r="G507" s="399" t="s">
        <v>1531</v>
      </c>
      <c r="H507" s="408" t="s">
        <v>1413</v>
      </c>
      <c r="I507" s="409" t="s">
        <v>969</v>
      </c>
      <c r="J507" s="408" t="s">
        <v>1413</v>
      </c>
      <c r="K507" s="409">
        <v>1</v>
      </c>
      <c r="L507" s="413" t="s">
        <v>1531</v>
      </c>
      <c r="M507" s="397">
        <v>0.34200000000000003</v>
      </c>
      <c r="N507" s="426" t="s">
        <v>598</v>
      </c>
      <c r="O507" s="393" t="s">
        <v>98</v>
      </c>
      <c r="P507" s="416" t="s">
        <v>1413</v>
      </c>
      <c r="Q507" s="340" t="s">
        <v>2434</v>
      </c>
      <c r="R507" s="338">
        <v>1</v>
      </c>
      <c r="S507" s="408" t="s">
        <v>1413</v>
      </c>
      <c r="T507" s="399" t="s">
        <v>1531</v>
      </c>
      <c r="U507" s="399" t="s">
        <v>1531</v>
      </c>
    </row>
    <row r="508" spans="1:21" ht="15">
      <c r="A508" s="427">
        <v>18</v>
      </c>
      <c r="B508" s="405" t="s">
        <v>521</v>
      </c>
      <c r="C508" s="394">
        <v>5.1000000000000004E-3</v>
      </c>
      <c r="D508" s="405" t="s">
        <v>521</v>
      </c>
      <c r="E508" s="394">
        <v>2.0000000000000001E-4</v>
      </c>
      <c r="F508" s="405" t="s">
        <v>1412</v>
      </c>
      <c r="G508" s="398" t="s">
        <v>1531</v>
      </c>
      <c r="H508" s="404" t="s">
        <v>1413</v>
      </c>
      <c r="I508" s="405" t="s">
        <v>969</v>
      </c>
      <c r="J508" s="404" t="s">
        <v>1413</v>
      </c>
      <c r="K508" s="405">
        <v>1</v>
      </c>
      <c r="L508" s="411" t="s">
        <v>1531</v>
      </c>
      <c r="M508" s="406" t="s">
        <v>1531</v>
      </c>
      <c r="N508" s="425" t="s">
        <v>1408</v>
      </c>
      <c r="O508" s="391" t="s">
        <v>99</v>
      </c>
      <c r="P508" s="414" t="s">
        <v>1413</v>
      </c>
      <c r="Q508" s="340" t="s">
        <v>2433</v>
      </c>
      <c r="R508" s="338">
        <v>1</v>
      </c>
      <c r="S508" s="404" t="s">
        <v>1413</v>
      </c>
      <c r="T508" s="394">
        <v>5.1000000000000004E-3</v>
      </c>
      <c r="U508" s="398" t="s">
        <v>1531</v>
      </c>
    </row>
    <row r="509" spans="1:21" ht="15">
      <c r="A509" s="403" t="s">
        <v>1531</v>
      </c>
      <c r="B509" s="404" t="s">
        <v>1413</v>
      </c>
      <c r="C509" s="398" t="s">
        <v>1531</v>
      </c>
      <c r="D509" s="404" t="s">
        <v>1413</v>
      </c>
      <c r="E509" s="394">
        <v>2E-3</v>
      </c>
      <c r="F509" s="405" t="s">
        <v>1412</v>
      </c>
      <c r="G509" s="398" t="s">
        <v>1531</v>
      </c>
      <c r="H509" s="404" t="s">
        <v>1413</v>
      </c>
      <c r="I509" s="404" t="s">
        <v>1413</v>
      </c>
      <c r="J509" s="404" t="s">
        <v>1413</v>
      </c>
      <c r="K509" s="405">
        <v>1</v>
      </c>
      <c r="L509" s="405">
        <v>0.1</v>
      </c>
      <c r="M509" s="406" t="s">
        <v>1531</v>
      </c>
      <c r="N509" s="425" t="s">
        <v>1245</v>
      </c>
      <c r="O509" s="391" t="s">
        <v>100</v>
      </c>
      <c r="P509" s="414" t="s">
        <v>1413</v>
      </c>
      <c r="Q509" s="340" t="s">
        <v>2433</v>
      </c>
      <c r="R509" s="338">
        <v>1</v>
      </c>
      <c r="S509" s="404" t="s">
        <v>1413</v>
      </c>
      <c r="T509" s="398" t="s">
        <v>1531</v>
      </c>
      <c r="U509" s="398" t="s">
        <v>1531</v>
      </c>
    </row>
    <row r="510" spans="1:21" ht="15.6" thickBot="1">
      <c r="A510" s="407" t="s">
        <v>1531</v>
      </c>
      <c r="B510" s="408" t="s">
        <v>1413</v>
      </c>
      <c r="C510" s="399" t="s">
        <v>1531</v>
      </c>
      <c r="D510" s="408" t="s">
        <v>1413</v>
      </c>
      <c r="E510" s="396">
        <v>5.0000000000000001E-3</v>
      </c>
      <c r="F510" s="409" t="s">
        <v>1412</v>
      </c>
      <c r="G510" s="399" t="s">
        <v>1531</v>
      </c>
      <c r="H510" s="408" t="s">
        <v>1413</v>
      </c>
      <c r="I510" s="408" t="s">
        <v>1413</v>
      </c>
      <c r="J510" s="408" t="s">
        <v>1413</v>
      </c>
      <c r="K510" s="409">
        <v>1</v>
      </c>
      <c r="L510" s="413" t="s">
        <v>1531</v>
      </c>
      <c r="M510" s="410" t="s">
        <v>1531</v>
      </c>
      <c r="N510" s="426" t="s">
        <v>1246</v>
      </c>
      <c r="O510" s="393" t="s">
        <v>101</v>
      </c>
      <c r="P510" s="416" t="s">
        <v>1413</v>
      </c>
      <c r="Q510" s="340" t="s">
        <v>2434</v>
      </c>
      <c r="R510" s="338">
        <v>1</v>
      </c>
      <c r="S510" s="408" t="s">
        <v>1413</v>
      </c>
      <c r="T510" s="399" t="s">
        <v>1531</v>
      </c>
      <c r="U510" s="399" t="s">
        <v>1531</v>
      </c>
    </row>
    <row r="511" spans="1:21" ht="15">
      <c r="A511" s="403" t="s">
        <v>1531</v>
      </c>
      <c r="B511" s="404" t="s">
        <v>1413</v>
      </c>
      <c r="C511" s="398" t="s">
        <v>1531</v>
      </c>
      <c r="D511" s="404" t="s">
        <v>1413</v>
      </c>
      <c r="E511" s="394">
        <v>49</v>
      </c>
      <c r="F511" s="405" t="s">
        <v>520</v>
      </c>
      <c r="G511" s="398" t="s">
        <v>1531</v>
      </c>
      <c r="H511" s="404" t="s">
        <v>1413</v>
      </c>
      <c r="I511" s="404" t="s">
        <v>1413</v>
      </c>
      <c r="J511" s="404" t="s">
        <v>1413</v>
      </c>
      <c r="K511" s="405">
        <v>1</v>
      </c>
      <c r="L511" s="411" t="s">
        <v>1531</v>
      </c>
      <c r="M511" s="406" t="s">
        <v>1531</v>
      </c>
      <c r="N511" s="425" t="s">
        <v>2389</v>
      </c>
      <c r="O511" s="391" t="s">
        <v>1589</v>
      </c>
      <c r="P511" s="414" t="s">
        <v>1413</v>
      </c>
      <c r="Q511" s="340" t="s">
        <v>2433</v>
      </c>
      <c r="R511" s="338">
        <v>1</v>
      </c>
      <c r="S511" s="404" t="s">
        <v>1413</v>
      </c>
      <c r="T511" s="398" t="s">
        <v>1531</v>
      </c>
      <c r="U511" s="398" t="s">
        <v>1531</v>
      </c>
    </row>
    <row r="512" spans="1:21" ht="15">
      <c r="A512" s="403" t="s">
        <v>1531</v>
      </c>
      <c r="B512" s="404" t="s">
        <v>1413</v>
      </c>
      <c r="C512" s="398" t="s">
        <v>1531</v>
      </c>
      <c r="D512" s="404" t="s">
        <v>1413</v>
      </c>
      <c r="E512" s="394">
        <v>49</v>
      </c>
      <c r="F512" s="405" t="s">
        <v>520</v>
      </c>
      <c r="G512" s="398" t="s">
        <v>1531</v>
      </c>
      <c r="H512" s="404" t="s">
        <v>1413</v>
      </c>
      <c r="I512" s="404" t="s">
        <v>1413</v>
      </c>
      <c r="J512" s="404" t="s">
        <v>1413</v>
      </c>
      <c r="K512" s="405">
        <v>1</v>
      </c>
      <c r="L512" s="411" t="s">
        <v>1531</v>
      </c>
      <c r="M512" s="406" t="s">
        <v>1531</v>
      </c>
      <c r="N512" s="425" t="s">
        <v>2390</v>
      </c>
      <c r="O512" s="391" t="s">
        <v>1590</v>
      </c>
      <c r="P512" s="414" t="s">
        <v>1413</v>
      </c>
      <c r="Q512" s="340" t="s">
        <v>2433</v>
      </c>
      <c r="R512" s="338">
        <v>1</v>
      </c>
      <c r="S512" s="404" t="s">
        <v>1413</v>
      </c>
      <c r="T512" s="398" t="s">
        <v>1531</v>
      </c>
      <c r="U512" s="398" t="s">
        <v>1531</v>
      </c>
    </row>
    <row r="513" spans="1:21" ht="15.6" thickBot="1">
      <c r="A513" s="407" t="s">
        <v>1531</v>
      </c>
      <c r="B513" s="408" t="s">
        <v>1413</v>
      </c>
      <c r="C513" s="399" t="s">
        <v>1531</v>
      </c>
      <c r="D513" s="408" t="s">
        <v>1413</v>
      </c>
      <c r="E513" s="396">
        <v>49</v>
      </c>
      <c r="F513" s="409" t="s">
        <v>520</v>
      </c>
      <c r="G513" s="399" t="s">
        <v>1531</v>
      </c>
      <c r="H513" s="408" t="s">
        <v>1413</v>
      </c>
      <c r="I513" s="408" t="s">
        <v>1413</v>
      </c>
      <c r="J513" s="408" t="s">
        <v>1413</v>
      </c>
      <c r="K513" s="409">
        <v>1</v>
      </c>
      <c r="L513" s="413" t="s">
        <v>1531</v>
      </c>
      <c r="M513" s="410" t="s">
        <v>1531</v>
      </c>
      <c r="N513" s="426" t="s">
        <v>2391</v>
      </c>
      <c r="O513" s="393" t="s">
        <v>1591</v>
      </c>
      <c r="P513" s="416" t="s">
        <v>1413</v>
      </c>
      <c r="Q513" s="340" t="s">
        <v>2433</v>
      </c>
      <c r="R513" s="338">
        <v>1</v>
      </c>
      <c r="S513" s="408" t="s">
        <v>1413</v>
      </c>
      <c r="T513" s="399" t="s">
        <v>1531</v>
      </c>
      <c r="U513" s="399" t="s">
        <v>1531</v>
      </c>
    </row>
    <row r="514" spans="1:21" ht="15">
      <c r="A514" s="403" t="s">
        <v>1531</v>
      </c>
      <c r="B514" s="404" t="s">
        <v>1413</v>
      </c>
      <c r="C514" s="398" t="s">
        <v>1531</v>
      </c>
      <c r="D514" s="404" t="s">
        <v>1413</v>
      </c>
      <c r="E514" s="394">
        <v>0.1</v>
      </c>
      <c r="F514" s="405" t="s">
        <v>1412</v>
      </c>
      <c r="G514" s="398" t="s">
        <v>1531</v>
      </c>
      <c r="H514" s="404" t="s">
        <v>1413</v>
      </c>
      <c r="I514" s="404" t="s">
        <v>1413</v>
      </c>
      <c r="J514" s="404" t="s">
        <v>1413</v>
      </c>
      <c r="K514" s="405">
        <v>1</v>
      </c>
      <c r="L514" s="411" t="s">
        <v>1531</v>
      </c>
      <c r="M514" s="406" t="s">
        <v>1531</v>
      </c>
      <c r="N514" s="425" t="s">
        <v>1247</v>
      </c>
      <c r="O514" s="391" t="s">
        <v>102</v>
      </c>
      <c r="P514" s="429">
        <v>4000</v>
      </c>
      <c r="Q514" s="340" t="s">
        <v>2434</v>
      </c>
      <c r="R514" s="338">
        <v>1</v>
      </c>
      <c r="S514" s="404" t="s">
        <v>1413</v>
      </c>
      <c r="T514" s="398" t="s">
        <v>1531</v>
      </c>
      <c r="U514" s="398" t="s">
        <v>1531</v>
      </c>
    </row>
    <row r="515" spans="1:21" ht="15">
      <c r="A515" s="403" t="s">
        <v>1531</v>
      </c>
      <c r="B515" s="404" t="s">
        <v>1413</v>
      </c>
      <c r="C515" s="398" t="s">
        <v>1531</v>
      </c>
      <c r="D515" s="404" t="s">
        <v>1413</v>
      </c>
      <c r="E515" s="394">
        <v>49</v>
      </c>
      <c r="F515" s="405" t="s">
        <v>520</v>
      </c>
      <c r="G515" s="398" t="s">
        <v>1531</v>
      </c>
      <c r="H515" s="404" t="s">
        <v>1413</v>
      </c>
      <c r="I515" s="404" t="s">
        <v>1413</v>
      </c>
      <c r="J515" s="404" t="s">
        <v>1413</v>
      </c>
      <c r="K515" s="405">
        <v>1</v>
      </c>
      <c r="L515" s="411" t="s">
        <v>1531</v>
      </c>
      <c r="M515" s="406" t="s">
        <v>1531</v>
      </c>
      <c r="N515" s="425" t="s">
        <v>2392</v>
      </c>
      <c r="O515" s="391" t="s">
        <v>1592</v>
      </c>
      <c r="P515" s="414" t="s">
        <v>1413</v>
      </c>
      <c r="Q515" s="340" t="s">
        <v>2433</v>
      </c>
      <c r="R515" s="338">
        <v>1</v>
      </c>
      <c r="S515" s="404" t="s">
        <v>1413</v>
      </c>
      <c r="T515" s="398" t="s">
        <v>1531</v>
      </c>
      <c r="U515" s="398" t="s">
        <v>1531</v>
      </c>
    </row>
    <row r="516" spans="1:21" ht="15.6" thickBot="1">
      <c r="A516" s="407" t="s">
        <v>1531</v>
      </c>
      <c r="B516" s="408" t="s">
        <v>1413</v>
      </c>
      <c r="C516" s="399" t="s">
        <v>1531</v>
      </c>
      <c r="D516" s="408" t="s">
        <v>1413</v>
      </c>
      <c r="E516" s="396">
        <v>2E-3</v>
      </c>
      <c r="F516" s="409" t="s">
        <v>520</v>
      </c>
      <c r="G516" s="399" t="s">
        <v>1531</v>
      </c>
      <c r="H516" s="408" t="s">
        <v>1413</v>
      </c>
      <c r="I516" s="408" t="s">
        <v>1413</v>
      </c>
      <c r="J516" s="408" t="s">
        <v>1413</v>
      </c>
      <c r="K516" s="409">
        <v>1</v>
      </c>
      <c r="L516" s="409">
        <v>0.1</v>
      </c>
      <c r="M516" s="410" t="s">
        <v>1531</v>
      </c>
      <c r="N516" s="426" t="s">
        <v>1248</v>
      </c>
      <c r="O516" s="393" t="s">
        <v>103</v>
      </c>
      <c r="P516" s="416" t="s">
        <v>1413</v>
      </c>
      <c r="Q516" s="340" t="s">
        <v>2434</v>
      </c>
      <c r="R516" s="338">
        <v>1</v>
      </c>
      <c r="S516" s="408" t="s">
        <v>1413</v>
      </c>
      <c r="T516" s="399" t="s">
        <v>1531</v>
      </c>
      <c r="U516" s="399" t="s">
        <v>1531</v>
      </c>
    </row>
    <row r="517" spans="1:21" ht="15">
      <c r="A517" s="403" t="s">
        <v>1531</v>
      </c>
      <c r="B517" s="404" t="s">
        <v>1413</v>
      </c>
      <c r="C517" s="398" t="s">
        <v>1531</v>
      </c>
      <c r="D517" s="404" t="s">
        <v>1413</v>
      </c>
      <c r="E517" s="394">
        <v>49</v>
      </c>
      <c r="F517" s="405" t="s">
        <v>520</v>
      </c>
      <c r="G517" s="398" t="s">
        <v>1531</v>
      </c>
      <c r="H517" s="404" t="s">
        <v>1413</v>
      </c>
      <c r="I517" s="404" t="s">
        <v>1413</v>
      </c>
      <c r="J517" s="404" t="s">
        <v>1413</v>
      </c>
      <c r="K517" s="405">
        <v>1</v>
      </c>
      <c r="L517" s="411" t="s">
        <v>1531</v>
      </c>
      <c r="M517" s="406" t="s">
        <v>1531</v>
      </c>
      <c r="N517" s="425" t="s">
        <v>2393</v>
      </c>
      <c r="O517" s="391" t="s">
        <v>1593</v>
      </c>
      <c r="P517" s="414" t="s">
        <v>1413</v>
      </c>
      <c r="Q517" s="340" t="s">
        <v>2433</v>
      </c>
      <c r="R517" s="338">
        <v>1</v>
      </c>
      <c r="S517" s="404" t="s">
        <v>1413</v>
      </c>
      <c r="T517" s="398" t="s">
        <v>1531</v>
      </c>
      <c r="U517" s="398" t="s">
        <v>1531</v>
      </c>
    </row>
    <row r="518" spans="1:21" ht="15">
      <c r="A518" s="403" t="s">
        <v>1531</v>
      </c>
      <c r="B518" s="404" t="s">
        <v>1413</v>
      </c>
      <c r="C518" s="398" t="s">
        <v>1531</v>
      </c>
      <c r="D518" s="404" t="s">
        <v>1413</v>
      </c>
      <c r="E518" s="394">
        <v>49</v>
      </c>
      <c r="F518" s="405" t="s">
        <v>520</v>
      </c>
      <c r="G518" s="398" t="s">
        <v>1531</v>
      </c>
      <c r="H518" s="404" t="s">
        <v>1413</v>
      </c>
      <c r="I518" s="404" t="s">
        <v>1413</v>
      </c>
      <c r="J518" s="404" t="s">
        <v>1413</v>
      </c>
      <c r="K518" s="405">
        <v>1</v>
      </c>
      <c r="L518" s="411" t="s">
        <v>1531</v>
      </c>
      <c r="M518" s="406" t="s">
        <v>1531</v>
      </c>
      <c r="N518" s="425" t="s">
        <v>2360</v>
      </c>
      <c r="O518" s="391" t="s">
        <v>1594</v>
      </c>
      <c r="P518" s="414" t="s">
        <v>1413</v>
      </c>
      <c r="Q518" s="340" t="s">
        <v>2433</v>
      </c>
      <c r="R518" s="338">
        <v>1</v>
      </c>
      <c r="S518" s="404" t="s">
        <v>1413</v>
      </c>
      <c r="T518" s="398" t="s">
        <v>1531</v>
      </c>
      <c r="U518" s="398" t="s">
        <v>1531</v>
      </c>
    </row>
    <row r="519" spans="1:21" ht="15.6" thickBot="1">
      <c r="A519" s="407" t="s">
        <v>1531</v>
      </c>
      <c r="B519" s="408" t="s">
        <v>1413</v>
      </c>
      <c r="C519" s="399" t="s">
        <v>1531</v>
      </c>
      <c r="D519" s="408" t="s">
        <v>1413</v>
      </c>
      <c r="E519" s="396">
        <v>2.5000000000000001E-2</v>
      </c>
      <c r="F519" s="409" t="s">
        <v>1412</v>
      </c>
      <c r="G519" s="399" t="s">
        <v>1531</v>
      </c>
      <c r="H519" s="408" t="s">
        <v>1413</v>
      </c>
      <c r="I519" s="408" t="s">
        <v>1413</v>
      </c>
      <c r="J519" s="408" t="s">
        <v>1413</v>
      </c>
      <c r="K519" s="409">
        <v>1</v>
      </c>
      <c r="L519" s="409">
        <v>0.1</v>
      </c>
      <c r="M519" s="410" t="s">
        <v>1531</v>
      </c>
      <c r="N519" s="426" t="s">
        <v>2315</v>
      </c>
      <c r="O519" s="393" t="s">
        <v>269</v>
      </c>
      <c r="P519" s="416" t="s">
        <v>1413</v>
      </c>
      <c r="Q519" s="340" t="s">
        <v>2434</v>
      </c>
      <c r="R519" s="338">
        <v>1</v>
      </c>
      <c r="S519" s="408" t="s">
        <v>1413</v>
      </c>
      <c r="T519" s="399" t="s">
        <v>1531</v>
      </c>
      <c r="U519" s="399" t="s">
        <v>1531</v>
      </c>
    </row>
    <row r="520" spans="1:21" ht="15">
      <c r="A520" s="403" t="s">
        <v>1531</v>
      </c>
      <c r="B520" s="404" t="s">
        <v>1413</v>
      </c>
      <c r="C520" s="398" t="s">
        <v>1531</v>
      </c>
      <c r="D520" s="404" t="s">
        <v>1413</v>
      </c>
      <c r="E520" s="394">
        <v>2.9999999999999997E-4</v>
      </c>
      <c r="F520" s="405" t="s">
        <v>961</v>
      </c>
      <c r="G520" s="398" t="s">
        <v>1531</v>
      </c>
      <c r="H520" s="404" t="s">
        <v>1413</v>
      </c>
      <c r="I520" s="404" t="s">
        <v>1413</v>
      </c>
      <c r="J520" s="404" t="s">
        <v>1413</v>
      </c>
      <c r="K520" s="405">
        <v>1</v>
      </c>
      <c r="L520" s="405">
        <v>0.1</v>
      </c>
      <c r="M520" s="406" t="s">
        <v>1531</v>
      </c>
      <c r="N520" s="425" t="s">
        <v>1249</v>
      </c>
      <c r="O520" s="391" t="s">
        <v>104</v>
      </c>
      <c r="P520" s="414" t="s">
        <v>1413</v>
      </c>
      <c r="Q520" s="340" t="s">
        <v>2434</v>
      </c>
      <c r="R520" s="338">
        <v>1</v>
      </c>
      <c r="S520" s="404" t="s">
        <v>1413</v>
      </c>
      <c r="T520" s="398" t="s">
        <v>1531</v>
      </c>
      <c r="U520" s="398" t="s">
        <v>1531</v>
      </c>
    </row>
    <row r="521" spans="1:21" ht="15">
      <c r="A521" s="403" t="s">
        <v>1531</v>
      </c>
      <c r="B521" s="404" t="s">
        <v>1413</v>
      </c>
      <c r="C521" s="398" t="s">
        <v>1531</v>
      </c>
      <c r="D521" s="404" t="s">
        <v>1413</v>
      </c>
      <c r="E521" s="394">
        <v>2E-3</v>
      </c>
      <c r="F521" s="405" t="s">
        <v>1412</v>
      </c>
      <c r="G521" s="398" t="s">
        <v>1531</v>
      </c>
      <c r="H521" s="404" t="s">
        <v>1413</v>
      </c>
      <c r="I521" s="405" t="s">
        <v>969</v>
      </c>
      <c r="J521" s="404" t="s">
        <v>1413</v>
      </c>
      <c r="K521" s="405">
        <v>1</v>
      </c>
      <c r="L521" s="411" t="s">
        <v>1531</v>
      </c>
      <c r="M521" s="406" t="s">
        <v>1531</v>
      </c>
      <c r="N521" s="425" t="s">
        <v>1250</v>
      </c>
      <c r="O521" s="391" t="s">
        <v>105</v>
      </c>
      <c r="P521" s="414" t="s">
        <v>1413</v>
      </c>
      <c r="Q521" s="340" t="s">
        <v>2434</v>
      </c>
      <c r="R521" s="338">
        <v>1</v>
      </c>
      <c r="S521" s="404" t="s">
        <v>1413</v>
      </c>
      <c r="T521" s="398" t="s">
        <v>1531</v>
      </c>
      <c r="U521" s="398" t="s">
        <v>1531</v>
      </c>
    </row>
    <row r="522" spans="1:21" ht="15.6" thickBot="1">
      <c r="A522" s="407" t="s">
        <v>1531</v>
      </c>
      <c r="B522" s="408" t="s">
        <v>1413</v>
      </c>
      <c r="C522" s="399" t="s">
        <v>1531</v>
      </c>
      <c r="D522" s="408" t="s">
        <v>1413</v>
      </c>
      <c r="E522" s="396">
        <v>0.03</v>
      </c>
      <c r="F522" s="409" t="s">
        <v>961</v>
      </c>
      <c r="G522" s="396">
        <v>0.1</v>
      </c>
      <c r="H522" s="409" t="s">
        <v>520</v>
      </c>
      <c r="I522" s="409" t="s">
        <v>969</v>
      </c>
      <c r="J522" s="408" t="s">
        <v>1413</v>
      </c>
      <c r="K522" s="409">
        <v>1</v>
      </c>
      <c r="L522" s="413" t="s">
        <v>1531</v>
      </c>
      <c r="M522" s="410" t="s">
        <v>1531</v>
      </c>
      <c r="N522" s="426" t="s">
        <v>599</v>
      </c>
      <c r="O522" s="393" t="s">
        <v>2117</v>
      </c>
      <c r="P522" s="416" t="s">
        <v>1413</v>
      </c>
      <c r="Q522" s="340" t="s">
        <v>2434</v>
      </c>
      <c r="R522" s="338">
        <v>1</v>
      </c>
      <c r="S522" s="408" t="s">
        <v>1413</v>
      </c>
      <c r="T522" s="399" t="s">
        <v>1531</v>
      </c>
      <c r="U522" s="396">
        <v>0.1</v>
      </c>
    </row>
    <row r="523" spans="1:21" ht="15">
      <c r="A523" s="403" t="s">
        <v>1531</v>
      </c>
      <c r="B523" s="404" t="s">
        <v>1413</v>
      </c>
      <c r="C523" s="394">
        <v>3.4E-5</v>
      </c>
      <c r="D523" s="405" t="s">
        <v>521</v>
      </c>
      <c r="E523" s="394">
        <v>0.02</v>
      </c>
      <c r="F523" s="405" t="s">
        <v>1412</v>
      </c>
      <c r="G523" s="394">
        <v>3.0000000000000001E-3</v>
      </c>
      <c r="H523" s="405" t="s">
        <v>1412</v>
      </c>
      <c r="I523" s="405" t="s">
        <v>969</v>
      </c>
      <c r="J523" s="404" t="s">
        <v>1413</v>
      </c>
      <c r="K523" s="405">
        <v>1</v>
      </c>
      <c r="L523" s="405">
        <v>0.13</v>
      </c>
      <c r="M523" s="406" t="s">
        <v>1531</v>
      </c>
      <c r="N523" s="425" t="s">
        <v>2244</v>
      </c>
      <c r="O523" s="391" t="s">
        <v>217</v>
      </c>
      <c r="P523" s="414" t="s">
        <v>1413</v>
      </c>
      <c r="Q523" s="340" t="s">
        <v>2433</v>
      </c>
      <c r="R523" s="338">
        <v>1</v>
      </c>
      <c r="S523" s="404" t="s">
        <v>1413</v>
      </c>
      <c r="T523" s="394">
        <v>3.4E-5</v>
      </c>
      <c r="U523" s="394">
        <v>3.0000000000000001E-3</v>
      </c>
    </row>
    <row r="524" spans="1:21" ht="15">
      <c r="A524" s="427">
        <v>1.8</v>
      </c>
      <c r="B524" s="405" t="s">
        <v>521</v>
      </c>
      <c r="C524" s="394">
        <v>0</v>
      </c>
      <c r="D524" s="405" t="s">
        <v>521</v>
      </c>
      <c r="E524" s="398" t="s">
        <v>1531</v>
      </c>
      <c r="F524" s="404" t="s">
        <v>1413</v>
      </c>
      <c r="G524" s="398" t="s">
        <v>1531</v>
      </c>
      <c r="H524" s="404" t="s">
        <v>1413</v>
      </c>
      <c r="I524" s="404" t="s">
        <v>1413</v>
      </c>
      <c r="J524" s="404" t="s">
        <v>1413</v>
      </c>
      <c r="K524" s="405">
        <v>1</v>
      </c>
      <c r="L524" s="405">
        <v>0.1</v>
      </c>
      <c r="M524" s="406" t="s">
        <v>1531</v>
      </c>
      <c r="N524" s="425" t="s">
        <v>600</v>
      </c>
      <c r="O524" s="391" t="s">
        <v>106</v>
      </c>
      <c r="P524" s="414" t="s">
        <v>1413</v>
      </c>
      <c r="Q524" s="340" t="s">
        <v>2434</v>
      </c>
      <c r="R524" s="338">
        <v>1</v>
      </c>
      <c r="S524" s="404" t="s">
        <v>1413</v>
      </c>
      <c r="T524" s="394">
        <v>0</v>
      </c>
      <c r="U524" s="398" t="s">
        <v>1531</v>
      </c>
    </row>
    <row r="525" spans="1:21" ht="15.6" thickBot="1">
      <c r="A525" s="407" t="s">
        <v>1531</v>
      </c>
      <c r="B525" s="408" t="s">
        <v>1413</v>
      </c>
      <c r="C525" s="399" t="s">
        <v>1531</v>
      </c>
      <c r="D525" s="408" t="s">
        <v>1413</v>
      </c>
      <c r="E525" s="396">
        <v>0.12</v>
      </c>
      <c r="F525" s="409" t="s">
        <v>1474</v>
      </c>
      <c r="G525" s="399" t="s">
        <v>1531</v>
      </c>
      <c r="H525" s="408" t="s">
        <v>1413</v>
      </c>
      <c r="I525" s="408" t="s">
        <v>1413</v>
      </c>
      <c r="J525" s="408" t="s">
        <v>1413</v>
      </c>
      <c r="K525" s="409">
        <v>1</v>
      </c>
      <c r="L525" s="409">
        <v>0.1</v>
      </c>
      <c r="M525" s="410" t="s">
        <v>1531</v>
      </c>
      <c r="N525" s="426" t="s">
        <v>1251</v>
      </c>
      <c r="O525" s="393" t="s">
        <v>107</v>
      </c>
      <c r="P525" s="416" t="s">
        <v>1413</v>
      </c>
      <c r="Q525" s="340" t="s">
        <v>2434</v>
      </c>
      <c r="R525" s="338">
        <v>1</v>
      </c>
      <c r="S525" s="408" t="s">
        <v>1413</v>
      </c>
      <c r="T525" s="399" t="s">
        <v>1531</v>
      </c>
      <c r="U525" s="399" t="s">
        <v>1531</v>
      </c>
    </row>
    <row r="526" spans="1:21" ht="15">
      <c r="A526" s="403" t="s">
        <v>1531</v>
      </c>
      <c r="B526" s="404" t="s">
        <v>1413</v>
      </c>
      <c r="C526" s="394">
        <v>2.5999999999999998E-4</v>
      </c>
      <c r="D526" s="405" t="s">
        <v>521</v>
      </c>
      <c r="E526" s="394">
        <v>1.0999999999999999E-2</v>
      </c>
      <c r="F526" s="405" t="s">
        <v>521</v>
      </c>
      <c r="G526" s="394">
        <v>1.4E-5</v>
      </c>
      <c r="H526" s="405" t="s">
        <v>521</v>
      </c>
      <c r="I526" s="404" t="s">
        <v>1413</v>
      </c>
      <c r="J526" s="404" t="s">
        <v>1413</v>
      </c>
      <c r="K526" s="405">
        <v>1</v>
      </c>
      <c r="L526" s="405">
        <v>0.1</v>
      </c>
      <c r="M526" s="406" t="s">
        <v>1531</v>
      </c>
      <c r="N526" s="425" t="s">
        <v>2118</v>
      </c>
      <c r="O526" s="391" t="s">
        <v>2119</v>
      </c>
      <c r="P526" s="414" t="s">
        <v>1413</v>
      </c>
      <c r="Q526" s="340" t="s">
        <v>2433</v>
      </c>
      <c r="R526" s="338">
        <v>1</v>
      </c>
      <c r="S526" s="404" t="s">
        <v>1413</v>
      </c>
      <c r="T526" s="394">
        <v>2.5999999999999998E-4</v>
      </c>
      <c r="U526" s="394">
        <v>1.4E-5</v>
      </c>
    </row>
    <row r="527" spans="1:21" ht="15">
      <c r="A527" s="403" t="s">
        <v>1531</v>
      </c>
      <c r="B527" s="404" t="s">
        <v>1413</v>
      </c>
      <c r="C527" s="394">
        <v>2.5999999999999998E-4</v>
      </c>
      <c r="D527" s="405" t="s">
        <v>521</v>
      </c>
      <c r="E527" s="394">
        <v>1.0999999999999999E-2</v>
      </c>
      <c r="F527" s="405" t="s">
        <v>521</v>
      </c>
      <c r="G527" s="394">
        <v>1.4E-5</v>
      </c>
      <c r="H527" s="405" t="s">
        <v>521</v>
      </c>
      <c r="I527" s="404" t="s">
        <v>1413</v>
      </c>
      <c r="J527" s="404" t="s">
        <v>1413</v>
      </c>
      <c r="K527" s="405">
        <v>1</v>
      </c>
      <c r="L527" s="405">
        <v>0.1</v>
      </c>
      <c r="M527" s="406" t="s">
        <v>1531</v>
      </c>
      <c r="N527" s="425" t="s">
        <v>2120</v>
      </c>
      <c r="O527" s="391" t="s">
        <v>2121</v>
      </c>
      <c r="P527" s="414" t="s">
        <v>1413</v>
      </c>
      <c r="Q527" s="340" t="s">
        <v>2433</v>
      </c>
      <c r="R527" s="338">
        <v>1</v>
      </c>
      <c r="S527" s="404" t="s">
        <v>1413</v>
      </c>
      <c r="T527" s="394">
        <v>2.5999999999999998E-4</v>
      </c>
      <c r="U527" s="394">
        <v>1.4E-5</v>
      </c>
    </row>
    <row r="528" spans="1:21" ht="15.6" thickBot="1">
      <c r="A528" s="407" t="s">
        <v>1531</v>
      </c>
      <c r="B528" s="408" t="s">
        <v>1413</v>
      </c>
      <c r="C528" s="396">
        <v>2.5999999999999998E-4</v>
      </c>
      <c r="D528" s="409" t="s">
        <v>521</v>
      </c>
      <c r="E528" s="396">
        <v>1.0999999999999999E-2</v>
      </c>
      <c r="F528" s="409" t="s">
        <v>521</v>
      </c>
      <c r="G528" s="396">
        <v>1.4E-5</v>
      </c>
      <c r="H528" s="409" t="s">
        <v>521</v>
      </c>
      <c r="I528" s="409" t="s">
        <v>969</v>
      </c>
      <c r="J528" s="408" t="s">
        <v>1413</v>
      </c>
      <c r="K528" s="409">
        <v>1</v>
      </c>
      <c r="L528" s="413" t="s">
        <v>1531</v>
      </c>
      <c r="M528" s="410" t="s">
        <v>1531</v>
      </c>
      <c r="N528" s="426" t="s">
        <v>601</v>
      </c>
      <c r="O528" s="393" t="s">
        <v>108</v>
      </c>
      <c r="P528" s="416" t="s">
        <v>1413</v>
      </c>
      <c r="Q528" s="340" t="s">
        <v>2433</v>
      </c>
      <c r="R528" s="338">
        <v>1</v>
      </c>
      <c r="S528" s="408" t="s">
        <v>1413</v>
      </c>
      <c r="T528" s="396">
        <v>2.5999999999999998E-4</v>
      </c>
      <c r="U528" s="396">
        <v>1.4E-5</v>
      </c>
    </row>
    <row r="529" spans="1:21" ht="15">
      <c r="A529" s="403" t="s">
        <v>1531</v>
      </c>
      <c r="B529" s="404" t="s">
        <v>1413</v>
      </c>
      <c r="C529" s="394">
        <v>2.5999999999999998E-4</v>
      </c>
      <c r="D529" s="405" t="s">
        <v>521</v>
      </c>
      <c r="E529" s="394">
        <v>1.0999999999999999E-2</v>
      </c>
      <c r="F529" s="405" t="s">
        <v>521</v>
      </c>
      <c r="G529" s="394">
        <v>1.4E-5</v>
      </c>
      <c r="H529" s="405" t="s">
        <v>521</v>
      </c>
      <c r="I529" s="404" t="s">
        <v>1413</v>
      </c>
      <c r="J529" s="404" t="s">
        <v>1413</v>
      </c>
      <c r="K529" s="405">
        <v>0.04</v>
      </c>
      <c r="L529" s="411" t="s">
        <v>1531</v>
      </c>
      <c r="M529" s="406" t="s">
        <v>1531</v>
      </c>
      <c r="N529" s="425" t="s">
        <v>2122</v>
      </c>
      <c r="O529" s="391" t="s">
        <v>2123</v>
      </c>
      <c r="P529" s="414" t="s">
        <v>1413</v>
      </c>
      <c r="Q529" s="340" t="s">
        <v>2434</v>
      </c>
      <c r="R529" s="338">
        <v>1</v>
      </c>
      <c r="S529" s="404" t="s">
        <v>1413</v>
      </c>
      <c r="T529" s="394">
        <v>2.5999999999999998E-4</v>
      </c>
      <c r="U529" s="394">
        <v>1.4E-5</v>
      </c>
    </row>
    <row r="530" spans="1:21" ht="15">
      <c r="A530" s="403" t="s">
        <v>1531</v>
      </c>
      <c r="B530" s="404" t="s">
        <v>1413</v>
      </c>
      <c r="C530" s="394">
        <v>2.5999999999999998E-4</v>
      </c>
      <c r="D530" s="405" t="s">
        <v>521</v>
      </c>
      <c r="E530" s="394">
        <v>1.0999999999999999E-2</v>
      </c>
      <c r="F530" s="405" t="s">
        <v>521</v>
      </c>
      <c r="G530" s="394">
        <v>2.0000000000000002E-5</v>
      </c>
      <c r="H530" s="405" t="s">
        <v>521</v>
      </c>
      <c r="I530" s="404" t="s">
        <v>1413</v>
      </c>
      <c r="J530" s="404" t="s">
        <v>1413</v>
      </c>
      <c r="K530" s="405">
        <v>0.04</v>
      </c>
      <c r="L530" s="411" t="s">
        <v>1531</v>
      </c>
      <c r="M530" s="406" t="s">
        <v>1531</v>
      </c>
      <c r="N530" s="425" t="s">
        <v>602</v>
      </c>
      <c r="O530" s="391" t="s">
        <v>109</v>
      </c>
      <c r="P530" s="414" t="s">
        <v>1413</v>
      </c>
      <c r="Q530" s="340" t="s">
        <v>2434</v>
      </c>
      <c r="R530" s="338">
        <v>1</v>
      </c>
      <c r="S530" s="404" t="s">
        <v>1413</v>
      </c>
      <c r="T530" s="394">
        <v>2.5999999999999998E-4</v>
      </c>
      <c r="U530" s="394">
        <v>2.0000000000000002E-5</v>
      </c>
    </row>
    <row r="531" spans="1:21" ht="15.6" thickBot="1">
      <c r="A531" s="407" t="s">
        <v>1531</v>
      </c>
      <c r="B531" s="408" t="s">
        <v>1413</v>
      </c>
      <c r="C531" s="396">
        <v>2.4000000000000001E-4</v>
      </c>
      <c r="D531" s="409" t="s">
        <v>1412</v>
      </c>
      <c r="E531" s="396">
        <v>1.0999999999999999E-2</v>
      </c>
      <c r="F531" s="409" t="s">
        <v>521</v>
      </c>
      <c r="G531" s="396">
        <v>1.4E-5</v>
      </c>
      <c r="H531" s="409" t="s">
        <v>521</v>
      </c>
      <c r="I531" s="408" t="s">
        <v>1413</v>
      </c>
      <c r="J531" s="408" t="s">
        <v>1413</v>
      </c>
      <c r="K531" s="409">
        <v>0.04</v>
      </c>
      <c r="L531" s="413" t="s">
        <v>1531</v>
      </c>
      <c r="M531" s="410" t="s">
        <v>1531</v>
      </c>
      <c r="N531" s="426" t="s">
        <v>1252</v>
      </c>
      <c r="O531" s="508" t="s">
        <v>2171</v>
      </c>
      <c r="P531" s="416" t="s">
        <v>1413</v>
      </c>
      <c r="Q531" s="340" t="s">
        <v>2434</v>
      </c>
      <c r="R531" s="338">
        <v>1</v>
      </c>
      <c r="S531" s="408" t="s">
        <v>1413</v>
      </c>
      <c r="T531" s="396">
        <v>2.4000000000000001E-4</v>
      </c>
      <c r="U531" s="396">
        <v>1.4E-5</v>
      </c>
    </row>
    <row r="532" spans="1:21" ht="15">
      <c r="A532" s="403" t="s">
        <v>1531</v>
      </c>
      <c r="B532" s="404" t="s">
        <v>1413</v>
      </c>
      <c r="C532" s="394">
        <v>2.5999999999999998E-4</v>
      </c>
      <c r="D532" s="405" t="s">
        <v>521</v>
      </c>
      <c r="E532" s="394">
        <v>0.02</v>
      </c>
      <c r="F532" s="405" t="s">
        <v>1412</v>
      </c>
      <c r="G532" s="394">
        <v>9.0000000000000006E-5</v>
      </c>
      <c r="H532" s="405" t="s">
        <v>1414</v>
      </c>
      <c r="I532" s="404" t="s">
        <v>1413</v>
      </c>
      <c r="J532" s="404" t="s">
        <v>1413</v>
      </c>
      <c r="K532" s="405">
        <v>0.04</v>
      </c>
      <c r="L532" s="411" t="s">
        <v>1531</v>
      </c>
      <c r="M532" s="406" t="s">
        <v>1531</v>
      </c>
      <c r="N532" s="425" t="s">
        <v>1253</v>
      </c>
      <c r="O532" s="391" t="s">
        <v>110</v>
      </c>
      <c r="P532" s="414" t="s">
        <v>1413</v>
      </c>
      <c r="Q532" s="340" t="s">
        <v>2433</v>
      </c>
      <c r="R532" s="338">
        <v>1</v>
      </c>
      <c r="S532" s="404" t="s">
        <v>1413</v>
      </c>
      <c r="T532" s="394">
        <v>2.5999999999999998E-4</v>
      </c>
      <c r="U532" s="394">
        <v>9.0000000000000006E-5</v>
      </c>
    </row>
    <row r="533" spans="1:21" ht="15">
      <c r="A533" s="427">
        <v>1.7</v>
      </c>
      <c r="B533" s="405" t="s">
        <v>521</v>
      </c>
      <c r="C533" s="394">
        <v>4.8000000000000001E-4</v>
      </c>
      <c r="D533" s="405" t="s">
        <v>1412</v>
      </c>
      <c r="E533" s="394">
        <v>1.0999999999999999E-2</v>
      </c>
      <c r="F533" s="405" t="s">
        <v>521</v>
      </c>
      <c r="G533" s="394">
        <v>1.4E-5</v>
      </c>
      <c r="H533" s="405" t="s">
        <v>521</v>
      </c>
      <c r="I533" s="404" t="s">
        <v>1413</v>
      </c>
      <c r="J533" s="404" t="s">
        <v>1413</v>
      </c>
      <c r="K533" s="405">
        <v>0.04</v>
      </c>
      <c r="L533" s="411" t="s">
        <v>1531</v>
      </c>
      <c r="M533" s="406" t="s">
        <v>1531</v>
      </c>
      <c r="N533" s="425" t="s">
        <v>1254</v>
      </c>
      <c r="O533" s="391" t="s">
        <v>111</v>
      </c>
      <c r="P533" s="414" t="s">
        <v>1413</v>
      </c>
      <c r="Q533" s="340" t="s">
        <v>2433</v>
      </c>
      <c r="R533" s="338">
        <v>1</v>
      </c>
      <c r="S533" s="404" t="s">
        <v>1413</v>
      </c>
      <c r="T533" s="394">
        <v>4.8000000000000001E-4</v>
      </c>
      <c r="U533" s="394">
        <v>1.4E-5</v>
      </c>
    </row>
    <row r="534" spans="1:21" ht="15.6" thickBot="1">
      <c r="A534" s="407" t="s">
        <v>1531</v>
      </c>
      <c r="B534" s="408" t="s">
        <v>1413</v>
      </c>
      <c r="C534" s="396">
        <v>2.5999999999999998E-4</v>
      </c>
      <c r="D534" s="409" t="s">
        <v>521</v>
      </c>
      <c r="E534" s="396">
        <v>1.0999999999999999E-2</v>
      </c>
      <c r="F534" s="409" t="s">
        <v>521</v>
      </c>
      <c r="G534" s="396">
        <v>1.4E-5</v>
      </c>
      <c r="H534" s="409" t="s">
        <v>521</v>
      </c>
      <c r="I534" s="408" t="s">
        <v>1413</v>
      </c>
      <c r="J534" s="408" t="s">
        <v>1413</v>
      </c>
      <c r="K534" s="409">
        <v>1</v>
      </c>
      <c r="L534" s="409">
        <v>0.1</v>
      </c>
      <c r="M534" s="410" t="s">
        <v>1531</v>
      </c>
      <c r="N534" s="426" t="s">
        <v>2124</v>
      </c>
      <c r="O534" s="393" t="s">
        <v>2125</v>
      </c>
      <c r="P534" s="416" t="s">
        <v>1413</v>
      </c>
      <c r="Q534" s="340" t="s">
        <v>2434</v>
      </c>
      <c r="R534" s="338">
        <v>1</v>
      </c>
      <c r="S534" s="408" t="s">
        <v>1413</v>
      </c>
      <c r="T534" s="396">
        <v>2.5999999999999998E-4</v>
      </c>
      <c r="U534" s="396">
        <v>1.4E-5</v>
      </c>
    </row>
    <row r="535" spans="1:21" ht="15">
      <c r="A535" s="403" t="s">
        <v>1531</v>
      </c>
      <c r="B535" s="404" t="s">
        <v>1413</v>
      </c>
      <c r="C535" s="398" t="s">
        <v>1531</v>
      </c>
      <c r="D535" s="404" t="s">
        <v>1413</v>
      </c>
      <c r="E535" s="394">
        <v>1.6</v>
      </c>
      <c r="F535" s="405" t="s">
        <v>1412</v>
      </c>
      <c r="G535" s="398" t="s">
        <v>1531</v>
      </c>
      <c r="H535" s="404" t="s">
        <v>1413</v>
      </c>
      <c r="I535" s="404" t="s">
        <v>1413</v>
      </c>
      <c r="J535" s="404" t="s">
        <v>1413</v>
      </c>
      <c r="K535" s="405">
        <v>1</v>
      </c>
      <c r="L535" s="411" t="s">
        <v>1531</v>
      </c>
      <c r="M535" s="406" t="s">
        <v>1531</v>
      </c>
      <c r="N535" s="425" t="s">
        <v>1255</v>
      </c>
      <c r="O535" s="391" t="s">
        <v>112</v>
      </c>
      <c r="P535" s="429">
        <v>10000</v>
      </c>
      <c r="Q535" s="340" t="s">
        <v>2433</v>
      </c>
      <c r="R535" s="338">
        <v>1</v>
      </c>
      <c r="S535" s="404" t="s">
        <v>1413</v>
      </c>
      <c r="T535" s="398" t="s">
        <v>1531</v>
      </c>
      <c r="U535" s="398" t="s">
        <v>1531</v>
      </c>
    </row>
    <row r="536" spans="1:21" ht="15">
      <c r="A536" s="403" t="s">
        <v>1531</v>
      </c>
      <c r="B536" s="404" t="s">
        <v>1413</v>
      </c>
      <c r="C536" s="398" t="s">
        <v>1531</v>
      </c>
      <c r="D536" s="404" t="s">
        <v>1413</v>
      </c>
      <c r="E536" s="398" t="s">
        <v>1531</v>
      </c>
      <c r="F536" s="404" t="s">
        <v>1413</v>
      </c>
      <c r="G536" s="398" t="s">
        <v>1531</v>
      </c>
      <c r="H536" s="404" t="s">
        <v>1413</v>
      </c>
      <c r="I536" s="404" t="s">
        <v>1413</v>
      </c>
      <c r="J536" s="404" t="s">
        <v>1413</v>
      </c>
      <c r="K536" s="405">
        <v>1</v>
      </c>
      <c r="L536" s="411" t="s">
        <v>1531</v>
      </c>
      <c r="M536" s="406" t="s">
        <v>1531</v>
      </c>
      <c r="N536" s="425" t="s">
        <v>2000</v>
      </c>
      <c r="O536" s="506" t="s">
        <v>2172</v>
      </c>
      <c r="P536" s="429">
        <v>10000</v>
      </c>
      <c r="Q536" s="340" t="s">
        <v>2433</v>
      </c>
      <c r="R536" s="338">
        <v>1</v>
      </c>
      <c r="S536" s="404" t="s">
        <v>1413</v>
      </c>
      <c r="T536" s="398" t="s">
        <v>1531</v>
      </c>
      <c r="U536" s="398" t="s">
        <v>1531</v>
      </c>
    </row>
    <row r="537" spans="1:21" ht="15.6" thickBot="1">
      <c r="A537" s="407" t="s">
        <v>1531</v>
      </c>
      <c r="B537" s="408" t="s">
        <v>1413</v>
      </c>
      <c r="C537" s="399" t="s">
        <v>1531</v>
      </c>
      <c r="D537" s="408" t="s">
        <v>1413</v>
      </c>
      <c r="E537" s="396">
        <v>0.1</v>
      </c>
      <c r="F537" s="409" t="s">
        <v>1412</v>
      </c>
      <c r="G537" s="399" t="s">
        <v>1531</v>
      </c>
      <c r="H537" s="408" t="s">
        <v>1413</v>
      </c>
      <c r="I537" s="408" t="s">
        <v>1413</v>
      </c>
      <c r="J537" s="408" t="s">
        <v>1413</v>
      </c>
      <c r="K537" s="409">
        <v>1</v>
      </c>
      <c r="L537" s="413" t="s">
        <v>1531</v>
      </c>
      <c r="M537" s="410" t="s">
        <v>1531</v>
      </c>
      <c r="N537" s="426" t="s">
        <v>1256</v>
      </c>
      <c r="O537" s="393" t="s">
        <v>113</v>
      </c>
      <c r="P537" s="415">
        <v>1000</v>
      </c>
      <c r="Q537" s="340" t="s">
        <v>2434</v>
      </c>
      <c r="R537" s="338">
        <v>1</v>
      </c>
      <c r="S537" s="408" t="s">
        <v>1413</v>
      </c>
      <c r="T537" s="399" t="s">
        <v>1531</v>
      </c>
      <c r="U537" s="399" t="s">
        <v>1531</v>
      </c>
    </row>
    <row r="538" spans="1:21" ht="15">
      <c r="A538" s="403" t="s">
        <v>1531</v>
      </c>
      <c r="B538" s="404" t="s">
        <v>1413</v>
      </c>
      <c r="C538" s="398" t="s">
        <v>1531</v>
      </c>
      <c r="D538" s="404" t="s">
        <v>1413</v>
      </c>
      <c r="E538" s="394">
        <v>0.01</v>
      </c>
      <c r="F538" s="405" t="s">
        <v>961</v>
      </c>
      <c r="G538" s="394">
        <v>5.0000000000000002E-5</v>
      </c>
      <c r="H538" s="405" t="s">
        <v>961</v>
      </c>
      <c r="I538" s="404" t="s">
        <v>1413</v>
      </c>
      <c r="J538" s="404" t="s">
        <v>1413</v>
      </c>
      <c r="K538" s="405">
        <v>1</v>
      </c>
      <c r="L538" s="405">
        <v>0.1</v>
      </c>
      <c r="M538" s="406" t="s">
        <v>1531</v>
      </c>
      <c r="N538" s="425" t="s">
        <v>603</v>
      </c>
      <c r="O538" s="391" t="s">
        <v>114</v>
      </c>
      <c r="P538" s="414" t="s">
        <v>1413</v>
      </c>
      <c r="Q538" s="340" t="s">
        <v>2434</v>
      </c>
      <c r="R538" s="338">
        <v>1</v>
      </c>
      <c r="S538" s="404" t="s">
        <v>1413</v>
      </c>
      <c r="T538" s="398" t="s">
        <v>1531</v>
      </c>
      <c r="U538" s="394">
        <v>5.0000000000000002E-5</v>
      </c>
    </row>
    <row r="539" spans="1:21" ht="15">
      <c r="A539" s="427">
        <v>0.02</v>
      </c>
      <c r="B539" s="405" t="s">
        <v>520</v>
      </c>
      <c r="C539" s="398" t="s">
        <v>1531</v>
      </c>
      <c r="D539" s="404" t="s">
        <v>1413</v>
      </c>
      <c r="E539" s="394">
        <v>4.0000000000000001E-3</v>
      </c>
      <c r="F539" s="405" t="s">
        <v>520</v>
      </c>
      <c r="G539" s="394">
        <v>6.0000000000000001E-3</v>
      </c>
      <c r="H539" s="405" t="s">
        <v>520</v>
      </c>
      <c r="I539" s="404" t="s">
        <v>1413</v>
      </c>
      <c r="J539" s="404" t="s">
        <v>1413</v>
      </c>
      <c r="K539" s="405">
        <v>1</v>
      </c>
      <c r="L539" s="405">
        <v>0.1</v>
      </c>
      <c r="M539" s="406" t="s">
        <v>1531</v>
      </c>
      <c r="N539" s="425" t="s">
        <v>537</v>
      </c>
      <c r="O539" s="391" t="s">
        <v>115</v>
      </c>
      <c r="P539" s="414" t="s">
        <v>1413</v>
      </c>
      <c r="Q539" s="340" t="s">
        <v>2434</v>
      </c>
      <c r="R539" s="338">
        <v>1</v>
      </c>
      <c r="S539" s="404" t="s">
        <v>1413</v>
      </c>
      <c r="T539" s="398" t="s">
        <v>1531</v>
      </c>
      <c r="U539" s="394">
        <v>6.0000000000000001E-3</v>
      </c>
    </row>
    <row r="540" spans="1:21" ht="15.6" thickBot="1">
      <c r="A540" s="407" t="s">
        <v>1531</v>
      </c>
      <c r="B540" s="408" t="s">
        <v>1413</v>
      </c>
      <c r="C540" s="396">
        <v>4.0000000000000003E-5</v>
      </c>
      <c r="D540" s="409" t="s">
        <v>1412</v>
      </c>
      <c r="E540" s="396">
        <v>2E-3</v>
      </c>
      <c r="F540" s="409" t="s">
        <v>1412</v>
      </c>
      <c r="G540" s="396">
        <v>8.9999999999999993E-3</v>
      </c>
      <c r="H540" s="409" t="s">
        <v>1412</v>
      </c>
      <c r="I540" s="409" t="s">
        <v>969</v>
      </c>
      <c r="J540" s="408" t="s">
        <v>1413</v>
      </c>
      <c r="K540" s="409">
        <v>1</v>
      </c>
      <c r="L540" s="413" t="s">
        <v>1531</v>
      </c>
      <c r="M540" s="397">
        <v>3050</v>
      </c>
      <c r="N540" s="426" t="s">
        <v>391</v>
      </c>
      <c r="O540" s="393" t="s">
        <v>116</v>
      </c>
      <c r="P540" s="416" t="s">
        <v>1413</v>
      </c>
      <c r="Q540" s="340" t="s">
        <v>2434</v>
      </c>
      <c r="R540" s="338">
        <v>1</v>
      </c>
      <c r="S540" s="408" t="s">
        <v>1413</v>
      </c>
      <c r="T540" s="396">
        <v>4.0000000000000003E-5</v>
      </c>
      <c r="U540" s="396">
        <v>8.9999999999999993E-3</v>
      </c>
    </row>
    <row r="541" spans="1:21" ht="15">
      <c r="A541" s="403" t="s">
        <v>1531</v>
      </c>
      <c r="B541" s="404" t="s">
        <v>1413</v>
      </c>
      <c r="C541" s="398" t="s">
        <v>1531</v>
      </c>
      <c r="D541" s="404" t="s">
        <v>1413</v>
      </c>
      <c r="E541" s="394">
        <v>3000</v>
      </c>
      <c r="F541" s="405" t="s">
        <v>520</v>
      </c>
      <c r="G541" s="398" t="s">
        <v>1531</v>
      </c>
      <c r="H541" s="404" t="s">
        <v>1413</v>
      </c>
      <c r="I541" s="404" t="s">
        <v>1413</v>
      </c>
      <c r="J541" s="404" t="s">
        <v>1413</v>
      </c>
      <c r="K541" s="405">
        <v>1</v>
      </c>
      <c r="L541" s="405">
        <v>0.1</v>
      </c>
      <c r="M541" s="406" t="s">
        <v>1531</v>
      </c>
      <c r="N541" s="425" t="s">
        <v>604</v>
      </c>
      <c r="O541" s="391" t="s">
        <v>117</v>
      </c>
      <c r="P541" s="414" t="s">
        <v>1413</v>
      </c>
      <c r="Q541" s="340" t="s">
        <v>2434</v>
      </c>
      <c r="R541" s="338">
        <v>1</v>
      </c>
      <c r="S541" s="404" t="s">
        <v>1413</v>
      </c>
      <c r="T541" s="398" t="s">
        <v>1531</v>
      </c>
      <c r="U541" s="398" t="s">
        <v>1531</v>
      </c>
    </row>
    <row r="542" spans="1:21" ht="15">
      <c r="A542" s="403" t="s">
        <v>1531</v>
      </c>
      <c r="B542" s="404" t="s">
        <v>1413</v>
      </c>
      <c r="C542" s="398" t="s">
        <v>1531</v>
      </c>
      <c r="D542" s="404" t="s">
        <v>1413</v>
      </c>
      <c r="E542" s="394">
        <v>7.0000000000000007E-2</v>
      </c>
      <c r="F542" s="405" t="s">
        <v>406</v>
      </c>
      <c r="G542" s="398" t="s">
        <v>1531</v>
      </c>
      <c r="H542" s="404" t="s">
        <v>1413</v>
      </c>
      <c r="I542" s="404" t="s">
        <v>1413</v>
      </c>
      <c r="J542" s="404" t="s">
        <v>1413</v>
      </c>
      <c r="K542" s="405">
        <v>1</v>
      </c>
      <c r="L542" s="405">
        <v>0.1</v>
      </c>
      <c r="M542" s="406" t="s">
        <v>1531</v>
      </c>
      <c r="N542" s="425" t="s">
        <v>1257</v>
      </c>
      <c r="O542" s="391" t="s">
        <v>118</v>
      </c>
      <c r="P542" s="414" t="s">
        <v>1413</v>
      </c>
      <c r="Q542" s="340" t="s">
        <v>2434</v>
      </c>
      <c r="R542" s="338">
        <v>1</v>
      </c>
      <c r="S542" s="404" t="s">
        <v>1413</v>
      </c>
      <c r="T542" s="398" t="s">
        <v>1531</v>
      </c>
      <c r="U542" s="398" t="s">
        <v>1531</v>
      </c>
    </row>
    <row r="543" spans="1:21" ht="15.6" thickBot="1">
      <c r="A543" s="412">
        <v>1.3</v>
      </c>
      <c r="B543" s="409" t="s">
        <v>521</v>
      </c>
      <c r="C543" s="396">
        <v>3.6999999999999999E-4</v>
      </c>
      <c r="D543" s="409" t="s">
        <v>521</v>
      </c>
      <c r="E543" s="399" t="s">
        <v>1531</v>
      </c>
      <c r="F543" s="408" t="s">
        <v>1413</v>
      </c>
      <c r="G543" s="399" t="s">
        <v>1531</v>
      </c>
      <c r="H543" s="408" t="s">
        <v>1413</v>
      </c>
      <c r="I543" s="408" t="s">
        <v>1413</v>
      </c>
      <c r="J543" s="408" t="s">
        <v>1413</v>
      </c>
      <c r="K543" s="409">
        <v>1</v>
      </c>
      <c r="L543" s="409">
        <v>0.1</v>
      </c>
      <c r="M543" s="410" t="s">
        <v>1531</v>
      </c>
      <c r="N543" s="426" t="s">
        <v>1409</v>
      </c>
      <c r="O543" s="393" t="s">
        <v>119</v>
      </c>
      <c r="P543" s="416" t="s">
        <v>1413</v>
      </c>
      <c r="Q543" s="340" t="s">
        <v>2434</v>
      </c>
      <c r="R543" s="338">
        <v>1</v>
      </c>
      <c r="S543" s="408" t="s">
        <v>1413</v>
      </c>
      <c r="T543" s="396">
        <v>3.6999999999999999E-4</v>
      </c>
      <c r="U543" s="399" t="s">
        <v>1531</v>
      </c>
    </row>
    <row r="544" spans="1:21" ht="15">
      <c r="A544" s="427">
        <v>1.7000000000000001E-2</v>
      </c>
      <c r="B544" s="405" t="s">
        <v>520</v>
      </c>
      <c r="C544" s="398" t="s">
        <v>1531</v>
      </c>
      <c r="D544" s="404" t="s">
        <v>1413</v>
      </c>
      <c r="E544" s="394">
        <v>1E-4</v>
      </c>
      <c r="F544" s="405" t="s">
        <v>520</v>
      </c>
      <c r="G544" s="398" t="s">
        <v>1531</v>
      </c>
      <c r="H544" s="404" t="s">
        <v>1413</v>
      </c>
      <c r="I544" s="404" t="s">
        <v>1413</v>
      </c>
      <c r="J544" s="404" t="s">
        <v>1413</v>
      </c>
      <c r="K544" s="405">
        <v>1</v>
      </c>
      <c r="L544" s="405">
        <v>0.1</v>
      </c>
      <c r="M544" s="406" t="s">
        <v>1531</v>
      </c>
      <c r="N544" s="425" t="s">
        <v>1258</v>
      </c>
      <c r="O544" s="391" t="s">
        <v>120</v>
      </c>
      <c r="P544" s="414" t="s">
        <v>1413</v>
      </c>
      <c r="Q544" s="340" t="s">
        <v>2434</v>
      </c>
      <c r="R544" s="338">
        <v>1</v>
      </c>
      <c r="S544" s="404" t="s">
        <v>1413</v>
      </c>
      <c r="T544" s="398" t="s">
        <v>1531</v>
      </c>
      <c r="U544" s="398" t="s">
        <v>1531</v>
      </c>
    </row>
    <row r="545" spans="1:21" ht="15">
      <c r="A545" s="403" t="s">
        <v>1531</v>
      </c>
      <c r="B545" s="404" t="s">
        <v>1413</v>
      </c>
      <c r="C545" s="398" t="s">
        <v>1531</v>
      </c>
      <c r="D545" s="404" t="s">
        <v>1413</v>
      </c>
      <c r="E545" s="394">
        <v>0.1</v>
      </c>
      <c r="F545" s="405" t="s">
        <v>1412</v>
      </c>
      <c r="G545" s="398" t="s">
        <v>1531</v>
      </c>
      <c r="H545" s="404" t="s">
        <v>1413</v>
      </c>
      <c r="I545" s="404" t="s">
        <v>1413</v>
      </c>
      <c r="J545" s="404" t="s">
        <v>1413</v>
      </c>
      <c r="K545" s="405">
        <v>1</v>
      </c>
      <c r="L545" s="405">
        <v>0.1</v>
      </c>
      <c r="M545" s="406" t="s">
        <v>1531</v>
      </c>
      <c r="N545" s="425" t="s">
        <v>1259</v>
      </c>
      <c r="O545" s="391" t="s">
        <v>121</v>
      </c>
      <c r="P545" s="414" t="s">
        <v>1413</v>
      </c>
      <c r="Q545" s="340" t="s">
        <v>2434</v>
      </c>
      <c r="R545" s="338">
        <v>1</v>
      </c>
      <c r="S545" s="404" t="s">
        <v>1413</v>
      </c>
      <c r="T545" s="398" t="s">
        <v>1531</v>
      </c>
      <c r="U545" s="398" t="s">
        <v>1531</v>
      </c>
    </row>
    <row r="546" spans="1:21" ht="15.6" thickBot="1">
      <c r="A546" s="407" t="s">
        <v>1531</v>
      </c>
      <c r="B546" s="408" t="s">
        <v>1413</v>
      </c>
      <c r="C546" s="396">
        <v>8.8000000000000004E-6</v>
      </c>
      <c r="D546" s="409" t="s">
        <v>520</v>
      </c>
      <c r="E546" s="399" t="s">
        <v>1531</v>
      </c>
      <c r="F546" s="408" t="s">
        <v>1413</v>
      </c>
      <c r="G546" s="396">
        <v>5.0000000000000001E-3</v>
      </c>
      <c r="H546" s="409" t="s">
        <v>520</v>
      </c>
      <c r="I546" s="409" t="s">
        <v>969</v>
      </c>
      <c r="J546" s="408" t="s">
        <v>1413</v>
      </c>
      <c r="K546" s="409">
        <v>1</v>
      </c>
      <c r="L546" s="413" t="s">
        <v>1531</v>
      </c>
      <c r="M546" s="397">
        <v>18000</v>
      </c>
      <c r="N546" s="426" t="s">
        <v>1260</v>
      </c>
      <c r="O546" s="393" t="s">
        <v>122</v>
      </c>
      <c r="P546" s="416" t="s">
        <v>1413</v>
      </c>
      <c r="Q546" s="340" t="s">
        <v>2434</v>
      </c>
      <c r="R546" s="338">
        <v>1</v>
      </c>
      <c r="S546" s="408" t="s">
        <v>1413</v>
      </c>
      <c r="T546" s="396">
        <v>8.8000000000000004E-6</v>
      </c>
      <c r="U546" s="396">
        <v>5.0000000000000001E-3</v>
      </c>
    </row>
    <row r="547" spans="1:21" ht="15">
      <c r="A547" s="403" t="s">
        <v>1531</v>
      </c>
      <c r="B547" s="404" t="s">
        <v>1413</v>
      </c>
      <c r="C547" s="394">
        <v>2.7000000000000001E-3</v>
      </c>
      <c r="D547" s="405" t="s">
        <v>406</v>
      </c>
      <c r="E547" s="398" t="s">
        <v>1531</v>
      </c>
      <c r="F547" s="404" t="s">
        <v>1413</v>
      </c>
      <c r="G547" s="394">
        <v>0.02</v>
      </c>
      <c r="H547" s="405" t="s">
        <v>1412</v>
      </c>
      <c r="I547" s="405" t="s">
        <v>969</v>
      </c>
      <c r="J547" s="404" t="s">
        <v>1413</v>
      </c>
      <c r="K547" s="405">
        <v>1</v>
      </c>
      <c r="L547" s="411" t="s">
        <v>1531</v>
      </c>
      <c r="M547" s="395">
        <v>4860</v>
      </c>
      <c r="N547" s="425" t="s">
        <v>1261</v>
      </c>
      <c r="O547" s="391" t="s">
        <v>123</v>
      </c>
      <c r="P547" s="414" t="s">
        <v>1413</v>
      </c>
      <c r="Q547" s="340" t="s">
        <v>2434</v>
      </c>
      <c r="R547" s="338">
        <v>1</v>
      </c>
      <c r="S547" s="404" t="s">
        <v>1413</v>
      </c>
      <c r="T547" s="394">
        <v>2.7000000000000001E-3</v>
      </c>
      <c r="U547" s="394">
        <v>0.02</v>
      </c>
    </row>
    <row r="548" spans="1:21" ht="15">
      <c r="A548" s="427">
        <v>1.2</v>
      </c>
      <c r="B548" s="405" t="s">
        <v>521</v>
      </c>
      <c r="C548" s="394">
        <v>1.1E-4</v>
      </c>
      <c r="D548" s="405" t="s">
        <v>521</v>
      </c>
      <c r="E548" s="398" t="s">
        <v>1531</v>
      </c>
      <c r="F548" s="404" t="s">
        <v>1413</v>
      </c>
      <c r="G548" s="398" t="s">
        <v>1531</v>
      </c>
      <c r="H548" s="404" t="s">
        <v>1413</v>
      </c>
      <c r="I548" s="404" t="s">
        <v>1413</v>
      </c>
      <c r="J548" s="404" t="s">
        <v>1413</v>
      </c>
      <c r="K548" s="405">
        <v>1</v>
      </c>
      <c r="L548" s="405">
        <v>0.13</v>
      </c>
      <c r="M548" s="406" t="s">
        <v>1531</v>
      </c>
      <c r="N548" s="425" t="s">
        <v>2358</v>
      </c>
      <c r="O548" s="391" t="s">
        <v>218</v>
      </c>
      <c r="P548" s="414" t="s">
        <v>1413</v>
      </c>
      <c r="Q548" s="340" t="s">
        <v>2433</v>
      </c>
      <c r="R548" s="338">
        <v>1</v>
      </c>
      <c r="S548" s="404" t="s">
        <v>1413</v>
      </c>
      <c r="T548" s="394">
        <v>1.1E-4</v>
      </c>
      <c r="U548" s="398" t="s">
        <v>1531</v>
      </c>
    </row>
    <row r="549" spans="1:21" ht="15.6" thickBot="1">
      <c r="A549" s="412">
        <v>2.8</v>
      </c>
      <c r="B549" s="409" t="s">
        <v>1412</v>
      </c>
      <c r="C549" s="396">
        <v>8.0000000000000004E-4</v>
      </c>
      <c r="D549" s="409" t="s">
        <v>521</v>
      </c>
      <c r="E549" s="399" t="s">
        <v>1531</v>
      </c>
      <c r="F549" s="408" t="s">
        <v>1413</v>
      </c>
      <c r="G549" s="399" t="s">
        <v>1531</v>
      </c>
      <c r="H549" s="408" t="s">
        <v>1413</v>
      </c>
      <c r="I549" s="408" t="s">
        <v>1413</v>
      </c>
      <c r="J549" s="408" t="s">
        <v>1413</v>
      </c>
      <c r="K549" s="409">
        <v>1</v>
      </c>
      <c r="L549" s="409">
        <v>0.1</v>
      </c>
      <c r="M549" s="410" t="s">
        <v>1531</v>
      </c>
      <c r="N549" s="426" t="s">
        <v>1265</v>
      </c>
      <c r="O549" s="393" t="s">
        <v>128</v>
      </c>
      <c r="P549" s="416" t="s">
        <v>1413</v>
      </c>
      <c r="Q549" s="340" t="s">
        <v>2433</v>
      </c>
      <c r="R549" s="338">
        <v>1</v>
      </c>
      <c r="S549" s="408" t="s">
        <v>1413</v>
      </c>
      <c r="T549" s="396">
        <v>8.0000000000000004E-4</v>
      </c>
      <c r="U549" s="399" t="s">
        <v>1531</v>
      </c>
    </row>
    <row r="550" spans="1:21" ht="15">
      <c r="A550" s="427">
        <v>150</v>
      </c>
      <c r="B550" s="405" t="s">
        <v>1412</v>
      </c>
      <c r="C550" s="394">
        <v>4.2999999999999997E-2</v>
      </c>
      <c r="D550" s="405" t="s">
        <v>1412</v>
      </c>
      <c r="E550" s="398" t="s">
        <v>1531</v>
      </c>
      <c r="F550" s="404" t="s">
        <v>1413</v>
      </c>
      <c r="G550" s="398" t="s">
        <v>1531</v>
      </c>
      <c r="H550" s="404" t="s">
        <v>1413</v>
      </c>
      <c r="I550" s="404" t="s">
        <v>1413</v>
      </c>
      <c r="J550" s="405" t="s">
        <v>522</v>
      </c>
      <c r="K550" s="405">
        <v>1</v>
      </c>
      <c r="L550" s="405">
        <v>0.1</v>
      </c>
      <c r="M550" s="406" t="s">
        <v>1531</v>
      </c>
      <c r="N550" s="425" t="s">
        <v>1266</v>
      </c>
      <c r="O550" s="391" t="s">
        <v>129</v>
      </c>
      <c r="P550" s="414" t="s">
        <v>1413</v>
      </c>
      <c r="Q550" s="340" t="s">
        <v>2433</v>
      </c>
      <c r="R550" s="338">
        <v>1</v>
      </c>
      <c r="S550" s="405" t="s">
        <v>2424</v>
      </c>
      <c r="T550" s="394">
        <v>4.2999999999999997E-2</v>
      </c>
      <c r="U550" s="398" t="s">
        <v>1531</v>
      </c>
    </row>
    <row r="551" spans="1:21" ht="15">
      <c r="A551" s="427">
        <v>51</v>
      </c>
      <c r="B551" s="405" t="s">
        <v>1412</v>
      </c>
      <c r="C551" s="394">
        <v>1.4E-2</v>
      </c>
      <c r="D551" s="405" t="s">
        <v>1412</v>
      </c>
      <c r="E551" s="394">
        <v>7.9999999999999996E-6</v>
      </c>
      <c r="F551" s="405" t="s">
        <v>520</v>
      </c>
      <c r="G551" s="394">
        <v>4.0000000000000003E-5</v>
      </c>
      <c r="H551" s="405" t="s">
        <v>961</v>
      </c>
      <c r="I551" s="405" t="s">
        <v>969</v>
      </c>
      <c r="J551" s="405" t="s">
        <v>522</v>
      </c>
      <c r="K551" s="405">
        <v>1</v>
      </c>
      <c r="L551" s="411" t="s">
        <v>1531</v>
      </c>
      <c r="M551" s="395">
        <v>237000</v>
      </c>
      <c r="N551" s="425" t="s">
        <v>1267</v>
      </c>
      <c r="O551" s="391" t="s">
        <v>130</v>
      </c>
      <c r="P551" s="414" t="s">
        <v>1413</v>
      </c>
      <c r="Q551" s="340" t="s">
        <v>2434</v>
      </c>
      <c r="R551" s="338">
        <v>1</v>
      </c>
      <c r="S551" s="405" t="s">
        <v>2424</v>
      </c>
      <c r="T551" s="394">
        <v>1.4E-2</v>
      </c>
      <c r="U551" s="394">
        <v>4.0000000000000003E-5</v>
      </c>
    </row>
    <row r="552" spans="1:21" ht="15.6" thickBot="1">
      <c r="A552" s="412">
        <v>5.4</v>
      </c>
      <c r="B552" s="409" t="s">
        <v>1412</v>
      </c>
      <c r="C552" s="396">
        <v>1.6000000000000001E-3</v>
      </c>
      <c r="D552" s="409" t="s">
        <v>1412</v>
      </c>
      <c r="E552" s="399" t="s">
        <v>1531</v>
      </c>
      <c r="F552" s="408" t="s">
        <v>1413</v>
      </c>
      <c r="G552" s="399" t="s">
        <v>1531</v>
      </c>
      <c r="H552" s="408" t="s">
        <v>1413</v>
      </c>
      <c r="I552" s="409" t="s">
        <v>969</v>
      </c>
      <c r="J552" s="408" t="s">
        <v>1413</v>
      </c>
      <c r="K552" s="409">
        <v>1</v>
      </c>
      <c r="L552" s="413" t="s">
        <v>1531</v>
      </c>
      <c r="M552" s="410" t="s">
        <v>1531</v>
      </c>
      <c r="N552" s="426" t="s">
        <v>1262</v>
      </c>
      <c r="O552" s="393" t="s">
        <v>126</v>
      </c>
      <c r="P552" s="416" t="s">
        <v>1413</v>
      </c>
      <c r="Q552" s="340" t="s">
        <v>2434</v>
      </c>
      <c r="R552" s="338">
        <v>1</v>
      </c>
      <c r="S552" s="408" t="s">
        <v>1413</v>
      </c>
      <c r="T552" s="396">
        <v>1.6000000000000001E-3</v>
      </c>
      <c r="U552" s="399" t="s">
        <v>1531</v>
      </c>
    </row>
    <row r="553" spans="1:21" ht="15">
      <c r="A553" s="427">
        <v>7</v>
      </c>
      <c r="B553" s="405" t="s">
        <v>1412</v>
      </c>
      <c r="C553" s="394">
        <v>2E-3</v>
      </c>
      <c r="D553" s="405" t="s">
        <v>521</v>
      </c>
      <c r="E553" s="398" t="s">
        <v>1531</v>
      </c>
      <c r="F553" s="404" t="s">
        <v>1413</v>
      </c>
      <c r="G553" s="398" t="s">
        <v>1531</v>
      </c>
      <c r="H553" s="404" t="s">
        <v>1413</v>
      </c>
      <c r="I553" s="404" t="s">
        <v>1413</v>
      </c>
      <c r="J553" s="404" t="s">
        <v>1413</v>
      </c>
      <c r="K553" s="405">
        <v>1</v>
      </c>
      <c r="L553" s="405">
        <v>0.1</v>
      </c>
      <c r="M553" s="406" t="s">
        <v>1531</v>
      </c>
      <c r="N553" s="425" t="s">
        <v>1263</v>
      </c>
      <c r="O553" s="391" t="s">
        <v>127</v>
      </c>
      <c r="P553" s="414" t="s">
        <v>1413</v>
      </c>
      <c r="Q553" s="340" t="s">
        <v>2433</v>
      </c>
      <c r="R553" s="338">
        <v>1</v>
      </c>
      <c r="S553" s="404" t="s">
        <v>1413</v>
      </c>
      <c r="T553" s="394">
        <v>2E-3</v>
      </c>
      <c r="U553" s="398" t="s">
        <v>1531</v>
      </c>
    </row>
    <row r="554" spans="1:21" ht="15">
      <c r="A554" s="427">
        <v>4.8999999999999998E-3</v>
      </c>
      <c r="B554" s="405" t="s">
        <v>1412</v>
      </c>
      <c r="C554" s="394">
        <v>2.6000000000000001E-6</v>
      </c>
      <c r="D554" s="405" t="s">
        <v>521</v>
      </c>
      <c r="E554" s="398" t="s">
        <v>1531</v>
      </c>
      <c r="F554" s="404" t="s">
        <v>1413</v>
      </c>
      <c r="G554" s="398" t="s">
        <v>1531</v>
      </c>
      <c r="H554" s="404" t="s">
        <v>1413</v>
      </c>
      <c r="I554" s="404" t="s">
        <v>1413</v>
      </c>
      <c r="J554" s="404" t="s">
        <v>1413</v>
      </c>
      <c r="K554" s="405">
        <v>1</v>
      </c>
      <c r="L554" s="405">
        <v>0.1</v>
      </c>
      <c r="M554" s="406" t="s">
        <v>1531</v>
      </c>
      <c r="N554" s="425" t="s">
        <v>1268</v>
      </c>
      <c r="O554" s="391" t="s">
        <v>131</v>
      </c>
      <c r="P554" s="414" t="s">
        <v>1413</v>
      </c>
      <c r="Q554" s="340" t="s">
        <v>2433</v>
      </c>
      <c r="R554" s="338">
        <v>1</v>
      </c>
      <c r="S554" s="404" t="s">
        <v>1413</v>
      </c>
      <c r="T554" s="394">
        <v>2.6000000000000001E-6</v>
      </c>
      <c r="U554" s="398" t="s">
        <v>1531</v>
      </c>
    </row>
    <row r="555" spans="1:21" ht="15.6" thickBot="1">
      <c r="A555" s="412">
        <v>22</v>
      </c>
      <c r="B555" s="409" t="s">
        <v>1412</v>
      </c>
      <c r="C555" s="396">
        <v>6.3E-3</v>
      </c>
      <c r="D555" s="409" t="s">
        <v>521</v>
      </c>
      <c r="E555" s="399" t="s">
        <v>1531</v>
      </c>
      <c r="F555" s="408" t="s">
        <v>1413</v>
      </c>
      <c r="G555" s="399" t="s">
        <v>1531</v>
      </c>
      <c r="H555" s="408" t="s">
        <v>1413</v>
      </c>
      <c r="I555" s="409" t="s">
        <v>969</v>
      </c>
      <c r="J555" s="408" t="s">
        <v>1413</v>
      </c>
      <c r="K555" s="409">
        <v>1</v>
      </c>
      <c r="L555" s="413" t="s">
        <v>1531</v>
      </c>
      <c r="M555" s="397">
        <v>108000</v>
      </c>
      <c r="N555" s="426" t="s">
        <v>1269</v>
      </c>
      <c r="O555" s="393" t="s">
        <v>132</v>
      </c>
      <c r="P555" s="416" t="s">
        <v>1413</v>
      </c>
      <c r="Q555" s="340" t="s">
        <v>2433</v>
      </c>
      <c r="R555" s="338">
        <v>1</v>
      </c>
      <c r="S555" s="408" t="s">
        <v>1413</v>
      </c>
      <c r="T555" s="396">
        <v>6.3E-3</v>
      </c>
      <c r="U555" s="399" t="s">
        <v>1531</v>
      </c>
    </row>
    <row r="556" spans="1:21" ht="15">
      <c r="A556" s="427">
        <v>6.7</v>
      </c>
      <c r="B556" s="405" t="s">
        <v>521</v>
      </c>
      <c r="C556" s="394">
        <v>1.9E-3</v>
      </c>
      <c r="D556" s="405" t="s">
        <v>521</v>
      </c>
      <c r="E556" s="398" t="s">
        <v>1531</v>
      </c>
      <c r="F556" s="404" t="s">
        <v>1413</v>
      </c>
      <c r="G556" s="398" t="s">
        <v>1531</v>
      </c>
      <c r="H556" s="404" t="s">
        <v>1413</v>
      </c>
      <c r="I556" s="404" t="s">
        <v>1413</v>
      </c>
      <c r="J556" s="404" t="s">
        <v>1413</v>
      </c>
      <c r="K556" s="405">
        <v>1</v>
      </c>
      <c r="L556" s="405">
        <v>0.1</v>
      </c>
      <c r="M556" s="406" t="s">
        <v>1531</v>
      </c>
      <c r="N556" s="425" t="s">
        <v>606</v>
      </c>
      <c r="O556" s="391" t="s">
        <v>133</v>
      </c>
      <c r="P556" s="414" t="s">
        <v>1413</v>
      </c>
      <c r="Q556" s="340" t="s">
        <v>2433</v>
      </c>
      <c r="R556" s="338">
        <v>1</v>
      </c>
      <c r="S556" s="404" t="s">
        <v>1413</v>
      </c>
      <c r="T556" s="394">
        <v>1.9E-3</v>
      </c>
      <c r="U556" s="398" t="s">
        <v>1531</v>
      </c>
    </row>
    <row r="557" spans="1:21" ht="15">
      <c r="A557" s="427">
        <v>27</v>
      </c>
      <c r="B557" s="405" t="s">
        <v>521</v>
      </c>
      <c r="C557" s="394">
        <v>7.7000000000000002E-3</v>
      </c>
      <c r="D557" s="405" t="s">
        <v>521</v>
      </c>
      <c r="E557" s="398" t="s">
        <v>1531</v>
      </c>
      <c r="F557" s="404" t="s">
        <v>1413</v>
      </c>
      <c r="G557" s="398" t="s">
        <v>1531</v>
      </c>
      <c r="H557" s="404" t="s">
        <v>1413</v>
      </c>
      <c r="I557" s="404" t="s">
        <v>1413</v>
      </c>
      <c r="J557" s="405" t="s">
        <v>522</v>
      </c>
      <c r="K557" s="405">
        <v>1</v>
      </c>
      <c r="L557" s="405">
        <v>0.1</v>
      </c>
      <c r="M557" s="406" t="s">
        <v>1531</v>
      </c>
      <c r="N557" s="425" t="s">
        <v>1264</v>
      </c>
      <c r="O557" s="391" t="s">
        <v>124</v>
      </c>
      <c r="P557" s="414" t="s">
        <v>1413</v>
      </c>
      <c r="Q557" s="340" t="s">
        <v>2434</v>
      </c>
      <c r="R557" s="338">
        <v>1</v>
      </c>
      <c r="S557" s="405" t="s">
        <v>2424</v>
      </c>
      <c r="T557" s="394">
        <v>7.7000000000000002E-3</v>
      </c>
      <c r="U557" s="398" t="s">
        <v>1531</v>
      </c>
    </row>
    <row r="558" spans="1:21" ht="15.6" thickBot="1">
      <c r="A558" s="412">
        <v>120</v>
      </c>
      <c r="B558" s="409" t="s">
        <v>521</v>
      </c>
      <c r="C558" s="396">
        <v>3.4000000000000002E-2</v>
      </c>
      <c r="D558" s="409" t="s">
        <v>521</v>
      </c>
      <c r="E558" s="399" t="s">
        <v>1531</v>
      </c>
      <c r="F558" s="408" t="s">
        <v>1413</v>
      </c>
      <c r="G558" s="399" t="s">
        <v>1531</v>
      </c>
      <c r="H558" s="408" t="s">
        <v>1413</v>
      </c>
      <c r="I558" s="408" t="s">
        <v>1413</v>
      </c>
      <c r="J558" s="409" t="s">
        <v>522</v>
      </c>
      <c r="K558" s="409">
        <v>1</v>
      </c>
      <c r="L558" s="409">
        <v>0.1</v>
      </c>
      <c r="M558" s="410" t="s">
        <v>1531</v>
      </c>
      <c r="N558" s="426" t="s">
        <v>605</v>
      </c>
      <c r="O558" s="393" t="s">
        <v>125</v>
      </c>
      <c r="P558" s="416" t="s">
        <v>1413</v>
      </c>
      <c r="Q558" s="340" t="s">
        <v>2434</v>
      </c>
      <c r="R558" s="338">
        <v>1</v>
      </c>
      <c r="S558" s="409" t="s">
        <v>2424</v>
      </c>
      <c r="T558" s="396">
        <v>3.4000000000000002E-2</v>
      </c>
      <c r="U558" s="399" t="s">
        <v>1531</v>
      </c>
    </row>
    <row r="559" spans="1:21" ht="15">
      <c r="A559" s="427">
        <v>9.4</v>
      </c>
      <c r="B559" s="405" t="s">
        <v>521</v>
      </c>
      <c r="C559" s="394">
        <v>2.7000000000000001E-3</v>
      </c>
      <c r="D559" s="405" t="s">
        <v>521</v>
      </c>
      <c r="E559" s="398" t="s">
        <v>1531</v>
      </c>
      <c r="F559" s="404" t="s">
        <v>1413</v>
      </c>
      <c r="G559" s="398" t="s">
        <v>1531</v>
      </c>
      <c r="H559" s="404" t="s">
        <v>1413</v>
      </c>
      <c r="I559" s="404" t="s">
        <v>1413</v>
      </c>
      <c r="J559" s="404" t="s">
        <v>1413</v>
      </c>
      <c r="K559" s="405">
        <v>1</v>
      </c>
      <c r="L559" s="405">
        <v>0.1</v>
      </c>
      <c r="M559" s="406" t="s">
        <v>1531</v>
      </c>
      <c r="N559" s="425" t="s">
        <v>607</v>
      </c>
      <c r="O559" s="391" t="s">
        <v>134</v>
      </c>
      <c r="P559" s="414" t="s">
        <v>1413</v>
      </c>
      <c r="Q559" s="340" t="s">
        <v>2433</v>
      </c>
      <c r="R559" s="338">
        <v>1</v>
      </c>
      <c r="S559" s="404" t="s">
        <v>1413</v>
      </c>
      <c r="T559" s="394">
        <v>2.7000000000000001E-3</v>
      </c>
      <c r="U559" s="398" t="s">
        <v>1531</v>
      </c>
    </row>
    <row r="560" spans="1:21" ht="15">
      <c r="A560" s="427">
        <v>2.1</v>
      </c>
      <c r="B560" s="405" t="s">
        <v>1412</v>
      </c>
      <c r="C560" s="394">
        <v>6.0999999999999997E-4</v>
      </c>
      <c r="D560" s="405" t="s">
        <v>1412</v>
      </c>
      <c r="E560" s="398" t="s">
        <v>1531</v>
      </c>
      <c r="F560" s="404" t="s">
        <v>1413</v>
      </c>
      <c r="G560" s="398" t="s">
        <v>1531</v>
      </c>
      <c r="H560" s="404" t="s">
        <v>1413</v>
      </c>
      <c r="I560" s="404" t="s">
        <v>1413</v>
      </c>
      <c r="J560" s="404" t="s">
        <v>1413</v>
      </c>
      <c r="K560" s="405">
        <v>1</v>
      </c>
      <c r="L560" s="405">
        <v>0.1</v>
      </c>
      <c r="M560" s="406" t="s">
        <v>1531</v>
      </c>
      <c r="N560" s="425" t="s">
        <v>1270</v>
      </c>
      <c r="O560" s="391" t="s">
        <v>135</v>
      </c>
      <c r="P560" s="414" t="s">
        <v>1413</v>
      </c>
      <c r="Q560" s="340" t="s">
        <v>2433</v>
      </c>
      <c r="R560" s="338">
        <v>1</v>
      </c>
      <c r="S560" s="404" t="s">
        <v>1413</v>
      </c>
      <c r="T560" s="394">
        <v>6.0999999999999997E-4</v>
      </c>
      <c r="U560" s="398" t="s">
        <v>1531</v>
      </c>
    </row>
    <row r="561" spans="1:21" ht="15.6" thickBot="1">
      <c r="A561" s="407" t="s">
        <v>1531</v>
      </c>
      <c r="B561" s="408" t="s">
        <v>1413</v>
      </c>
      <c r="C561" s="399" t="s">
        <v>1531</v>
      </c>
      <c r="D561" s="408" t="s">
        <v>1413</v>
      </c>
      <c r="E561" s="396">
        <v>1E-4</v>
      </c>
      <c r="F561" s="409" t="s">
        <v>961</v>
      </c>
      <c r="G561" s="399" t="s">
        <v>1531</v>
      </c>
      <c r="H561" s="408" t="s">
        <v>1413</v>
      </c>
      <c r="I561" s="408" t="s">
        <v>1413</v>
      </c>
      <c r="J561" s="408" t="s">
        <v>1413</v>
      </c>
      <c r="K561" s="409">
        <v>1</v>
      </c>
      <c r="L561" s="409">
        <v>0.1</v>
      </c>
      <c r="M561" s="410" t="s">
        <v>1531</v>
      </c>
      <c r="N561" s="426" t="s">
        <v>538</v>
      </c>
      <c r="O561" s="393" t="s">
        <v>136</v>
      </c>
      <c r="P561" s="416" t="s">
        <v>1413</v>
      </c>
      <c r="Q561" s="340" t="s">
        <v>2433</v>
      </c>
      <c r="R561" s="338">
        <v>1</v>
      </c>
      <c r="S561" s="408" t="s">
        <v>1413</v>
      </c>
      <c r="T561" s="399" t="s">
        <v>1531</v>
      </c>
      <c r="U561" s="399" t="s">
        <v>1531</v>
      </c>
    </row>
    <row r="562" spans="1:21" ht="15">
      <c r="A562" s="427">
        <v>0.22</v>
      </c>
      <c r="B562" s="405" t="s">
        <v>520</v>
      </c>
      <c r="C562" s="398" t="s">
        <v>1531</v>
      </c>
      <c r="D562" s="404" t="s">
        <v>1413</v>
      </c>
      <c r="E562" s="394">
        <v>8.9999999999999998E-4</v>
      </c>
      <c r="F562" s="405" t="s">
        <v>520</v>
      </c>
      <c r="G562" s="398" t="s">
        <v>1531</v>
      </c>
      <c r="H562" s="404" t="s">
        <v>1413</v>
      </c>
      <c r="I562" s="405" t="s">
        <v>969</v>
      </c>
      <c r="J562" s="404" t="s">
        <v>1413</v>
      </c>
      <c r="K562" s="405">
        <v>1</v>
      </c>
      <c r="L562" s="411" t="s">
        <v>1531</v>
      </c>
      <c r="M562" s="395">
        <v>1510</v>
      </c>
      <c r="N562" s="425" t="s">
        <v>1271</v>
      </c>
      <c r="O562" s="391" t="s">
        <v>137</v>
      </c>
      <c r="P562" s="414" t="s">
        <v>1413</v>
      </c>
      <c r="Q562" s="340" t="s">
        <v>2433</v>
      </c>
      <c r="R562" s="338">
        <v>1</v>
      </c>
      <c r="S562" s="404" t="s">
        <v>1413</v>
      </c>
      <c r="T562" s="398" t="s">
        <v>1531</v>
      </c>
      <c r="U562" s="398" t="s">
        <v>1531</v>
      </c>
    </row>
    <row r="563" spans="1:21" ht="15">
      <c r="A563" s="427">
        <v>1.6E-2</v>
      </c>
      <c r="B563" s="405" t="s">
        <v>520</v>
      </c>
      <c r="C563" s="398" t="s">
        <v>1531</v>
      </c>
      <c r="D563" s="404" t="s">
        <v>1413</v>
      </c>
      <c r="E563" s="394">
        <v>4.0000000000000001E-3</v>
      </c>
      <c r="F563" s="405" t="s">
        <v>520</v>
      </c>
      <c r="G563" s="398" t="s">
        <v>1531</v>
      </c>
      <c r="H563" s="404" t="s">
        <v>1413</v>
      </c>
      <c r="I563" s="404" t="s">
        <v>1413</v>
      </c>
      <c r="J563" s="404" t="s">
        <v>1413</v>
      </c>
      <c r="K563" s="405">
        <v>1</v>
      </c>
      <c r="L563" s="405">
        <v>0.1</v>
      </c>
      <c r="M563" s="406" t="s">
        <v>1531</v>
      </c>
      <c r="N563" s="425" t="s">
        <v>1272</v>
      </c>
      <c r="O563" s="391" t="s">
        <v>138</v>
      </c>
      <c r="P563" s="414" t="s">
        <v>1413</v>
      </c>
      <c r="Q563" s="340" t="s">
        <v>2433</v>
      </c>
      <c r="R563" s="338">
        <v>1</v>
      </c>
      <c r="S563" s="404" t="s">
        <v>1413</v>
      </c>
      <c r="T563" s="398" t="s">
        <v>1531</v>
      </c>
      <c r="U563" s="398" t="s">
        <v>1531</v>
      </c>
    </row>
    <row r="564" spans="1:21" ht="15.6" thickBot="1">
      <c r="A564" s="407" t="s">
        <v>1531</v>
      </c>
      <c r="B564" s="408" t="s">
        <v>1413</v>
      </c>
      <c r="C564" s="399" t="s">
        <v>1531</v>
      </c>
      <c r="D564" s="408" t="s">
        <v>1413</v>
      </c>
      <c r="E564" s="396">
        <v>2.9999999999999997E-4</v>
      </c>
      <c r="F564" s="409" t="s">
        <v>961</v>
      </c>
      <c r="G564" s="396">
        <v>0.02</v>
      </c>
      <c r="H564" s="409" t="s">
        <v>520</v>
      </c>
      <c r="I564" s="409" t="s">
        <v>969</v>
      </c>
      <c r="J564" s="408" t="s">
        <v>1413</v>
      </c>
      <c r="K564" s="409">
        <v>1</v>
      </c>
      <c r="L564" s="413" t="s">
        <v>1531</v>
      </c>
      <c r="M564" s="397">
        <v>6.86</v>
      </c>
      <c r="N564" s="426" t="s">
        <v>608</v>
      </c>
      <c r="O564" s="393" t="s">
        <v>139</v>
      </c>
      <c r="P564" s="416" t="s">
        <v>1413</v>
      </c>
      <c r="Q564" s="340" t="s">
        <v>2433</v>
      </c>
      <c r="R564" s="338">
        <v>1</v>
      </c>
      <c r="S564" s="408" t="s">
        <v>1413</v>
      </c>
      <c r="T564" s="399" t="s">
        <v>1531</v>
      </c>
      <c r="U564" s="396">
        <v>0.02</v>
      </c>
    </row>
    <row r="565" spans="1:21" ht="15">
      <c r="A565" s="403" t="s">
        <v>1531</v>
      </c>
      <c r="B565" s="404" t="s">
        <v>1413</v>
      </c>
      <c r="C565" s="398" t="s">
        <v>1531</v>
      </c>
      <c r="D565" s="404" t="s">
        <v>1413</v>
      </c>
      <c r="E565" s="394">
        <v>1.4999999999999999E-2</v>
      </c>
      <c r="F565" s="405" t="s">
        <v>1474</v>
      </c>
      <c r="G565" s="398" t="s">
        <v>1531</v>
      </c>
      <c r="H565" s="404" t="s">
        <v>1413</v>
      </c>
      <c r="I565" s="404" t="s">
        <v>1413</v>
      </c>
      <c r="J565" s="404" t="s">
        <v>1413</v>
      </c>
      <c r="K565" s="405">
        <v>1</v>
      </c>
      <c r="L565" s="405">
        <v>0.1</v>
      </c>
      <c r="M565" s="406" t="s">
        <v>1531</v>
      </c>
      <c r="N565" s="425" t="s">
        <v>1273</v>
      </c>
      <c r="O565" s="391" t="s">
        <v>140</v>
      </c>
      <c r="P565" s="414" t="s">
        <v>1413</v>
      </c>
      <c r="Q565" s="340" t="s">
        <v>2433</v>
      </c>
      <c r="R565" s="338">
        <v>1</v>
      </c>
      <c r="S565" s="404" t="s">
        <v>1413</v>
      </c>
      <c r="T565" s="398" t="s">
        <v>1531</v>
      </c>
      <c r="U565" s="398" t="s">
        <v>1531</v>
      </c>
    </row>
    <row r="566" spans="1:21" ht="15">
      <c r="A566" s="403" t="s">
        <v>1531</v>
      </c>
      <c r="B566" s="404" t="s">
        <v>1413</v>
      </c>
      <c r="C566" s="398" t="s">
        <v>1531</v>
      </c>
      <c r="D566" s="404" t="s">
        <v>1413</v>
      </c>
      <c r="E566" s="394">
        <v>3.0000000000000001E-3</v>
      </c>
      <c r="F566" s="405" t="s">
        <v>1412</v>
      </c>
      <c r="G566" s="398" t="s">
        <v>1531</v>
      </c>
      <c r="H566" s="404" t="s">
        <v>1413</v>
      </c>
      <c r="I566" s="404" t="s">
        <v>1413</v>
      </c>
      <c r="J566" s="404" t="s">
        <v>1413</v>
      </c>
      <c r="K566" s="405">
        <v>1</v>
      </c>
      <c r="L566" s="405">
        <v>0.1</v>
      </c>
      <c r="M566" s="406" t="s">
        <v>1531</v>
      </c>
      <c r="N566" s="425" t="s">
        <v>1274</v>
      </c>
      <c r="O566" s="391" t="s">
        <v>142</v>
      </c>
      <c r="P566" s="414" t="s">
        <v>1413</v>
      </c>
      <c r="Q566" s="340" t="s">
        <v>2433</v>
      </c>
      <c r="R566" s="338">
        <v>1</v>
      </c>
      <c r="S566" s="404" t="s">
        <v>1413</v>
      </c>
      <c r="T566" s="398" t="s">
        <v>1531</v>
      </c>
      <c r="U566" s="398" t="s">
        <v>1531</v>
      </c>
    </row>
    <row r="567" spans="1:21" ht="30.6" thickBot="1">
      <c r="A567" s="407" t="s">
        <v>1531</v>
      </c>
      <c r="B567" s="408" t="s">
        <v>1413</v>
      </c>
      <c r="C567" s="399" t="s">
        <v>1531</v>
      </c>
      <c r="D567" s="408" t="s">
        <v>1413</v>
      </c>
      <c r="E567" s="396">
        <v>0.05</v>
      </c>
      <c r="F567" s="409" t="s">
        <v>1412</v>
      </c>
      <c r="G567" s="399" t="s">
        <v>1531</v>
      </c>
      <c r="H567" s="408" t="s">
        <v>1413</v>
      </c>
      <c r="I567" s="408" t="s">
        <v>1413</v>
      </c>
      <c r="J567" s="408" t="s">
        <v>1413</v>
      </c>
      <c r="K567" s="409">
        <v>1</v>
      </c>
      <c r="L567" s="409">
        <v>6.0000000000000001E-3</v>
      </c>
      <c r="M567" s="410" t="s">
        <v>1531</v>
      </c>
      <c r="N567" s="426" t="s">
        <v>2047</v>
      </c>
      <c r="O567" s="393" t="s">
        <v>143</v>
      </c>
      <c r="P567" s="416" t="s">
        <v>1413</v>
      </c>
      <c r="Q567" s="340" t="s">
        <v>2433</v>
      </c>
      <c r="R567" s="338">
        <v>1</v>
      </c>
      <c r="S567" s="408" t="s">
        <v>1413</v>
      </c>
      <c r="T567" s="399" t="s">
        <v>1531</v>
      </c>
      <c r="U567" s="399" t="s">
        <v>1531</v>
      </c>
    </row>
    <row r="568" spans="1:21" ht="15">
      <c r="A568" s="403" t="s">
        <v>1531</v>
      </c>
      <c r="B568" s="404" t="s">
        <v>1413</v>
      </c>
      <c r="C568" s="398" t="s">
        <v>1531</v>
      </c>
      <c r="D568" s="404" t="s">
        <v>1413</v>
      </c>
      <c r="E568" s="394">
        <v>2E-3</v>
      </c>
      <c r="F568" s="405" t="s">
        <v>406</v>
      </c>
      <c r="G568" s="398" t="s">
        <v>1531</v>
      </c>
      <c r="H568" s="404" t="s">
        <v>1413</v>
      </c>
      <c r="I568" s="404" t="s">
        <v>1413</v>
      </c>
      <c r="J568" s="404" t="s">
        <v>1413</v>
      </c>
      <c r="K568" s="405">
        <v>1</v>
      </c>
      <c r="L568" s="405">
        <v>0.1</v>
      </c>
      <c r="M568" s="406" t="s">
        <v>1531</v>
      </c>
      <c r="N568" s="425" t="s">
        <v>1275</v>
      </c>
      <c r="O568" s="391" t="s">
        <v>144</v>
      </c>
      <c r="P568" s="414" t="s">
        <v>1413</v>
      </c>
      <c r="Q568" s="340" t="s">
        <v>2433</v>
      </c>
      <c r="R568" s="338">
        <v>1</v>
      </c>
      <c r="S568" s="404" t="s">
        <v>1413</v>
      </c>
      <c r="T568" s="398" t="s">
        <v>1531</v>
      </c>
      <c r="U568" s="398" t="s">
        <v>1531</v>
      </c>
    </row>
    <row r="569" spans="1:21" ht="15">
      <c r="A569" s="403" t="s">
        <v>1531</v>
      </c>
      <c r="B569" s="404" t="s">
        <v>1413</v>
      </c>
      <c r="C569" s="398" t="s">
        <v>1531</v>
      </c>
      <c r="D569" s="404" t="s">
        <v>1413</v>
      </c>
      <c r="E569" s="394">
        <v>0.01</v>
      </c>
      <c r="F569" s="405" t="s">
        <v>520</v>
      </c>
      <c r="G569" s="398" t="s">
        <v>1531</v>
      </c>
      <c r="H569" s="404" t="s">
        <v>1413</v>
      </c>
      <c r="I569" s="404" t="s">
        <v>1413</v>
      </c>
      <c r="J569" s="404" t="s">
        <v>1413</v>
      </c>
      <c r="K569" s="405">
        <v>1</v>
      </c>
      <c r="L569" s="405">
        <v>0.1</v>
      </c>
      <c r="M569" s="406" t="s">
        <v>1531</v>
      </c>
      <c r="N569" s="425" t="s">
        <v>2344</v>
      </c>
      <c r="O569" s="391" t="s">
        <v>2001</v>
      </c>
      <c r="P569" s="414" t="s">
        <v>1413</v>
      </c>
      <c r="Q569" s="340" t="s">
        <v>2434</v>
      </c>
      <c r="R569" s="338">
        <v>1</v>
      </c>
      <c r="S569" s="404" t="s">
        <v>1413</v>
      </c>
      <c r="T569" s="398" t="s">
        <v>1531</v>
      </c>
      <c r="U569" s="398" t="s">
        <v>1531</v>
      </c>
    </row>
    <row r="570" spans="1:21" ht="15.6" thickBot="1">
      <c r="A570" s="412">
        <v>7.7999999999999996E-3</v>
      </c>
      <c r="B570" s="409" t="s">
        <v>1474</v>
      </c>
      <c r="C570" s="399" t="s">
        <v>1531</v>
      </c>
      <c r="D570" s="408" t="s">
        <v>1413</v>
      </c>
      <c r="E570" s="396">
        <v>0.14000000000000001</v>
      </c>
      <c r="F570" s="409" t="s">
        <v>1474</v>
      </c>
      <c r="G570" s="399" t="s">
        <v>1531</v>
      </c>
      <c r="H570" s="408" t="s">
        <v>1413</v>
      </c>
      <c r="I570" s="408" t="s">
        <v>1413</v>
      </c>
      <c r="J570" s="408" t="s">
        <v>1413</v>
      </c>
      <c r="K570" s="409">
        <v>1</v>
      </c>
      <c r="L570" s="409">
        <v>0.1</v>
      </c>
      <c r="M570" s="410" t="s">
        <v>1531</v>
      </c>
      <c r="N570" s="426" t="s">
        <v>1276</v>
      </c>
      <c r="O570" s="393" t="s">
        <v>145</v>
      </c>
      <c r="P570" s="416" t="s">
        <v>1413</v>
      </c>
      <c r="Q570" s="340" t="s">
        <v>2433</v>
      </c>
      <c r="R570" s="338">
        <v>1</v>
      </c>
      <c r="S570" s="408" t="s">
        <v>1413</v>
      </c>
      <c r="T570" s="399" t="s">
        <v>1531</v>
      </c>
      <c r="U570" s="399" t="s">
        <v>1531</v>
      </c>
    </row>
    <row r="571" spans="1:21" ht="15">
      <c r="A571" s="403" t="s">
        <v>1531</v>
      </c>
      <c r="B571" s="404" t="s">
        <v>1413</v>
      </c>
      <c r="C571" s="398" t="s">
        <v>1531</v>
      </c>
      <c r="D571" s="404" t="s">
        <v>1413</v>
      </c>
      <c r="E571" s="394">
        <v>5.0000000000000001E-3</v>
      </c>
      <c r="F571" s="405" t="s">
        <v>1412</v>
      </c>
      <c r="G571" s="398" t="s">
        <v>1531</v>
      </c>
      <c r="H571" s="404" t="s">
        <v>1413</v>
      </c>
      <c r="I571" s="404" t="s">
        <v>1413</v>
      </c>
      <c r="J571" s="404" t="s">
        <v>1413</v>
      </c>
      <c r="K571" s="405">
        <v>1</v>
      </c>
      <c r="L571" s="405">
        <v>0.1</v>
      </c>
      <c r="M571" s="406" t="s">
        <v>1531</v>
      </c>
      <c r="N571" s="425" t="s">
        <v>1277</v>
      </c>
      <c r="O571" s="391" t="s">
        <v>146</v>
      </c>
      <c r="P571" s="414" t="s">
        <v>1413</v>
      </c>
      <c r="Q571" s="340" t="s">
        <v>2433</v>
      </c>
      <c r="R571" s="338">
        <v>1</v>
      </c>
      <c r="S571" s="404" t="s">
        <v>1413</v>
      </c>
      <c r="T571" s="398" t="s">
        <v>1531</v>
      </c>
      <c r="U571" s="398" t="s">
        <v>1531</v>
      </c>
    </row>
    <row r="572" spans="1:21" ht="15">
      <c r="A572" s="403" t="s">
        <v>1531</v>
      </c>
      <c r="B572" s="404" t="s">
        <v>1413</v>
      </c>
      <c r="C572" s="398" t="s">
        <v>1531</v>
      </c>
      <c r="D572" s="404" t="s">
        <v>1413</v>
      </c>
      <c r="E572" s="394">
        <v>2.5000000000000001E-2</v>
      </c>
      <c r="F572" s="405" t="s">
        <v>1412</v>
      </c>
      <c r="G572" s="398" t="s">
        <v>1531</v>
      </c>
      <c r="H572" s="404" t="s">
        <v>1413</v>
      </c>
      <c r="I572" s="404" t="s">
        <v>1413</v>
      </c>
      <c r="J572" s="404" t="s">
        <v>1413</v>
      </c>
      <c r="K572" s="405">
        <v>1</v>
      </c>
      <c r="L572" s="405">
        <v>0.1</v>
      </c>
      <c r="M572" s="406" t="s">
        <v>1531</v>
      </c>
      <c r="N572" s="425" t="s">
        <v>1278</v>
      </c>
      <c r="O572" s="391" t="s">
        <v>147</v>
      </c>
      <c r="P572" s="429">
        <v>200</v>
      </c>
      <c r="Q572" s="340" t="s">
        <v>2433</v>
      </c>
      <c r="R572" s="338">
        <v>1</v>
      </c>
      <c r="S572" s="404" t="s">
        <v>1413</v>
      </c>
      <c r="T572" s="398" t="s">
        <v>1531</v>
      </c>
      <c r="U572" s="398" t="s">
        <v>1531</v>
      </c>
    </row>
    <row r="573" spans="1:21" ht="15.6" thickBot="1">
      <c r="A573" s="412">
        <v>7.2999999999999995E-2</v>
      </c>
      <c r="B573" s="409" t="s">
        <v>1474</v>
      </c>
      <c r="C573" s="399" t="s">
        <v>1531</v>
      </c>
      <c r="D573" s="408" t="s">
        <v>1413</v>
      </c>
      <c r="E573" s="396">
        <v>0.03</v>
      </c>
      <c r="F573" s="409" t="s">
        <v>1474</v>
      </c>
      <c r="G573" s="399" t="s">
        <v>1531</v>
      </c>
      <c r="H573" s="408" t="s">
        <v>1413</v>
      </c>
      <c r="I573" s="408" t="s">
        <v>1413</v>
      </c>
      <c r="J573" s="408" t="s">
        <v>1413</v>
      </c>
      <c r="K573" s="409">
        <v>1</v>
      </c>
      <c r="L573" s="409">
        <v>0.1</v>
      </c>
      <c r="M573" s="410" t="s">
        <v>1531</v>
      </c>
      <c r="N573" s="426" t="s">
        <v>2316</v>
      </c>
      <c r="O573" s="393" t="s">
        <v>955</v>
      </c>
      <c r="P573" s="416" t="s">
        <v>1413</v>
      </c>
      <c r="Q573" s="340" t="s">
        <v>2433</v>
      </c>
      <c r="R573" s="338">
        <v>1</v>
      </c>
      <c r="S573" s="408" t="s">
        <v>1413</v>
      </c>
      <c r="T573" s="399" t="s">
        <v>1531</v>
      </c>
      <c r="U573" s="399" t="s">
        <v>1531</v>
      </c>
    </row>
    <row r="574" spans="1:21" ht="15">
      <c r="A574" s="403" t="s">
        <v>1531</v>
      </c>
      <c r="B574" s="404" t="s">
        <v>1413</v>
      </c>
      <c r="C574" s="398" t="s">
        <v>1531</v>
      </c>
      <c r="D574" s="404" t="s">
        <v>1413</v>
      </c>
      <c r="E574" s="394">
        <v>1.2999999999999999E-2</v>
      </c>
      <c r="F574" s="405" t="s">
        <v>1412</v>
      </c>
      <c r="G574" s="398" t="s">
        <v>1531</v>
      </c>
      <c r="H574" s="404" t="s">
        <v>1413</v>
      </c>
      <c r="I574" s="404" t="s">
        <v>1413</v>
      </c>
      <c r="J574" s="404" t="s">
        <v>1413</v>
      </c>
      <c r="K574" s="405">
        <v>1</v>
      </c>
      <c r="L574" s="405">
        <v>0.1</v>
      </c>
      <c r="M574" s="406" t="s">
        <v>1531</v>
      </c>
      <c r="N574" s="425" t="s">
        <v>1279</v>
      </c>
      <c r="O574" s="391" t="s">
        <v>148</v>
      </c>
      <c r="P574" s="414" t="s">
        <v>1413</v>
      </c>
      <c r="Q574" s="340" t="s">
        <v>2433</v>
      </c>
      <c r="R574" s="338">
        <v>1</v>
      </c>
      <c r="S574" s="404" t="s">
        <v>1413</v>
      </c>
      <c r="T574" s="398" t="s">
        <v>1531</v>
      </c>
      <c r="U574" s="398" t="s">
        <v>1531</v>
      </c>
    </row>
    <row r="575" spans="1:21" ht="15">
      <c r="A575" s="403" t="s">
        <v>1531</v>
      </c>
      <c r="B575" s="404" t="s">
        <v>1413</v>
      </c>
      <c r="C575" s="398" t="s">
        <v>1531</v>
      </c>
      <c r="D575" s="404" t="s">
        <v>1413</v>
      </c>
      <c r="E575" s="394">
        <v>4.4999999999999997E-3</v>
      </c>
      <c r="F575" s="405" t="s">
        <v>1412</v>
      </c>
      <c r="G575" s="398" t="s">
        <v>1531</v>
      </c>
      <c r="H575" s="404" t="s">
        <v>1413</v>
      </c>
      <c r="I575" s="404" t="s">
        <v>1413</v>
      </c>
      <c r="J575" s="404" t="s">
        <v>1413</v>
      </c>
      <c r="K575" s="405">
        <v>1</v>
      </c>
      <c r="L575" s="405">
        <v>0.1</v>
      </c>
      <c r="M575" s="406" t="s">
        <v>1531</v>
      </c>
      <c r="N575" s="425" t="s">
        <v>1281</v>
      </c>
      <c r="O575" s="391" t="s">
        <v>149</v>
      </c>
      <c r="P575" s="414" t="s">
        <v>1413</v>
      </c>
      <c r="Q575" s="340" t="s">
        <v>2434</v>
      </c>
      <c r="R575" s="338">
        <v>1</v>
      </c>
      <c r="S575" s="404" t="s">
        <v>1413</v>
      </c>
      <c r="T575" s="398" t="s">
        <v>1531</v>
      </c>
      <c r="U575" s="398" t="s">
        <v>1531</v>
      </c>
    </row>
    <row r="576" spans="1:21" ht="15.6" thickBot="1">
      <c r="A576" s="407" t="s">
        <v>1531</v>
      </c>
      <c r="B576" s="408" t="s">
        <v>1413</v>
      </c>
      <c r="C576" s="399" t="s">
        <v>1531</v>
      </c>
      <c r="D576" s="408" t="s">
        <v>1413</v>
      </c>
      <c r="E576" s="396">
        <v>6.0000000000000001E-3</v>
      </c>
      <c r="F576" s="409" t="s">
        <v>406</v>
      </c>
      <c r="G576" s="399" t="s">
        <v>1531</v>
      </c>
      <c r="H576" s="408" t="s">
        <v>1413</v>
      </c>
      <c r="I576" s="408" t="s">
        <v>1413</v>
      </c>
      <c r="J576" s="408" t="s">
        <v>1413</v>
      </c>
      <c r="K576" s="409">
        <v>1</v>
      </c>
      <c r="L576" s="409">
        <v>0.1</v>
      </c>
      <c r="M576" s="410" t="s">
        <v>1531</v>
      </c>
      <c r="N576" s="426" t="s">
        <v>1282</v>
      </c>
      <c r="O576" s="393" t="s">
        <v>150</v>
      </c>
      <c r="P576" s="416" t="s">
        <v>1413</v>
      </c>
      <c r="Q576" s="340" t="s">
        <v>2433</v>
      </c>
      <c r="R576" s="338">
        <v>1</v>
      </c>
      <c r="S576" s="408" t="s">
        <v>1413</v>
      </c>
      <c r="T576" s="399" t="s">
        <v>1531</v>
      </c>
      <c r="U576" s="399" t="s">
        <v>1531</v>
      </c>
    </row>
    <row r="577" spans="1:21" ht="15">
      <c r="A577" s="403" t="s">
        <v>1531</v>
      </c>
      <c r="B577" s="404" t="s">
        <v>1413</v>
      </c>
      <c r="C577" s="398" t="s">
        <v>1531</v>
      </c>
      <c r="D577" s="404" t="s">
        <v>1413</v>
      </c>
      <c r="E577" s="394">
        <v>0.05</v>
      </c>
      <c r="F577" s="405" t="s">
        <v>406</v>
      </c>
      <c r="G577" s="398" t="s">
        <v>1531</v>
      </c>
      <c r="H577" s="404" t="s">
        <v>1413</v>
      </c>
      <c r="I577" s="405" t="s">
        <v>969</v>
      </c>
      <c r="J577" s="404" t="s">
        <v>1413</v>
      </c>
      <c r="K577" s="405">
        <v>1</v>
      </c>
      <c r="L577" s="411" t="s">
        <v>1531</v>
      </c>
      <c r="M577" s="406" t="s">
        <v>1531</v>
      </c>
      <c r="N577" s="425" t="s">
        <v>1284</v>
      </c>
      <c r="O577" s="391" t="s">
        <v>151</v>
      </c>
      <c r="P577" s="414" t="s">
        <v>1413</v>
      </c>
      <c r="Q577" s="340" t="s">
        <v>2434</v>
      </c>
      <c r="R577" s="338">
        <v>1</v>
      </c>
      <c r="S577" s="404" t="s">
        <v>1413</v>
      </c>
      <c r="T577" s="398" t="s">
        <v>1531</v>
      </c>
      <c r="U577" s="398" t="s">
        <v>1531</v>
      </c>
    </row>
    <row r="578" spans="1:21" ht="15">
      <c r="A578" s="403" t="s">
        <v>1531</v>
      </c>
      <c r="B578" s="404" t="s">
        <v>1413</v>
      </c>
      <c r="C578" s="398" t="s">
        <v>1531</v>
      </c>
      <c r="D578" s="404" t="s">
        <v>1413</v>
      </c>
      <c r="E578" s="394">
        <v>0.03</v>
      </c>
      <c r="F578" s="405" t="s">
        <v>1474</v>
      </c>
      <c r="G578" s="398" t="s">
        <v>1531</v>
      </c>
      <c r="H578" s="404" t="s">
        <v>1413</v>
      </c>
      <c r="I578" s="404" t="s">
        <v>1413</v>
      </c>
      <c r="J578" s="404" t="s">
        <v>1413</v>
      </c>
      <c r="K578" s="405">
        <v>1</v>
      </c>
      <c r="L578" s="405">
        <v>0.1</v>
      </c>
      <c r="M578" s="406" t="s">
        <v>1531</v>
      </c>
      <c r="N578" s="425" t="s">
        <v>1285</v>
      </c>
      <c r="O578" s="391" t="s">
        <v>152</v>
      </c>
      <c r="P578" s="414" t="s">
        <v>1413</v>
      </c>
      <c r="Q578" s="340" t="s">
        <v>2433</v>
      </c>
      <c r="R578" s="338">
        <v>1047786</v>
      </c>
      <c r="S578" s="404" t="s">
        <v>1413</v>
      </c>
      <c r="T578" s="398" t="s">
        <v>1531</v>
      </c>
      <c r="U578" s="398" t="s">
        <v>1531</v>
      </c>
    </row>
    <row r="579" spans="1:21" ht="15.6" thickBot="1">
      <c r="A579" s="407" t="s">
        <v>1531</v>
      </c>
      <c r="B579" s="408" t="s">
        <v>1413</v>
      </c>
      <c r="C579" s="399" t="s">
        <v>1531</v>
      </c>
      <c r="D579" s="408" t="s">
        <v>1413</v>
      </c>
      <c r="E579" s="396">
        <v>2E-3</v>
      </c>
      <c r="F579" s="409" t="s">
        <v>1412</v>
      </c>
      <c r="G579" s="399" t="s">
        <v>1531</v>
      </c>
      <c r="H579" s="408" t="s">
        <v>1413</v>
      </c>
      <c r="I579" s="409" t="s">
        <v>969</v>
      </c>
      <c r="J579" s="408" t="s">
        <v>1413</v>
      </c>
      <c r="K579" s="409">
        <v>1</v>
      </c>
      <c r="L579" s="413" t="s">
        <v>1531</v>
      </c>
      <c r="M579" s="397">
        <v>0.312</v>
      </c>
      <c r="N579" s="426" t="s">
        <v>1286</v>
      </c>
      <c r="O579" s="393" t="s">
        <v>153</v>
      </c>
      <c r="P579" s="416" t="s">
        <v>1413</v>
      </c>
      <c r="Q579" s="340" t="s">
        <v>2433</v>
      </c>
      <c r="R579" s="338">
        <v>1</v>
      </c>
      <c r="S579" s="408" t="s">
        <v>1413</v>
      </c>
      <c r="T579" s="399" t="s">
        <v>1531</v>
      </c>
      <c r="U579" s="399" t="s">
        <v>1531</v>
      </c>
    </row>
    <row r="580" spans="1:21" ht="30">
      <c r="A580" s="403" t="s">
        <v>1531</v>
      </c>
      <c r="B580" s="404" t="s">
        <v>1413</v>
      </c>
      <c r="C580" s="398" t="s">
        <v>1531</v>
      </c>
      <c r="D580" s="404" t="s">
        <v>1413</v>
      </c>
      <c r="E580" s="394">
        <v>1E-4</v>
      </c>
      <c r="F580" s="405" t="s">
        <v>1412</v>
      </c>
      <c r="G580" s="398" t="s">
        <v>1531</v>
      </c>
      <c r="H580" s="404" t="s">
        <v>1413</v>
      </c>
      <c r="I580" s="404" t="s">
        <v>1413</v>
      </c>
      <c r="J580" s="404" t="s">
        <v>1413</v>
      </c>
      <c r="K580" s="405">
        <v>1</v>
      </c>
      <c r="L580" s="405">
        <v>0.1</v>
      </c>
      <c r="M580" s="406" t="s">
        <v>1531</v>
      </c>
      <c r="N580" s="425" t="s">
        <v>539</v>
      </c>
      <c r="O580" s="391" t="s">
        <v>154</v>
      </c>
      <c r="P580" s="414" t="s">
        <v>1413</v>
      </c>
      <c r="Q580" s="340" t="s">
        <v>2433</v>
      </c>
      <c r="R580" s="338">
        <v>1</v>
      </c>
      <c r="S580" s="404" t="s">
        <v>1413</v>
      </c>
      <c r="T580" s="398" t="s">
        <v>1531</v>
      </c>
      <c r="U580" s="398" t="s">
        <v>1531</v>
      </c>
    </row>
    <row r="581" spans="1:21" ht="15">
      <c r="A581" s="403" t="s">
        <v>1531</v>
      </c>
      <c r="B581" s="404" t="s">
        <v>1413</v>
      </c>
      <c r="C581" s="398" t="s">
        <v>1531</v>
      </c>
      <c r="D581" s="404" t="s">
        <v>1413</v>
      </c>
      <c r="E581" s="394">
        <v>8.0000000000000004E-4</v>
      </c>
      <c r="F581" s="405" t="s">
        <v>1412</v>
      </c>
      <c r="G581" s="398" t="s">
        <v>1531</v>
      </c>
      <c r="H581" s="404" t="s">
        <v>1413</v>
      </c>
      <c r="I581" s="405" t="s">
        <v>969</v>
      </c>
      <c r="J581" s="404" t="s">
        <v>1413</v>
      </c>
      <c r="K581" s="405">
        <v>1</v>
      </c>
      <c r="L581" s="411" t="s">
        <v>1531</v>
      </c>
      <c r="M581" s="406" t="s">
        <v>1531</v>
      </c>
      <c r="N581" s="425" t="s">
        <v>1287</v>
      </c>
      <c r="O581" s="391" t="s">
        <v>155</v>
      </c>
      <c r="P581" s="414" t="s">
        <v>1413</v>
      </c>
      <c r="Q581" s="340" t="s">
        <v>2433</v>
      </c>
      <c r="R581" s="338">
        <v>1</v>
      </c>
      <c r="S581" s="404" t="s">
        <v>1413</v>
      </c>
      <c r="T581" s="398" t="s">
        <v>1531</v>
      </c>
      <c r="U581" s="398" t="s">
        <v>1531</v>
      </c>
    </row>
    <row r="582" spans="1:21" ht="15.6" thickBot="1">
      <c r="A582" s="412">
        <v>3.9</v>
      </c>
      <c r="B582" s="409" t="s">
        <v>360</v>
      </c>
      <c r="C582" s="396">
        <v>1.1000000000000001E-3</v>
      </c>
      <c r="D582" s="409" t="s">
        <v>360</v>
      </c>
      <c r="E582" s="396">
        <v>2.3E-5</v>
      </c>
      <c r="F582" s="409" t="s">
        <v>360</v>
      </c>
      <c r="G582" s="396">
        <v>1.2999999999999999E-3</v>
      </c>
      <c r="H582" s="409" t="s">
        <v>360</v>
      </c>
      <c r="I582" s="409" t="s">
        <v>969</v>
      </c>
      <c r="J582" s="408" t="s">
        <v>1413</v>
      </c>
      <c r="K582" s="409">
        <v>1</v>
      </c>
      <c r="L582" s="409">
        <v>0.14000000000000001</v>
      </c>
      <c r="M582" s="410" t="s">
        <v>1531</v>
      </c>
      <c r="N582" s="426" t="s">
        <v>2245</v>
      </c>
      <c r="O582" s="393" t="s">
        <v>195</v>
      </c>
      <c r="P582" s="416" t="s">
        <v>1413</v>
      </c>
      <c r="Q582" s="340" t="s">
        <v>2434</v>
      </c>
      <c r="R582" s="338">
        <v>1</v>
      </c>
      <c r="S582" s="408" t="s">
        <v>1413</v>
      </c>
      <c r="T582" s="396">
        <v>1.1000000000000001E-3</v>
      </c>
      <c r="U582" s="396">
        <v>1.2999999999999999E-3</v>
      </c>
    </row>
    <row r="583" spans="1:21" ht="15">
      <c r="A583" s="427">
        <v>3.9</v>
      </c>
      <c r="B583" s="405" t="s">
        <v>360</v>
      </c>
      <c r="C583" s="394">
        <v>1.1000000000000001E-3</v>
      </c>
      <c r="D583" s="405" t="s">
        <v>360</v>
      </c>
      <c r="E583" s="394">
        <v>2.3E-5</v>
      </c>
      <c r="F583" s="405" t="s">
        <v>360</v>
      </c>
      <c r="G583" s="394">
        <v>1.2999999999999999E-3</v>
      </c>
      <c r="H583" s="405" t="s">
        <v>360</v>
      </c>
      <c r="I583" s="405" t="s">
        <v>969</v>
      </c>
      <c r="J583" s="404" t="s">
        <v>1413</v>
      </c>
      <c r="K583" s="405">
        <v>1</v>
      </c>
      <c r="L583" s="405">
        <v>0.14000000000000001</v>
      </c>
      <c r="M583" s="406" t="s">
        <v>1531</v>
      </c>
      <c r="N583" s="425" t="s">
        <v>2246</v>
      </c>
      <c r="O583" s="391" t="s">
        <v>196</v>
      </c>
      <c r="P583" s="414" t="s">
        <v>1413</v>
      </c>
      <c r="Q583" s="340" t="s">
        <v>2434</v>
      </c>
      <c r="R583" s="338">
        <v>1</v>
      </c>
      <c r="S583" s="404" t="s">
        <v>1413</v>
      </c>
      <c r="T583" s="394">
        <v>1.1000000000000001E-3</v>
      </c>
      <c r="U583" s="394">
        <v>1.2999999999999999E-3</v>
      </c>
    </row>
    <row r="584" spans="1:21" ht="15">
      <c r="A584" s="427">
        <v>3.9</v>
      </c>
      <c r="B584" s="405" t="s">
        <v>360</v>
      </c>
      <c r="C584" s="394">
        <v>1.1000000000000001E-3</v>
      </c>
      <c r="D584" s="405" t="s">
        <v>360</v>
      </c>
      <c r="E584" s="394">
        <v>2.3E-5</v>
      </c>
      <c r="F584" s="405" t="s">
        <v>360</v>
      </c>
      <c r="G584" s="394">
        <v>1.2999999999999999E-3</v>
      </c>
      <c r="H584" s="405" t="s">
        <v>360</v>
      </c>
      <c r="I584" s="405" t="s">
        <v>969</v>
      </c>
      <c r="J584" s="404" t="s">
        <v>1413</v>
      </c>
      <c r="K584" s="405">
        <v>1</v>
      </c>
      <c r="L584" s="405">
        <v>0.14000000000000001</v>
      </c>
      <c r="M584" s="406" t="s">
        <v>1531</v>
      </c>
      <c r="N584" s="425" t="s">
        <v>2247</v>
      </c>
      <c r="O584" s="391" t="s">
        <v>194</v>
      </c>
      <c r="P584" s="414" t="s">
        <v>1413</v>
      </c>
      <c r="Q584" s="340" t="s">
        <v>2434</v>
      </c>
      <c r="R584" s="338">
        <v>1</v>
      </c>
      <c r="S584" s="404" t="s">
        <v>1413</v>
      </c>
      <c r="T584" s="394">
        <v>1.1000000000000001E-3</v>
      </c>
      <c r="U584" s="394">
        <v>1.2999999999999999E-3</v>
      </c>
    </row>
    <row r="585" spans="1:21" ht="15.6" thickBot="1">
      <c r="A585" s="412">
        <v>3.9</v>
      </c>
      <c r="B585" s="409" t="s">
        <v>360</v>
      </c>
      <c r="C585" s="396">
        <v>1.1000000000000001E-3</v>
      </c>
      <c r="D585" s="409" t="s">
        <v>360</v>
      </c>
      <c r="E585" s="396">
        <v>2.3E-5</v>
      </c>
      <c r="F585" s="409" t="s">
        <v>360</v>
      </c>
      <c r="G585" s="396">
        <v>1.2999999999999999E-3</v>
      </c>
      <c r="H585" s="409" t="s">
        <v>360</v>
      </c>
      <c r="I585" s="409" t="s">
        <v>969</v>
      </c>
      <c r="J585" s="408" t="s">
        <v>1413</v>
      </c>
      <c r="K585" s="409">
        <v>1</v>
      </c>
      <c r="L585" s="409">
        <v>0.14000000000000001</v>
      </c>
      <c r="M585" s="410" t="s">
        <v>1531</v>
      </c>
      <c r="N585" s="426" t="s">
        <v>2248</v>
      </c>
      <c r="O585" s="393" t="s">
        <v>193</v>
      </c>
      <c r="P585" s="416" t="s">
        <v>1413</v>
      </c>
      <c r="Q585" s="340" t="s">
        <v>2433</v>
      </c>
      <c r="R585" s="338">
        <v>1</v>
      </c>
      <c r="S585" s="408" t="s">
        <v>1413</v>
      </c>
      <c r="T585" s="396">
        <v>1.1000000000000001E-3</v>
      </c>
      <c r="U585" s="396">
        <v>1.2999999999999999E-3</v>
      </c>
    </row>
    <row r="586" spans="1:21" ht="15">
      <c r="A586" s="427">
        <v>13000</v>
      </c>
      <c r="B586" s="405" t="s">
        <v>360</v>
      </c>
      <c r="C586" s="394">
        <v>3.8</v>
      </c>
      <c r="D586" s="405" t="s">
        <v>360</v>
      </c>
      <c r="E586" s="394">
        <v>6.9999999999999998E-9</v>
      </c>
      <c r="F586" s="405" t="s">
        <v>360</v>
      </c>
      <c r="G586" s="394">
        <v>3.9999999999999998E-7</v>
      </c>
      <c r="H586" s="405" t="s">
        <v>360</v>
      </c>
      <c r="I586" s="405" t="s">
        <v>969</v>
      </c>
      <c r="J586" s="404" t="s">
        <v>1413</v>
      </c>
      <c r="K586" s="405">
        <v>1</v>
      </c>
      <c r="L586" s="405">
        <v>0.14000000000000001</v>
      </c>
      <c r="M586" s="406" t="s">
        <v>1531</v>
      </c>
      <c r="N586" s="425" t="s">
        <v>2249</v>
      </c>
      <c r="O586" s="391" t="s">
        <v>197</v>
      </c>
      <c r="P586" s="414" t="s">
        <v>1413</v>
      </c>
      <c r="Q586" s="340" t="s">
        <v>2434</v>
      </c>
      <c r="R586" s="338">
        <v>1</v>
      </c>
      <c r="S586" s="404" t="s">
        <v>1413</v>
      </c>
      <c r="T586" s="394">
        <v>3.8</v>
      </c>
      <c r="U586" s="394">
        <v>3.9999999999999998E-7</v>
      </c>
    </row>
    <row r="587" spans="1:21" ht="15">
      <c r="A587" s="427">
        <v>0.09</v>
      </c>
      <c r="B587" s="405" t="s">
        <v>520</v>
      </c>
      <c r="C587" s="398" t="s">
        <v>1531</v>
      </c>
      <c r="D587" s="404" t="s">
        <v>1413</v>
      </c>
      <c r="E587" s="398" t="s">
        <v>1531</v>
      </c>
      <c r="F587" s="404" t="s">
        <v>1413</v>
      </c>
      <c r="G587" s="398" t="s">
        <v>1531</v>
      </c>
      <c r="H587" s="404" t="s">
        <v>1413</v>
      </c>
      <c r="I587" s="405" t="s">
        <v>969</v>
      </c>
      <c r="J587" s="404" t="s">
        <v>1413</v>
      </c>
      <c r="K587" s="405">
        <v>1</v>
      </c>
      <c r="L587" s="411" t="s">
        <v>1531</v>
      </c>
      <c r="M587" s="395">
        <v>457</v>
      </c>
      <c r="N587" s="425" t="s">
        <v>540</v>
      </c>
      <c r="O587" s="391" t="s">
        <v>156</v>
      </c>
      <c r="P587" s="414" t="s">
        <v>1413</v>
      </c>
      <c r="Q587" s="340" t="s">
        <v>2433</v>
      </c>
      <c r="R587" s="338">
        <v>1</v>
      </c>
      <c r="S587" s="404" t="s">
        <v>1413</v>
      </c>
      <c r="T587" s="398" t="s">
        <v>1531</v>
      </c>
      <c r="U587" s="398" t="s">
        <v>1531</v>
      </c>
    </row>
    <row r="588" spans="1:21" ht="15.6" thickBot="1">
      <c r="A588" s="412">
        <v>0.26</v>
      </c>
      <c r="B588" s="409" t="s">
        <v>406</v>
      </c>
      <c r="C588" s="399" t="s">
        <v>1531</v>
      </c>
      <c r="D588" s="408" t="s">
        <v>1413</v>
      </c>
      <c r="E588" s="396">
        <v>3.0000000000000001E-3</v>
      </c>
      <c r="F588" s="409" t="s">
        <v>1412</v>
      </c>
      <c r="G588" s="399" t="s">
        <v>1531</v>
      </c>
      <c r="H588" s="408" t="s">
        <v>1413</v>
      </c>
      <c r="I588" s="409" t="s">
        <v>969</v>
      </c>
      <c r="J588" s="408" t="s">
        <v>1413</v>
      </c>
      <c r="K588" s="409">
        <v>1</v>
      </c>
      <c r="L588" s="413" t="s">
        <v>1531</v>
      </c>
      <c r="M588" s="410" t="s">
        <v>1531</v>
      </c>
      <c r="N588" s="426" t="s">
        <v>1288</v>
      </c>
      <c r="O588" s="393" t="s">
        <v>157</v>
      </c>
      <c r="P588" s="416" t="s">
        <v>1413</v>
      </c>
      <c r="Q588" s="340" t="s">
        <v>2433</v>
      </c>
      <c r="R588" s="338">
        <v>1</v>
      </c>
      <c r="S588" s="408" t="s">
        <v>1413</v>
      </c>
      <c r="T588" s="399" t="s">
        <v>1531</v>
      </c>
      <c r="U588" s="399" t="s">
        <v>1531</v>
      </c>
    </row>
    <row r="589" spans="1:21" ht="15">
      <c r="A589" s="427">
        <v>0.4</v>
      </c>
      <c r="B589" s="405" t="s">
        <v>1412</v>
      </c>
      <c r="C589" s="394">
        <v>5.1000000000000003E-6</v>
      </c>
      <c r="D589" s="405" t="s">
        <v>521</v>
      </c>
      <c r="E589" s="394">
        <v>5.0000000000000001E-3</v>
      </c>
      <c r="F589" s="405" t="s">
        <v>1412</v>
      </c>
      <c r="G589" s="398" t="s">
        <v>1531</v>
      </c>
      <c r="H589" s="404" t="s">
        <v>1413</v>
      </c>
      <c r="I589" s="404" t="s">
        <v>1413</v>
      </c>
      <c r="J589" s="404" t="s">
        <v>1413</v>
      </c>
      <c r="K589" s="405">
        <v>1</v>
      </c>
      <c r="L589" s="405">
        <v>0.25</v>
      </c>
      <c r="M589" s="406" t="s">
        <v>1531</v>
      </c>
      <c r="N589" s="425" t="s">
        <v>393</v>
      </c>
      <c r="O589" s="391" t="s">
        <v>158</v>
      </c>
      <c r="P589" s="429">
        <v>1</v>
      </c>
      <c r="Q589" s="340" t="s">
        <v>2433</v>
      </c>
      <c r="R589" s="338">
        <v>1</v>
      </c>
      <c r="S589" s="404" t="s">
        <v>1413</v>
      </c>
      <c r="T589" s="394">
        <v>5.1000000000000003E-6</v>
      </c>
      <c r="U589" s="398" t="s">
        <v>1531</v>
      </c>
    </row>
    <row r="590" spans="1:21" ht="15">
      <c r="A590" s="427">
        <v>4.0000000000000001E-3</v>
      </c>
      <c r="B590" s="405" t="s">
        <v>961</v>
      </c>
      <c r="C590" s="398" t="s">
        <v>1531</v>
      </c>
      <c r="D590" s="404" t="s">
        <v>1413</v>
      </c>
      <c r="E590" s="394">
        <v>2E-3</v>
      </c>
      <c r="F590" s="405" t="s">
        <v>520</v>
      </c>
      <c r="G590" s="398" t="s">
        <v>1531</v>
      </c>
      <c r="H590" s="404" t="s">
        <v>1413</v>
      </c>
      <c r="I590" s="404" t="s">
        <v>1413</v>
      </c>
      <c r="J590" s="404" t="s">
        <v>1413</v>
      </c>
      <c r="K590" s="405">
        <v>1</v>
      </c>
      <c r="L590" s="405">
        <v>0.1</v>
      </c>
      <c r="M590" s="406" t="s">
        <v>1531</v>
      </c>
      <c r="N590" s="425" t="s">
        <v>1575</v>
      </c>
      <c r="O590" s="391" t="s">
        <v>1576</v>
      </c>
      <c r="P590" s="414" t="s">
        <v>1413</v>
      </c>
      <c r="Q590" s="340" t="s">
        <v>2433</v>
      </c>
      <c r="R590" s="338">
        <v>1</v>
      </c>
      <c r="S590" s="404" t="s">
        <v>1413</v>
      </c>
      <c r="T590" s="398" t="s">
        <v>1531</v>
      </c>
      <c r="U590" s="398" t="s">
        <v>1531</v>
      </c>
    </row>
    <row r="591" spans="1:21" ht="15.6" thickBot="1">
      <c r="A591" s="407" t="s">
        <v>1531</v>
      </c>
      <c r="B591" s="408" t="s">
        <v>1413</v>
      </c>
      <c r="C591" s="399" t="s">
        <v>1531</v>
      </c>
      <c r="D591" s="408" t="s">
        <v>1413</v>
      </c>
      <c r="E591" s="399" t="s">
        <v>1531</v>
      </c>
      <c r="F591" s="408" t="s">
        <v>1413</v>
      </c>
      <c r="G591" s="396">
        <v>1</v>
      </c>
      <c r="H591" s="409" t="s">
        <v>520</v>
      </c>
      <c r="I591" s="409" t="s">
        <v>969</v>
      </c>
      <c r="J591" s="408" t="s">
        <v>1413</v>
      </c>
      <c r="K591" s="409">
        <v>1</v>
      </c>
      <c r="L591" s="413" t="s">
        <v>1531</v>
      </c>
      <c r="M591" s="397">
        <v>388</v>
      </c>
      <c r="N591" s="426" t="s">
        <v>609</v>
      </c>
      <c r="O591" s="393" t="s">
        <v>159</v>
      </c>
      <c r="P591" s="416" t="s">
        <v>1413</v>
      </c>
      <c r="Q591" s="340" t="s">
        <v>2434</v>
      </c>
      <c r="R591" s="338">
        <v>1</v>
      </c>
      <c r="S591" s="408" t="s">
        <v>1413</v>
      </c>
      <c r="T591" s="399" t="s">
        <v>1531</v>
      </c>
      <c r="U591" s="396">
        <v>1</v>
      </c>
    </row>
    <row r="592" spans="1:21" ht="15">
      <c r="A592" s="403" t="s">
        <v>1531</v>
      </c>
      <c r="B592" s="404" t="s">
        <v>1413</v>
      </c>
      <c r="C592" s="398" t="s">
        <v>1531</v>
      </c>
      <c r="D592" s="404" t="s">
        <v>1413</v>
      </c>
      <c r="E592" s="394">
        <v>6.9999999999999999E-4</v>
      </c>
      <c r="F592" s="405" t="s">
        <v>1412</v>
      </c>
      <c r="G592" s="398" t="s">
        <v>1531</v>
      </c>
      <c r="H592" s="404" t="s">
        <v>1413</v>
      </c>
      <c r="I592" s="404" t="s">
        <v>1413</v>
      </c>
      <c r="J592" s="404" t="s">
        <v>1413</v>
      </c>
      <c r="K592" s="405">
        <v>1</v>
      </c>
      <c r="L592" s="411" t="s">
        <v>1531</v>
      </c>
      <c r="M592" s="406" t="s">
        <v>1531</v>
      </c>
      <c r="N592" s="425" t="s">
        <v>2378</v>
      </c>
      <c r="O592" s="391" t="s">
        <v>160</v>
      </c>
      <c r="P592" s="429" t="s">
        <v>1532</v>
      </c>
      <c r="Q592" s="340" t="s">
        <v>2433</v>
      </c>
      <c r="R592" s="338">
        <v>1</v>
      </c>
      <c r="S592" s="404" t="s">
        <v>1413</v>
      </c>
      <c r="T592" s="398" t="s">
        <v>1531</v>
      </c>
      <c r="U592" s="398" t="s">
        <v>1531</v>
      </c>
    </row>
    <row r="593" spans="1:21" ht="15">
      <c r="A593" s="403" t="s">
        <v>1531</v>
      </c>
      <c r="B593" s="404" t="s">
        <v>1413</v>
      </c>
      <c r="C593" s="398" t="s">
        <v>1531</v>
      </c>
      <c r="D593" s="404" t="s">
        <v>1413</v>
      </c>
      <c r="E593" s="398" t="s">
        <v>1531</v>
      </c>
      <c r="F593" s="404" t="s">
        <v>1413</v>
      </c>
      <c r="G593" s="398" t="s">
        <v>1531</v>
      </c>
      <c r="H593" s="404" t="s">
        <v>1413</v>
      </c>
      <c r="I593" s="404" t="s">
        <v>1413</v>
      </c>
      <c r="J593" s="404" t="s">
        <v>1413</v>
      </c>
      <c r="K593" s="411" t="s">
        <v>1531</v>
      </c>
      <c r="L593" s="411" t="s">
        <v>1531</v>
      </c>
      <c r="M593" s="406" t="s">
        <v>1531</v>
      </c>
      <c r="N593" s="425" t="s">
        <v>1577</v>
      </c>
      <c r="O593" s="391" t="s">
        <v>1413</v>
      </c>
      <c r="P593" s="414" t="s">
        <v>1413</v>
      </c>
      <c r="Q593" s="340" t="s">
        <v>2433</v>
      </c>
      <c r="R593" s="338">
        <v>1</v>
      </c>
      <c r="S593" s="404" t="s">
        <v>1413</v>
      </c>
      <c r="T593" s="398" t="s">
        <v>1531</v>
      </c>
      <c r="U593" s="398" t="s">
        <v>1531</v>
      </c>
    </row>
    <row r="594" spans="1:21" ht="15.6" thickBot="1">
      <c r="A594" s="407" t="s">
        <v>1531</v>
      </c>
      <c r="B594" s="408" t="s">
        <v>1413</v>
      </c>
      <c r="C594" s="399" t="s">
        <v>1531</v>
      </c>
      <c r="D594" s="408" t="s">
        <v>1413</v>
      </c>
      <c r="E594" s="396">
        <v>0.02</v>
      </c>
      <c r="F594" s="409" t="s">
        <v>520</v>
      </c>
      <c r="G594" s="399" t="s">
        <v>1531</v>
      </c>
      <c r="H594" s="408" t="s">
        <v>1413</v>
      </c>
      <c r="I594" s="408" t="s">
        <v>1413</v>
      </c>
      <c r="J594" s="408" t="s">
        <v>1413</v>
      </c>
      <c r="K594" s="409">
        <v>1</v>
      </c>
      <c r="L594" s="409">
        <v>0.1</v>
      </c>
      <c r="M594" s="410" t="s">
        <v>1531</v>
      </c>
      <c r="N594" s="426" t="s">
        <v>2429</v>
      </c>
      <c r="O594" s="393" t="s">
        <v>2126</v>
      </c>
      <c r="P594" s="416" t="s">
        <v>1413</v>
      </c>
      <c r="Q594" s="340" t="s">
        <v>2433</v>
      </c>
      <c r="R594" s="338">
        <v>1</v>
      </c>
      <c r="S594" s="408" t="s">
        <v>1413</v>
      </c>
      <c r="T594" s="399" t="s">
        <v>1531</v>
      </c>
      <c r="U594" s="399" t="s">
        <v>1531</v>
      </c>
    </row>
    <row r="595" spans="1:21" ht="15">
      <c r="A595" s="403" t="s">
        <v>1531</v>
      </c>
      <c r="B595" s="404" t="s">
        <v>1413</v>
      </c>
      <c r="C595" s="398" t="s">
        <v>1531</v>
      </c>
      <c r="D595" s="404" t="s">
        <v>1413</v>
      </c>
      <c r="E595" s="394">
        <v>0.02</v>
      </c>
      <c r="F595" s="405" t="s">
        <v>520</v>
      </c>
      <c r="G595" s="398" t="s">
        <v>1531</v>
      </c>
      <c r="H595" s="404" t="s">
        <v>1413</v>
      </c>
      <c r="I595" s="404" t="s">
        <v>1413</v>
      </c>
      <c r="J595" s="404" t="s">
        <v>1413</v>
      </c>
      <c r="K595" s="405">
        <v>1</v>
      </c>
      <c r="L595" s="405">
        <v>0.1</v>
      </c>
      <c r="M595" s="406" t="s">
        <v>1531</v>
      </c>
      <c r="N595" s="425" t="s">
        <v>2453</v>
      </c>
      <c r="O595" s="391" t="s">
        <v>2454</v>
      </c>
      <c r="P595" s="414" t="s">
        <v>1413</v>
      </c>
      <c r="Q595" s="340" t="s">
        <v>2433</v>
      </c>
      <c r="R595" s="338">
        <v>1</v>
      </c>
      <c r="S595" s="404" t="s">
        <v>1413</v>
      </c>
      <c r="T595" s="398" t="s">
        <v>1531</v>
      </c>
      <c r="U595" s="398" t="s">
        <v>1531</v>
      </c>
    </row>
    <row r="596" spans="1:21" ht="15">
      <c r="A596" s="403" t="s">
        <v>1531</v>
      </c>
      <c r="B596" s="404" t="s">
        <v>1413</v>
      </c>
      <c r="C596" s="398" t="s">
        <v>1531</v>
      </c>
      <c r="D596" s="404" t="s">
        <v>1413</v>
      </c>
      <c r="E596" s="394">
        <v>0.05</v>
      </c>
      <c r="F596" s="405" t="s">
        <v>1412</v>
      </c>
      <c r="G596" s="398" t="s">
        <v>1531</v>
      </c>
      <c r="H596" s="404" t="s">
        <v>1413</v>
      </c>
      <c r="I596" s="404" t="s">
        <v>1413</v>
      </c>
      <c r="J596" s="404" t="s">
        <v>1413</v>
      </c>
      <c r="K596" s="405">
        <v>1</v>
      </c>
      <c r="L596" s="405">
        <v>0.1</v>
      </c>
      <c r="M596" s="406" t="s">
        <v>1531</v>
      </c>
      <c r="N596" s="425" t="s">
        <v>1289</v>
      </c>
      <c r="O596" s="391" t="s">
        <v>161</v>
      </c>
      <c r="P596" s="414" t="s">
        <v>1413</v>
      </c>
      <c r="Q596" s="340" t="s">
        <v>2434</v>
      </c>
      <c r="R596" s="338">
        <v>1</v>
      </c>
      <c r="S596" s="404" t="s">
        <v>1413</v>
      </c>
      <c r="T596" s="398" t="s">
        <v>1531</v>
      </c>
      <c r="U596" s="398" t="s">
        <v>1531</v>
      </c>
    </row>
    <row r="597" spans="1:21" ht="15.6" thickBot="1">
      <c r="A597" s="412">
        <v>2.2000000000000001E-3</v>
      </c>
      <c r="B597" s="409" t="s">
        <v>521</v>
      </c>
      <c r="C597" s="396">
        <v>6.3E-7</v>
      </c>
      <c r="D597" s="409" t="s">
        <v>521</v>
      </c>
      <c r="E597" s="399" t="s">
        <v>1531</v>
      </c>
      <c r="F597" s="408" t="s">
        <v>1413</v>
      </c>
      <c r="G597" s="399" t="s">
        <v>1531</v>
      </c>
      <c r="H597" s="408" t="s">
        <v>1413</v>
      </c>
      <c r="I597" s="408" t="s">
        <v>1413</v>
      </c>
      <c r="J597" s="408" t="s">
        <v>1413</v>
      </c>
      <c r="K597" s="409">
        <v>1</v>
      </c>
      <c r="L597" s="409">
        <v>0.1</v>
      </c>
      <c r="M597" s="410" t="s">
        <v>1531</v>
      </c>
      <c r="N597" s="426" t="s">
        <v>610</v>
      </c>
      <c r="O597" s="393" t="s">
        <v>162</v>
      </c>
      <c r="P597" s="416" t="s">
        <v>1413</v>
      </c>
      <c r="Q597" s="340" t="s">
        <v>2433</v>
      </c>
      <c r="R597" s="338">
        <v>1</v>
      </c>
      <c r="S597" s="408" t="s">
        <v>1413</v>
      </c>
      <c r="T597" s="396">
        <v>6.3E-7</v>
      </c>
      <c r="U597" s="399" t="s">
        <v>1531</v>
      </c>
    </row>
    <row r="598" spans="1:21" ht="15">
      <c r="A598" s="403" t="s">
        <v>1531</v>
      </c>
      <c r="B598" s="404" t="s">
        <v>1413</v>
      </c>
      <c r="C598" s="398" t="s">
        <v>1531</v>
      </c>
      <c r="D598" s="404" t="s">
        <v>1413</v>
      </c>
      <c r="E598" s="394">
        <v>0.24</v>
      </c>
      <c r="F598" s="405" t="s">
        <v>1474</v>
      </c>
      <c r="G598" s="398" t="s">
        <v>1531</v>
      </c>
      <c r="H598" s="404" t="s">
        <v>1413</v>
      </c>
      <c r="I598" s="404" t="s">
        <v>1413</v>
      </c>
      <c r="J598" s="404" t="s">
        <v>1413</v>
      </c>
      <c r="K598" s="405">
        <v>1</v>
      </c>
      <c r="L598" s="405">
        <v>0.1</v>
      </c>
      <c r="M598" s="406" t="s">
        <v>1531</v>
      </c>
      <c r="N598" s="425" t="s">
        <v>1290</v>
      </c>
      <c r="O598" s="391" t="s">
        <v>163</v>
      </c>
      <c r="P598" s="414" t="s">
        <v>1413</v>
      </c>
      <c r="Q598" s="340" t="s">
        <v>2433</v>
      </c>
      <c r="R598" s="338">
        <v>1047786</v>
      </c>
      <c r="S598" s="404" t="s">
        <v>1413</v>
      </c>
      <c r="T598" s="398" t="s">
        <v>1531</v>
      </c>
      <c r="U598" s="398" t="s">
        <v>1531</v>
      </c>
    </row>
    <row r="599" spans="1:21" ht="15">
      <c r="A599" s="403" t="s">
        <v>1531</v>
      </c>
      <c r="B599" s="404" t="s">
        <v>1413</v>
      </c>
      <c r="C599" s="398" t="s">
        <v>1531</v>
      </c>
      <c r="D599" s="404" t="s">
        <v>1413</v>
      </c>
      <c r="E599" s="394">
        <v>0.3</v>
      </c>
      <c r="F599" s="405" t="s">
        <v>1412</v>
      </c>
      <c r="G599" s="394">
        <v>0.2</v>
      </c>
      <c r="H599" s="405" t="s">
        <v>521</v>
      </c>
      <c r="I599" s="404" t="s">
        <v>1413</v>
      </c>
      <c r="J599" s="404" t="s">
        <v>1413</v>
      </c>
      <c r="K599" s="405">
        <v>1</v>
      </c>
      <c r="L599" s="405">
        <v>0.1</v>
      </c>
      <c r="M599" s="406" t="s">
        <v>1531</v>
      </c>
      <c r="N599" s="425" t="s">
        <v>394</v>
      </c>
      <c r="O599" s="391" t="s">
        <v>164</v>
      </c>
      <c r="P599" s="414" t="s">
        <v>1413</v>
      </c>
      <c r="Q599" s="340" t="s">
        <v>2433</v>
      </c>
      <c r="R599" s="338">
        <v>1</v>
      </c>
      <c r="S599" s="404" t="s">
        <v>1413</v>
      </c>
      <c r="T599" s="398" t="s">
        <v>1531</v>
      </c>
      <c r="U599" s="394">
        <v>0.2</v>
      </c>
    </row>
    <row r="600" spans="1:21" ht="30.6" thickBot="1">
      <c r="A600" s="407" t="s">
        <v>1531</v>
      </c>
      <c r="B600" s="408" t="s">
        <v>1413</v>
      </c>
      <c r="C600" s="399" t="s">
        <v>1531</v>
      </c>
      <c r="D600" s="408" t="s">
        <v>1413</v>
      </c>
      <c r="E600" s="396">
        <v>4.0000000000000001E-3</v>
      </c>
      <c r="F600" s="409" t="s">
        <v>1412</v>
      </c>
      <c r="G600" s="399" t="s">
        <v>1531</v>
      </c>
      <c r="H600" s="408" t="s">
        <v>1413</v>
      </c>
      <c r="I600" s="408" t="s">
        <v>1413</v>
      </c>
      <c r="J600" s="408" t="s">
        <v>1413</v>
      </c>
      <c r="K600" s="409">
        <v>1</v>
      </c>
      <c r="L600" s="409">
        <v>0.1</v>
      </c>
      <c r="M600" s="410" t="s">
        <v>1531</v>
      </c>
      <c r="N600" s="426" t="s">
        <v>2430</v>
      </c>
      <c r="O600" s="393" t="s">
        <v>679</v>
      </c>
      <c r="P600" s="416" t="s">
        <v>1413</v>
      </c>
      <c r="Q600" s="340" t="s">
        <v>2433</v>
      </c>
      <c r="R600" s="338">
        <v>1</v>
      </c>
      <c r="S600" s="408" t="s">
        <v>1413</v>
      </c>
      <c r="T600" s="399" t="s">
        <v>1531</v>
      </c>
      <c r="U600" s="399" t="s">
        <v>1531</v>
      </c>
    </row>
    <row r="601" spans="1:21" ht="15">
      <c r="A601" s="403" t="s">
        <v>1531</v>
      </c>
      <c r="B601" s="404" t="s">
        <v>1413</v>
      </c>
      <c r="C601" s="398" t="s">
        <v>1531</v>
      </c>
      <c r="D601" s="404" t="s">
        <v>1413</v>
      </c>
      <c r="E601" s="394">
        <v>5.0000000000000001E-4</v>
      </c>
      <c r="F601" s="405" t="s">
        <v>961</v>
      </c>
      <c r="G601" s="398" t="s">
        <v>1531</v>
      </c>
      <c r="H601" s="404" t="s">
        <v>1413</v>
      </c>
      <c r="I601" s="404" t="s">
        <v>1413</v>
      </c>
      <c r="J601" s="404" t="s">
        <v>1413</v>
      </c>
      <c r="K601" s="405">
        <v>1</v>
      </c>
      <c r="L601" s="405">
        <v>0.1</v>
      </c>
      <c r="M601" s="406" t="s">
        <v>1531</v>
      </c>
      <c r="N601" s="425" t="s">
        <v>1578</v>
      </c>
      <c r="O601" s="391" t="s">
        <v>1579</v>
      </c>
      <c r="P601" s="414" t="s">
        <v>1413</v>
      </c>
      <c r="Q601" s="340" t="s">
        <v>2433</v>
      </c>
      <c r="R601" s="338">
        <v>1</v>
      </c>
      <c r="S601" s="404" t="s">
        <v>1413</v>
      </c>
      <c r="T601" s="398" t="s">
        <v>1531</v>
      </c>
      <c r="U601" s="398" t="s">
        <v>1531</v>
      </c>
    </row>
    <row r="602" spans="1:21" ht="15">
      <c r="A602" s="403" t="s">
        <v>1531</v>
      </c>
      <c r="B602" s="404" t="s">
        <v>1413</v>
      </c>
      <c r="C602" s="398" t="s">
        <v>1531</v>
      </c>
      <c r="D602" s="404" t="s">
        <v>1413</v>
      </c>
      <c r="E602" s="394">
        <v>2.0000000000000001E-4</v>
      </c>
      <c r="F602" s="405" t="s">
        <v>961</v>
      </c>
      <c r="G602" s="398" t="s">
        <v>1531</v>
      </c>
      <c r="H602" s="404" t="s">
        <v>1413</v>
      </c>
      <c r="I602" s="405" t="s">
        <v>969</v>
      </c>
      <c r="J602" s="404" t="s">
        <v>1413</v>
      </c>
      <c r="K602" s="405">
        <v>1</v>
      </c>
      <c r="L602" s="411" t="s">
        <v>1531</v>
      </c>
      <c r="M602" s="395">
        <v>129</v>
      </c>
      <c r="N602" s="425" t="s">
        <v>2455</v>
      </c>
      <c r="O602" s="391" t="s">
        <v>2456</v>
      </c>
      <c r="P602" s="414" t="s">
        <v>1413</v>
      </c>
      <c r="Q602" s="340" t="s">
        <v>2433</v>
      </c>
      <c r="R602" s="338">
        <v>1</v>
      </c>
      <c r="S602" s="404" t="s">
        <v>1413</v>
      </c>
      <c r="T602" s="398" t="s">
        <v>1531</v>
      </c>
      <c r="U602" s="398" t="s">
        <v>1531</v>
      </c>
    </row>
    <row r="603" spans="1:21" ht="15.6" thickBot="1">
      <c r="A603" s="407" t="s">
        <v>1531</v>
      </c>
      <c r="B603" s="408" t="s">
        <v>1413</v>
      </c>
      <c r="C603" s="399" t="s">
        <v>1531</v>
      </c>
      <c r="D603" s="408" t="s">
        <v>1413</v>
      </c>
      <c r="E603" s="396">
        <v>6.0000000000000001E-3</v>
      </c>
      <c r="F603" s="409" t="s">
        <v>1412</v>
      </c>
      <c r="G603" s="399" t="s">
        <v>1531</v>
      </c>
      <c r="H603" s="408" t="s">
        <v>1413</v>
      </c>
      <c r="I603" s="408" t="s">
        <v>1413</v>
      </c>
      <c r="J603" s="408" t="s">
        <v>1413</v>
      </c>
      <c r="K603" s="409">
        <v>1</v>
      </c>
      <c r="L603" s="409">
        <v>0.1</v>
      </c>
      <c r="M603" s="410" t="s">
        <v>1531</v>
      </c>
      <c r="N603" s="426" t="s">
        <v>1291</v>
      </c>
      <c r="O603" s="393" t="s">
        <v>165</v>
      </c>
      <c r="P603" s="416" t="s">
        <v>1413</v>
      </c>
      <c r="Q603" s="340" t="s">
        <v>2433</v>
      </c>
      <c r="R603" s="338">
        <v>1</v>
      </c>
      <c r="S603" s="408" t="s">
        <v>1413</v>
      </c>
      <c r="T603" s="399" t="s">
        <v>1531</v>
      </c>
      <c r="U603" s="399" t="s">
        <v>1531</v>
      </c>
    </row>
    <row r="604" spans="1:21" ht="15">
      <c r="A604" s="427">
        <v>0.12</v>
      </c>
      <c r="B604" s="405" t="s">
        <v>520</v>
      </c>
      <c r="C604" s="398" t="s">
        <v>1531</v>
      </c>
      <c r="D604" s="404" t="s">
        <v>1413</v>
      </c>
      <c r="E604" s="394">
        <v>4.0000000000000001E-3</v>
      </c>
      <c r="F604" s="405" t="s">
        <v>520</v>
      </c>
      <c r="G604" s="398" t="s">
        <v>1531</v>
      </c>
      <c r="H604" s="404" t="s">
        <v>1413</v>
      </c>
      <c r="I604" s="404" t="s">
        <v>1413</v>
      </c>
      <c r="J604" s="404" t="s">
        <v>1413</v>
      </c>
      <c r="K604" s="405">
        <v>1</v>
      </c>
      <c r="L604" s="405">
        <v>0.1</v>
      </c>
      <c r="M604" s="406" t="s">
        <v>1531</v>
      </c>
      <c r="N604" s="425" t="s">
        <v>1292</v>
      </c>
      <c r="O604" s="391" t="s">
        <v>166</v>
      </c>
      <c r="P604" s="414" t="s">
        <v>1413</v>
      </c>
      <c r="Q604" s="340" t="s">
        <v>2433</v>
      </c>
      <c r="R604" s="338">
        <v>1</v>
      </c>
      <c r="S604" s="404" t="s">
        <v>1413</v>
      </c>
      <c r="T604" s="398" t="s">
        <v>1531</v>
      </c>
      <c r="U604" s="398" t="s">
        <v>1531</v>
      </c>
    </row>
    <row r="605" spans="1:21" ht="15">
      <c r="A605" s="403" t="s">
        <v>1531</v>
      </c>
      <c r="B605" s="404" t="s">
        <v>1413</v>
      </c>
      <c r="C605" s="398" t="s">
        <v>1531</v>
      </c>
      <c r="D605" s="404" t="s">
        <v>1413</v>
      </c>
      <c r="E605" s="394">
        <v>1E-3</v>
      </c>
      <c r="F605" s="405" t="s">
        <v>961</v>
      </c>
      <c r="G605" s="398" t="s">
        <v>1531</v>
      </c>
      <c r="H605" s="404" t="s">
        <v>1413</v>
      </c>
      <c r="I605" s="404" t="s">
        <v>1413</v>
      </c>
      <c r="J605" s="404" t="s">
        <v>1413</v>
      </c>
      <c r="K605" s="405">
        <v>1</v>
      </c>
      <c r="L605" s="405">
        <v>0.1</v>
      </c>
      <c r="M605" s="406" t="s">
        <v>1531</v>
      </c>
      <c r="N605" s="425" t="s">
        <v>1293</v>
      </c>
      <c r="O605" s="391" t="s">
        <v>167</v>
      </c>
      <c r="P605" s="414" t="s">
        <v>1413</v>
      </c>
      <c r="Q605" s="340" t="s">
        <v>2433</v>
      </c>
      <c r="R605" s="338">
        <v>1</v>
      </c>
      <c r="S605" s="404" t="s">
        <v>1413</v>
      </c>
      <c r="T605" s="398" t="s">
        <v>1531</v>
      </c>
      <c r="U605" s="398" t="s">
        <v>1531</v>
      </c>
    </row>
    <row r="606" spans="1:21" ht="15.6" thickBot="1">
      <c r="A606" s="407" t="s">
        <v>1531</v>
      </c>
      <c r="B606" s="408" t="s">
        <v>1413</v>
      </c>
      <c r="C606" s="399" t="s">
        <v>1531</v>
      </c>
      <c r="D606" s="408" t="s">
        <v>1413</v>
      </c>
      <c r="E606" s="396">
        <v>8.0000000000000007E-5</v>
      </c>
      <c r="F606" s="409" t="s">
        <v>1412</v>
      </c>
      <c r="G606" s="399" t="s">
        <v>1531</v>
      </c>
      <c r="H606" s="408" t="s">
        <v>1413</v>
      </c>
      <c r="I606" s="408" t="s">
        <v>1413</v>
      </c>
      <c r="J606" s="408" t="s">
        <v>1413</v>
      </c>
      <c r="K606" s="409">
        <v>1</v>
      </c>
      <c r="L606" s="409">
        <v>0.1</v>
      </c>
      <c r="M606" s="410" t="s">
        <v>1531</v>
      </c>
      <c r="N606" s="426" t="s">
        <v>2339</v>
      </c>
      <c r="O606" s="393" t="s">
        <v>61</v>
      </c>
      <c r="P606" s="416" t="s">
        <v>1413</v>
      </c>
      <c r="Q606" s="340" t="s">
        <v>2433</v>
      </c>
      <c r="R606" s="338">
        <v>1</v>
      </c>
      <c r="S606" s="408" t="s">
        <v>1413</v>
      </c>
      <c r="T606" s="399" t="s">
        <v>1531</v>
      </c>
      <c r="U606" s="399" t="s">
        <v>1531</v>
      </c>
    </row>
    <row r="607" spans="1:21" ht="15">
      <c r="A607" s="427">
        <v>1.9E-3</v>
      </c>
      <c r="B607" s="405" t="s">
        <v>406</v>
      </c>
      <c r="C607" s="398" t="s">
        <v>1531</v>
      </c>
      <c r="D607" s="404" t="s">
        <v>1413</v>
      </c>
      <c r="E607" s="398" t="s">
        <v>1531</v>
      </c>
      <c r="F607" s="404" t="s">
        <v>1413</v>
      </c>
      <c r="G607" s="398" t="s">
        <v>1531</v>
      </c>
      <c r="H607" s="404" t="s">
        <v>1413</v>
      </c>
      <c r="I607" s="404" t="s">
        <v>1413</v>
      </c>
      <c r="J607" s="404" t="s">
        <v>1413</v>
      </c>
      <c r="K607" s="405">
        <v>1</v>
      </c>
      <c r="L607" s="405">
        <v>0.1</v>
      </c>
      <c r="M607" s="406" t="s">
        <v>1531</v>
      </c>
      <c r="N607" s="425" t="s">
        <v>1294</v>
      </c>
      <c r="O607" s="391" t="s">
        <v>168</v>
      </c>
      <c r="P607" s="414" t="s">
        <v>1413</v>
      </c>
      <c r="Q607" s="340" t="s">
        <v>2433</v>
      </c>
      <c r="R607" s="338">
        <v>1</v>
      </c>
      <c r="S607" s="404" t="s">
        <v>1413</v>
      </c>
      <c r="T607" s="398" t="s">
        <v>1531</v>
      </c>
      <c r="U607" s="398" t="s">
        <v>1531</v>
      </c>
    </row>
    <row r="608" spans="1:21" ht="15">
      <c r="A608" s="403" t="s">
        <v>1531</v>
      </c>
      <c r="B608" s="404" t="s">
        <v>1413</v>
      </c>
      <c r="C608" s="398" t="s">
        <v>1531</v>
      </c>
      <c r="D608" s="404" t="s">
        <v>1413</v>
      </c>
      <c r="E608" s="394">
        <v>2.0000000000000001E-4</v>
      </c>
      <c r="F608" s="405" t="s">
        <v>406</v>
      </c>
      <c r="G608" s="398" t="s">
        <v>1531</v>
      </c>
      <c r="H608" s="404" t="s">
        <v>1413</v>
      </c>
      <c r="I608" s="404" t="s">
        <v>1413</v>
      </c>
      <c r="J608" s="404" t="s">
        <v>1413</v>
      </c>
      <c r="K608" s="405">
        <v>1</v>
      </c>
      <c r="L608" s="405">
        <v>0.1</v>
      </c>
      <c r="M608" s="406" t="s">
        <v>1531</v>
      </c>
      <c r="N608" s="425" t="s">
        <v>1295</v>
      </c>
      <c r="O608" s="391" t="s">
        <v>169</v>
      </c>
      <c r="P608" s="414" t="s">
        <v>1413</v>
      </c>
      <c r="Q608" s="340" t="s">
        <v>2433</v>
      </c>
      <c r="R608" s="338">
        <v>1</v>
      </c>
      <c r="S608" s="404" t="s">
        <v>1413</v>
      </c>
      <c r="T608" s="398" t="s">
        <v>1531</v>
      </c>
      <c r="U608" s="398" t="s">
        <v>1531</v>
      </c>
    </row>
    <row r="609" spans="1:21" ht="15.6" thickBot="1">
      <c r="A609" s="407" t="s">
        <v>1531</v>
      </c>
      <c r="B609" s="408" t="s">
        <v>1413</v>
      </c>
      <c r="C609" s="399" t="s">
        <v>1531</v>
      </c>
      <c r="D609" s="408" t="s">
        <v>1413</v>
      </c>
      <c r="E609" s="399" t="s">
        <v>1531</v>
      </c>
      <c r="F609" s="408" t="s">
        <v>1413</v>
      </c>
      <c r="G609" s="396">
        <v>2.9999999999999997E-4</v>
      </c>
      <c r="H609" s="409" t="s">
        <v>1412</v>
      </c>
      <c r="I609" s="409" t="s">
        <v>969</v>
      </c>
      <c r="J609" s="408" t="s">
        <v>1413</v>
      </c>
      <c r="K609" s="409">
        <v>1</v>
      </c>
      <c r="L609" s="413" t="s">
        <v>1531</v>
      </c>
      <c r="M609" s="397">
        <v>1610</v>
      </c>
      <c r="N609" s="426" t="s">
        <v>1296</v>
      </c>
      <c r="O609" s="393" t="s">
        <v>170</v>
      </c>
      <c r="P609" s="416" t="s">
        <v>1413</v>
      </c>
      <c r="Q609" s="340" t="s">
        <v>2433</v>
      </c>
      <c r="R609" s="338">
        <v>1</v>
      </c>
      <c r="S609" s="408" t="s">
        <v>1413</v>
      </c>
      <c r="T609" s="399" t="s">
        <v>1531</v>
      </c>
      <c r="U609" s="396">
        <v>2.9999999999999997E-4</v>
      </c>
    </row>
    <row r="610" spans="1:21" ht="15">
      <c r="A610" s="403" t="s">
        <v>1531</v>
      </c>
      <c r="B610" s="404" t="s">
        <v>1413</v>
      </c>
      <c r="C610" s="398" t="s">
        <v>1531</v>
      </c>
      <c r="D610" s="404" t="s">
        <v>1413</v>
      </c>
      <c r="E610" s="394">
        <v>0.02</v>
      </c>
      <c r="F610" s="405" t="s">
        <v>1412</v>
      </c>
      <c r="G610" s="398" t="s">
        <v>1531</v>
      </c>
      <c r="H610" s="404" t="s">
        <v>1413</v>
      </c>
      <c r="I610" s="404" t="s">
        <v>1413</v>
      </c>
      <c r="J610" s="404" t="s">
        <v>1413</v>
      </c>
      <c r="K610" s="405">
        <v>1</v>
      </c>
      <c r="L610" s="405">
        <v>0.1</v>
      </c>
      <c r="M610" s="406" t="s">
        <v>1531</v>
      </c>
      <c r="N610" s="425" t="s">
        <v>1297</v>
      </c>
      <c r="O610" s="391" t="s">
        <v>171</v>
      </c>
      <c r="P610" s="414" t="s">
        <v>1413</v>
      </c>
      <c r="Q610" s="340" t="s">
        <v>2433</v>
      </c>
      <c r="R610" s="338">
        <v>1</v>
      </c>
      <c r="S610" s="404" t="s">
        <v>1413</v>
      </c>
      <c r="T610" s="398" t="s">
        <v>1531</v>
      </c>
      <c r="U610" s="398" t="s">
        <v>1531</v>
      </c>
    </row>
    <row r="611" spans="1:21" ht="15">
      <c r="A611" s="403" t="s">
        <v>1531</v>
      </c>
      <c r="B611" s="404" t="s">
        <v>1413</v>
      </c>
      <c r="C611" s="398" t="s">
        <v>1531</v>
      </c>
      <c r="D611" s="404" t="s">
        <v>1413</v>
      </c>
      <c r="E611" s="398" t="s">
        <v>1531</v>
      </c>
      <c r="F611" s="404" t="s">
        <v>1413</v>
      </c>
      <c r="G611" s="398" t="s">
        <v>1531</v>
      </c>
      <c r="H611" s="404" t="s">
        <v>1413</v>
      </c>
      <c r="I611" s="404" t="s">
        <v>1413</v>
      </c>
      <c r="J611" s="404" t="s">
        <v>1413</v>
      </c>
      <c r="K611" s="411" t="s">
        <v>1531</v>
      </c>
      <c r="L611" s="411" t="s">
        <v>1531</v>
      </c>
      <c r="M611" s="406" t="s">
        <v>1531</v>
      </c>
      <c r="N611" s="425" t="s">
        <v>1580</v>
      </c>
      <c r="O611" s="391" t="s">
        <v>1413</v>
      </c>
      <c r="P611" s="414" t="s">
        <v>1413</v>
      </c>
      <c r="Q611" s="340" t="s">
        <v>2433</v>
      </c>
      <c r="R611" s="338">
        <v>1</v>
      </c>
      <c r="S611" s="404" t="s">
        <v>1413</v>
      </c>
      <c r="T611" s="398" t="s">
        <v>1531</v>
      </c>
      <c r="U611" s="398" t="s">
        <v>1531</v>
      </c>
    </row>
    <row r="612" spans="1:21" ht="15.6" thickBot="1">
      <c r="A612" s="407" t="s">
        <v>1531</v>
      </c>
      <c r="B612" s="408" t="s">
        <v>1413</v>
      </c>
      <c r="C612" s="399" t="s">
        <v>1531</v>
      </c>
      <c r="D612" s="408" t="s">
        <v>1413</v>
      </c>
      <c r="E612" s="396">
        <v>2.9999999999999997E-4</v>
      </c>
      <c r="F612" s="409" t="s">
        <v>1412</v>
      </c>
      <c r="G612" s="396">
        <v>2.9999999999999997E-4</v>
      </c>
      <c r="H612" s="409" t="s">
        <v>1412</v>
      </c>
      <c r="I612" s="409" t="s">
        <v>969</v>
      </c>
      <c r="J612" s="408" t="s">
        <v>1413</v>
      </c>
      <c r="K612" s="409">
        <v>1</v>
      </c>
      <c r="L612" s="413" t="s">
        <v>1531</v>
      </c>
      <c r="M612" s="410" t="s">
        <v>1531</v>
      </c>
      <c r="N612" s="426" t="s">
        <v>1298</v>
      </c>
      <c r="O612" s="393" t="s">
        <v>172</v>
      </c>
      <c r="P612" s="416" t="s">
        <v>1413</v>
      </c>
      <c r="Q612" s="340" t="s">
        <v>2433</v>
      </c>
      <c r="R612" s="338">
        <v>1</v>
      </c>
      <c r="S612" s="408" t="s">
        <v>1413</v>
      </c>
      <c r="T612" s="399" t="s">
        <v>1531</v>
      </c>
      <c r="U612" s="396">
        <v>2.9999999999999997E-4</v>
      </c>
    </row>
    <row r="613" spans="1:21" ht="15">
      <c r="A613" s="403" t="s">
        <v>1531</v>
      </c>
      <c r="B613" s="404" t="s">
        <v>1413</v>
      </c>
      <c r="C613" s="398" t="s">
        <v>1531</v>
      </c>
      <c r="D613" s="404" t="s">
        <v>1413</v>
      </c>
      <c r="E613" s="394">
        <v>49</v>
      </c>
      <c r="F613" s="405" t="s">
        <v>520</v>
      </c>
      <c r="G613" s="394">
        <v>0.01</v>
      </c>
      <c r="H613" s="405" t="s">
        <v>1412</v>
      </c>
      <c r="I613" s="404" t="s">
        <v>1413</v>
      </c>
      <c r="J613" s="404" t="s">
        <v>1413</v>
      </c>
      <c r="K613" s="405">
        <v>1</v>
      </c>
      <c r="L613" s="411" t="s">
        <v>1531</v>
      </c>
      <c r="M613" s="406" t="s">
        <v>1531</v>
      </c>
      <c r="N613" s="425" t="s">
        <v>1299</v>
      </c>
      <c r="O613" s="391" t="s">
        <v>173</v>
      </c>
      <c r="P613" s="414" t="s">
        <v>1413</v>
      </c>
      <c r="Q613" s="340" t="s">
        <v>2433</v>
      </c>
      <c r="R613" s="338">
        <v>1</v>
      </c>
      <c r="S613" s="404" t="s">
        <v>1413</v>
      </c>
      <c r="T613" s="398" t="s">
        <v>1531</v>
      </c>
      <c r="U613" s="394">
        <v>0.01</v>
      </c>
    </row>
    <row r="614" spans="1:21" ht="15">
      <c r="A614" s="403" t="s">
        <v>1531</v>
      </c>
      <c r="B614" s="404" t="s">
        <v>1413</v>
      </c>
      <c r="C614" s="398" t="s">
        <v>1531</v>
      </c>
      <c r="D614" s="404" t="s">
        <v>1413</v>
      </c>
      <c r="E614" s="394">
        <v>2.0000000000000002E-5</v>
      </c>
      <c r="F614" s="405" t="s">
        <v>1412</v>
      </c>
      <c r="G614" s="398" t="s">
        <v>1531</v>
      </c>
      <c r="H614" s="404" t="s">
        <v>1413</v>
      </c>
      <c r="I614" s="405" t="s">
        <v>969</v>
      </c>
      <c r="J614" s="404" t="s">
        <v>1413</v>
      </c>
      <c r="K614" s="405">
        <v>1</v>
      </c>
      <c r="L614" s="411" t="s">
        <v>1531</v>
      </c>
      <c r="M614" s="406" t="s">
        <v>1531</v>
      </c>
      <c r="N614" s="425" t="s">
        <v>1300</v>
      </c>
      <c r="O614" s="391" t="s">
        <v>174</v>
      </c>
      <c r="P614" s="414" t="s">
        <v>1413</v>
      </c>
      <c r="Q614" s="340" t="s">
        <v>2433</v>
      </c>
      <c r="R614" s="338">
        <v>1</v>
      </c>
      <c r="S614" s="404" t="s">
        <v>1413</v>
      </c>
      <c r="T614" s="398" t="s">
        <v>1531</v>
      </c>
      <c r="U614" s="398" t="s">
        <v>1531</v>
      </c>
    </row>
    <row r="615" spans="1:21" ht="15.6" thickBot="1">
      <c r="A615" s="407" t="s">
        <v>1531</v>
      </c>
      <c r="B615" s="408" t="s">
        <v>1413</v>
      </c>
      <c r="C615" s="399" t="s">
        <v>1531</v>
      </c>
      <c r="D615" s="408" t="s">
        <v>1413</v>
      </c>
      <c r="E615" s="399" t="s">
        <v>1531</v>
      </c>
      <c r="F615" s="408" t="s">
        <v>1413</v>
      </c>
      <c r="G615" s="399" t="s">
        <v>1531</v>
      </c>
      <c r="H615" s="408" t="s">
        <v>1413</v>
      </c>
      <c r="I615" s="408" t="s">
        <v>1413</v>
      </c>
      <c r="J615" s="408" t="s">
        <v>1413</v>
      </c>
      <c r="K615" s="413" t="s">
        <v>1531</v>
      </c>
      <c r="L615" s="413" t="s">
        <v>1531</v>
      </c>
      <c r="M615" s="410" t="s">
        <v>1531</v>
      </c>
      <c r="N615" s="426" t="s">
        <v>2048</v>
      </c>
      <c r="O615" s="393" t="s">
        <v>1413</v>
      </c>
      <c r="P615" s="416" t="s">
        <v>1413</v>
      </c>
      <c r="Q615" s="340" t="s">
        <v>2433</v>
      </c>
      <c r="R615" s="338">
        <v>1</v>
      </c>
      <c r="S615" s="408" t="s">
        <v>1413</v>
      </c>
      <c r="T615" s="399" t="s">
        <v>1531</v>
      </c>
      <c r="U615" s="399" t="s">
        <v>1531</v>
      </c>
    </row>
    <row r="616" spans="1:21" ht="15">
      <c r="A616" s="403" t="s">
        <v>1531</v>
      </c>
      <c r="B616" s="404" t="s">
        <v>1413</v>
      </c>
      <c r="C616" s="398" t="s">
        <v>1531</v>
      </c>
      <c r="D616" s="404" t="s">
        <v>1413</v>
      </c>
      <c r="E616" s="394">
        <v>1</v>
      </c>
      <c r="F616" s="405" t="s">
        <v>406</v>
      </c>
      <c r="G616" s="398" t="s">
        <v>1531</v>
      </c>
      <c r="H616" s="404" t="s">
        <v>1413</v>
      </c>
      <c r="I616" s="404" t="s">
        <v>1413</v>
      </c>
      <c r="J616" s="404" t="s">
        <v>1413</v>
      </c>
      <c r="K616" s="405">
        <v>1</v>
      </c>
      <c r="L616" s="405">
        <v>0.1</v>
      </c>
      <c r="M616" s="406" t="s">
        <v>1531</v>
      </c>
      <c r="N616" s="425" t="s">
        <v>2345</v>
      </c>
      <c r="O616" s="391" t="s">
        <v>175</v>
      </c>
      <c r="P616" s="414" t="s">
        <v>1413</v>
      </c>
      <c r="Q616" s="340" t="s">
        <v>2434</v>
      </c>
      <c r="R616" s="338">
        <v>1</v>
      </c>
      <c r="S616" s="404" t="s">
        <v>1413</v>
      </c>
      <c r="T616" s="398" t="s">
        <v>1531</v>
      </c>
      <c r="U616" s="398" t="s">
        <v>1531</v>
      </c>
    </row>
    <row r="617" spans="1:21" ht="15">
      <c r="A617" s="403" t="s">
        <v>1531</v>
      </c>
      <c r="B617" s="404" t="s">
        <v>1413</v>
      </c>
      <c r="C617" s="398" t="s">
        <v>1531</v>
      </c>
      <c r="D617" s="404" t="s">
        <v>1413</v>
      </c>
      <c r="E617" s="394">
        <v>2</v>
      </c>
      <c r="F617" s="405" t="s">
        <v>1412</v>
      </c>
      <c r="G617" s="394">
        <v>0.02</v>
      </c>
      <c r="H617" s="405" t="s">
        <v>521</v>
      </c>
      <c r="I617" s="404" t="s">
        <v>1413</v>
      </c>
      <c r="J617" s="404" t="s">
        <v>1413</v>
      </c>
      <c r="K617" s="405">
        <v>1</v>
      </c>
      <c r="L617" s="405">
        <v>0.1</v>
      </c>
      <c r="M617" s="406" t="s">
        <v>1531</v>
      </c>
      <c r="N617" s="425" t="s">
        <v>2346</v>
      </c>
      <c r="O617" s="391" t="s">
        <v>176</v>
      </c>
      <c r="P617" s="414" t="s">
        <v>1413</v>
      </c>
      <c r="Q617" s="340" t="s">
        <v>2434</v>
      </c>
      <c r="R617" s="338">
        <v>1</v>
      </c>
      <c r="S617" s="404" t="s">
        <v>1413</v>
      </c>
      <c r="T617" s="398" t="s">
        <v>1531</v>
      </c>
      <c r="U617" s="394">
        <v>0.02</v>
      </c>
    </row>
    <row r="618" spans="1:21" ht="15.6" thickBot="1">
      <c r="A618" s="407" t="s">
        <v>1531</v>
      </c>
      <c r="B618" s="408" t="s">
        <v>1413</v>
      </c>
      <c r="C618" s="399" t="s">
        <v>1531</v>
      </c>
      <c r="D618" s="408" t="s">
        <v>1413</v>
      </c>
      <c r="E618" s="396">
        <v>7.0000000000000007E-2</v>
      </c>
      <c r="F618" s="409" t="s">
        <v>1412</v>
      </c>
      <c r="G618" s="399" t="s">
        <v>1531</v>
      </c>
      <c r="H618" s="408" t="s">
        <v>1413</v>
      </c>
      <c r="I618" s="408" t="s">
        <v>1413</v>
      </c>
      <c r="J618" s="408" t="s">
        <v>1413</v>
      </c>
      <c r="K618" s="409">
        <v>1</v>
      </c>
      <c r="L618" s="409">
        <v>0.1</v>
      </c>
      <c r="M618" s="410" t="s">
        <v>1531</v>
      </c>
      <c r="N618" s="426" t="s">
        <v>1301</v>
      </c>
      <c r="O618" s="393" t="s">
        <v>177</v>
      </c>
      <c r="P618" s="415">
        <v>500</v>
      </c>
      <c r="Q618" s="340" t="s">
        <v>2433</v>
      </c>
      <c r="R618" s="338">
        <v>1</v>
      </c>
      <c r="S618" s="408" t="s">
        <v>1413</v>
      </c>
      <c r="T618" s="399" t="s">
        <v>1531</v>
      </c>
      <c r="U618" s="399" t="s">
        <v>1531</v>
      </c>
    </row>
    <row r="619" spans="1:21" ht="15">
      <c r="A619" s="403" t="s">
        <v>1531</v>
      </c>
      <c r="B619" s="404" t="s">
        <v>1413</v>
      </c>
      <c r="C619" s="398" t="s">
        <v>1531</v>
      </c>
      <c r="D619" s="404" t="s">
        <v>1413</v>
      </c>
      <c r="E619" s="394">
        <v>1E-4</v>
      </c>
      <c r="F619" s="405" t="s">
        <v>961</v>
      </c>
      <c r="G619" s="398" t="s">
        <v>1531</v>
      </c>
      <c r="H619" s="404" t="s">
        <v>1413</v>
      </c>
      <c r="I619" s="404" t="s">
        <v>1413</v>
      </c>
      <c r="J619" s="404" t="s">
        <v>1413</v>
      </c>
      <c r="K619" s="405">
        <v>1</v>
      </c>
      <c r="L619" s="405">
        <v>0.1</v>
      </c>
      <c r="M619" s="406" t="s">
        <v>1531</v>
      </c>
      <c r="N619" s="425" t="s">
        <v>541</v>
      </c>
      <c r="O619" s="391" t="s">
        <v>178</v>
      </c>
      <c r="P619" s="414" t="s">
        <v>1413</v>
      </c>
      <c r="Q619" s="340" t="s">
        <v>2434</v>
      </c>
      <c r="R619" s="338">
        <v>1</v>
      </c>
      <c r="S619" s="404" t="s">
        <v>1413</v>
      </c>
      <c r="T619" s="398" t="s">
        <v>1531</v>
      </c>
      <c r="U619" s="398" t="s">
        <v>1531</v>
      </c>
    </row>
    <row r="620" spans="1:21" ht="15">
      <c r="A620" s="403" t="s">
        <v>1531</v>
      </c>
      <c r="B620" s="404" t="s">
        <v>1413</v>
      </c>
      <c r="C620" s="398" t="s">
        <v>1531</v>
      </c>
      <c r="D620" s="404" t="s">
        <v>1413</v>
      </c>
      <c r="E620" s="394">
        <v>8.9999999999999998E-4</v>
      </c>
      <c r="F620" s="405" t="s">
        <v>961</v>
      </c>
      <c r="G620" s="398" t="s">
        <v>1531</v>
      </c>
      <c r="H620" s="404" t="s">
        <v>1413</v>
      </c>
      <c r="I620" s="404" t="s">
        <v>1413</v>
      </c>
      <c r="J620" s="404" t="s">
        <v>1413</v>
      </c>
      <c r="K620" s="405">
        <v>1</v>
      </c>
      <c r="L620" s="405">
        <v>0.1</v>
      </c>
      <c r="M620" s="406" t="s">
        <v>1531</v>
      </c>
      <c r="N620" s="425" t="s">
        <v>2286</v>
      </c>
      <c r="O620" s="391" t="s">
        <v>2285</v>
      </c>
      <c r="P620" s="414" t="s">
        <v>1413</v>
      </c>
      <c r="Q620" s="340" t="s">
        <v>2434</v>
      </c>
      <c r="R620" s="338">
        <v>1</v>
      </c>
      <c r="S620" s="404" t="s">
        <v>1413</v>
      </c>
      <c r="T620" s="398" t="s">
        <v>1531</v>
      </c>
      <c r="U620" s="398" t="s">
        <v>1531</v>
      </c>
    </row>
    <row r="621" spans="1:21" ht="15.6" thickBot="1">
      <c r="A621" s="407" t="s">
        <v>1531</v>
      </c>
      <c r="B621" s="408" t="s">
        <v>1413</v>
      </c>
      <c r="C621" s="399" t="s">
        <v>1531</v>
      </c>
      <c r="D621" s="408" t="s">
        <v>1413</v>
      </c>
      <c r="E621" s="396">
        <v>6.7000000000000002E-5</v>
      </c>
      <c r="F621" s="409" t="s">
        <v>1474</v>
      </c>
      <c r="G621" s="399" t="s">
        <v>1531</v>
      </c>
      <c r="H621" s="408" t="s">
        <v>1413</v>
      </c>
      <c r="I621" s="408" t="s">
        <v>1413</v>
      </c>
      <c r="J621" s="408" t="s">
        <v>1413</v>
      </c>
      <c r="K621" s="409">
        <v>1</v>
      </c>
      <c r="L621" s="409">
        <v>0.1</v>
      </c>
      <c r="M621" s="410" t="s">
        <v>1531</v>
      </c>
      <c r="N621" s="426" t="s">
        <v>1302</v>
      </c>
      <c r="O621" s="393" t="s">
        <v>179</v>
      </c>
      <c r="P621" s="416" t="s">
        <v>1413</v>
      </c>
      <c r="Q621" s="340" t="s">
        <v>2434</v>
      </c>
      <c r="R621" s="338">
        <v>1</v>
      </c>
      <c r="S621" s="408" t="s">
        <v>1413</v>
      </c>
      <c r="T621" s="399" t="s">
        <v>1531</v>
      </c>
      <c r="U621" s="399" t="s">
        <v>1531</v>
      </c>
    </row>
    <row r="622" spans="1:21" ht="15">
      <c r="A622" s="427">
        <v>30</v>
      </c>
      <c r="B622" s="405" t="s">
        <v>521</v>
      </c>
      <c r="C622" s="394">
        <v>8.6E-3</v>
      </c>
      <c r="D622" s="405" t="s">
        <v>521</v>
      </c>
      <c r="E622" s="394">
        <v>6.9999999999999999E-6</v>
      </c>
      <c r="F622" s="405" t="s">
        <v>406</v>
      </c>
      <c r="G622" s="398" t="s">
        <v>1531</v>
      </c>
      <c r="H622" s="404" t="s">
        <v>1413</v>
      </c>
      <c r="I622" s="404" t="s">
        <v>1413</v>
      </c>
      <c r="J622" s="404" t="s">
        <v>1413</v>
      </c>
      <c r="K622" s="405">
        <v>1</v>
      </c>
      <c r="L622" s="405">
        <v>0.1</v>
      </c>
      <c r="M622" s="406" t="s">
        <v>1531</v>
      </c>
      <c r="N622" s="425" t="s">
        <v>1303</v>
      </c>
      <c r="O622" s="391" t="s">
        <v>180</v>
      </c>
      <c r="P622" s="414" t="s">
        <v>1413</v>
      </c>
      <c r="Q622" s="340" t="s">
        <v>2434</v>
      </c>
      <c r="R622" s="338">
        <v>1</v>
      </c>
      <c r="S622" s="404" t="s">
        <v>1413</v>
      </c>
      <c r="T622" s="394">
        <v>8.6E-3</v>
      </c>
      <c r="U622" s="398" t="s">
        <v>1531</v>
      </c>
    </row>
    <row r="623" spans="1:21" ht="15">
      <c r="A623" s="427">
        <v>2</v>
      </c>
      <c r="B623" s="405" t="s">
        <v>1412</v>
      </c>
      <c r="C623" s="394">
        <v>5.6999999999999998E-4</v>
      </c>
      <c r="D623" s="405" t="s">
        <v>1412</v>
      </c>
      <c r="E623" s="398" t="s">
        <v>1531</v>
      </c>
      <c r="F623" s="404" t="s">
        <v>1413</v>
      </c>
      <c r="G623" s="398" t="s">
        <v>1531</v>
      </c>
      <c r="H623" s="404" t="s">
        <v>1413</v>
      </c>
      <c r="I623" s="405" t="s">
        <v>969</v>
      </c>
      <c r="J623" s="404" t="s">
        <v>1413</v>
      </c>
      <c r="K623" s="405">
        <v>1</v>
      </c>
      <c r="L623" s="405">
        <v>0.14000000000000001</v>
      </c>
      <c r="M623" s="406" t="s">
        <v>1531</v>
      </c>
      <c r="N623" s="425" t="s">
        <v>2412</v>
      </c>
      <c r="O623" s="391" t="s">
        <v>2270</v>
      </c>
      <c r="P623" s="429">
        <v>0.5</v>
      </c>
      <c r="Q623" s="340" t="s">
        <v>2434</v>
      </c>
      <c r="R623" s="338">
        <v>1</v>
      </c>
      <c r="S623" s="404" t="s">
        <v>1413</v>
      </c>
      <c r="T623" s="394">
        <v>5.6999999999999998E-4</v>
      </c>
      <c r="U623" s="398" t="s">
        <v>1531</v>
      </c>
    </row>
    <row r="624" spans="1:21" ht="15.6" thickBot="1">
      <c r="A624" s="412">
        <v>0.4</v>
      </c>
      <c r="B624" s="409" t="s">
        <v>1412</v>
      </c>
      <c r="C624" s="396">
        <v>1E-4</v>
      </c>
      <c r="D624" s="409" t="s">
        <v>1412</v>
      </c>
      <c r="E624" s="399" t="s">
        <v>1531</v>
      </c>
      <c r="F624" s="408" t="s">
        <v>1413</v>
      </c>
      <c r="G624" s="399" t="s">
        <v>1531</v>
      </c>
      <c r="H624" s="408" t="s">
        <v>1413</v>
      </c>
      <c r="I624" s="409" t="s">
        <v>969</v>
      </c>
      <c r="J624" s="408" t="s">
        <v>1413</v>
      </c>
      <c r="K624" s="409">
        <v>1</v>
      </c>
      <c r="L624" s="409">
        <v>0.14000000000000001</v>
      </c>
      <c r="M624" s="410" t="s">
        <v>1531</v>
      </c>
      <c r="N624" s="426" t="s">
        <v>2413</v>
      </c>
      <c r="O624" s="393" t="s">
        <v>2270</v>
      </c>
      <c r="P624" s="415">
        <v>0.5</v>
      </c>
      <c r="Q624" s="340" t="s">
        <v>2433</v>
      </c>
      <c r="R624" s="338">
        <v>1</v>
      </c>
      <c r="S624" s="408" t="s">
        <v>1413</v>
      </c>
      <c r="T624" s="396">
        <v>1E-4</v>
      </c>
      <c r="U624" s="399" t="s">
        <v>1531</v>
      </c>
    </row>
    <row r="625" spans="1:21" ht="15">
      <c r="A625" s="427">
        <v>7.0000000000000007E-2</v>
      </c>
      <c r="B625" s="405" t="s">
        <v>1412</v>
      </c>
      <c r="C625" s="394">
        <v>2.0000000000000002E-5</v>
      </c>
      <c r="D625" s="405" t="s">
        <v>1412</v>
      </c>
      <c r="E625" s="398" t="s">
        <v>1531</v>
      </c>
      <c r="F625" s="404" t="s">
        <v>1413</v>
      </c>
      <c r="G625" s="398" t="s">
        <v>1531</v>
      </c>
      <c r="H625" s="404" t="s">
        <v>1413</v>
      </c>
      <c r="I625" s="405" t="s">
        <v>969</v>
      </c>
      <c r="J625" s="404" t="s">
        <v>1413</v>
      </c>
      <c r="K625" s="405">
        <v>1</v>
      </c>
      <c r="L625" s="405">
        <v>0.14000000000000001</v>
      </c>
      <c r="M625" s="406" t="s">
        <v>1531</v>
      </c>
      <c r="N625" s="425" t="s">
        <v>2414</v>
      </c>
      <c r="O625" s="391" t="s">
        <v>2270</v>
      </c>
      <c r="P625" s="429">
        <v>0.5</v>
      </c>
      <c r="Q625" s="340" t="s">
        <v>2434</v>
      </c>
      <c r="R625" s="338">
        <v>1</v>
      </c>
      <c r="S625" s="404" t="s">
        <v>1413</v>
      </c>
      <c r="T625" s="394">
        <v>2.0000000000000002E-5</v>
      </c>
      <c r="U625" s="398" t="s">
        <v>1531</v>
      </c>
    </row>
    <row r="626" spans="1:21" ht="15">
      <c r="A626" s="403" t="s">
        <v>1531</v>
      </c>
      <c r="B626" s="404" t="s">
        <v>1413</v>
      </c>
      <c r="C626" s="398" t="s">
        <v>1531</v>
      </c>
      <c r="D626" s="404" t="s">
        <v>1413</v>
      </c>
      <c r="E626" s="398" t="s">
        <v>1531</v>
      </c>
      <c r="F626" s="404" t="s">
        <v>1413</v>
      </c>
      <c r="G626" s="398" t="s">
        <v>1531</v>
      </c>
      <c r="H626" s="404" t="s">
        <v>1413</v>
      </c>
      <c r="I626" s="404" t="s">
        <v>1413</v>
      </c>
      <c r="J626" s="404" t="s">
        <v>1413</v>
      </c>
      <c r="K626" s="411" t="s">
        <v>1531</v>
      </c>
      <c r="L626" s="411" t="s">
        <v>1531</v>
      </c>
      <c r="M626" s="406" t="s">
        <v>1531</v>
      </c>
      <c r="N626" s="425" t="s">
        <v>1283</v>
      </c>
      <c r="O626" s="391" t="s">
        <v>1413</v>
      </c>
      <c r="P626" s="414" t="s">
        <v>1413</v>
      </c>
      <c r="Q626" s="340" t="s">
        <v>2434</v>
      </c>
      <c r="R626" s="338">
        <v>1</v>
      </c>
      <c r="S626" s="404" t="s">
        <v>1413</v>
      </c>
      <c r="T626" s="398" t="s">
        <v>1531</v>
      </c>
      <c r="U626" s="398" t="s">
        <v>1531</v>
      </c>
    </row>
    <row r="627" spans="1:21" ht="30.6" thickBot="1">
      <c r="A627" s="407" t="s">
        <v>1531</v>
      </c>
      <c r="B627" s="408" t="s">
        <v>1413</v>
      </c>
      <c r="C627" s="399" t="s">
        <v>1531</v>
      </c>
      <c r="D627" s="408" t="s">
        <v>1413</v>
      </c>
      <c r="E627" s="399" t="s">
        <v>1531</v>
      </c>
      <c r="F627" s="408" t="s">
        <v>1413</v>
      </c>
      <c r="G627" s="396">
        <v>5.9999999999999995E-4</v>
      </c>
      <c r="H627" s="409" t="s">
        <v>1412</v>
      </c>
      <c r="I627" s="408" t="s">
        <v>1413</v>
      </c>
      <c r="J627" s="408" t="s">
        <v>1413</v>
      </c>
      <c r="K627" s="409">
        <v>1</v>
      </c>
      <c r="L627" s="409">
        <v>0.1</v>
      </c>
      <c r="M627" s="410" t="s">
        <v>1531</v>
      </c>
      <c r="N627" s="426" t="s">
        <v>1304</v>
      </c>
      <c r="O627" s="393" t="s">
        <v>200</v>
      </c>
      <c r="P627" s="416" t="s">
        <v>1413</v>
      </c>
      <c r="Q627" s="340" t="s">
        <v>2434</v>
      </c>
      <c r="R627" s="338">
        <v>1</v>
      </c>
      <c r="S627" s="408" t="s">
        <v>1413</v>
      </c>
      <c r="T627" s="399" t="s">
        <v>1531</v>
      </c>
      <c r="U627" s="396">
        <v>5.9999999999999995E-4</v>
      </c>
    </row>
    <row r="628" spans="1:21" ht="15">
      <c r="A628" s="403" t="s">
        <v>1531</v>
      </c>
      <c r="B628" s="404" t="s">
        <v>1413</v>
      </c>
      <c r="C628" s="398" t="s">
        <v>1531</v>
      </c>
      <c r="D628" s="404" t="s">
        <v>1413</v>
      </c>
      <c r="E628" s="398" t="s">
        <v>1531</v>
      </c>
      <c r="F628" s="404" t="s">
        <v>1413</v>
      </c>
      <c r="G628" s="398" t="s">
        <v>1531</v>
      </c>
      <c r="H628" s="404" t="s">
        <v>1413</v>
      </c>
      <c r="I628" s="404" t="s">
        <v>1413</v>
      </c>
      <c r="J628" s="404" t="s">
        <v>1413</v>
      </c>
      <c r="K628" s="411" t="s">
        <v>1531</v>
      </c>
      <c r="L628" s="411" t="s">
        <v>1531</v>
      </c>
      <c r="M628" s="406" t="s">
        <v>1531</v>
      </c>
      <c r="N628" s="425" t="s">
        <v>1280</v>
      </c>
      <c r="O628" s="391" t="s">
        <v>1413</v>
      </c>
      <c r="P628" s="414" t="s">
        <v>1413</v>
      </c>
      <c r="Q628" s="340" t="s">
        <v>2433</v>
      </c>
      <c r="R628" s="338">
        <v>1</v>
      </c>
      <c r="S628" s="404" t="s">
        <v>1413</v>
      </c>
      <c r="T628" s="398" t="s">
        <v>1531</v>
      </c>
      <c r="U628" s="398" t="s">
        <v>1531</v>
      </c>
    </row>
    <row r="629" spans="1:21" ht="15">
      <c r="A629" s="403" t="s">
        <v>1531</v>
      </c>
      <c r="B629" s="404" t="s">
        <v>1413</v>
      </c>
      <c r="C629" s="398" t="s">
        <v>1531</v>
      </c>
      <c r="D629" s="404" t="s">
        <v>1413</v>
      </c>
      <c r="E629" s="394">
        <v>49</v>
      </c>
      <c r="F629" s="405" t="s">
        <v>520</v>
      </c>
      <c r="G629" s="398" t="s">
        <v>1531</v>
      </c>
      <c r="H629" s="404" t="s">
        <v>1413</v>
      </c>
      <c r="I629" s="404" t="s">
        <v>1413</v>
      </c>
      <c r="J629" s="404" t="s">
        <v>1413</v>
      </c>
      <c r="K629" s="405">
        <v>1</v>
      </c>
      <c r="L629" s="411" t="s">
        <v>1531</v>
      </c>
      <c r="M629" s="406" t="s">
        <v>1531</v>
      </c>
      <c r="N629" s="425" t="s">
        <v>2394</v>
      </c>
      <c r="O629" s="391" t="s">
        <v>1595</v>
      </c>
      <c r="P629" s="414" t="s">
        <v>1413</v>
      </c>
      <c r="Q629" s="340" t="s">
        <v>2433</v>
      </c>
      <c r="R629" s="338">
        <v>1</v>
      </c>
      <c r="S629" s="404" t="s">
        <v>1413</v>
      </c>
      <c r="T629" s="398" t="s">
        <v>1531</v>
      </c>
      <c r="U629" s="398" t="s">
        <v>1531</v>
      </c>
    </row>
    <row r="630" spans="1:21" ht="15.6" thickBot="1">
      <c r="A630" s="407" t="s">
        <v>1531</v>
      </c>
      <c r="B630" s="408" t="s">
        <v>1413</v>
      </c>
      <c r="C630" s="399" t="s">
        <v>1531</v>
      </c>
      <c r="D630" s="408" t="s">
        <v>1413</v>
      </c>
      <c r="E630" s="396">
        <v>2E-3</v>
      </c>
      <c r="F630" s="409" t="s">
        <v>1412</v>
      </c>
      <c r="G630" s="399" t="s">
        <v>1531</v>
      </c>
      <c r="H630" s="408" t="s">
        <v>1413</v>
      </c>
      <c r="I630" s="408" t="s">
        <v>1413</v>
      </c>
      <c r="J630" s="408" t="s">
        <v>1413</v>
      </c>
      <c r="K630" s="409">
        <v>1</v>
      </c>
      <c r="L630" s="413" t="s">
        <v>1531</v>
      </c>
      <c r="M630" s="410" t="s">
        <v>1531</v>
      </c>
      <c r="N630" s="426" t="s">
        <v>2365</v>
      </c>
      <c r="O630" s="393" t="s">
        <v>795</v>
      </c>
      <c r="P630" s="416" t="s">
        <v>1413</v>
      </c>
      <c r="Q630" s="340" t="s">
        <v>2433</v>
      </c>
      <c r="R630" s="338">
        <v>1</v>
      </c>
      <c r="S630" s="408" t="s">
        <v>1413</v>
      </c>
      <c r="T630" s="399" t="s">
        <v>1531</v>
      </c>
      <c r="U630" s="399" t="s">
        <v>1531</v>
      </c>
    </row>
    <row r="631" spans="1:21" ht="15">
      <c r="A631" s="403" t="s">
        <v>1531</v>
      </c>
      <c r="B631" s="404" t="s">
        <v>1413</v>
      </c>
      <c r="C631" s="398" t="s">
        <v>1531</v>
      </c>
      <c r="D631" s="404" t="s">
        <v>1413</v>
      </c>
      <c r="E631" s="394">
        <v>6.9999999999999999E-4</v>
      </c>
      <c r="F631" s="405" t="s">
        <v>1412</v>
      </c>
      <c r="G631" s="398" t="s">
        <v>1531</v>
      </c>
      <c r="H631" s="404" t="s">
        <v>1413</v>
      </c>
      <c r="I631" s="404" t="s">
        <v>1413</v>
      </c>
      <c r="J631" s="404" t="s">
        <v>1413</v>
      </c>
      <c r="K631" s="405">
        <v>1</v>
      </c>
      <c r="L631" s="411" t="s">
        <v>1531</v>
      </c>
      <c r="M631" s="406" t="s">
        <v>1531</v>
      </c>
      <c r="N631" s="425" t="s">
        <v>2379</v>
      </c>
      <c r="O631" s="391" t="s">
        <v>220</v>
      </c>
      <c r="P631" s="414" t="s">
        <v>1413</v>
      </c>
      <c r="Q631" s="340" t="s">
        <v>2433</v>
      </c>
      <c r="R631" s="338">
        <v>1</v>
      </c>
      <c r="S631" s="404" t="s">
        <v>1413</v>
      </c>
      <c r="T631" s="398" t="s">
        <v>1531</v>
      </c>
      <c r="U631" s="398" t="s">
        <v>1531</v>
      </c>
    </row>
    <row r="632" spans="1:21" ht="15">
      <c r="A632" s="403" t="s">
        <v>1531</v>
      </c>
      <c r="B632" s="404" t="s">
        <v>1413</v>
      </c>
      <c r="C632" s="398" t="s">
        <v>1531</v>
      </c>
      <c r="D632" s="404" t="s">
        <v>1413</v>
      </c>
      <c r="E632" s="394">
        <v>0.02</v>
      </c>
      <c r="F632" s="405" t="s">
        <v>520</v>
      </c>
      <c r="G632" s="398" t="s">
        <v>1531</v>
      </c>
      <c r="H632" s="404" t="s">
        <v>1413</v>
      </c>
      <c r="I632" s="404" t="s">
        <v>1413</v>
      </c>
      <c r="J632" s="404" t="s">
        <v>1413</v>
      </c>
      <c r="K632" s="405">
        <v>1</v>
      </c>
      <c r="L632" s="405">
        <v>0.1</v>
      </c>
      <c r="M632" s="406" t="s">
        <v>1531</v>
      </c>
      <c r="N632" s="425" t="s">
        <v>2127</v>
      </c>
      <c r="O632" s="391" t="s">
        <v>2128</v>
      </c>
      <c r="P632" s="414" t="s">
        <v>1413</v>
      </c>
      <c r="Q632" s="340" t="s">
        <v>2434</v>
      </c>
      <c r="R632" s="338">
        <v>1</v>
      </c>
      <c r="S632" s="404" t="s">
        <v>1413</v>
      </c>
      <c r="T632" s="398" t="s">
        <v>1531</v>
      </c>
      <c r="U632" s="398" t="s">
        <v>1531</v>
      </c>
    </row>
    <row r="633" spans="1:21" ht="15.6" thickBot="1">
      <c r="A633" s="407" t="s">
        <v>1531</v>
      </c>
      <c r="B633" s="408" t="s">
        <v>1413</v>
      </c>
      <c r="C633" s="399" t="s">
        <v>1531</v>
      </c>
      <c r="D633" s="408" t="s">
        <v>1413</v>
      </c>
      <c r="E633" s="396">
        <v>5.0000000000000001E-3</v>
      </c>
      <c r="F633" s="409" t="s">
        <v>1412</v>
      </c>
      <c r="G633" s="399" t="s">
        <v>1531</v>
      </c>
      <c r="H633" s="408" t="s">
        <v>1413</v>
      </c>
      <c r="I633" s="408" t="s">
        <v>1413</v>
      </c>
      <c r="J633" s="408" t="s">
        <v>1413</v>
      </c>
      <c r="K633" s="409">
        <v>0.04</v>
      </c>
      <c r="L633" s="413" t="s">
        <v>1531</v>
      </c>
      <c r="M633" s="410" t="s">
        <v>1531</v>
      </c>
      <c r="N633" s="426" t="s">
        <v>2366</v>
      </c>
      <c r="O633" s="393" t="s">
        <v>796</v>
      </c>
      <c r="P633" s="416" t="s">
        <v>1413</v>
      </c>
      <c r="Q633" s="340" t="s">
        <v>2433</v>
      </c>
      <c r="R633" s="338">
        <v>1</v>
      </c>
      <c r="S633" s="408" t="s">
        <v>1413</v>
      </c>
      <c r="T633" s="399" t="s">
        <v>1531</v>
      </c>
      <c r="U633" s="399" t="s">
        <v>1531</v>
      </c>
    </row>
    <row r="634" spans="1:21" ht="15">
      <c r="A634" s="403" t="s">
        <v>1531</v>
      </c>
      <c r="B634" s="404" t="s">
        <v>1413</v>
      </c>
      <c r="C634" s="398" t="s">
        <v>1531</v>
      </c>
      <c r="D634" s="404" t="s">
        <v>1413</v>
      </c>
      <c r="E634" s="394">
        <v>49</v>
      </c>
      <c r="F634" s="405" t="s">
        <v>520</v>
      </c>
      <c r="G634" s="398" t="s">
        <v>1531</v>
      </c>
      <c r="H634" s="404" t="s">
        <v>1413</v>
      </c>
      <c r="I634" s="404" t="s">
        <v>1413</v>
      </c>
      <c r="J634" s="404" t="s">
        <v>1413</v>
      </c>
      <c r="K634" s="405">
        <v>1</v>
      </c>
      <c r="L634" s="411" t="s">
        <v>1531</v>
      </c>
      <c r="M634" s="406" t="s">
        <v>1531</v>
      </c>
      <c r="N634" s="425" t="s">
        <v>2395</v>
      </c>
      <c r="O634" s="391" t="s">
        <v>1596</v>
      </c>
      <c r="P634" s="414" t="s">
        <v>1413</v>
      </c>
      <c r="Q634" s="340" t="s">
        <v>2433</v>
      </c>
      <c r="R634" s="338">
        <v>1</v>
      </c>
      <c r="S634" s="404" t="s">
        <v>1413</v>
      </c>
      <c r="T634" s="398" t="s">
        <v>1531</v>
      </c>
      <c r="U634" s="398" t="s">
        <v>1531</v>
      </c>
    </row>
    <row r="635" spans="1:21" ht="15">
      <c r="A635" s="427">
        <v>0.15</v>
      </c>
      <c r="B635" s="405" t="s">
        <v>1412</v>
      </c>
      <c r="C635" s="398" t="s">
        <v>1531</v>
      </c>
      <c r="D635" s="404" t="s">
        <v>1413</v>
      </c>
      <c r="E635" s="394">
        <v>8.9999999999999993E-3</v>
      </c>
      <c r="F635" s="405" t="s">
        <v>1412</v>
      </c>
      <c r="G635" s="398" t="s">
        <v>1531</v>
      </c>
      <c r="H635" s="404" t="s">
        <v>1413</v>
      </c>
      <c r="I635" s="404" t="s">
        <v>1413</v>
      </c>
      <c r="J635" s="404" t="s">
        <v>1413</v>
      </c>
      <c r="K635" s="405">
        <v>1</v>
      </c>
      <c r="L635" s="405">
        <v>0.1</v>
      </c>
      <c r="M635" s="406" t="s">
        <v>1531</v>
      </c>
      <c r="N635" s="425" t="s">
        <v>1305</v>
      </c>
      <c r="O635" s="391" t="s">
        <v>221</v>
      </c>
      <c r="P635" s="414" t="s">
        <v>1413</v>
      </c>
      <c r="Q635" s="340" t="s">
        <v>2434</v>
      </c>
      <c r="R635" s="338">
        <v>1</v>
      </c>
      <c r="S635" s="404" t="s">
        <v>1413</v>
      </c>
      <c r="T635" s="398" t="s">
        <v>1531</v>
      </c>
      <c r="U635" s="398" t="s">
        <v>1531</v>
      </c>
    </row>
    <row r="636" spans="1:21" ht="15.6" thickBot="1">
      <c r="A636" s="407" t="s">
        <v>1531</v>
      </c>
      <c r="B636" s="408" t="s">
        <v>1413</v>
      </c>
      <c r="C636" s="399" t="s">
        <v>1531</v>
      </c>
      <c r="D636" s="408" t="s">
        <v>1413</v>
      </c>
      <c r="E636" s="396">
        <v>6.0000000000000001E-3</v>
      </c>
      <c r="F636" s="409" t="s">
        <v>406</v>
      </c>
      <c r="G636" s="399" t="s">
        <v>1531</v>
      </c>
      <c r="H636" s="408" t="s">
        <v>1413</v>
      </c>
      <c r="I636" s="409" t="s">
        <v>969</v>
      </c>
      <c r="J636" s="408" t="s">
        <v>1413</v>
      </c>
      <c r="K636" s="409">
        <v>1</v>
      </c>
      <c r="L636" s="413" t="s">
        <v>1531</v>
      </c>
      <c r="M636" s="410" t="s">
        <v>1531</v>
      </c>
      <c r="N636" s="426" t="s">
        <v>1306</v>
      </c>
      <c r="O636" s="393" t="s">
        <v>222</v>
      </c>
      <c r="P636" s="416" t="s">
        <v>1413</v>
      </c>
      <c r="Q636" s="340" t="s">
        <v>2434</v>
      </c>
      <c r="R636" s="338">
        <v>1</v>
      </c>
      <c r="S636" s="408" t="s">
        <v>1413</v>
      </c>
      <c r="T636" s="399" t="s">
        <v>1531</v>
      </c>
      <c r="U636" s="399" t="s">
        <v>1531</v>
      </c>
    </row>
    <row r="637" spans="1:21" ht="15">
      <c r="A637" s="403" t="s">
        <v>1531</v>
      </c>
      <c r="B637" s="404" t="s">
        <v>1413</v>
      </c>
      <c r="C637" s="398" t="s">
        <v>1531</v>
      </c>
      <c r="D637" s="404" t="s">
        <v>1413</v>
      </c>
      <c r="E637" s="394">
        <v>1.4999999999999999E-2</v>
      </c>
      <c r="F637" s="405" t="s">
        <v>1412</v>
      </c>
      <c r="G637" s="398" t="s">
        <v>1531</v>
      </c>
      <c r="H637" s="404" t="s">
        <v>1413</v>
      </c>
      <c r="I637" s="404" t="s">
        <v>1413</v>
      </c>
      <c r="J637" s="404" t="s">
        <v>1413</v>
      </c>
      <c r="K637" s="405">
        <v>1</v>
      </c>
      <c r="L637" s="405">
        <v>0.1</v>
      </c>
      <c r="M637" s="406" t="s">
        <v>1531</v>
      </c>
      <c r="N637" s="425" t="s">
        <v>1307</v>
      </c>
      <c r="O637" s="391" t="s">
        <v>223</v>
      </c>
      <c r="P637" s="414" t="s">
        <v>1413</v>
      </c>
      <c r="Q637" s="340" t="s">
        <v>2433</v>
      </c>
      <c r="R637" s="338">
        <v>1</v>
      </c>
      <c r="S637" s="404" t="s">
        <v>1413</v>
      </c>
      <c r="T637" s="398" t="s">
        <v>1531</v>
      </c>
      <c r="U637" s="398" t="s">
        <v>1531</v>
      </c>
    </row>
    <row r="638" spans="1:21" ht="15">
      <c r="A638" s="403" t="s">
        <v>1531</v>
      </c>
      <c r="B638" s="404" t="s">
        <v>1413</v>
      </c>
      <c r="C638" s="398" t="s">
        <v>1531</v>
      </c>
      <c r="D638" s="404" t="s">
        <v>1413</v>
      </c>
      <c r="E638" s="394">
        <v>0.04</v>
      </c>
      <c r="F638" s="405" t="s">
        <v>1474</v>
      </c>
      <c r="G638" s="398" t="s">
        <v>1531</v>
      </c>
      <c r="H638" s="404" t="s">
        <v>1413</v>
      </c>
      <c r="I638" s="404" t="s">
        <v>1413</v>
      </c>
      <c r="J638" s="404" t="s">
        <v>1413</v>
      </c>
      <c r="K638" s="405">
        <v>1</v>
      </c>
      <c r="L638" s="405">
        <v>0.1</v>
      </c>
      <c r="M638" s="406" t="s">
        <v>1531</v>
      </c>
      <c r="N638" s="425" t="s">
        <v>1308</v>
      </c>
      <c r="O638" s="391" t="s">
        <v>224</v>
      </c>
      <c r="P638" s="414" t="s">
        <v>1413</v>
      </c>
      <c r="Q638" s="340" t="s">
        <v>2434</v>
      </c>
      <c r="R638" s="338">
        <v>1</v>
      </c>
      <c r="S638" s="404" t="s">
        <v>1413</v>
      </c>
      <c r="T638" s="398" t="s">
        <v>1531</v>
      </c>
      <c r="U638" s="398" t="s">
        <v>1531</v>
      </c>
    </row>
    <row r="639" spans="1:21" ht="15.6" thickBot="1">
      <c r="A639" s="407" t="s">
        <v>1531</v>
      </c>
      <c r="B639" s="408" t="s">
        <v>1413</v>
      </c>
      <c r="C639" s="399" t="s">
        <v>1531</v>
      </c>
      <c r="D639" s="408" t="s">
        <v>1413</v>
      </c>
      <c r="E639" s="396">
        <v>1.2999999999999999E-2</v>
      </c>
      <c r="F639" s="409" t="s">
        <v>1412</v>
      </c>
      <c r="G639" s="399" t="s">
        <v>1531</v>
      </c>
      <c r="H639" s="408" t="s">
        <v>1413</v>
      </c>
      <c r="I639" s="408" t="s">
        <v>1413</v>
      </c>
      <c r="J639" s="408" t="s">
        <v>1413</v>
      </c>
      <c r="K639" s="409">
        <v>1</v>
      </c>
      <c r="L639" s="409">
        <v>0.1</v>
      </c>
      <c r="M639" s="410" t="s">
        <v>1531</v>
      </c>
      <c r="N639" s="426" t="s">
        <v>1309</v>
      </c>
      <c r="O639" s="393" t="s">
        <v>225</v>
      </c>
      <c r="P639" s="416" t="s">
        <v>1413</v>
      </c>
      <c r="Q639" s="340" t="s">
        <v>2434</v>
      </c>
      <c r="R639" s="338">
        <v>1</v>
      </c>
      <c r="S639" s="408" t="s">
        <v>1413</v>
      </c>
      <c r="T639" s="399" t="s">
        <v>1531</v>
      </c>
      <c r="U639" s="399" t="s">
        <v>1531</v>
      </c>
    </row>
    <row r="640" spans="1:21" ht="15">
      <c r="A640" s="403" t="s">
        <v>1531</v>
      </c>
      <c r="B640" s="404" t="s">
        <v>1413</v>
      </c>
      <c r="C640" s="398" t="s">
        <v>1531</v>
      </c>
      <c r="D640" s="404" t="s">
        <v>1413</v>
      </c>
      <c r="E640" s="394">
        <v>5.0000000000000001E-3</v>
      </c>
      <c r="F640" s="405" t="s">
        <v>1412</v>
      </c>
      <c r="G640" s="398" t="s">
        <v>1531</v>
      </c>
      <c r="H640" s="404" t="s">
        <v>1413</v>
      </c>
      <c r="I640" s="404" t="s">
        <v>1413</v>
      </c>
      <c r="J640" s="404" t="s">
        <v>1413</v>
      </c>
      <c r="K640" s="405">
        <v>1</v>
      </c>
      <c r="L640" s="405">
        <v>0.1</v>
      </c>
      <c r="M640" s="406" t="s">
        <v>1531</v>
      </c>
      <c r="N640" s="425" t="s">
        <v>1310</v>
      </c>
      <c r="O640" s="391" t="s">
        <v>226</v>
      </c>
      <c r="P640" s="414" t="s">
        <v>1413</v>
      </c>
      <c r="Q640" s="340" t="s">
        <v>2434</v>
      </c>
      <c r="R640" s="338">
        <v>1</v>
      </c>
      <c r="S640" s="404" t="s">
        <v>1413</v>
      </c>
      <c r="T640" s="398" t="s">
        <v>1531</v>
      </c>
      <c r="U640" s="398" t="s">
        <v>1531</v>
      </c>
    </row>
    <row r="641" spans="1:21" ht="15">
      <c r="A641" s="427">
        <v>3.3000000000000002E-2</v>
      </c>
      <c r="B641" s="405" t="s">
        <v>1474</v>
      </c>
      <c r="C641" s="398" t="s">
        <v>1531</v>
      </c>
      <c r="D641" s="404" t="s">
        <v>1413</v>
      </c>
      <c r="E641" s="394">
        <v>0.04</v>
      </c>
      <c r="F641" s="405" t="s">
        <v>1474</v>
      </c>
      <c r="G641" s="398" t="s">
        <v>1531</v>
      </c>
      <c r="H641" s="404" t="s">
        <v>1413</v>
      </c>
      <c r="I641" s="404" t="s">
        <v>1413</v>
      </c>
      <c r="J641" s="404" t="s">
        <v>1413</v>
      </c>
      <c r="K641" s="405">
        <v>1</v>
      </c>
      <c r="L641" s="405">
        <v>0.1</v>
      </c>
      <c r="M641" s="406" t="s">
        <v>1531</v>
      </c>
      <c r="N641" s="425" t="s">
        <v>1311</v>
      </c>
      <c r="O641" s="391" t="s">
        <v>227</v>
      </c>
      <c r="P641" s="414" t="s">
        <v>1413</v>
      </c>
      <c r="Q641" s="340" t="s">
        <v>2433</v>
      </c>
      <c r="R641" s="338">
        <v>1</v>
      </c>
      <c r="S641" s="404" t="s">
        <v>1413</v>
      </c>
      <c r="T641" s="398" t="s">
        <v>1531</v>
      </c>
      <c r="U641" s="398" t="s">
        <v>1531</v>
      </c>
    </row>
    <row r="642" spans="1:21" ht="15.6" thickBot="1">
      <c r="A642" s="407" t="s">
        <v>1531</v>
      </c>
      <c r="B642" s="408" t="s">
        <v>1413</v>
      </c>
      <c r="C642" s="399" t="s">
        <v>1531</v>
      </c>
      <c r="D642" s="408" t="s">
        <v>1413</v>
      </c>
      <c r="E642" s="396">
        <v>2E-3</v>
      </c>
      <c r="F642" s="409" t="s">
        <v>1412</v>
      </c>
      <c r="G642" s="399" t="s">
        <v>1531</v>
      </c>
      <c r="H642" s="408" t="s">
        <v>1413</v>
      </c>
      <c r="I642" s="409" t="s">
        <v>969</v>
      </c>
      <c r="J642" s="408" t="s">
        <v>1413</v>
      </c>
      <c r="K642" s="409">
        <v>1</v>
      </c>
      <c r="L642" s="413" t="s">
        <v>1531</v>
      </c>
      <c r="M642" s="397">
        <v>111000</v>
      </c>
      <c r="N642" s="426" t="s">
        <v>1312</v>
      </c>
      <c r="O642" s="393" t="s">
        <v>228</v>
      </c>
      <c r="P642" s="416" t="s">
        <v>1413</v>
      </c>
      <c r="Q642" s="340" t="s">
        <v>2433</v>
      </c>
      <c r="R642" s="338">
        <v>1</v>
      </c>
      <c r="S642" s="408" t="s">
        <v>1413</v>
      </c>
      <c r="T642" s="399" t="s">
        <v>1531</v>
      </c>
      <c r="U642" s="399" t="s">
        <v>1531</v>
      </c>
    </row>
    <row r="643" spans="1:21" ht="15">
      <c r="A643" s="403" t="s">
        <v>1531</v>
      </c>
      <c r="B643" s="404" t="s">
        <v>1413</v>
      </c>
      <c r="C643" s="398" t="s">
        <v>1531</v>
      </c>
      <c r="D643" s="404" t="s">
        <v>1413</v>
      </c>
      <c r="E643" s="394">
        <v>0.02</v>
      </c>
      <c r="F643" s="405" t="s">
        <v>1412</v>
      </c>
      <c r="G643" s="398" t="s">
        <v>1531</v>
      </c>
      <c r="H643" s="404" t="s">
        <v>1413</v>
      </c>
      <c r="I643" s="404" t="s">
        <v>1413</v>
      </c>
      <c r="J643" s="404" t="s">
        <v>1413</v>
      </c>
      <c r="K643" s="405">
        <v>1</v>
      </c>
      <c r="L643" s="405">
        <v>0.1</v>
      </c>
      <c r="M643" s="406" t="s">
        <v>1531</v>
      </c>
      <c r="N643" s="425" t="s">
        <v>1313</v>
      </c>
      <c r="O643" s="391" t="s">
        <v>229</v>
      </c>
      <c r="P643" s="414" t="s">
        <v>1413</v>
      </c>
      <c r="Q643" s="340" t="s">
        <v>2433</v>
      </c>
      <c r="R643" s="338">
        <v>1</v>
      </c>
      <c r="S643" s="404" t="s">
        <v>1413</v>
      </c>
      <c r="T643" s="398" t="s">
        <v>1531</v>
      </c>
      <c r="U643" s="398" t="s">
        <v>1531</v>
      </c>
    </row>
    <row r="644" spans="1:21" ht="15">
      <c r="A644" s="403" t="s">
        <v>1531</v>
      </c>
      <c r="B644" s="404" t="s">
        <v>1413</v>
      </c>
      <c r="C644" s="398" t="s">
        <v>1531</v>
      </c>
      <c r="D644" s="404" t="s">
        <v>1413</v>
      </c>
      <c r="E644" s="394">
        <v>0.02</v>
      </c>
      <c r="F644" s="405" t="s">
        <v>1412</v>
      </c>
      <c r="G644" s="398" t="s">
        <v>1531</v>
      </c>
      <c r="H644" s="404" t="s">
        <v>1413</v>
      </c>
      <c r="I644" s="404" t="s">
        <v>1413</v>
      </c>
      <c r="J644" s="404" t="s">
        <v>1413</v>
      </c>
      <c r="K644" s="405">
        <v>1</v>
      </c>
      <c r="L644" s="405">
        <v>0.1</v>
      </c>
      <c r="M644" s="406" t="s">
        <v>1531</v>
      </c>
      <c r="N644" s="425" t="s">
        <v>1314</v>
      </c>
      <c r="O644" s="391" t="s">
        <v>230</v>
      </c>
      <c r="P644" s="414" t="s">
        <v>1413</v>
      </c>
      <c r="Q644" s="340" t="s">
        <v>2433</v>
      </c>
      <c r="R644" s="338">
        <v>1</v>
      </c>
      <c r="S644" s="404" t="s">
        <v>1413</v>
      </c>
      <c r="T644" s="398" t="s">
        <v>1531</v>
      </c>
      <c r="U644" s="398" t="s">
        <v>1531</v>
      </c>
    </row>
    <row r="645" spans="1:21" ht="15.6" thickBot="1">
      <c r="A645" s="407" t="s">
        <v>1531</v>
      </c>
      <c r="B645" s="408" t="s">
        <v>1413</v>
      </c>
      <c r="C645" s="399" t="s">
        <v>1531</v>
      </c>
      <c r="D645" s="408" t="s">
        <v>1413</v>
      </c>
      <c r="E645" s="396">
        <v>0.1</v>
      </c>
      <c r="F645" s="409" t="s">
        <v>1474</v>
      </c>
      <c r="G645" s="399" t="s">
        <v>1531</v>
      </c>
      <c r="H645" s="408" t="s">
        <v>1413</v>
      </c>
      <c r="I645" s="408" t="s">
        <v>1413</v>
      </c>
      <c r="J645" s="408" t="s">
        <v>1413</v>
      </c>
      <c r="K645" s="409">
        <v>1</v>
      </c>
      <c r="L645" s="409">
        <v>0.1</v>
      </c>
      <c r="M645" s="410" t="s">
        <v>1531</v>
      </c>
      <c r="N645" s="426" t="s">
        <v>1315</v>
      </c>
      <c r="O645" s="393" t="s">
        <v>231</v>
      </c>
      <c r="P645" s="416" t="s">
        <v>1413</v>
      </c>
      <c r="Q645" s="340" t="s">
        <v>2433</v>
      </c>
      <c r="R645" s="338">
        <v>1</v>
      </c>
      <c r="S645" s="408" t="s">
        <v>1413</v>
      </c>
      <c r="T645" s="399" t="s">
        <v>1531</v>
      </c>
      <c r="U645" s="399" t="s">
        <v>1531</v>
      </c>
    </row>
    <row r="646" spans="1:21" ht="15">
      <c r="A646" s="403" t="s">
        <v>1531</v>
      </c>
      <c r="B646" s="404" t="s">
        <v>1413</v>
      </c>
      <c r="C646" s="398" t="s">
        <v>1531</v>
      </c>
      <c r="D646" s="404" t="s">
        <v>1413</v>
      </c>
      <c r="E646" s="398" t="s">
        <v>1531</v>
      </c>
      <c r="F646" s="404" t="s">
        <v>1413</v>
      </c>
      <c r="G646" s="394">
        <v>8.0000000000000002E-3</v>
      </c>
      <c r="H646" s="405" t="s">
        <v>1412</v>
      </c>
      <c r="I646" s="405" t="s">
        <v>969</v>
      </c>
      <c r="J646" s="404" t="s">
        <v>1413</v>
      </c>
      <c r="K646" s="405">
        <v>1</v>
      </c>
      <c r="L646" s="411" t="s">
        <v>1531</v>
      </c>
      <c r="M646" s="395">
        <v>32600</v>
      </c>
      <c r="N646" s="425" t="s">
        <v>611</v>
      </c>
      <c r="O646" s="391" t="s">
        <v>232</v>
      </c>
      <c r="P646" s="414" t="s">
        <v>1413</v>
      </c>
      <c r="Q646" s="340" t="s">
        <v>2434</v>
      </c>
      <c r="R646" s="338">
        <v>1</v>
      </c>
      <c r="S646" s="404" t="s">
        <v>1413</v>
      </c>
      <c r="T646" s="398" t="s">
        <v>1531</v>
      </c>
      <c r="U646" s="394">
        <v>8.0000000000000002E-3</v>
      </c>
    </row>
    <row r="647" spans="1:21" ht="15">
      <c r="A647" s="403" t="s">
        <v>1531</v>
      </c>
      <c r="B647" s="404" t="s">
        <v>1413</v>
      </c>
      <c r="C647" s="398" t="s">
        <v>1531</v>
      </c>
      <c r="D647" s="404" t="s">
        <v>1413</v>
      </c>
      <c r="E647" s="394">
        <v>0.1</v>
      </c>
      <c r="F647" s="405" t="s">
        <v>961</v>
      </c>
      <c r="G647" s="394">
        <v>1</v>
      </c>
      <c r="H647" s="405" t="s">
        <v>961</v>
      </c>
      <c r="I647" s="405" t="s">
        <v>969</v>
      </c>
      <c r="J647" s="404" t="s">
        <v>1413</v>
      </c>
      <c r="K647" s="405">
        <v>1</v>
      </c>
      <c r="L647" s="411" t="s">
        <v>1531</v>
      </c>
      <c r="M647" s="395">
        <v>264</v>
      </c>
      <c r="N647" s="425" t="s">
        <v>612</v>
      </c>
      <c r="O647" s="391" t="s">
        <v>233</v>
      </c>
      <c r="P647" s="414" t="s">
        <v>1413</v>
      </c>
      <c r="Q647" s="340" t="s">
        <v>2433</v>
      </c>
      <c r="R647" s="338">
        <v>1</v>
      </c>
      <c r="S647" s="404" t="s">
        <v>1413</v>
      </c>
      <c r="T647" s="398" t="s">
        <v>1531</v>
      </c>
      <c r="U647" s="394">
        <v>1</v>
      </c>
    </row>
    <row r="648" spans="1:21" ht="15.6" thickBot="1">
      <c r="A648" s="407" t="s">
        <v>1531</v>
      </c>
      <c r="B648" s="408" t="s">
        <v>1413</v>
      </c>
      <c r="C648" s="399" t="s">
        <v>1531</v>
      </c>
      <c r="D648" s="408" t="s">
        <v>1413</v>
      </c>
      <c r="E648" s="399" t="s">
        <v>1531</v>
      </c>
      <c r="F648" s="408" t="s">
        <v>1413</v>
      </c>
      <c r="G648" s="396">
        <v>3</v>
      </c>
      <c r="H648" s="409" t="s">
        <v>521</v>
      </c>
      <c r="I648" s="409" t="s">
        <v>969</v>
      </c>
      <c r="J648" s="408" t="s">
        <v>1413</v>
      </c>
      <c r="K648" s="409">
        <v>1</v>
      </c>
      <c r="L648" s="413" t="s">
        <v>1531</v>
      </c>
      <c r="M648" s="397">
        <v>349</v>
      </c>
      <c r="N648" s="426" t="s">
        <v>613</v>
      </c>
      <c r="O648" s="393" t="s">
        <v>234</v>
      </c>
      <c r="P648" s="416" t="s">
        <v>1413</v>
      </c>
      <c r="Q648" s="340" t="s">
        <v>2433</v>
      </c>
      <c r="R648" s="338">
        <v>1</v>
      </c>
      <c r="S648" s="408" t="s">
        <v>1413</v>
      </c>
      <c r="T648" s="399" t="s">
        <v>1531</v>
      </c>
      <c r="U648" s="396">
        <v>3</v>
      </c>
    </row>
    <row r="649" spans="1:21" ht="15">
      <c r="A649" s="403" t="s">
        <v>1531</v>
      </c>
      <c r="B649" s="404" t="s">
        <v>1413</v>
      </c>
      <c r="C649" s="398" t="s">
        <v>1531</v>
      </c>
      <c r="D649" s="404" t="s">
        <v>1413</v>
      </c>
      <c r="E649" s="394">
        <v>20</v>
      </c>
      <c r="F649" s="405" t="s">
        <v>520</v>
      </c>
      <c r="G649" s="398" t="s">
        <v>1531</v>
      </c>
      <c r="H649" s="404" t="s">
        <v>1413</v>
      </c>
      <c r="I649" s="404" t="s">
        <v>1413</v>
      </c>
      <c r="J649" s="404" t="s">
        <v>1413</v>
      </c>
      <c r="K649" s="405">
        <v>1</v>
      </c>
      <c r="L649" s="405">
        <v>0.1</v>
      </c>
      <c r="M649" s="406" t="s">
        <v>1531</v>
      </c>
      <c r="N649" s="425" t="s">
        <v>1316</v>
      </c>
      <c r="O649" s="391" t="s">
        <v>235</v>
      </c>
      <c r="P649" s="414" t="s">
        <v>1413</v>
      </c>
      <c r="Q649" s="340" t="s">
        <v>2433</v>
      </c>
      <c r="R649" s="338">
        <v>1</v>
      </c>
      <c r="S649" s="404" t="s">
        <v>1413</v>
      </c>
      <c r="T649" s="398" t="s">
        <v>1531</v>
      </c>
      <c r="U649" s="398" t="s">
        <v>1531</v>
      </c>
    </row>
    <row r="650" spans="1:21" ht="15">
      <c r="A650" s="403" t="s">
        <v>1531</v>
      </c>
      <c r="B650" s="404" t="s">
        <v>1413</v>
      </c>
      <c r="C650" s="398" t="s">
        <v>1531</v>
      </c>
      <c r="D650" s="404" t="s">
        <v>1413</v>
      </c>
      <c r="E650" s="398" t="s">
        <v>1531</v>
      </c>
      <c r="F650" s="404" t="s">
        <v>1413</v>
      </c>
      <c r="G650" s="394">
        <v>2.7E-4</v>
      </c>
      <c r="H650" s="405" t="s">
        <v>1414</v>
      </c>
      <c r="I650" s="404" t="s">
        <v>1413</v>
      </c>
      <c r="J650" s="404" t="s">
        <v>1413</v>
      </c>
      <c r="K650" s="405">
        <v>1</v>
      </c>
      <c r="L650" s="405">
        <v>0.1</v>
      </c>
      <c r="M650" s="406" t="s">
        <v>1531</v>
      </c>
      <c r="N650" s="425" t="s">
        <v>1317</v>
      </c>
      <c r="O650" s="391" t="s">
        <v>236</v>
      </c>
      <c r="P650" s="414" t="s">
        <v>1413</v>
      </c>
      <c r="Q650" s="340" t="s">
        <v>2434</v>
      </c>
      <c r="R650" s="338">
        <v>1</v>
      </c>
      <c r="S650" s="404" t="s">
        <v>1413</v>
      </c>
      <c r="T650" s="398" t="s">
        <v>1531</v>
      </c>
      <c r="U650" s="394">
        <v>2.7E-4</v>
      </c>
    </row>
    <row r="651" spans="1:21" ht="15.6" thickBot="1">
      <c r="A651" s="407" t="s">
        <v>1531</v>
      </c>
      <c r="B651" s="408" t="s">
        <v>1413</v>
      </c>
      <c r="C651" s="399" t="s">
        <v>1531</v>
      </c>
      <c r="D651" s="408" t="s">
        <v>1413</v>
      </c>
      <c r="E651" s="396">
        <v>0.7</v>
      </c>
      <c r="F651" s="409" t="s">
        <v>406</v>
      </c>
      <c r="G651" s="396">
        <v>2</v>
      </c>
      <c r="H651" s="409" t="s">
        <v>1412</v>
      </c>
      <c r="I651" s="409" t="s">
        <v>969</v>
      </c>
      <c r="J651" s="408" t="s">
        <v>1413</v>
      </c>
      <c r="K651" s="409">
        <v>1</v>
      </c>
      <c r="L651" s="413" t="s">
        <v>1531</v>
      </c>
      <c r="M651" s="397">
        <v>106000</v>
      </c>
      <c r="N651" s="426" t="s">
        <v>1318</v>
      </c>
      <c r="O651" s="393" t="s">
        <v>237</v>
      </c>
      <c r="P651" s="416" t="s">
        <v>1413</v>
      </c>
      <c r="Q651" s="340" t="s">
        <v>2433</v>
      </c>
      <c r="R651" s="338">
        <v>1</v>
      </c>
      <c r="S651" s="408" t="s">
        <v>1413</v>
      </c>
      <c r="T651" s="399" t="s">
        <v>1531</v>
      </c>
      <c r="U651" s="396">
        <v>2</v>
      </c>
    </row>
    <row r="652" spans="1:21" ht="15">
      <c r="A652" s="427">
        <v>0.24</v>
      </c>
      <c r="B652" s="405" t="s">
        <v>1412</v>
      </c>
      <c r="C652" s="394">
        <v>3.7000000000000002E-6</v>
      </c>
      <c r="D652" s="405" t="s">
        <v>1412</v>
      </c>
      <c r="E652" s="398" t="s">
        <v>1531</v>
      </c>
      <c r="F652" s="404" t="s">
        <v>1413</v>
      </c>
      <c r="G652" s="394">
        <v>0.03</v>
      </c>
      <c r="H652" s="405" t="s">
        <v>1412</v>
      </c>
      <c r="I652" s="405" t="s">
        <v>969</v>
      </c>
      <c r="J652" s="404" t="s">
        <v>1413</v>
      </c>
      <c r="K652" s="405">
        <v>1</v>
      </c>
      <c r="L652" s="411" t="s">
        <v>1531</v>
      </c>
      <c r="M652" s="395">
        <v>77700</v>
      </c>
      <c r="N652" s="425" t="s">
        <v>1319</v>
      </c>
      <c r="O652" s="391" t="s">
        <v>238</v>
      </c>
      <c r="P652" s="414" t="s">
        <v>1413</v>
      </c>
      <c r="Q652" s="340" t="s">
        <v>2434</v>
      </c>
      <c r="R652" s="338">
        <v>1</v>
      </c>
      <c r="S652" s="404" t="s">
        <v>1413</v>
      </c>
      <c r="T652" s="394">
        <v>3.7000000000000002E-6</v>
      </c>
      <c r="U652" s="394">
        <v>0.03</v>
      </c>
    </row>
    <row r="653" spans="1:21" ht="15">
      <c r="A653" s="403" t="s">
        <v>1531</v>
      </c>
      <c r="B653" s="404" t="s">
        <v>1413</v>
      </c>
      <c r="C653" s="398" t="s">
        <v>1531</v>
      </c>
      <c r="D653" s="404" t="s">
        <v>1413</v>
      </c>
      <c r="E653" s="394">
        <v>7.4999999999999997E-2</v>
      </c>
      <c r="F653" s="405" t="s">
        <v>1412</v>
      </c>
      <c r="G653" s="398" t="s">
        <v>1531</v>
      </c>
      <c r="H653" s="404" t="s">
        <v>1413</v>
      </c>
      <c r="I653" s="404" t="s">
        <v>1413</v>
      </c>
      <c r="J653" s="404" t="s">
        <v>1413</v>
      </c>
      <c r="K653" s="405">
        <v>1</v>
      </c>
      <c r="L653" s="405">
        <v>0.1</v>
      </c>
      <c r="M653" s="406" t="s">
        <v>1531</v>
      </c>
      <c r="N653" s="425" t="s">
        <v>2317</v>
      </c>
      <c r="O653" s="391" t="s">
        <v>36</v>
      </c>
      <c r="P653" s="414" t="s">
        <v>1413</v>
      </c>
      <c r="Q653" s="340" t="s">
        <v>2434</v>
      </c>
      <c r="R653" s="338">
        <v>1</v>
      </c>
      <c r="S653" s="404" t="s">
        <v>1413</v>
      </c>
      <c r="T653" s="398" t="s">
        <v>1531</v>
      </c>
      <c r="U653" s="398" t="s">
        <v>1531</v>
      </c>
    </row>
    <row r="654" spans="1:21" ht="15.6" thickBot="1">
      <c r="A654" s="407" t="s">
        <v>1531</v>
      </c>
      <c r="B654" s="408" t="s">
        <v>1413</v>
      </c>
      <c r="C654" s="399" t="s">
        <v>1531</v>
      </c>
      <c r="D654" s="408" t="s">
        <v>1413</v>
      </c>
      <c r="E654" s="396">
        <v>0.03</v>
      </c>
      <c r="F654" s="409" t="s">
        <v>1412</v>
      </c>
      <c r="G654" s="399" t="s">
        <v>1531</v>
      </c>
      <c r="H654" s="408" t="s">
        <v>1413</v>
      </c>
      <c r="I654" s="409" t="s">
        <v>969</v>
      </c>
      <c r="J654" s="408" t="s">
        <v>1413</v>
      </c>
      <c r="K654" s="409">
        <v>1</v>
      </c>
      <c r="L654" s="409">
        <v>0.13</v>
      </c>
      <c r="M654" s="410" t="s">
        <v>1531</v>
      </c>
      <c r="N654" s="426" t="s">
        <v>2336</v>
      </c>
      <c r="O654" s="393" t="s">
        <v>219</v>
      </c>
      <c r="P654" s="416" t="s">
        <v>1413</v>
      </c>
      <c r="Q654" s="340" t="s">
        <v>2433</v>
      </c>
      <c r="R654" s="338">
        <v>1</v>
      </c>
      <c r="S654" s="408" t="s">
        <v>1413</v>
      </c>
      <c r="T654" s="399" t="s">
        <v>1531</v>
      </c>
      <c r="U654" s="399" t="s">
        <v>1531</v>
      </c>
    </row>
    <row r="655" spans="1:21" ht="15">
      <c r="A655" s="403" t="s">
        <v>1531</v>
      </c>
      <c r="B655" s="404" t="s">
        <v>1413</v>
      </c>
      <c r="C655" s="398" t="s">
        <v>1531</v>
      </c>
      <c r="D655" s="404" t="s">
        <v>1413</v>
      </c>
      <c r="E655" s="394">
        <v>1E-3</v>
      </c>
      <c r="F655" s="405" t="s">
        <v>1412</v>
      </c>
      <c r="G655" s="398" t="s">
        <v>1531</v>
      </c>
      <c r="H655" s="404" t="s">
        <v>1413</v>
      </c>
      <c r="I655" s="405" t="s">
        <v>969</v>
      </c>
      <c r="J655" s="404" t="s">
        <v>1413</v>
      </c>
      <c r="K655" s="405">
        <v>1</v>
      </c>
      <c r="L655" s="411" t="s">
        <v>1531</v>
      </c>
      <c r="M655" s="395">
        <v>530000</v>
      </c>
      <c r="N655" s="425" t="s">
        <v>1421</v>
      </c>
      <c r="O655" s="391" t="s">
        <v>241</v>
      </c>
      <c r="P655" s="414" t="s">
        <v>1413</v>
      </c>
      <c r="Q655" s="340" t="s">
        <v>2433</v>
      </c>
      <c r="R655" s="338">
        <v>1</v>
      </c>
      <c r="S655" s="404" t="s">
        <v>1413</v>
      </c>
      <c r="T655" s="398" t="s">
        <v>1531</v>
      </c>
      <c r="U655" s="398" t="s">
        <v>1531</v>
      </c>
    </row>
    <row r="656" spans="1:21" ht="15">
      <c r="A656" s="403" t="s">
        <v>1531</v>
      </c>
      <c r="B656" s="404" t="s">
        <v>1413</v>
      </c>
      <c r="C656" s="398" t="s">
        <v>1531</v>
      </c>
      <c r="D656" s="404" t="s">
        <v>1413</v>
      </c>
      <c r="E656" s="394">
        <v>5.0000000000000001E-4</v>
      </c>
      <c r="F656" s="405" t="s">
        <v>1412</v>
      </c>
      <c r="G656" s="398" t="s">
        <v>1531</v>
      </c>
      <c r="H656" s="404" t="s">
        <v>1413</v>
      </c>
      <c r="I656" s="404" t="s">
        <v>1413</v>
      </c>
      <c r="J656" s="404" t="s">
        <v>1413</v>
      </c>
      <c r="K656" s="405">
        <v>1</v>
      </c>
      <c r="L656" s="405">
        <v>0.1</v>
      </c>
      <c r="M656" s="406" t="s">
        <v>1531</v>
      </c>
      <c r="N656" s="425" t="s">
        <v>1320</v>
      </c>
      <c r="O656" s="391" t="s">
        <v>242</v>
      </c>
      <c r="P656" s="414" t="s">
        <v>1413</v>
      </c>
      <c r="Q656" s="340" t="s">
        <v>2434</v>
      </c>
      <c r="R656" s="338">
        <v>1</v>
      </c>
      <c r="S656" s="404" t="s">
        <v>1413</v>
      </c>
      <c r="T656" s="398" t="s">
        <v>1531</v>
      </c>
      <c r="U656" s="398" t="s">
        <v>1531</v>
      </c>
    </row>
    <row r="657" spans="1:21" ht="15.6" thickBot="1">
      <c r="A657" s="412">
        <v>3</v>
      </c>
      <c r="B657" s="409" t="s">
        <v>1412</v>
      </c>
      <c r="C657" s="399" t="s">
        <v>1531</v>
      </c>
      <c r="D657" s="408" t="s">
        <v>1413</v>
      </c>
      <c r="E657" s="399" t="s">
        <v>1531</v>
      </c>
      <c r="F657" s="408" t="s">
        <v>1413</v>
      </c>
      <c r="G657" s="399" t="s">
        <v>1531</v>
      </c>
      <c r="H657" s="408" t="s">
        <v>1413</v>
      </c>
      <c r="I657" s="408" t="s">
        <v>1413</v>
      </c>
      <c r="J657" s="408" t="s">
        <v>1413</v>
      </c>
      <c r="K657" s="409">
        <v>1</v>
      </c>
      <c r="L657" s="409">
        <v>0.1</v>
      </c>
      <c r="M657" s="410" t="s">
        <v>1531</v>
      </c>
      <c r="N657" s="426" t="s">
        <v>1321</v>
      </c>
      <c r="O657" s="393" t="s">
        <v>243</v>
      </c>
      <c r="P657" s="416" t="s">
        <v>1413</v>
      </c>
      <c r="Q657" s="340" t="s">
        <v>2433</v>
      </c>
      <c r="R657" s="338">
        <v>1</v>
      </c>
      <c r="S657" s="408" t="s">
        <v>1413</v>
      </c>
      <c r="T657" s="399" t="s">
        <v>1531</v>
      </c>
      <c r="U657" s="399" t="s">
        <v>1531</v>
      </c>
    </row>
    <row r="658" spans="1:21" ht="15">
      <c r="A658" s="403" t="s">
        <v>1531</v>
      </c>
      <c r="B658" s="404" t="s">
        <v>1413</v>
      </c>
      <c r="C658" s="398" t="s">
        <v>1531</v>
      </c>
      <c r="D658" s="404" t="s">
        <v>1413</v>
      </c>
      <c r="E658" s="394">
        <v>8.9999999999999993E-3</v>
      </c>
      <c r="F658" s="405" t="s">
        <v>1412</v>
      </c>
      <c r="G658" s="398" t="s">
        <v>1531</v>
      </c>
      <c r="H658" s="404" t="s">
        <v>1413</v>
      </c>
      <c r="I658" s="404" t="s">
        <v>1413</v>
      </c>
      <c r="J658" s="404" t="s">
        <v>1413</v>
      </c>
      <c r="K658" s="405">
        <v>1</v>
      </c>
      <c r="L658" s="405">
        <v>0.1</v>
      </c>
      <c r="M658" s="406" t="s">
        <v>1531</v>
      </c>
      <c r="N658" s="425" t="s">
        <v>2318</v>
      </c>
      <c r="O658" s="391" t="s">
        <v>672</v>
      </c>
      <c r="P658" s="414" t="s">
        <v>1413</v>
      </c>
      <c r="Q658" s="340" t="s">
        <v>2433</v>
      </c>
      <c r="R658" s="338">
        <v>1</v>
      </c>
      <c r="S658" s="404" t="s">
        <v>1413</v>
      </c>
      <c r="T658" s="398" t="s">
        <v>1531</v>
      </c>
      <c r="U658" s="398" t="s">
        <v>1531</v>
      </c>
    </row>
    <row r="659" spans="1:21" ht="15">
      <c r="A659" s="403" t="s">
        <v>1531</v>
      </c>
      <c r="B659" s="404" t="s">
        <v>1413</v>
      </c>
      <c r="C659" s="398" t="s">
        <v>1531</v>
      </c>
      <c r="D659" s="404" t="s">
        <v>1413</v>
      </c>
      <c r="E659" s="398" t="s">
        <v>1531</v>
      </c>
      <c r="F659" s="404" t="s">
        <v>1413</v>
      </c>
      <c r="G659" s="394">
        <v>0.03</v>
      </c>
      <c r="H659" s="405" t="s">
        <v>1414</v>
      </c>
      <c r="I659" s="404" t="s">
        <v>1413</v>
      </c>
      <c r="J659" s="404" t="s">
        <v>1413</v>
      </c>
      <c r="K659" s="405">
        <v>1</v>
      </c>
      <c r="L659" s="411" t="s">
        <v>1531</v>
      </c>
      <c r="M659" s="406" t="s">
        <v>1531</v>
      </c>
      <c r="N659" s="425" t="s">
        <v>1322</v>
      </c>
      <c r="O659" s="506" t="s">
        <v>2173</v>
      </c>
      <c r="P659" s="414" t="s">
        <v>1413</v>
      </c>
      <c r="Q659" s="340" t="s">
        <v>2433</v>
      </c>
      <c r="R659" s="338">
        <v>1</v>
      </c>
      <c r="S659" s="404" t="s">
        <v>1413</v>
      </c>
      <c r="T659" s="398" t="s">
        <v>1531</v>
      </c>
      <c r="U659" s="394">
        <v>0.03</v>
      </c>
    </row>
    <row r="660" spans="1:21" ht="15.6" thickBot="1">
      <c r="A660" s="407" t="s">
        <v>1531</v>
      </c>
      <c r="B660" s="408" t="s">
        <v>1413</v>
      </c>
      <c r="C660" s="399" t="s">
        <v>1531</v>
      </c>
      <c r="D660" s="408" t="s">
        <v>1413</v>
      </c>
      <c r="E660" s="396">
        <v>0.03</v>
      </c>
      <c r="F660" s="409" t="s">
        <v>1412</v>
      </c>
      <c r="G660" s="399" t="s">
        <v>1531</v>
      </c>
      <c r="H660" s="408" t="s">
        <v>1413</v>
      </c>
      <c r="I660" s="408" t="s">
        <v>1413</v>
      </c>
      <c r="J660" s="408" t="s">
        <v>1413</v>
      </c>
      <c r="K660" s="409">
        <v>1</v>
      </c>
      <c r="L660" s="409">
        <v>0.1</v>
      </c>
      <c r="M660" s="410" t="s">
        <v>1531</v>
      </c>
      <c r="N660" s="426" t="s">
        <v>1323</v>
      </c>
      <c r="O660" s="393" t="s">
        <v>244</v>
      </c>
      <c r="P660" s="416" t="s">
        <v>1413</v>
      </c>
      <c r="Q660" s="340" t="s">
        <v>2433</v>
      </c>
      <c r="R660" s="338">
        <v>1</v>
      </c>
      <c r="S660" s="408" t="s">
        <v>1413</v>
      </c>
      <c r="T660" s="399" t="s">
        <v>1531</v>
      </c>
      <c r="U660" s="399" t="s">
        <v>1531</v>
      </c>
    </row>
    <row r="661" spans="1:21" ht="15">
      <c r="A661" s="403" t="s">
        <v>1531</v>
      </c>
      <c r="B661" s="404" t="s">
        <v>1413</v>
      </c>
      <c r="C661" s="398" t="s">
        <v>1531</v>
      </c>
      <c r="D661" s="404" t="s">
        <v>1413</v>
      </c>
      <c r="E661" s="394">
        <v>0.05</v>
      </c>
      <c r="F661" s="405" t="s">
        <v>406</v>
      </c>
      <c r="G661" s="398" t="s">
        <v>1531</v>
      </c>
      <c r="H661" s="404" t="s">
        <v>1413</v>
      </c>
      <c r="I661" s="405" t="s">
        <v>969</v>
      </c>
      <c r="J661" s="404" t="s">
        <v>1413</v>
      </c>
      <c r="K661" s="405">
        <v>1</v>
      </c>
      <c r="L661" s="411" t="s">
        <v>1531</v>
      </c>
      <c r="M661" s="406" t="s">
        <v>1531</v>
      </c>
      <c r="N661" s="425" t="s">
        <v>1324</v>
      </c>
      <c r="O661" s="391" t="s">
        <v>245</v>
      </c>
      <c r="P661" s="414" t="s">
        <v>1413</v>
      </c>
      <c r="Q661" s="340" t="s">
        <v>2434</v>
      </c>
      <c r="R661" s="338">
        <v>1</v>
      </c>
      <c r="S661" s="404" t="s">
        <v>1413</v>
      </c>
      <c r="T661" s="398" t="s">
        <v>1531</v>
      </c>
      <c r="U661" s="398" t="s">
        <v>1531</v>
      </c>
    </row>
    <row r="662" spans="1:21" ht="15">
      <c r="A662" s="403" t="s">
        <v>1531</v>
      </c>
      <c r="B662" s="404" t="s">
        <v>1413</v>
      </c>
      <c r="C662" s="398" t="s">
        <v>1531</v>
      </c>
      <c r="D662" s="404" t="s">
        <v>1413</v>
      </c>
      <c r="E662" s="394">
        <v>4.0000000000000001E-3</v>
      </c>
      <c r="F662" s="405" t="s">
        <v>1412</v>
      </c>
      <c r="G662" s="398" t="s">
        <v>1531</v>
      </c>
      <c r="H662" s="404" t="s">
        <v>1413</v>
      </c>
      <c r="I662" s="404" t="s">
        <v>1413</v>
      </c>
      <c r="J662" s="404" t="s">
        <v>1413</v>
      </c>
      <c r="K662" s="405">
        <v>1</v>
      </c>
      <c r="L662" s="405">
        <v>0.1</v>
      </c>
      <c r="M662" s="406" t="s">
        <v>1531</v>
      </c>
      <c r="N662" s="425" t="s">
        <v>1325</v>
      </c>
      <c r="O662" s="391" t="s">
        <v>246</v>
      </c>
      <c r="P662" s="414" t="s">
        <v>1413</v>
      </c>
      <c r="Q662" s="340" t="s">
        <v>2433</v>
      </c>
      <c r="R662" s="338">
        <v>1</v>
      </c>
      <c r="S662" s="404" t="s">
        <v>1413</v>
      </c>
      <c r="T662" s="398" t="s">
        <v>1531</v>
      </c>
      <c r="U662" s="398" t="s">
        <v>1531</v>
      </c>
    </row>
    <row r="663" spans="1:21" ht="15.6" thickBot="1">
      <c r="A663" s="412">
        <v>0.22</v>
      </c>
      <c r="B663" s="409" t="s">
        <v>521</v>
      </c>
      <c r="C663" s="396">
        <v>6.3E-5</v>
      </c>
      <c r="D663" s="409" t="s">
        <v>521</v>
      </c>
      <c r="E663" s="399" t="s">
        <v>1531</v>
      </c>
      <c r="F663" s="408" t="s">
        <v>1413</v>
      </c>
      <c r="G663" s="399" t="s">
        <v>1531</v>
      </c>
      <c r="H663" s="408" t="s">
        <v>1413</v>
      </c>
      <c r="I663" s="408" t="s">
        <v>1413</v>
      </c>
      <c r="J663" s="409" t="s">
        <v>522</v>
      </c>
      <c r="K663" s="409">
        <v>1</v>
      </c>
      <c r="L663" s="409">
        <v>0.1</v>
      </c>
      <c r="M663" s="410" t="s">
        <v>1531</v>
      </c>
      <c r="N663" s="426" t="s">
        <v>614</v>
      </c>
      <c r="O663" s="393" t="s">
        <v>247</v>
      </c>
      <c r="P663" s="416" t="s">
        <v>1413</v>
      </c>
      <c r="Q663" s="340" t="s">
        <v>2434</v>
      </c>
      <c r="R663" s="338">
        <v>1</v>
      </c>
      <c r="S663" s="409" t="s">
        <v>2424</v>
      </c>
      <c r="T663" s="396">
        <v>6.3E-5</v>
      </c>
      <c r="U663" s="399" t="s">
        <v>1531</v>
      </c>
    </row>
    <row r="664" spans="1:21" ht="15">
      <c r="A664" s="403" t="s">
        <v>1531</v>
      </c>
      <c r="B664" s="404" t="s">
        <v>1413</v>
      </c>
      <c r="C664" s="398" t="s">
        <v>1531</v>
      </c>
      <c r="D664" s="404" t="s">
        <v>1413</v>
      </c>
      <c r="E664" s="394">
        <v>5.0000000000000001E-3</v>
      </c>
      <c r="F664" s="405" t="s">
        <v>1412</v>
      </c>
      <c r="G664" s="398" t="s">
        <v>1531</v>
      </c>
      <c r="H664" s="404" t="s">
        <v>1413</v>
      </c>
      <c r="I664" s="404" t="s">
        <v>1413</v>
      </c>
      <c r="J664" s="404" t="s">
        <v>1413</v>
      </c>
      <c r="K664" s="405">
        <v>1</v>
      </c>
      <c r="L664" s="411" t="s">
        <v>1531</v>
      </c>
      <c r="M664" s="406" t="s">
        <v>1531</v>
      </c>
      <c r="N664" s="425" t="s">
        <v>1326</v>
      </c>
      <c r="O664" s="391" t="s">
        <v>249</v>
      </c>
      <c r="P664" s="414" t="s">
        <v>1413</v>
      </c>
      <c r="Q664" s="340" t="s">
        <v>2433</v>
      </c>
      <c r="R664" s="338">
        <v>1</v>
      </c>
      <c r="S664" s="404" t="s">
        <v>1413</v>
      </c>
      <c r="T664" s="398" t="s">
        <v>1531</v>
      </c>
      <c r="U664" s="398" t="s">
        <v>1531</v>
      </c>
    </row>
    <row r="665" spans="1:21" ht="15">
      <c r="A665" s="403" t="s">
        <v>1531</v>
      </c>
      <c r="B665" s="404" t="s">
        <v>1413</v>
      </c>
      <c r="C665" s="398" t="s">
        <v>1531</v>
      </c>
      <c r="D665" s="404" t="s">
        <v>1413</v>
      </c>
      <c r="E665" s="394">
        <v>5.0000000000000001E-3</v>
      </c>
      <c r="F665" s="405" t="s">
        <v>1412</v>
      </c>
      <c r="G665" s="394">
        <v>0.02</v>
      </c>
      <c r="H665" s="405" t="s">
        <v>521</v>
      </c>
      <c r="I665" s="404" t="s">
        <v>1413</v>
      </c>
      <c r="J665" s="404" t="s">
        <v>1413</v>
      </c>
      <c r="K665" s="405">
        <v>1</v>
      </c>
      <c r="L665" s="411" t="s">
        <v>1531</v>
      </c>
      <c r="M665" s="406" t="s">
        <v>1531</v>
      </c>
      <c r="N665" s="425" t="s">
        <v>1327</v>
      </c>
      <c r="O665" s="391" t="s">
        <v>250</v>
      </c>
      <c r="P665" s="429">
        <v>50</v>
      </c>
      <c r="Q665" s="340" t="s">
        <v>2433</v>
      </c>
      <c r="R665" s="338">
        <v>1</v>
      </c>
      <c r="S665" s="404" t="s">
        <v>1413</v>
      </c>
      <c r="T665" s="398" t="s">
        <v>1531</v>
      </c>
      <c r="U665" s="394">
        <v>0.02</v>
      </c>
    </row>
    <row r="666" spans="1:21" ht="15.6" thickBot="1">
      <c r="A666" s="407" t="s">
        <v>1531</v>
      </c>
      <c r="B666" s="408" t="s">
        <v>1413</v>
      </c>
      <c r="C666" s="399" t="s">
        <v>1531</v>
      </c>
      <c r="D666" s="408" t="s">
        <v>1413</v>
      </c>
      <c r="E666" s="396">
        <v>5.0000000000000001E-3</v>
      </c>
      <c r="F666" s="409" t="s">
        <v>521</v>
      </c>
      <c r="G666" s="396">
        <v>0.02</v>
      </c>
      <c r="H666" s="409" t="s">
        <v>521</v>
      </c>
      <c r="I666" s="408" t="s">
        <v>1413</v>
      </c>
      <c r="J666" s="408" t="s">
        <v>1413</v>
      </c>
      <c r="K666" s="409">
        <v>1</v>
      </c>
      <c r="L666" s="413" t="s">
        <v>1531</v>
      </c>
      <c r="M666" s="410" t="s">
        <v>1531</v>
      </c>
      <c r="N666" s="426" t="s">
        <v>615</v>
      </c>
      <c r="O666" s="393" t="s">
        <v>251</v>
      </c>
      <c r="P666" s="416" t="s">
        <v>1413</v>
      </c>
      <c r="Q666" s="340" t="s">
        <v>2433</v>
      </c>
      <c r="R666" s="338">
        <v>1</v>
      </c>
      <c r="S666" s="408" t="s">
        <v>1413</v>
      </c>
      <c r="T666" s="399" t="s">
        <v>1531</v>
      </c>
      <c r="U666" s="396">
        <v>0.02</v>
      </c>
    </row>
    <row r="667" spans="1:21" ht="15">
      <c r="A667" s="403" t="s">
        <v>1531</v>
      </c>
      <c r="B667" s="404" t="s">
        <v>1413</v>
      </c>
      <c r="C667" s="398" t="s">
        <v>1531</v>
      </c>
      <c r="D667" s="404" t="s">
        <v>1413</v>
      </c>
      <c r="E667" s="394">
        <v>0.14000000000000001</v>
      </c>
      <c r="F667" s="405" t="s">
        <v>1474</v>
      </c>
      <c r="G667" s="398" t="s">
        <v>1531</v>
      </c>
      <c r="H667" s="404" t="s">
        <v>1413</v>
      </c>
      <c r="I667" s="404" t="s">
        <v>1413</v>
      </c>
      <c r="J667" s="404" t="s">
        <v>1413</v>
      </c>
      <c r="K667" s="405">
        <v>1</v>
      </c>
      <c r="L667" s="405">
        <v>0.1</v>
      </c>
      <c r="M667" s="406" t="s">
        <v>1531</v>
      </c>
      <c r="N667" s="425" t="s">
        <v>1328</v>
      </c>
      <c r="O667" s="391" t="s">
        <v>252</v>
      </c>
      <c r="P667" s="414" t="s">
        <v>1413</v>
      </c>
      <c r="Q667" s="340" t="s">
        <v>2433</v>
      </c>
      <c r="R667" s="338">
        <v>1</v>
      </c>
      <c r="S667" s="404" t="s">
        <v>1413</v>
      </c>
      <c r="T667" s="398" t="s">
        <v>1531</v>
      </c>
      <c r="U667" s="398" t="s">
        <v>1531</v>
      </c>
    </row>
    <row r="668" spans="1:21" ht="15">
      <c r="A668" s="403" t="s">
        <v>1531</v>
      </c>
      <c r="B668" s="404" t="s">
        <v>1413</v>
      </c>
      <c r="C668" s="398" t="s">
        <v>1531</v>
      </c>
      <c r="D668" s="404" t="s">
        <v>1413</v>
      </c>
      <c r="E668" s="398" t="s">
        <v>1531</v>
      </c>
      <c r="F668" s="404" t="s">
        <v>1413</v>
      </c>
      <c r="G668" s="394">
        <v>3.0000000000000001E-3</v>
      </c>
      <c r="H668" s="405" t="s">
        <v>521</v>
      </c>
      <c r="I668" s="404" t="s">
        <v>1413</v>
      </c>
      <c r="J668" s="404" t="s">
        <v>1413</v>
      </c>
      <c r="K668" s="405">
        <v>1</v>
      </c>
      <c r="L668" s="411" t="s">
        <v>1531</v>
      </c>
      <c r="M668" s="406" t="s">
        <v>1531</v>
      </c>
      <c r="N668" s="425" t="s">
        <v>616</v>
      </c>
      <c r="O668" s="391" t="s">
        <v>253</v>
      </c>
      <c r="P668" s="414" t="s">
        <v>1413</v>
      </c>
      <c r="Q668" s="340" t="s">
        <v>2433</v>
      </c>
      <c r="R668" s="338">
        <v>1</v>
      </c>
      <c r="S668" s="404" t="s">
        <v>1413</v>
      </c>
      <c r="T668" s="398" t="s">
        <v>1531</v>
      </c>
      <c r="U668" s="394">
        <v>3.0000000000000001E-3</v>
      </c>
    </row>
    <row r="669" spans="1:21" ht="15.6" thickBot="1">
      <c r="A669" s="407" t="s">
        <v>1531</v>
      </c>
      <c r="B669" s="408" t="s">
        <v>1413</v>
      </c>
      <c r="C669" s="399" t="s">
        <v>1531</v>
      </c>
      <c r="D669" s="408" t="s">
        <v>1413</v>
      </c>
      <c r="E669" s="396">
        <v>5.0000000000000001E-3</v>
      </c>
      <c r="F669" s="409" t="s">
        <v>1412</v>
      </c>
      <c r="G669" s="399" t="s">
        <v>1531</v>
      </c>
      <c r="H669" s="408" t="s">
        <v>1413</v>
      </c>
      <c r="I669" s="408" t="s">
        <v>1413</v>
      </c>
      <c r="J669" s="408" t="s">
        <v>1413</v>
      </c>
      <c r="K669" s="409">
        <v>0.04</v>
      </c>
      <c r="L669" s="413" t="s">
        <v>1531</v>
      </c>
      <c r="M669" s="410" t="s">
        <v>1531</v>
      </c>
      <c r="N669" s="426" t="s">
        <v>1329</v>
      </c>
      <c r="O669" s="393" t="s">
        <v>254</v>
      </c>
      <c r="P669" s="416" t="s">
        <v>1413</v>
      </c>
      <c r="Q669" s="340" t="s">
        <v>2434</v>
      </c>
      <c r="R669" s="338">
        <v>1</v>
      </c>
      <c r="S669" s="408" t="s">
        <v>1413</v>
      </c>
      <c r="T669" s="399" t="s">
        <v>1531</v>
      </c>
      <c r="U669" s="399" t="s">
        <v>1531</v>
      </c>
    </row>
    <row r="670" spans="1:21" ht="15">
      <c r="A670" s="403" t="s">
        <v>1531</v>
      </c>
      <c r="B670" s="404" t="s">
        <v>1413</v>
      </c>
      <c r="C670" s="398" t="s">
        <v>1531</v>
      </c>
      <c r="D670" s="404" t="s">
        <v>1413</v>
      </c>
      <c r="E670" s="394">
        <v>0.1</v>
      </c>
      <c r="F670" s="405" t="s">
        <v>1412</v>
      </c>
      <c r="G670" s="398" t="s">
        <v>1531</v>
      </c>
      <c r="H670" s="404" t="s">
        <v>1413</v>
      </c>
      <c r="I670" s="404" t="s">
        <v>1413</v>
      </c>
      <c r="J670" s="404" t="s">
        <v>1413</v>
      </c>
      <c r="K670" s="405">
        <v>0.04</v>
      </c>
      <c r="L670" s="411" t="s">
        <v>1531</v>
      </c>
      <c r="M670" s="406" t="s">
        <v>1531</v>
      </c>
      <c r="N670" s="425" t="s">
        <v>2367</v>
      </c>
      <c r="O670" s="391" t="s">
        <v>797</v>
      </c>
      <c r="P670" s="414" t="s">
        <v>1413</v>
      </c>
      <c r="Q670" s="340" t="s">
        <v>2433</v>
      </c>
      <c r="R670" s="338">
        <v>1</v>
      </c>
      <c r="S670" s="404" t="s">
        <v>1413</v>
      </c>
      <c r="T670" s="398" t="s">
        <v>1531</v>
      </c>
      <c r="U670" s="398" t="s">
        <v>1531</v>
      </c>
    </row>
    <row r="671" spans="1:21" ht="15">
      <c r="A671" s="427">
        <v>0.12</v>
      </c>
      <c r="B671" s="405" t="s">
        <v>406</v>
      </c>
      <c r="C671" s="398" t="s">
        <v>1531</v>
      </c>
      <c r="D671" s="404" t="s">
        <v>1413</v>
      </c>
      <c r="E671" s="394">
        <v>5.0000000000000001E-3</v>
      </c>
      <c r="F671" s="405" t="s">
        <v>1412</v>
      </c>
      <c r="G671" s="398" t="s">
        <v>1531</v>
      </c>
      <c r="H671" s="404" t="s">
        <v>1413</v>
      </c>
      <c r="I671" s="404" t="s">
        <v>1413</v>
      </c>
      <c r="J671" s="404" t="s">
        <v>1413</v>
      </c>
      <c r="K671" s="405">
        <v>1</v>
      </c>
      <c r="L671" s="405">
        <v>0.1</v>
      </c>
      <c r="M671" s="406" t="s">
        <v>1531</v>
      </c>
      <c r="N671" s="425" t="s">
        <v>1330</v>
      </c>
      <c r="O671" s="391" t="s">
        <v>255</v>
      </c>
      <c r="P671" s="429">
        <v>4</v>
      </c>
      <c r="Q671" s="340" t="s">
        <v>2433</v>
      </c>
      <c r="R671" s="338">
        <v>1</v>
      </c>
      <c r="S671" s="404" t="s">
        <v>1413</v>
      </c>
      <c r="T671" s="398" t="s">
        <v>1531</v>
      </c>
      <c r="U671" s="398" t="s">
        <v>1531</v>
      </c>
    </row>
    <row r="672" spans="1:21" ht="15.6" thickBot="1">
      <c r="A672" s="407" t="s">
        <v>1531</v>
      </c>
      <c r="B672" s="408" t="s">
        <v>1413</v>
      </c>
      <c r="C672" s="399" t="s">
        <v>1531</v>
      </c>
      <c r="D672" s="408" t="s">
        <v>1413</v>
      </c>
      <c r="E672" s="396">
        <v>49</v>
      </c>
      <c r="F672" s="409" t="s">
        <v>520</v>
      </c>
      <c r="G672" s="399" t="s">
        <v>1531</v>
      </c>
      <c r="H672" s="408" t="s">
        <v>1413</v>
      </c>
      <c r="I672" s="408" t="s">
        <v>1413</v>
      </c>
      <c r="J672" s="408" t="s">
        <v>1413</v>
      </c>
      <c r="K672" s="409">
        <v>1</v>
      </c>
      <c r="L672" s="413" t="s">
        <v>1531</v>
      </c>
      <c r="M672" s="410" t="s">
        <v>1531</v>
      </c>
      <c r="N672" s="426" t="s">
        <v>2396</v>
      </c>
      <c r="O672" s="393" t="s">
        <v>1597</v>
      </c>
      <c r="P672" s="416" t="s">
        <v>1413</v>
      </c>
      <c r="Q672" s="340" t="s">
        <v>2433</v>
      </c>
      <c r="R672" s="338">
        <v>1</v>
      </c>
      <c r="S672" s="408" t="s">
        <v>1413</v>
      </c>
      <c r="T672" s="399" t="s">
        <v>1531</v>
      </c>
      <c r="U672" s="399" t="s">
        <v>1531</v>
      </c>
    </row>
    <row r="673" spans="1:21" ht="15">
      <c r="A673" s="403" t="s">
        <v>1531</v>
      </c>
      <c r="B673" s="404" t="s">
        <v>1413</v>
      </c>
      <c r="C673" s="398" t="s">
        <v>1531</v>
      </c>
      <c r="D673" s="404" t="s">
        <v>1413</v>
      </c>
      <c r="E673" s="394">
        <v>1.2999999999999999E-2</v>
      </c>
      <c r="F673" s="405" t="s">
        <v>1412</v>
      </c>
      <c r="G673" s="398" t="s">
        <v>1531</v>
      </c>
      <c r="H673" s="404" t="s">
        <v>1413</v>
      </c>
      <c r="I673" s="404" t="s">
        <v>1413</v>
      </c>
      <c r="J673" s="404" t="s">
        <v>1413</v>
      </c>
      <c r="K673" s="405">
        <v>1</v>
      </c>
      <c r="L673" s="405">
        <v>0.1</v>
      </c>
      <c r="M673" s="406" t="s">
        <v>1531</v>
      </c>
      <c r="N673" s="425" t="s">
        <v>1331</v>
      </c>
      <c r="O673" s="391" t="s">
        <v>256</v>
      </c>
      <c r="P673" s="414" t="s">
        <v>1413</v>
      </c>
      <c r="Q673" s="340" t="s">
        <v>2433</v>
      </c>
      <c r="R673" s="338">
        <v>1</v>
      </c>
      <c r="S673" s="404" t="s">
        <v>1413</v>
      </c>
      <c r="T673" s="398" t="s">
        <v>1531</v>
      </c>
      <c r="U673" s="398" t="s">
        <v>1531</v>
      </c>
    </row>
    <row r="674" spans="1:21" ht="15">
      <c r="A674" s="403" t="s">
        <v>1531</v>
      </c>
      <c r="B674" s="404" t="s">
        <v>1413</v>
      </c>
      <c r="C674" s="398" t="s">
        <v>1531</v>
      </c>
      <c r="D674" s="404" t="s">
        <v>1413</v>
      </c>
      <c r="E674" s="394">
        <v>49</v>
      </c>
      <c r="F674" s="405" t="s">
        <v>520</v>
      </c>
      <c r="G674" s="398" t="s">
        <v>1531</v>
      </c>
      <c r="H674" s="404" t="s">
        <v>1413</v>
      </c>
      <c r="I674" s="404" t="s">
        <v>1413</v>
      </c>
      <c r="J674" s="404" t="s">
        <v>1413</v>
      </c>
      <c r="K674" s="405">
        <v>1</v>
      </c>
      <c r="L674" s="411" t="s">
        <v>1531</v>
      </c>
      <c r="M674" s="406" t="s">
        <v>1531</v>
      </c>
      <c r="N674" s="425" t="s">
        <v>2397</v>
      </c>
      <c r="O674" s="391" t="s">
        <v>1598</v>
      </c>
      <c r="P674" s="414" t="s">
        <v>1413</v>
      </c>
      <c r="Q674" s="340" t="s">
        <v>2433</v>
      </c>
      <c r="R674" s="338">
        <v>1</v>
      </c>
      <c r="S674" s="404" t="s">
        <v>1413</v>
      </c>
      <c r="T674" s="398" t="s">
        <v>1531</v>
      </c>
      <c r="U674" s="398" t="s">
        <v>1531</v>
      </c>
    </row>
    <row r="675" spans="1:21" ht="15.6" thickBot="1">
      <c r="A675" s="407" t="s">
        <v>1531</v>
      </c>
      <c r="B675" s="408" t="s">
        <v>1413</v>
      </c>
      <c r="C675" s="399" t="s">
        <v>1531</v>
      </c>
      <c r="D675" s="408" t="s">
        <v>1413</v>
      </c>
      <c r="E675" s="396">
        <v>49</v>
      </c>
      <c r="F675" s="409" t="s">
        <v>520</v>
      </c>
      <c r="G675" s="399" t="s">
        <v>1531</v>
      </c>
      <c r="H675" s="408" t="s">
        <v>1413</v>
      </c>
      <c r="I675" s="408" t="s">
        <v>1413</v>
      </c>
      <c r="J675" s="408" t="s">
        <v>1413</v>
      </c>
      <c r="K675" s="409">
        <v>1</v>
      </c>
      <c r="L675" s="413" t="s">
        <v>1531</v>
      </c>
      <c r="M675" s="410" t="s">
        <v>1531</v>
      </c>
      <c r="N675" s="426" t="s">
        <v>2398</v>
      </c>
      <c r="O675" s="393" t="s">
        <v>1599</v>
      </c>
      <c r="P675" s="416" t="s">
        <v>1413</v>
      </c>
      <c r="Q675" s="340" t="s">
        <v>2433</v>
      </c>
      <c r="R675" s="338">
        <v>1</v>
      </c>
      <c r="S675" s="408" t="s">
        <v>1413</v>
      </c>
      <c r="T675" s="399" t="s">
        <v>1531</v>
      </c>
      <c r="U675" s="399" t="s">
        <v>1531</v>
      </c>
    </row>
    <row r="676" spans="1:21" ht="15">
      <c r="A676" s="403" t="s">
        <v>1531</v>
      </c>
      <c r="B676" s="404" t="s">
        <v>1413</v>
      </c>
      <c r="C676" s="398" t="s">
        <v>1531</v>
      </c>
      <c r="D676" s="404" t="s">
        <v>1413</v>
      </c>
      <c r="E676" s="394">
        <v>49</v>
      </c>
      <c r="F676" s="405" t="s">
        <v>520</v>
      </c>
      <c r="G676" s="398" t="s">
        <v>1531</v>
      </c>
      <c r="H676" s="404" t="s">
        <v>1413</v>
      </c>
      <c r="I676" s="404" t="s">
        <v>1413</v>
      </c>
      <c r="J676" s="404" t="s">
        <v>1413</v>
      </c>
      <c r="K676" s="405">
        <v>1</v>
      </c>
      <c r="L676" s="411" t="s">
        <v>1531</v>
      </c>
      <c r="M676" s="406" t="s">
        <v>1531</v>
      </c>
      <c r="N676" s="425" t="s">
        <v>2399</v>
      </c>
      <c r="O676" s="391" t="s">
        <v>1600</v>
      </c>
      <c r="P676" s="414" t="s">
        <v>1413</v>
      </c>
      <c r="Q676" s="340" t="s">
        <v>2434</v>
      </c>
      <c r="R676" s="338">
        <v>1</v>
      </c>
      <c r="S676" s="404" t="s">
        <v>1413</v>
      </c>
      <c r="T676" s="398" t="s">
        <v>1531</v>
      </c>
      <c r="U676" s="398" t="s">
        <v>1531</v>
      </c>
    </row>
    <row r="677" spans="1:21" ht="15">
      <c r="A677" s="403" t="s">
        <v>1531</v>
      </c>
      <c r="B677" s="404" t="s">
        <v>1413</v>
      </c>
      <c r="C677" s="398" t="s">
        <v>1531</v>
      </c>
      <c r="D677" s="404" t="s">
        <v>1413</v>
      </c>
      <c r="E677" s="394">
        <v>4.0000000000000001E-3</v>
      </c>
      <c r="F677" s="405" t="s">
        <v>1412</v>
      </c>
      <c r="G677" s="398" t="s">
        <v>1531</v>
      </c>
      <c r="H677" s="404" t="s">
        <v>1413</v>
      </c>
      <c r="I677" s="404" t="s">
        <v>1413</v>
      </c>
      <c r="J677" s="404" t="s">
        <v>1413</v>
      </c>
      <c r="K677" s="405">
        <v>1</v>
      </c>
      <c r="L677" s="411" t="s">
        <v>1531</v>
      </c>
      <c r="M677" s="406" t="s">
        <v>1531</v>
      </c>
      <c r="N677" s="425" t="s">
        <v>1332</v>
      </c>
      <c r="O677" s="391" t="s">
        <v>257</v>
      </c>
      <c r="P677" s="414" t="s">
        <v>1413</v>
      </c>
      <c r="Q677" s="340" t="s">
        <v>2434</v>
      </c>
      <c r="R677" s="338">
        <v>1</v>
      </c>
      <c r="S677" s="404" t="s">
        <v>1413</v>
      </c>
      <c r="T677" s="398" t="s">
        <v>1531</v>
      </c>
      <c r="U677" s="398" t="s">
        <v>1531</v>
      </c>
    </row>
    <row r="678" spans="1:21" ht="15.6" thickBot="1">
      <c r="A678" s="407" t="s">
        <v>1531</v>
      </c>
      <c r="B678" s="408" t="s">
        <v>1413</v>
      </c>
      <c r="C678" s="399" t="s">
        <v>1531</v>
      </c>
      <c r="D678" s="408" t="s">
        <v>1413</v>
      </c>
      <c r="E678" s="396">
        <v>1E-3</v>
      </c>
      <c r="F678" s="409" t="s">
        <v>1412</v>
      </c>
      <c r="G678" s="399" t="s">
        <v>1531</v>
      </c>
      <c r="H678" s="408" t="s">
        <v>1413</v>
      </c>
      <c r="I678" s="408" t="s">
        <v>1413</v>
      </c>
      <c r="J678" s="408" t="s">
        <v>1413</v>
      </c>
      <c r="K678" s="409">
        <v>1</v>
      </c>
      <c r="L678" s="413" t="s">
        <v>1531</v>
      </c>
      <c r="M678" s="410" t="s">
        <v>1531</v>
      </c>
      <c r="N678" s="426" t="s">
        <v>2368</v>
      </c>
      <c r="O678" s="393" t="s">
        <v>798</v>
      </c>
      <c r="P678" s="415">
        <v>200</v>
      </c>
      <c r="Q678" s="340" t="s">
        <v>2433</v>
      </c>
      <c r="R678" s="338">
        <v>1</v>
      </c>
      <c r="S678" s="408" t="s">
        <v>1413</v>
      </c>
      <c r="T678" s="399" t="s">
        <v>1531</v>
      </c>
      <c r="U678" s="399" t="s">
        <v>1531</v>
      </c>
    </row>
    <row r="679" spans="1:21" ht="15">
      <c r="A679" s="427">
        <v>0.27</v>
      </c>
      <c r="B679" s="405" t="s">
        <v>406</v>
      </c>
      <c r="C679" s="398" t="s">
        <v>1531</v>
      </c>
      <c r="D679" s="404" t="s">
        <v>1413</v>
      </c>
      <c r="E679" s="394">
        <v>0.03</v>
      </c>
      <c r="F679" s="405" t="s">
        <v>1412</v>
      </c>
      <c r="G679" s="398" t="s">
        <v>1531</v>
      </c>
      <c r="H679" s="404" t="s">
        <v>1413</v>
      </c>
      <c r="I679" s="404" t="s">
        <v>1413</v>
      </c>
      <c r="J679" s="404" t="s">
        <v>1413</v>
      </c>
      <c r="K679" s="405">
        <v>1</v>
      </c>
      <c r="L679" s="405">
        <v>0.1</v>
      </c>
      <c r="M679" s="406" t="s">
        <v>1531</v>
      </c>
      <c r="N679" s="425" t="s">
        <v>1333</v>
      </c>
      <c r="O679" s="391" t="s">
        <v>258</v>
      </c>
      <c r="P679" s="414" t="s">
        <v>1413</v>
      </c>
      <c r="Q679" s="340" t="s">
        <v>2433</v>
      </c>
      <c r="R679" s="338">
        <v>1</v>
      </c>
      <c r="S679" s="404" t="s">
        <v>1413</v>
      </c>
      <c r="T679" s="398" t="s">
        <v>1531</v>
      </c>
      <c r="U679" s="398" t="s">
        <v>1531</v>
      </c>
    </row>
    <row r="680" spans="1:21" ht="15">
      <c r="A680" s="403" t="s">
        <v>1531</v>
      </c>
      <c r="B680" s="404" t="s">
        <v>1413</v>
      </c>
      <c r="C680" s="398" t="s">
        <v>1531</v>
      </c>
      <c r="D680" s="404" t="s">
        <v>1413</v>
      </c>
      <c r="E680" s="394">
        <v>0.05</v>
      </c>
      <c r="F680" s="405" t="s">
        <v>1414</v>
      </c>
      <c r="G680" s="394">
        <v>1.2999999999999999E-2</v>
      </c>
      <c r="H680" s="405" t="s">
        <v>521</v>
      </c>
      <c r="I680" s="404" t="s">
        <v>1413</v>
      </c>
      <c r="J680" s="404" t="s">
        <v>1413</v>
      </c>
      <c r="K680" s="405">
        <v>1</v>
      </c>
      <c r="L680" s="411" t="s">
        <v>1531</v>
      </c>
      <c r="M680" s="406" t="s">
        <v>1531</v>
      </c>
      <c r="N680" s="425" t="s">
        <v>617</v>
      </c>
      <c r="O680" s="391" t="s">
        <v>259</v>
      </c>
      <c r="P680" s="414" t="s">
        <v>1413</v>
      </c>
      <c r="Q680" s="340" t="s">
        <v>2434</v>
      </c>
      <c r="R680" s="338">
        <v>1</v>
      </c>
      <c r="S680" s="404" t="s">
        <v>1413</v>
      </c>
      <c r="T680" s="398" t="s">
        <v>1531</v>
      </c>
      <c r="U680" s="394">
        <v>1.2999999999999999E-2</v>
      </c>
    </row>
    <row r="681" spans="1:21" ht="15.6" thickBot="1">
      <c r="A681" s="407" t="s">
        <v>1531</v>
      </c>
      <c r="B681" s="408" t="s">
        <v>1413</v>
      </c>
      <c r="C681" s="399" t="s">
        <v>1531</v>
      </c>
      <c r="D681" s="408" t="s">
        <v>1413</v>
      </c>
      <c r="E681" s="396">
        <v>2.0000000000000002E-5</v>
      </c>
      <c r="F681" s="409" t="s">
        <v>1412</v>
      </c>
      <c r="G681" s="399" t="s">
        <v>1531</v>
      </c>
      <c r="H681" s="408" t="s">
        <v>1413</v>
      </c>
      <c r="I681" s="408" t="s">
        <v>1413</v>
      </c>
      <c r="J681" s="408" t="s">
        <v>1413</v>
      </c>
      <c r="K681" s="409">
        <v>1</v>
      </c>
      <c r="L681" s="409">
        <v>0.1</v>
      </c>
      <c r="M681" s="410" t="s">
        <v>1531</v>
      </c>
      <c r="N681" s="426" t="s">
        <v>1334</v>
      </c>
      <c r="O681" s="393" t="s">
        <v>260</v>
      </c>
      <c r="P681" s="416" t="s">
        <v>1413</v>
      </c>
      <c r="Q681" s="340" t="s">
        <v>2433</v>
      </c>
      <c r="R681" s="338">
        <v>1</v>
      </c>
      <c r="S681" s="408" t="s">
        <v>1413</v>
      </c>
      <c r="T681" s="399" t="s">
        <v>1531</v>
      </c>
      <c r="U681" s="399" t="s">
        <v>1531</v>
      </c>
    </row>
    <row r="682" spans="1:21" ht="15">
      <c r="A682" s="403" t="s">
        <v>1531</v>
      </c>
      <c r="B682" s="404" t="s">
        <v>1413</v>
      </c>
      <c r="C682" s="398" t="s">
        <v>1531</v>
      </c>
      <c r="D682" s="404" t="s">
        <v>1413</v>
      </c>
      <c r="E682" s="394">
        <v>49</v>
      </c>
      <c r="F682" s="405" t="s">
        <v>520</v>
      </c>
      <c r="G682" s="398" t="s">
        <v>1531</v>
      </c>
      <c r="H682" s="404" t="s">
        <v>1413</v>
      </c>
      <c r="I682" s="404" t="s">
        <v>1413</v>
      </c>
      <c r="J682" s="404" t="s">
        <v>1413</v>
      </c>
      <c r="K682" s="405">
        <v>1</v>
      </c>
      <c r="L682" s="411" t="s">
        <v>1531</v>
      </c>
      <c r="M682" s="406" t="s">
        <v>1531</v>
      </c>
      <c r="N682" s="425" t="s">
        <v>2400</v>
      </c>
      <c r="O682" s="391" t="s">
        <v>1601</v>
      </c>
      <c r="P682" s="414" t="s">
        <v>1413</v>
      </c>
      <c r="Q682" s="340" t="s">
        <v>2434</v>
      </c>
      <c r="R682" s="338">
        <v>1</v>
      </c>
      <c r="S682" s="404" t="s">
        <v>1413</v>
      </c>
      <c r="T682" s="398" t="s">
        <v>1531</v>
      </c>
      <c r="U682" s="398" t="s">
        <v>1531</v>
      </c>
    </row>
    <row r="683" spans="1:21" ht="15">
      <c r="A683" s="403" t="s">
        <v>1531</v>
      </c>
      <c r="B683" s="404" t="s">
        <v>1413</v>
      </c>
      <c r="C683" s="398" t="s">
        <v>1531</v>
      </c>
      <c r="D683" s="404" t="s">
        <v>1413</v>
      </c>
      <c r="E683" s="394">
        <v>1E-3</v>
      </c>
      <c r="F683" s="405" t="s">
        <v>406</v>
      </c>
      <c r="G683" s="398" t="s">
        <v>1531</v>
      </c>
      <c r="H683" s="404" t="s">
        <v>1413</v>
      </c>
      <c r="I683" s="404" t="s">
        <v>1413</v>
      </c>
      <c r="J683" s="404" t="s">
        <v>1413</v>
      </c>
      <c r="K683" s="405">
        <v>1</v>
      </c>
      <c r="L683" s="411" t="s">
        <v>1531</v>
      </c>
      <c r="M683" s="406" t="s">
        <v>1531</v>
      </c>
      <c r="N683" s="425" t="s">
        <v>1335</v>
      </c>
      <c r="O683" s="391" t="s">
        <v>261</v>
      </c>
      <c r="P683" s="414" t="s">
        <v>1413</v>
      </c>
      <c r="Q683" s="340" t="s">
        <v>2434</v>
      </c>
      <c r="R683" s="338">
        <v>1</v>
      </c>
      <c r="S683" s="404" t="s">
        <v>1413</v>
      </c>
      <c r="T683" s="398" t="s">
        <v>1531</v>
      </c>
      <c r="U683" s="398" t="s">
        <v>1531</v>
      </c>
    </row>
    <row r="684" spans="1:21" ht="15.6" thickBot="1">
      <c r="A684" s="407" t="s">
        <v>1531</v>
      </c>
      <c r="B684" s="408" t="s">
        <v>1413</v>
      </c>
      <c r="C684" s="399" t="s">
        <v>1531</v>
      </c>
      <c r="D684" s="408" t="s">
        <v>1413</v>
      </c>
      <c r="E684" s="396">
        <v>6.9999999999999999E-4</v>
      </c>
      <c r="F684" s="409" t="s">
        <v>1412</v>
      </c>
      <c r="G684" s="399" t="s">
        <v>1531</v>
      </c>
      <c r="H684" s="408" t="s">
        <v>1413</v>
      </c>
      <c r="I684" s="408" t="s">
        <v>1413</v>
      </c>
      <c r="J684" s="408" t="s">
        <v>1413</v>
      </c>
      <c r="K684" s="409">
        <v>1</v>
      </c>
      <c r="L684" s="413" t="s">
        <v>1531</v>
      </c>
      <c r="M684" s="410" t="s">
        <v>1531</v>
      </c>
      <c r="N684" s="426" t="s">
        <v>2380</v>
      </c>
      <c r="O684" s="393" t="s">
        <v>262</v>
      </c>
      <c r="P684" s="416" t="s">
        <v>1413</v>
      </c>
      <c r="Q684" s="340" t="s">
        <v>2433</v>
      </c>
      <c r="R684" s="338">
        <v>1</v>
      </c>
      <c r="S684" s="408" t="s">
        <v>1413</v>
      </c>
      <c r="T684" s="399" t="s">
        <v>1531</v>
      </c>
      <c r="U684" s="399" t="s">
        <v>1531</v>
      </c>
    </row>
    <row r="685" spans="1:21" ht="15">
      <c r="A685" s="403" t="s">
        <v>1531</v>
      </c>
      <c r="B685" s="404" t="s">
        <v>1413</v>
      </c>
      <c r="C685" s="398" t="s">
        <v>1531</v>
      </c>
      <c r="D685" s="404" t="s">
        <v>1413</v>
      </c>
      <c r="E685" s="394">
        <v>49</v>
      </c>
      <c r="F685" s="405" t="s">
        <v>520</v>
      </c>
      <c r="G685" s="398" t="s">
        <v>1531</v>
      </c>
      <c r="H685" s="404" t="s">
        <v>1413</v>
      </c>
      <c r="I685" s="404" t="s">
        <v>1413</v>
      </c>
      <c r="J685" s="404" t="s">
        <v>1413</v>
      </c>
      <c r="K685" s="405">
        <v>1</v>
      </c>
      <c r="L685" s="411" t="s">
        <v>1531</v>
      </c>
      <c r="M685" s="406" t="s">
        <v>1531</v>
      </c>
      <c r="N685" s="425" t="s">
        <v>2401</v>
      </c>
      <c r="O685" s="391" t="s">
        <v>1602</v>
      </c>
      <c r="P685" s="414" t="s">
        <v>1413</v>
      </c>
      <c r="Q685" s="340" t="s">
        <v>2433</v>
      </c>
      <c r="R685" s="338">
        <v>1</v>
      </c>
      <c r="S685" s="404" t="s">
        <v>1413</v>
      </c>
      <c r="T685" s="398" t="s">
        <v>1531</v>
      </c>
      <c r="U685" s="398" t="s">
        <v>1531</v>
      </c>
    </row>
    <row r="686" spans="1:21" ht="15">
      <c r="A686" s="403" t="s">
        <v>1531</v>
      </c>
      <c r="B686" s="404" t="s">
        <v>1413</v>
      </c>
      <c r="C686" s="398" t="s">
        <v>1531</v>
      </c>
      <c r="D686" s="404" t="s">
        <v>1413</v>
      </c>
      <c r="E686" s="394">
        <v>49</v>
      </c>
      <c r="F686" s="405" t="s">
        <v>520</v>
      </c>
      <c r="G686" s="398" t="s">
        <v>1531</v>
      </c>
      <c r="H686" s="404" t="s">
        <v>1413</v>
      </c>
      <c r="I686" s="404" t="s">
        <v>1413</v>
      </c>
      <c r="J686" s="404" t="s">
        <v>1413</v>
      </c>
      <c r="K686" s="405">
        <v>1</v>
      </c>
      <c r="L686" s="411" t="s">
        <v>1531</v>
      </c>
      <c r="M686" s="406" t="s">
        <v>1531</v>
      </c>
      <c r="N686" s="425" t="s">
        <v>2402</v>
      </c>
      <c r="O686" s="391" t="s">
        <v>1603</v>
      </c>
      <c r="P686" s="414" t="s">
        <v>1413</v>
      </c>
      <c r="Q686" s="340" t="s">
        <v>2433</v>
      </c>
      <c r="R686" s="338">
        <v>1047786</v>
      </c>
      <c r="S686" s="404" t="s">
        <v>1413</v>
      </c>
      <c r="T686" s="398" t="s">
        <v>1531</v>
      </c>
      <c r="U686" s="398" t="s">
        <v>1531</v>
      </c>
    </row>
    <row r="687" spans="1:21" ht="15.6" thickBot="1">
      <c r="A687" s="407" t="s">
        <v>1531</v>
      </c>
      <c r="B687" s="408" t="s">
        <v>1413</v>
      </c>
      <c r="C687" s="399" t="s">
        <v>1531</v>
      </c>
      <c r="D687" s="408" t="s">
        <v>1413</v>
      </c>
      <c r="E687" s="396">
        <v>49</v>
      </c>
      <c r="F687" s="409" t="s">
        <v>520</v>
      </c>
      <c r="G687" s="399" t="s">
        <v>1531</v>
      </c>
      <c r="H687" s="408" t="s">
        <v>1413</v>
      </c>
      <c r="I687" s="408" t="s">
        <v>1413</v>
      </c>
      <c r="J687" s="408" t="s">
        <v>1413</v>
      </c>
      <c r="K687" s="409">
        <v>1</v>
      </c>
      <c r="L687" s="413" t="s">
        <v>1531</v>
      </c>
      <c r="M687" s="410" t="s">
        <v>1531</v>
      </c>
      <c r="N687" s="426" t="s">
        <v>2403</v>
      </c>
      <c r="O687" s="393" t="s">
        <v>1604</v>
      </c>
      <c r="P687" s="416" t="s">
        <v>1413</v>
      </c>
      <c r="Q687" s="340" t="s">
        <v>2434</v>
      </c>
      <c r="R687" s="338">
        <v>1</v>
      </c>
      <c r="S687" s="408" t="s">
        <v>1413</v>
      </c>
      <c r="T687" s="399" t="s">
        <v>1531</v>
      </c>
      <c r="U687" s="399" t="s">
        <v>1531</v>
      </c>
    </row>
    <row r="688" spans="1:21" ht="15">
      <c r="A688" s="403" t="s">
        <v>1531</v>
      </c>
      <c r="B688" s="404" t="s">
        <v>1413</v>
      </c>
      <c r="C688" s="398" t="s">
        <v>1531</v>
      </c>
      <c r="D688" s="404" t="s">
        <v>1413</v>
      </c>
      <c r="E688" s="394">
        <v>8.0000000000000004E-4</v>
      </c>
      <c r="F688" s="405" t="s">
        <v>520</v>
      </c>
      <c r="G688" s="398" t="s">
        <v>1531</v>
      </c>
      <c r="H688" s="404" t="s">
        <v>1413</v>
      </c>
      <c r="I688" s="404" t="s">
        <v>1413</v>
      </c>
      <c r="J688" s="404" t="s">
        <v>1413</v>
      </c>
      <c r="K688" s="405">
        <v>1</v>
      </c>
      <c r="L688" s="411" t="s">
        <v>1531</v>
      </c>
      <c r="M688" s="406" t="s">
        <v>1531</v>
      </c>
      <c r="N688" s="425" t="s">
        <v>2289</v>
      </c>
      <c r="O688" s="391" t="s">
        <v>2287</v>
      </c>
      <c r="P688" s="414" t="s">
        <v>1413</v>
      </c>
      <c r="Q688" s="340" t="s">
        <v>2434</v>
      </c>
      <c r="R688" s="338">
        <v>1</v>
      </c>
      <c r="S688" s="404" t="s">
        <v>1413</v>
      </c>
      <c r="T688" s="398" t="s">
        <v>1531</v>
      </c>
      <c r="U688" s="398" t="s">
        <v>1531</v>
      </c>
    </row>
    <row r="689" spans="1:21" ht="13.5" customHeight="1">
      <c r="A689" s="403" t="s">
        <v>1531</v>
      </c>
      <c r="B689" s="404" t="s">
        <v>1413</v>
      </c>
      <c r="C689" s="398" t="s">
        <v>1531</v>
      </c>
      <c r="D689" s="404" t="s">
        <v>1413</v>
      </c>
      <c r="E689" s="394">
        <v>8.0000000000000004E-4</v>
      </c>
      <c r="F689" s="405" t="s">
        <v>520</v>
      </c>
      <c r="G689" s="398" t="s">
        <v>1531</v>
      </c>
      <c r="H689" s="404" t="s">
        <v>1413</v>
      </c>
      <c r="I689" s="404" t="s">
        <v>1413</v>
      </c>
      <c r="J689" s="404" t="s">
        <v>1413</v>
      </c>
      <c r="K689" s="405">
        <v>1</v>
      </c>
      <c r="L689" s="411" t="s">
        <v>1531</v>
      </c>
      <c r="M689" s="406" t="s">
        <v>1531</v>
      </c>
      <c r="N689" s="425" t="s">
        <v>2290</v>
      </c>
      <c r="O689" s="391" t="s">
        <v>2288</v>
      </c>
      <c r="P689" s="414" t="s">
        <v>1413</v>
      </c>
      <c r="Q689" s="340" t="s">
        <v>2434</v>
      </c>
      <c r="R689" s="338">
        <v>1</v>
      </c>
      <c r="S689" s="404" t="s">
        <v>1413</v>
      </c>
      <c r="T689" s="398" t="s">
        <v>1531</v>
      </c>
      <c r="U689" s="398" t="s">
        <v>1531</v>
      </c>
    </row>
    <row r="690" spans="1:21" ht="15.6" thickBot="1">
      <c r="A690" s="412">
        <v>2.4E-2</v>
      </c>
      <c r="B690" s="409" t="s">
        <v>406</v>
      </c>
      <c r="C690" s="399" t="s">
        <v>1531</v>
      </c>
      <c r="D690" s="408" t="s">
        <v>1413</v>
      </c>
      <c r="E690" s="396">
        <v>0.03</v>
      </c>
      <c r="F690" s="409" t="s">
        <v>1412</v>
      </c>
      <c r="G690" s="399" t="s">
        <v>1531</v>
      </c>
      <c r="H690" s="408" t="s">
        <v>1413</v>
      </c>
      <c r="I690" s="408" t="s">
        <v>1413</v>
      </c>
      <c r="J690" s="408" t="s">
        <v>1413</v>
      </c>
      <c r="K690" s="409">
        <v>1</v>
      </c>
      <c r="L690" s="409">
        <v>0.1</v>
      </c>
      <c r="M690" s="410" t="s">
        <v>1531</v>
      </c>
      <c r="N690" s="426" t="s">
        <v>1336</v>
      </c>
      <c r="O690" s="393" t="s">
        <v>263</v>
      </c>
      <c r="P690" s="416" t="s">
        <v>1413</v>
      </c>
      <c r="Q690" s="340" t="s">
        <v>2433</v>
      </c>
      <c r="R690" s="338">
        <v>1</v>
      </c>
      <c r="S690" s="408" t="s">
        <v>1413</v>
      </c>
      <c r="T690" s="399" t="s">
        <v>1531</v>
      </c>
      <c r="U690" s="399" t="s">
        <v>1531</v>
      </c>
    </row>
    <row r="691" spans="1:21" ht="15">
      <c r="A691" s="403" t="s">
        <v>1531</v>
      </c>
      <c r="B691" s="404" t="s">
        <v>1413</v>
      </c>
      <c r="C691" s="398" t="s">
        <v>1531</v>
      </c>
      <c r="D691" s="404" t="s">
        <v>1413</v>
      </c>
      <c r="E691" s="394">
        <v>0.6</v>
      </c>
      <c r="F691" s="405" t="s">
        <v>1412</v>
      </c>
      <c r="G691" s="398" t="s">
        <v>1531</v>
      </c>
      <c r="H691" s="404" t="s">
        <v>1413</v>
      </c>
      <c r="I691" s="404" t="s">
        <v>1413</v>
      </c>
      <c r="J691" s="404" t="s">
        <v>1413</v>
      </c>
      <c r="K691" s="405">
        <v>1</v>
      </c>
      <c r="L691" s="411" t="s">
        <v>1531</v>
      </c>
      <c r="M691" s="406" t="s">
        <v>1531</v>
      </c>
      <c r="N691" s="425" t="s">
        <v>1337</v>
      </c>
      <c r="O691" s="391" t="s">
        <v>264</v>
      </c>
      <c r="P691" s="414" t="s">
        <v>1413</v>
      </c>
      <c r="Q691" s="340" t="s">
        <v>2433</v>
      </c>
      <c r="R691" s="338">
        <v>1</v>
      </c>
      <c r="S691" s="404" t="s">
        <v>1413</v>
      </c>
      <c r="T691" s="398" t="s">
        <v>1531</v>
      </c>
      <c r="U691" s="398" t="s">
        <v>1531</v>
      </c>
    </row>
    <row r="692" spans="1:21" ht="15">
      <c r="A692" s="403" t="s">
        <v>1531</v>
      </c>
      <c r="B692" s="404" t="s">
        <v>1413</v>
      </c>
      <c r="C692" s="398" t="s">
        <v>1531</v>
      </c>
      <c r="D692" s="404" t="s">
        <v>1413</v>
      </c>
      <c r="E692" s="394">
        <v>2.9999999999999997E-4</v>
      </c>
      <c r="F692" s="405" t="s">
        <v>1412</v>
      </c>
      <c r="G692" s="398" t="s">
        <v>1531</v>
      </c>
      <c r="H692" s="404" t="s">
        <v>1413</v>
      </c>
      <c r="I692" s="404" t="s">
        <v>1413</v>
      </c>
      <c r="J692" s="404" t="s">
        <v>1413</v>
      </c>
      <c r="K692" s="405">
        <v>1</v>
      </c>
      <c r="L692" s="405">
        <v>0.1</v>
      </c>
      <c r="M692" s="406" t="s">
        <v>1531</v>
      </c>
      <c r="N692" s="425" t="s">
        <v>1338</v>
      </c>
      <c r="O692" s="391" t="s">
        <v>265</v>
      </c>
      <c r="P692" s="414" t="s">
        <v>1413</v>
      </c>
      <c r="Q692" s="340" t="s">
        <v>2433</v>
      </c>
      <c r="R692" s="338">
        <v>1</v>
      </c>
      <c r="S692" s="404" t="s">
        <v>1413</v>
      </c>
      <c r="T692" s="398" t="s">
        <v>1531</v>
      </c>
      <c r="U692" s="398" t="s">
        <v>1531</v>
      </c>
    </row>
    <row r="693" spans="1:21" ht="15.6" thickBot="1">
      <c r="A693" s="407" t="s">
        <v>1531</v>
      </c>
      <c r="B693" s="408" t="s">
        <v>1413</v>
      </c>
      <c r="C693" s="399" t="s">
        <v>1531</v>
      </c>
      <c r="D693" s="408" t="s">
        <v>1413</v>
      </c>
      <c r="E693" s="396">
        <v>0.2</v>
      </c>
      <c r="F693" s="409" t="s">
        <v>1412</v>
      </c>
      <c r="G693" s="396">
        <v>1</v>
      </c>
      <c r="H693" s="409" t="s">
        <v>1412</v>
      </c>
      <c r="I693" s="409" t="s">
        <v>969</v>
      </c>
      <c r="J693" s="408" t="s">
        <v>1413</v>
      </c>
      <c r="K693" s="409">
        <v>1</v>
      </c>
      <c r="L693" s="413" t="s">
        <v>1531</v>
      </c>
      <c r="M693" s="397">
        <v>867</v>
      </c>
      <c r="N693" s="426" t="s">
        <v>396</v>
      </c>
      <c r="O693" s="393" t="s">
        <v>266</v>
      </c>
      <c r="P693" s="415">
        <v>100</v>
      </c>
      <c r="Q693" s="340" t="s">
        <v>2433</v>
      </c>
      <c r="R693" s="338">
        <v>1</v>
      </c>
      <c r="S693" s="408" t="s">
        <v>1413</v>
      </c>
      <c r="T693" s="399" t="s">
        <v>1531</v>
      </c>
      <c r="U693" s="396">
        <v>1</v>
      </c>
    </row>
    <row r="694" spans="1:21" ht="15">
      <c r="A694" s="403" t="s">
        <v>1531</v>
      </c>
      <c r="B694" s="404" t="s">
        <v>1413</v>
      </c>
      <c r="C694" s="398" t="s">
        <v>1531</v>
      </c>
      <c r="D694" s="404" t="s">
        <v>1413</v>
      </c>
      <c r="E694" s="394">
        <v>3.0000000000000001E-3</v>
      </c>
      <c r="F694" s="405" t="s">
        <v>520</v>
      </c>
      <c r="G694" s="398" t="s">
        <v>1531</v>
      </c>
      <c r="H694" s="404" t="s">
        <v>1413</v>
      </c>
      <c r="I694" s="404" t="s">
        <v>1413</v>
      </c>
      <c r="J694" s="404" t="s">
        <v>1413</v>
      </c>
      <c r="K694" s="405">
        <v>1</v>
      </c>
      <c r="L694" s="405">
        <v>0.1</v>
      </c>
      <c r="M694" s="406" t="s">
        <v>1531</v>
      </c>
      <c r="N694" s="425" t="s">
        <v>2129</v>
      </c>
      <c r="O694" s="391" t="s">
        <v>1413</v>
      </c>
      <c r="P694" s="414" t="s">
        <v>1413</v>
      </c>
      <c r="Q694" s="340" t="s">
        <v>2433</v>
      </c>
      <c r="R694" s="338">
        <v>1</v>
      </c>
      <c r="S694" s="404" t="s">
        <v>1413</v>
      </c>
      <c r="T694" s="398" t="s">
        <v>1531</v>
      </c>
      <c r="U694" s="398" t="s">
        <v>1531</v>
      </c>
    </row>
    <row r="695" spans="1:21" ht="15">
      <c r="A695" s="403" t="s">
        <v>1531</v>
      </c>
      <c r="B695" s="404" t="s">
        <v>1413</v>
      </c>
      <c r="C695" s="398" t="s">
        <v>1531</v>
      </c>
      <c r="D695" s="404" t="s">
        <v>1413</v>
      </c>
      <c r="E695" s="394">
        <v>1E-3</v>
      </c>
      <c r="F695" s="405" t="s">
        <v>520</v>
      </c>
      <c r="G695" s="394">
        <v>2E-3</v>
      </c>
      <c r="H695" s="405" t="s">
        <v>961</v>
      </c>
      <c r="I695" s="404" t="s">
        <v>1413</v>
      </c>
      <c r="J695" s="404" t="s">
        <v>1413</v>
      </c>
      <c r="K695" s="405">
        <v>1</v>
      </c>
      <c r="L695" s="405">
        <v>0.1</v>
      </c>
      <c r="M695" s="406" t="s">
        <v>1531</v>
      </c>
      <c r="N695" s="425" t="s">
        <v>1834</v>
      </c>
      <c r="O695" s="391" t="s">
        <v>1835</v>
      </c>
      <c r="P695" s="414" t="s">
        <v>1413</v>
      </c>
      <c r="Q695" s="340" t="s">
        <v>2433</v>
      </c>
      <c r="R695" s="338">
        <v>1</v>
      </c>
      <c r="S695" s="404" t="s">
        <v>1413</v>
      </c>
      <c r="T695" s="398" t="s">
        <v>1531</v>
      </c>
      <c r="U695" s="394">
        <v>2E-3</v>
      </c>
    </row>
    <row r="696" spans="1:21" ht="15.6" thickBot="1">
      <c r="A696" s="407" t="s">
        <v>1531</v>
      </c>
      <c r="B696" s="408" t="s">
        <v>1413</v>
      </c>
      <c r="C696" s="399" t="s">
        <v>1531</v>
      </c>
      <c r="D696" s="408" t="s">
        <v>1413</v>
      </c>
      <c r="E696" s="396">
        <v>8.0000000000000004E-4</v>
      </c>
      <c r="F696" s="409" t="s">
        <v>520</v>
      </c>
      <c r="G696" s="399" t="s">
        <v>1531</v>
      </c>
      <c r="H696" s="408" t="s">
        <v>1413</v>
      </c>
      <c r="I696" s="408" t="s">
        <v>1413</v>
      </c>
      <c r="J696" s="408" t="s">
        <v>1413</v>
      </c>
      <c r="K696" s="409">
        <v>1</v>
      </c>
      <c r="L696" s="409">
        <v>0.1</v>
      </c>
      <c r="M696" s="410" t="s">
        <v>1531</v>
      </c>
      <c r="N696" s="426" t="s">
        <v>542</v>
      </c>
      <c r="O696" s="393" t="s">
        <v>267</v>
      </c>
      <c r="P696" s="416" t="s">
        <v>1413</v>
      </c>
      <c r="Q696" s="340" t="s">
        <v>2433</v>
      </c>
      <c r="R696" s="338">
        <v>1</v>
      </c>
      <c r="S696" s="408" t="s">
        <v>1413</v>
      </c>
      <c r="T696" s="399" t="s">
        <v>1531</v>
      </c>
      <c r="U696" s="399" t="s">
        <v>1531</v>
      </c>
    </row>
    <row r="697" spans="1:21" ht="15">
      <c r="A697" s="403" t="s">
        <v>1531</v>
      </c>
      <c r="B697" s="404" t="s">
        <v>1413</v>
      </c>
      <c r="C697" s="398" t="s">
        <v>1531</v>
      </c>
      <c r="D697" s="404" t="s">
        <v>1413</v>
      </c>
      <c r="E697" s="398" t="s">
        <v>1531</v>
      </c>
      <c r="F697" s="404" t="s">
        <v>1413</v>
      </c>
      <c r="G697" s="394">
        <v>1E-3</v>
      </c>
      <c r="H697" s="405" t="s">
        <v>521</v>
      </c>
      <c r="I697" s="405" t="s">
        <v>969</v>
      </c>
      <c r="J697" s="404" t="s">
        <v>1413</v>
      </c>
      <c r="K697" s="405">
        <v>1</v>
      </c>
      <c r="L697" s="411" t="s">
        <v>1531</v>
      </c>
      <c r="M697" s="406" t="s">
        <v>1531</v>
      </c>
      <c r="N697" s="425" t="s">
        <v>2130</v>
      </c>
      <c r="O697" s="391" t="s">
        <v>2271</v>
      </c>
      <c r="P697" s="414" t="s">
        <v>1413</v>
      </c>
      <c r="Q697" s="340" t="s">
        <v>2433</v>
      </c>
      <c r="R697" s="338">
        <v>1</v>
      </c>
      <c r="S697" s="404" t="s">
        <v>1413</v>
      </c>
      <c r="T697" s="398" t="s">
        <v>1531</v>
      </c>
      <c r="U697" s="394">
        <v>1E-3</v>
      </c>
    </row>
    <row r="698" spans="1:21" ht="15">
      <c r="A698" s="403" t="s">
        <v>1531</v>
      </c>
      <c r="B698" s="404" t="s">
        <v>1413</v>
      </c>
      <c r="C698" s="398" t="s">
        <v>1531</v>
      </c>
      <c r="D698" s="404" t="s">
        <v>1413</v>
      </c>
      <c r="E698" s="398" t="s">
        <v>1531</v>
      </c>
      <c r="F698" s="404" t="s">
        <v>1413</v>
      </c>
      <c r="G698" s="394">
        <v>1E-3</v>
      </c>
      <c r="H698" s="405" t="s">
        <v>521</v>
      </c>
      <c r="I698" s="404" t="s">
        <v>1413</v>
      </c>
      <c r="J698" s="404" t="s">
        <v>1413</v>
      </c>
      <c r="K698" s="405">
        <v>1</v>
      </c>
      <c r="L698" s="411" t="s">
        <v>1531</v>
      </c>
      <c r="M698" s="406" t="s">
        <v>1531</v>
      </c>
      <c r="N698" s="425" t="s">
        <v>618</v>
      </c>
      <c r="O698" s="391" t="s">
        <v>268</v>
      </c>
      <c r="P698" s="414" t="s">
        <v>1413</v>
      </c>
      <c r="Q698" s="340" t="s">
        <v>2434</v>
      </c>
      <c r="R698" s="338">
        <v>1</v>
      </c>
      <c r="S698" s="404" t="s">
        <v>1413</v>
      </c>
      <c r="T698" s="398" t="s">
        <v>1531</v>
      </c>
      <c r="U698" s="394">
        <v>1E-3</v>
      </c>
    </row>
    <row r="699" spans="1:21" ht="30.6" thickBot="1">
      <c r="A699" s="412">
        <v>2.5000000000000001E-2</v>
      </c>
      <c r="B699" s="409" t="s">
        <v>1412</v>
      </c>
      <c r="C699" s="396">
        <v>7.0999999999999998E-6</v>
      </c>
      <c r="D699" s="409" t="s">
        <v>1412</v>
      </c>
      <c r="E699" s="396">
        <v>0.05</v>
      </c>
      <c r="F699" s="409" t="s">
        <v>406</v>
      </c>
      <c r="G699" s="399" t="s">
        <v>1531</v>
      </c>
      <c r="H699" s="408" t="s">
        <v>1413</v>
      </c>
      <c r="I699" s="408" t="s">
        <v>1413</v>
      </c>
      <c r="J699" s="408" t="s">
        <v>1413</v>
      </c>
      <c r="K699" s="409">
        <v>1</v>
      </c>
      <c r="L699" s="409">
        <v>0.1</v>
      </c>
      <c r="M699" s="410" t="s">
        <v>1531</v>
      </c>
      <c r="N699" s="426" t="s">
        <v>2319</v>
      </c>
      <c r="O699" s="393" t="s">
        <v>669</v>
      </c>
      <c r="P699" s="416" t="s">
        <v>1413</v>
      </c>
      <c r="Q699" s="340" t="s">
        <v>2434</v>
      </c>
      <c r="R699" s="338">
        <v>1</v>
      </c>
      <c r="S699" s="408" t="s">
        <v>1413</v>
      </c>
      <c r="T699" s="396">
        <v>7.0999999999999998E-6</v>
      </c>
      <c r="U699" s="399" t="s">
        <v>1531</v>
      </c>
    </row>
    <row r="700" spans="1:21" ht="15">
      <c r="A700" s="427">
        <v>130000</v>
      </c>
      <c r="B700" s="405" t="s">
        <v>521</v>
      </c>
      <c r="C700" s="394">
        <v>38</v>
      </c>
      <c r="D700" s="405" t="s">
        <v>521</v>
      </c>
      <c r="E700" s="394">
        <v>6.9999999999999996E-10</v>
      </c>
      <c r="F700" s="405" t="s">
        <v>1412</v>
      </c>
      <c r="G700" s="394">
        <v>4.0000000000000001E-8</v>
      </c>
      <c r="H700" s="405" t="s">
        <v>521</v>
      </c>
      <c r="I700" s="405" t="s">
        <v>969</v>
      </c>
      <c r="J700" s="404" t="s">
        <v>1413</v>
      </c>
      <c r="K700" s="405">
        <v>1</v>
      </c>
      <c r="L700" s="405">
        <v>0.03</v>
      </c>
      <c r="M700" s="406" t="s">
        <v>1531</v>
      </c>
      <c r="N700" s="425" t="s">
        <v>2250</v>
      </c>
      <c r="O700" s="391" t="s">
        <v>891</v>
      </c>
      <c r="P700" s="429">
        <v>3.0000000000000001E-5</v>
      </c>
      <c r="Q700" s="340" t="s">
        <v>2433</v>
      </c>
      <c r="R700" s="338">
        <v>1</v>
      </c>
      <c r="S700" s="404" t="s">
        <v>1413</v>
      </c>
      <c r="T700" s="394">
        <v>38</v>
      </c>
      <c r="U700" s="394">
        <v>4.0000000000000001E-8</v>
      </c>
    </row>
    <row r="701" spans="1:21" ht="15">
      <c r="A701" s="403" t="s">
        <v>1531</v>
      </c>
      <c r="B701" s="404" t="s">
        <v>1413</v>
      </c>
      <c r="C701" s="398" t="s">
        <v>1531</v>
      </c>
      <c r="D701" s="404" t="s">
        <v>1413</v>
      </c>
      <c r="E701" s="394">
        <v>0.03</v>
      </c>
      <c r="F701" s="405" t="s">
        <v>406</v>
      </c>
      <c r="G701" s="398" t="s">
        <v>1531</v>
      </c>
      <c r="H701" s="404" t="s">
        <v>1413</v>
      </c>
      <c r="I701" s="404" t="s">
        <v>1413</v>
      </c>
      <c r="J701" s="404" t="s">
        <v>1413</v>
      </c>
      <c r="K701" s="405">
        <v>1</v>
      </c>
      <c r="L701" s="405">
        <v>0.1</v>
      </c>
      <c r="M701" s="406" t="s">
        <v>1531</v>
      </c>
      <c r="N701" s="425" t="s">
        <v>1339</v>
      </c>
      <c r="O701" s="391" t="s">
        <v>270</v>
      </c>
      <c r="P701" s="414" t="s">
        <v>1413</v>
      </c>
      <c r="Q701" s="340" t="s">
        <v>2434</v>
      </c>
      <c r="R701" s="338">
        <v>1</v>
      </c>
      <c r="S701" s="404" t="s">
        <v>1413</v>
      </c>
      <c r="T701" s="398" t="s">
        <v>1531</v>
      </c>
      <c r="U701" s="398" t="s">
        <v>1531</v>
      </c>
    </row>
    <row r="702" spans="1:21" ht="15.6" thickBot="1">
      <c r="A702" s="407" t="s">
        <v>1531</v>
      </c>
      <c r="B702" s="408" t="s">
        <v>1413</v>
      </c>
      <c r="C702" s="399" t="s">
        <v>1531</v>
      </c>
      <c r="D702" s="408" t="s">
        <v>1413</v>
      </c>
      <c r="E702" s="396">
        <v>7.0000000000000007E-2</v>
      </c>
      <c r="F702" s="409" t="s">
        <v>1412</v>
      </c>
      <c r="G702" s="399" t="s">
        <v>1531</v>
      </c>
      <c r="H702" s="408" t="s">
        <v>1413</v>
      </c>
      <c r="I702" s="408" t="s">
        <v>1413</v>
      </c>
      <c r="J702" s="408" t="s">
        <v>1413</v>
      </c>
      <c r="K702" s="409">
        <v>1</v>
      </c>
      <c r="L702" s="409">
        <v>0.1</v>
      </c>
      <c r="M702" s="410" t="s">
        <v>1531</v>
      </c>
      <c r="N702" s="426" t="s">
        <v>1340</v>
      </c>
      <c r="O702" s="393" t="s">
        <v>271</v>
      </c>
      <c r="P702" s="416" t="s">
        <v>1413</v>
      </c>
      <c r="Q702" s="340" t="s">
        <v>2433</v>
      </c>
      <c r="R702" s="338">
        <v>1</v>
      </c>
      <c r="S702" s="408" t="s">
        <v>1413</v>
      </c>
      <c r="T702" s="399" t="s">
        <v>1531</v>
      </c>
      <c r="U702" s="399" t="s">
        <v>1531</v>
      </c>
    </row>
    <row r="703" spans="1:21" ht="15">
      <c r="A703" s="403" t="s">
        <v>1531</v>
      </c>
      <c r="B703" s="404" t="s">
        <v>1413</v>
      </c>
      <c r="C703" s="398" t="s">
        <v>1531</v>
      </c>
      <c r="D703" s="404" t="s">
        <v>1413</v>
      </c>
      <c r="E703" s="394">
        <v>0.02</v>
      </c>
      <c r="F703" s="405" t="s">
        <v>406</v>
      </c>
      <c r="G703" s="398" t="s">
        <v>1531</v>
      </c>
      <c r="H703" s="404" t="s">
        <v>1413</v>
      </c>
      <c r="I703" s="404" t="s">
        <v>1413</v>
      </c>
      <c r="J703" s="404" t="s">
        <v>1413</v>
      </c>
      <c r="K703" s="405">
        <v>1</v>
      </c>
      <c r="L703" s="405">
        <v>0.1</v>
      </c>
      <c r="M703" s="406" t="s">
        <v>1531</v>
      </c>
      <c r="N703" s="425" t="s">
        <v>1341</v>
      </c>
      <c r="O703" s="391" t="s">
        <v>272</v>
      </c>
      <c r="P703" s="414" t="s">
        <v>1413</v>
      </c>
      <c r="Q703" s="340" t="s">
        <v>2433</v>
      </c>
      <c r="R703" s="338">
        <v>1</v>
      </c>
      <c r="S703" s="404" t="s">
        <v>1413</v>
      </c>
      <c r="T703" s="398" t="s">
        <v>1531</v>
      </c>
      <c r="U703" s="398" t="s">
        <v>1531</v>
      </c>
    </row>
    <row r="704" spans="1:21" ht="15">
      <c r="A704" s="403" t="s">
        <v>1531</v>
      </c>
      <c r="B704" s="404" t="s">
        <v>1413</v>
      </c>
      <c r="C704" s="398" t="s">
        <v>1531</v>
      </c>
      <c r="D704" s="404" t="s">
        <v>1413</v>
      </c>
      <c r="E704" s="394">
        <v>1.2999999999999999E-2</v>
      </c>
      <c r="F704" s="405" t="s">
        <v>1412</v>
      </c>
      <c r="G704" s="398" t="s">
        <v>1531</v>
      </c>
      <c r="H704" s="404" t="s">
        <v>1413</v>
      </c>
      <c r="I704" s="404" t="s">
        <v>1413</v>
      </c>
      <c r="J704" s="404" t="s">
        <v>1413</v>
      </c>
      <c r="K704" s="405">
        <v>1</v>
      </c>
      <c r="L704" s="405">
        <v>0.1</v>
      </c>
      <c r="M704" s="406" t="s">
        <v>1531</v>
      </c>
      <c r="N704" s="425" t="s">
        <v>1342</v>
      </c>
      <c r="O704" s="391" t="s">
        <v>273</v>
      </c>
      <c r="P704" s="414" t="s">
        <v>1413</v>
      </c>
      <c r="Q704" s="340" t="s">
        <v>2433</v>
      </c>
      <c r="R704" s="338">
        <v>1</v>
      </c>
      <c r="S704" s="404" t="s">
        <v>1413</v>
      </c>
      <c r="T704" s="398" t="s">
        <v>1531</v>
      </c>
      <c r="U704" s="398" t="s">
        <v>1531</v>
      </c>
    </row>
    <row r="705" spans="1:21" ht="15.6" thickBot="1">
      <c r="A705" s="407" t="s">
        <v>1531</v>
      </c>
      <c r="B705" s="408" t="s">
        <v>1413</v>
      </c>
      <c r="C705" s="399" t="s">
        <v>1531</v>
      </c>
      <c r="D705" s="408" t="s">
        <v>1413</v>
      </c>
      <c r="E705" s="396">
        <v>2.5000000000000001E-5</v>
      </c>
      <c r="F705" s="409" t="s">
        <v>406</v>
      </c>
      <c r="G705" s="399" t="s">
        <v>1531</v>
      </c>
      <c r="H705" s="408" t="s">
        <v>1413</v>
      </c>
      <c r="I705" s="409" t="s">
        <v>969</v>
      </c>
      <c r="J705" s="408" t="s">
        <v>1413</v>
      </c>
      <c r="K705" s="409">
        <v>1</v>
      </c>
      <c r="L705" s="413" t="s">
        <v>1531</v>
      </c>
      <c r="M705" s="397">
        <v>30.9</v>
      </c>
      <c r="N705" s="426" t="s">
        <v>1343</v>
      </c>
      <c r="O705" s="393" t="s">
        <v>274</v>
      </c>
      <c r="P705" s="416" t="s">
        <v>1413</v>
      </c>
      <c r="Q705" s="340" t="s">
        <v>2434</v>
      </c>
      <c r="R705" s="338">
        <v>1</v>
      </c>
      <c r="S705" s="408" t="s">
        <v>1413</v>
      </c>
      <c r="T705" s="399" t="s">
        <v>1531</v>
      </c>
      <c r="U705" s="399" t="s">
        <v>1531</v>
      </c>
    </row>
    <row r="706" spans="1:21" ht="15">
      <c r="A706" s="403" t="s">
        <v>1531</v>
      </c>
      <c r="B706" s="404" t="s">
        <v>1413</v>
      </c>
      <c r="C706" s="398" t="s">
        <v>1531</v>
      </c>
      <c r="D706" s="404" t="s">
        <v>1413</v>
      </c>
      <c r="E706" s="394">
        <v>1E-3</v>
      </c>
      <c r="F706" s="405" t="s">
        <v>1412</v>
      </c>
      <c r="G706" s="398" t="s">
        <v>1531</v>
      </c>
      <c r="H706" s="404" t="s">
        <v>1413</v>
      </c>
      <c r="I706" s="404" t="s">
        <v>1413</v>
      </c>
      <c r="J706" s="404" t="s">
        <v>1413</v>
      </c>
      <c r="K706" s="405">
        <v>1</v>
      </c>
      <c r="L706" s="405">
        <v>0.1</v>
      </c>
      <c r="M706" s="406" t="s">
        <v>1531</v>
      </c>
      <c r="N706" s="425" t="s">
        <v>1344</v>
      </c>
      <c r="O706" s="391" t="s">
        <v>275</v>
      </c>
      <c r="P706" s="414" t="s">
        <v>1413</v>
      </c>
      <c r="Q706" s="340" t="s">
        <v>2433</v>
      </c>
      <c r="R706" s="338">
        <v>1</v>
      </c>
      <c r="S706" s="404" t="s">
        <v>1413</v>
      </c>
      <c r="T706" s="398" t="s">
        <v>1531</v>
      </c>
      <c r="U706" s="398" t="s">
        <v>1531</v>
      </c>
    </row>
    <row r="707" spans="1:21" ht="30">
      <c r="A707" s="403" t="s">
        <v>1531</v>
      </c>
      <c r="B707" s="404" t="s">
        <v>1413</v>
      </c>
      <c r="C707" s="398" t="s">
        <v>1531</v>
      </c>
      <c r="D707" s="404" t="s">
        <v>1413</v>
      </c>
      <c r="E707" s="394">
        <v>1E-4</v>
      </c>
      <c r="F707" s="405" t="s">
        <v>1412</v>
      </c>
      <c r="G707" s="398" t="s">
        <v>1531</v>
      </c>
      <c r="H707" s="404" t="s">
        <v>1413</v>
      </c>
      <c r="I707" s="404" t="s">
        <v>1413</v>
      </c>
      <c r="J707" s="404" t="s">
        <v>1413</v>
      </c>
      <c r="K707" s="405">
        <v>1</v>
      </c>
      <c r="L707" s="405">
        <v>0.1</v>
      </c>
      <c r="M707" s="406" t="s">
        <v>1531</v>
      </c>
      <c r="N707" s="425" t="s">
        <v>549</v>
      </c>
      <c r="O707" s="391" t="s">
        <v>276</v>
      </c>
      <c r="P707" s="414" t="s">
        <v>1413</v>
      </c>
      <c r="Q707" s="340" t="s">
        <v>2433</v>
      </c>
      <c r="R707" s="338">
        <v>1</v>
      </c>
      <c r="S707" s="404" t="s">
        <v>1413</v>
      </c>
      <c r="T707" s="398" t="s">
        <v>1531</v>
      </c>
      <c r="U707" s="398" t="s">
        <v>1531</v>
      </c>
    </row>
    <row r="708" spans="1:21" ht="15.6" thickBot="1">
      <c r="A708" s="407" t="s">
        <v>1531</v>
      </c>
      <c r="B708" s="408" t="s">
        <v>1413</v>
      </c>
      <c r="C708" s="399" t="s">
        <v>1531</v>
      </c>
      <c r="D708" s="408" t="s">
        <v>1413</v>
      </c>
      <c r="E708" s="396">
        <v>2.9999999999999997E-4</v>
      </c>
      <c r="F708" s="409" t="s">
        <v>1412</v>
      </c>
      <c r="G708" s="399" t="s">
        <v>1531</v>
      </c>
      <c r="H708" s="408" t="s">
        <v>1413</v>
      </c>
      <c r="I708" s="409" t="s">
        <v>969</v>
      </c>
      <c r="J708" s="408" t="s">
        <v>1413</v>
      </c>
      <c r="K708" s="409">
        <v>1</v>
      </c>
      <c r="L708" s="413" t="s">
        <v>1531</v>
      </c>
      <c r="M708" s="410" t="s">
        <v>1531</v>
      </c>
      <c r="N708" s="426" t="s">
        <v>1345</v>
      </c>
      <c r="O708" s="393" t="s">
        <v>277</v>
      </c>
      <c r="P708" s="416" t="s">
        <v>1413</v>
      </c>
      <c r="Q708" s="340" t="s">
        <v>2433</v>
      </c>
      <c r="R708" s="338">
        <v>1</v>
      </c>
      <c r="S708" s="408" t="s">
        <v>1413</v>
      </c>
      <c r="T708" s="399" t="s">
        <v>1531</v>
      </c>
      <c r="U708" s="399" t="s">
        <v>1531</v>
      </c>
    </row>
    <row r="709" spans="1:21" ht="15">
      <c r="A709" s="427">
        <v>13</v>
      </c>
      <c r="B709" s="405" t="s">
        <v>360</v>
      </c>
      <c r="C709" s="394">
        <v>3.8E-3</v>
      </c>
      <c r="D709" s="405" t="s">
        <v>360</v>
      </c>
      <c r="E709" s="394">
        <v>6.9999999999999999E-6</v>
      </c>
      <c r="F709" s="405" t="s">
        <v>360</v>
      </c>
      <c r="G709" s="394">
        <v>4.0000000000000002E-4</v>
      </c>
      <c r="H709" s="405" t="s">
        <v>360</v>
      </c>
      <c r="I709" s="404" t="s">
        <v>1413</v>
      </c>
      <c r="J709" s="404" t="s">
        <v>1413</v>
      </c>
      <c r="K709" s="405">
        <v>1</v>
      </c>
      <c r="L709" s="405">
        <v>0.14000000000000001</v>
      </c>
      <c r="M709" s="406" t="s">
        <v>1531</v>
      </c>
      <c r="N709" s="425" t="s">
        <v>2324</v>
      </c>
      <c r="O709" s="391" t="s">
        <v>198</v>
      </c>
      <c r="P709" s="414" t="s">
        <v>1413</v>
      </c>
      <c r="Q709" s="340" t="s">
        <v>2434</v>
      </c>
      <c r="R709" s="338">
        <v>1</v>
      </c>
      <c r="S709" s="404" t="s">
        <v>1413</v>
      </c>
      <c r="T709" s="394">
        <v>3.8E-3</v>
      </c>
      <c r="U709" s="394">
        <v>4.0000000000000002E-4</v>
      </c>
    </row>
    <row r="710" spans="1:21" ht="15">
      <c r="A710" s="427">
        <v>39</v>
      </c>
      <c r="B710" s="405" t="s">
        <v>360</v>
      </c>
      <c r="C710" s="394">
        <v>1.0999999999999999E-2</v>
      </c>
      <c r="D710" s="405" t="s">
        <v>360</v>
      </c>
      <c r="E710" s="394">
        <v>2.3E-6</v>
      </c>
      <c r="F710" s="405" t="s">
        <v>360</v>
      </c>
      <c r="G710" s="394">
        <v>1.2999999999999999E-4</v>
      </c>
      <c r="H710" s="405" t="s">
        <v>360</v>
      </c>
      <c r="I710" s="405" t="s">
        <v>969</v>
      </c>
      <c r="J710" s="404" t="s">
        <v>1413</v>
      </c>
      <c r="K710" s="405">
        <v>1</v>
      </c>
      <c r="L710" s="405">
        <v>0.14000000000000001</v>
      </c>
      <c r="M710" s="406" t="s">
        <v>1531</v>
      </c>
      <c r="N710" s="425" t="s">
        <v>2251</v>
      </c>
      <c r="O710" s="391" t="s">
        <v>199</v>
      </c>
      <c r="P710" s="414" t="s">
        <v>1413</v>
      </c>
      <c r="Q710" s="340" t="s">
        <v>2434</v>
      </c>
      <c r="R710" s="338">
        <v>1</v>
      </c>
      <c r="S710" s="404" t="s">
        <v>1413</v>
      </c>
      <c r="T710" s="394">
        <v>1.0999999999999999E-2</v>
      </c>
      <c r="U710" s="394">
        <v>1.2999999999999999E-4</v>
      </c>
    </row>
    <row r="711" spans="1:21" ht="15.6" thickBot="1">
      <c r="A711" s="412">
        <v>2.5999999999999999E-2</v>
      </c>
      <c r="B711" s="409" t="s">
        <v>1412</v>
      </c>
      <c r="C711" s="396">
        <v>7.4000000000000003E-6</v>
      </c>
      <c r="D711" s="409" t="s">
        <v>1412</v>
      </c>
      <c r="E711" s="396">
        <v>0.03</v>
      </c>
      <c r="F711" s="409" t="s">
        <v>1412</v>
      </c>
      <c r="G711" s="399" t="s">
        <v>1531</v>
      </c>
      <c r="H711" s="408" t="s">
        <v>1413</v>
      </c>
      <c r="I711" s="409" t="s">
        <v>969</v>
      </c>
      <c r="J711" s="408" t="s">
        <v>1413</v>
      </c>
      <c r="K711" s="409">
        <v>1</v>
      </c>
      <c r="L711" s="413" t="s">
        <v>1531</v>
      </c>
      <c r="M711" s="397">
        <v>680</v>
      </c>
      <c r="N711" s="426" t="s">
        <v>441</v>
      </c>
      <c r="O711" s="393" t="s">
        <v>278</v>
      </c>
      <c r="P711" s="416" t="s">
        <v>1413</v>
      </c>
      <c r="Q711" s="340" t="s">
        <v>2433</v>
      </c>
      <c r="R711" s="338">
        <v>1</v>
      </c>
      <c r="S711" s="408" t="s">
        <v>1413</v>
      </c>
      <c r="T711" s="396">
        <v>7.4000000000000003E-6</v>
      </c>
      <c r="U711" s="399" t="s">
        <v>1531</v>
      </c>
    </row>
    <row r="712" spans="1:21" ht="15">
      <c r="A712" s="427">
        <v>0.2</v>
      </c>
      <c r="B712" s="405" t="s">
        <v>1412</v>
      </c>
      <c r="C712" s="394">
        <v>5.8E-5</v>
      </c>
      <c r="D712" s="405" t="s">
        <v>521</v>
      </c>
      <c r="E712" s="394">
        <v>0.02</v>
      </c>
      <c r="F712" s="405" t="s">
        <v>1412</v>
      </c>
      <c r="G712" s="398" t="s">
        <v>1531</v>
      </c>
      <c r="H712" s="404" t="s">
        <v>1413</v>
      </c>
      <c r="I712" s="405" t="s">
        <v>969</v>
      </c>
      <c r="J712" s="404" t="s">
        <v>1413</v>
      </c>
      <c r="K712" s="405">
        <v>1</v>
      </c>
      <c r="L712" s="411" t="s">
        <v>1531</v>
      </c>
      <c r="M712" s="395">
        <v>1900</v>
      </c>
      <c r="N712" s="425" t="s">
        <v>443</v>
      </c>
      <c r="O712" s="391" t="s">
        <v>279</v>
      </c>
      <c r="P712" s="414" t="s">
        <v>1413</v>
      </c>
      <c r="Q712" s="340" t="s">
        <v>2433</v>
      </c>
      <c r="R712" s="338">
        <v>1</v>
      </c>
      <c r="S712" s="404" t="s">
        <v>1413</v>
      </c>
      <c r="T712" s="394">
        <v>5.8E-5</v>
      </c>
      <c r="U712" s="398" t="s">
        <v>1531</v>
      </c>
    </row>
    <row r="713" spans="1:21" ht="15">
      <c r="A713" s="427">
        <v>2.0999999999999999E-3</v>
      </c>
      <c r="B713" s="405" t="s">
        <v>1412</v>
      </c>
      <c r="C713" s="394">
        <v>2.6E-7</v>
      </c>
      <c r="D713" s="405" t="s">
        <v>1412</v>
      </c>
      <c r="E713" s="394">
        <v>6.0000000000000001E-3</v>
      </c>
      <c r="F713" s="405" t="s">
        <v>1412</v>
      </c>
      <c r="G713" s="394">
        <v>0.04</v>
      </c>
      <c r="H713" s="405" t="s">
        <v>1412</v>
      </c>
      <c r="I713" s="405" t="s">
        <v>969</v>
      </c>
      <c r="J713" s="404" t="s">
        <v>1413</v>
      </c>
      <c r="K713" s="405">
        <v>1</v>
      </c>
      <c r="L713" s="411" t="s">
        <v>1531</v>
      </c>
      <c r="M713" s="395">
        <v>166</v>
      </c>
      <c r="N713" s="425" t="s">
        <v>397</v>
      </c>
      <c r="O713" s="391" t="s">
        <v>280</v>
      </c>
      <c r="P713" s="429">
        <v>5</v>
      </c>
      <c r="Q713" s="340" t="s">
        <v>2433</v>
      </c>
      <c r="R713" s="338">
        <v>1</v>
      </c>
      <c r="S713" s="404" t="s">
        <v>1413</v>
      </c>
      <c r="T713" s="394">
        <v>2.6E-7</v>
      </c>
      <c r="U713" s="394">
        <v>0.04</v>
      </c>
    </row>
    <row r="714" spans="1:21" ht="15.6" thickBot="1">
      <c r="A714" s="407" t="s">
        <v>1531</v>
      </c>
      <c r="B714" s="408" t="s">
        <v>1413</v>
      </c>
      <c r="C714" s="399" t="s">
        <v>1531</v>
      </c>
      <c r="D714" s="408" t="s">
        <v>1413</v>
      </c>
      <c r="E714" s="396">
        <v>0.03</v>
      </c>
      <c r="F714" s="409" t="s">
        <v>1412</v>
      </c>
      <c r="G714" s="399" t="s">
        <v>1531</v>
      </c>
      <c r="H714" s="408" t="s">
        <v>1413</v>
      </c>
      <c r="I714" s="408" t="s">
        <v>1413</v>
      </c>
      <c r="J714" s="408" t="s">
        <v>1413</v>
      </c>
      <c r="K714" s="409">
        <v>1</v>
      </c>
      <c r="L714" s="409">
        <v>0.1</v>
      </c>
      <c r="M714" s="410" t="s">
        <v>1531</v>
      </c>
      <c r="N714" s="426" t="s">
        <v>1346</v>
      </c>
      <c r="O714" s="393" t="s">
        <v>281</v>
      </c>
      <c r="P714" s="416" t="s">
        <v>1413</v>
      </c>
      <c r="Q714" s="340" t="s">
        <v>2433</v>
      </c>
      <c r="R714" s="338">
        <v>1</v>
      </c>
      <c r="S714" s="408" t="s">
        <v>1413</v>
      </c>
      <c r="T714" s="399" t="s">
        <v>1531</v>
      </c>
      <c r="U714" s="399" t="s">
        <v>1531</v>
      </c>
    </row>
    <row r="715" spans="1:21" ht="15">
      <c r="A715" s="427">
        <v>20</v>
      </c>
      <c r="B715" s="405" t="s">
        <v>406</v>
      </c>
      <c r="C715" s="398" t="s">
        <v>1531</v>
      </c>
      <c r="D715" s="404" t="s">
        <v>1413</v>
      </c>
      <c r="E715" s="398" t="s">
        <v>1531</v>
      </c>
      <c r="F715" s="404" t="s">
        <v>1413</v>
      </c>
      <c r="G715" s="398" t="s">
        <v>1531</v>
      </c>
      <c r="H715" s="404" t="s">
        <v>1413</v>
      </c>
      <c r="I715" s="405" t="s">
        <v>969</v>
      </c>
      <c r="J715" s="404" t="s">
        <v>1413</v>
      </c>
      <c r="K715" s="405">
        <v>1</v>
      </c>
      <c r="L715" s="411" t="s">
        <v>1531</v>
      </c>
      <c r="M715" s="406" t="s">
        <v>1531</v>
      </c>
      <c r="N715" s="425" t="s">
        <v>1347</v>
      </c>
      <c r="O715" s="391" t="s">
        <v>282</v>
      </c>
      <c r="P715" s="414" t="s">
        <v>1413</v>
      </c>
      <c r="Q715" s="340" t="s">
        <v>2433</v>
      </c>
      <c r="R715" s="338">
        <v>1</v>
      </c>
      <c r="S715" s="404" t="s">
        <v>1413</v>
      </c>
      <c r="T715" s="398" t="s">
        <v>1531</v>
      </c>
      <c r="U715" s="398" t="s">
        <v>1531</v>
      </c>
    </row>
    <row r="716" spans="1:21" ht="15">
      <c r="A716" s="403" t="s">
        <v>1531</v>
      </c>
      <c r="B716" s="404" t="s">
        <v>1413</v>
      </c>
      <c r="C716" s="398" t="s">
        <v>1531</v>
      </c>
      <c r="D716" s="404" t="s">
        <v>1413</v>
      </c>
      <c r="E716" s="394">
        <v>5.0000000000000001E-4</v>
      </c>
      <c r="F716" s="405" t="s">
        <v>1412</v>
      </c>
      <c r="G716" s="398" t="s">
        <v>1531</v>
      </c>
      <c r="H716" s="404" t="s">
        <v>1413</v>
      </c>
      <c r="I716" s="404" t="s">
        <v>1413</v>
      </c>
      <c r="J716" s="404" t="s">
        <v>1413</v>
      </c>
      <c r="K716" s="405">
        <v>1</v>
      </c>
      <c r="L716" s="405">
        <v>0.1</v>
      </c>
      <c r="M716" s="406" t="s">
        <v>1531</v>
      </c>
      <c r="N716" s="425" t="s">
        <v>1348</v>
      </c>
      <c r="O716" s="391" t="s">
        <v>283</v>
      </c>
      <c r="P716" s="414" t="s">
        <v>1413</v>
      </c>
      <c r="Q716" s="340" t="s">
        <v>2433</v>
      </c>
      <c r="R716" s="338">
        <v>1</v>
      </c>
      <c r="S716" s="404" t="s">
        <v>1413</v>
      </c>
      <c r="T716" s="398" t="s">
        <v>1531</v>
      </c>
      <c r="U716" s="398" t="s">
        <v>1531</v>
      </c>
    </row>
    <row r="717" spans="1:21" ht="15.6" thickBot="1">
      <c r="A717" s="407" t="s">
        <v>1531</v>
      </c>
      <c r="B717" s="408" t="s">
        <v>1413</v>
      </c>
      <c r="C717" s="399" t="s">
        <v>1531</v>
      </c>
      <c r="D717" s="408" t="s">
        <v>1413</v>
      </c>
      <c r="E717" s="396">
        <v>9.9999999999999995E-8</v>
      </c>
      <c r="F717" s="409" t="s">
        <v>1412</v>
      </c>
      <c r="G717" s="399" t="s">
        <v>1531</v>
      </c>
      <c r="H717" s="408" t="s">
        <v>1413</v>
      </c>
      <c r="I717" s="409" t="s">
        <v>969</v>
      </c>
      <c r="J717" s="408" t="s">
        <v>1413</v>
      </c>
      <c r="K717" s="409">
        <v>1</v>
      </c>
      <c r="L717" s="413" t="s">
        <v>1531</v>
      </c>
      <c r="M717" s="397">
        <v>2.4300000000000002</v>
      </c>
      <c r="N717" s="426" t="s">
        <v>2338</v>
      </c>
      <c r="O717" s="393" t="s">
        <v>41</v>
      </c>
      <c r="P717" s="416" t="s">
        <v>1413</v>
      </c>
      <c r="Q717" s="340" t="s">
        <v>2433</v>
      </c>
      <c r="R717" s="338">
        <v>1</v>
      </c>
      <c r="S717" s="408" t="s">
        <v>1413</v>
      </c>
      <c r="T717" s="399" t="s">
        <v>1531</v>
      </c>
      <c r="U717" s="399" t="s">
        <v>1531</v>
      </c>
    </row>
    <row r="718" spans="1:21" ht="15">
      <c r="A718" s="403" t="s">
        <v>1531</v>
      </c>
      <c r="B718" s="404" t="s">
        <v>1413</v>
      </c>
      <c r="C718" s="398" t="s">
        <v>1531</v>
      </c>
      <c r="D718" s="404" t="s">
        <v>1413</v>
      </c>
      <c r="E718" s="398" t="s">
        <v>1531</v>
      </c>
      <c r="F718" s="404" t="s">
        <v>1413</v>
      </c>
      <c r="G718" s="394">
        <v>80</v>
      </c>
      <c r="H718" s="405" t="s">
        <v>1412</v>
      </c>
      <c r="I718" s="405" t="s">
        <v>969</v>
      </c>
      <c r="J718" s="404" t="s">
        <v>1413</v>
      </c>
      <c r="K718" s="405">
        <v>1</v>
      </c>
      <c r="L718" s="411" t="s">
        <v>1531</v>
      </c>
      <c r="M718" s="395">
        <v>2050</v>
      </c>
      <c r="N718" s="425" t="s">
        <v>1349</v>
      </c>
      <c r="O718" s="391" t="s">
        <v>284</v>
      </c>
      <c r="P718" s="414" t="s">
        <v>1413</v>
      </c>
      <c r="Q718" s="340" t="s">
        <v>2433</v>
      </c>
      <c r="R718" s="338">
        <v>1</v>
      </c>
      <c r="S718" s="404" t="s">
        <v>1413</v>
      </c>
      <c r="T718" s="398" t="s">
        <v>1531</v>
      </c>
      <c r="U718" s="394">
        <v>80</v>
      </c>
    </row>
    <row r="719" spans="1:21" ht="15">
      <c r="A719" s="403" t="s">
        <v>1531</v>
      </c>
      <c r="B719" s="404" t="s">
        <v>1413</v>
      </c>
      <c r="C719" s="398" t="s">
        <v>1531</v>
      </c>
      <c r="D719" s="404" t="s">
        <v>1413</v>
      </c>
      <c r="E719" s="394">
        <v>0.9</v>
      </c>
      <c r="F719" s="405" t="s">
        <v>1412</v>
      </c>
      <c r="G719" s="394">
        <v>2</v>
      </c>
      <c r="H719" s="405" t="s">
        <v>1412</v>
      </c>
      <c r="I719" s="405" t="s">
        <v>969</v>
      </c>
      <c r="J719" s="404" t="s">
        <v>1413</v>
      </c>
      <c r="K719" s="405">
        <v>1</v>
      </c>
      <c r="L719" s="405">
        <v>0.03</v>
      </c>
      <c r="M719" s="395">
        <v>165000</v>
      </c>
      <c r="N719" s="425" t="s">
        <v>2252</v>
      </c>
      <c r="O719" s="391" t="s">
        <v>1831</v>
      </c>
      <c r="P719" s="414" t="s">
        <v>1413</v>
      </c>
      <c r="Q719" s="340" t="s">
        <v>2434</v>
      </c>
      <c r="R719" s="338">
        <v>1</v>
      </c>
      <c r="S719" s="404" t="s">
        <v>1413</v>
      </c>
      <c r="T719" s="398" t="s">
        <v>1531</v>
      </c>
      <c r="U719" s="394">
        <v>2</v>
      </c>
    </row>
    <row r="720" spans="1:21" ht="15.6" thickBot="1">
      <c r="A720" s="407" t="s">
        <v>1531</v>
      </c>
      <c r="B720" s="408" t="s">
        <v>1413</v>
      </c>
      <c r="C720" s="399" t="s">
        <v>1531</v>
      </c>
      <c r="D720" s="408" t="s">
        <v>1413</v>
      </c>
      <c r="E720" s="396">
        <v>49</v>
      </c>
      <c r="F720" s="409" t="s">
        <v>520</v>
      </c>
      <c r="G720" s="399" t="s">
        <v>1531</v>
      </c>
      <c r="H720" s="408" t="s">
        <v>1413</v>
      </c>
      <c r="I720" s="408" t="s">
        <v>1413</v>
      </c>
      <c r="J720" s="408" t="s">
        <v>1413</v>
      </c>
      <c r="K720" s="409">
        <v>1</v>
      </c>
      <c r="L720" s="413" t="s">
        <v>1531</v>
      </c>
      <c r="M720" s="410" t="s">
        <v>1531</v>
      </c>
      <c r="N720" s="426" t="s">
        <v>2404</v>
      </c>
      <c r="O720" s="393" t="s">
        <v>1605</v>
      </c>
      <c r="P720" s="416" t="s">
        <v>1413</v>
      </c>
      <c r="Q720" s="340" t="s">
        <v>2433</v>
      </c>
      <c r="R720" s="338">
        <v>1</v>
      </c>
      <c r="S720" s="408" t="s">
        <v>1413</v>
      </c>
      <c r="T720" s="399" t="s">
        <v>1531</v>
      </c>
      <c r="U720" s="399" t="s">
        <v>1531</v>
      </c>
    </row>
    <row r="721" spans="1:21" ht="15">
      <c r="A721" s="403" t="s">
        <v>1531</v>
      </c>
      <c r="B721" s="404" t="s">
        <v>1413</v>
      </c>
      <c r="C721" s="398" t="s">
        <v>1531</v>
      </c>
      <c r="D721" s="404" t="s">
        <v>1413</v>
      </c>
      <c r="E721" s="394">
        <v>49</v>
      </c>
      <c r="F721" s="405" t="s">
        <v>520</v>
      </c>
      <c r="G721" s="398" t="s">
        <v>1531</v>
      </c>
      <c r="H721" s="404" t="s">
        <v>1413</v>
      </c>
      <c r="I721" s="404" t="s">
        <v>1413</v>
      </c>
      <c r="J721" s="404" t="s">
        <v>1413</v>
      </c>
      <c r="K721" s="405">
        <v>1</v>
      </c>
      <c r="L721" s="411" t="s">
        <v>1531</v>
      </c>
      <c r="M721" s="406" t="s">
        <v>1531</v>
      </c>
      <c r="N721" s="425" t="s">
        <v>2361</v>
      </c>
      <c r="O721" s="391" t="s">
        <v>1606</v>
      </c>
      <c r="P721" s="414" t="s">
        <v>1413</v>
      </c>
      <c r="Q721" s="340" t="s">
        <v>2433</v>
      </c>
      <c r="R721" s="338">
        <v>1</v>
      </c>
      <c r="S721" s="404" t="s">
        <v>1413</v>
      </c>
      <c r="T721" s="398" t="s">
        <v>1531</v>
      </c>
      <c r="U721" s="398" t="s">
        <v>1531</v>
      </c>
    </row>
    <row r="722" spans="1:21" ht="15">
      <c r="A722" s="403" t="s">
        <v>1531</v>
      </c>
      <c r="B722" s="404" t="s">
        <v>1413</v>
      </c>
      <c r="C722" s="398" t="s">
        <v>1531</v>
      </c>
      <c r="D722" s="404" t="s">
        <v>1413</v>
      </c>
      <c r="E722" s="394">
        <v>2E-3</v>
      </c>
      <c r="F722" s="405" t="s">
        <v>520</v>
      </c>
      <c r="G722" s="398" t="s">
        <v>1531</v>
      </c>
      <c r="H722" s="404" t="s">
        <v>1413</v>
      </c>
      <c r="I722" s="404" t="s">
        <v>1413</v>
      </c>
      <c r="J722" s="404" t="s">
        <v>1413</v>
      </c>
      <c r="K722" s="405">
        <v>1</v>
      </c>
      <c r="L722" s="405">
        <v>6.4999999999999997E-4</v>
      </c>
      <c r="M722" s="406" t="s">
        <v>1531</v>
      </c>
      <c r="N722" s="425" t="s">
        <v>1350</v>
      </c>
      <c r="O722" s="391" t="s">
        <v>285</v>
      </c>
      <c r="P722" s="414" t="s">
        <v>1413</v>
      </c>
      <c r="Q722" s="340" t="s">
        <v>2433</v>
      </c>
      <c r="R722" s="338">
        <v>1</v>
      </c>
      <c r="S722" s="404" t="s">
        <v>1413</v>
      </c>
      <c r="T722" s="398" t="s">
        <v>1531</v>
      </c>
      <c r="U722" s="398" t="s">
        <v>1531</v>
      </c>
    </row>
    <row r="723" spans="1:21" ht="15.6" thickBot="1">
      <c r="A723" s="407" t="s">
        <v>1531</v>
      </c>
      <c r="B723" s="408" t="s">
        <v>1413</v>
      </c>
      <c r="C723" s="399" t="s">
        <v>1531</v>
      </c>
      <c r="D723" s="408" t="s">
        <v>1413</v>
      </c>
      <c r="E723" s="396">
        <v>2.0000000000000002E-5</v>
      </c>
      <c r="F723" s="409" t="s">
        <v>405</v>
      </c>
      <c r="G723" s="399" t="s">
        <v>1531</v>
      </c>
      <c r="H723" s="408" t="s">
        <v>1413</v>
      </c>
      <c r="I723" s="408" t="s">
        <v>1413</v>
      </c>
      <c r="J723" s="408" t="s">
        <v>1413</v>
      </c>
      <c r="K723" s="409">
        <v>1</v>
      </c>
      <c r="L723" s="413" t="s">
        <v>1531</v>
      </c>
      <c r="M723" s="410" t="s">
        <v>1531</v>
      </c>
      <c r="N723" s="426" t="s">
        <v>2457</v>
      </c>
      <c r="O723" s="393" t="s">
        <v>2458</v>
      </c>
      <c r="P723" s="416" t="s">
        <v>1413</v>
      </c>
      <c r="Q723" s="340" t="s">
        <v>2433</v>
      </c>
      <c r="R723" s="338">
        <v>1</v>
      </c>
      <c r="S723" s="408" t="s">
        <v>1413</v>
      </c>
      <c r="T723" s="399" t="s">
        <v>1531</v>
      </c>
      <c r="U723" s="399" t="s">
        <v>1531</v>
      </c>
    </row>
    <row r="724" spans="1:21" ht="15">
      <c r="A724" s="403" t="s">
        <v>1531</v>
      </c>
      <c r="B724" s="404" t="s">
        <v>1413</v>
      </c>
      <c r="C724" s="398" t="s">
        <v>1531</v>
      </c>
      <c r="D724" s="404" t="s">
        <v>1413</v>
      </c>
      <c r="E724" s="394">
        <v>1.0000000000000001E-5</v>
      </c>
      <c r="F724" s="405" t="s">
        <v>961</v>
      </c>
      <c r="G724" s="398" t="s">
        <v>1531</v>
      </c>
      <c r="H724" s="404" t="s">
        <v>1413</v>
      </c>
      <c r="I724" s="404" t="s">
        <v>1413</v>
      </c>
      <c r="J724" s="404" t="s">
        <v>1413</v>
      </c>
      <c r="K724" s="405">
        <v>1</v>
      </c>
      <c r="L724" s="411" t="s">
        <v>1531</v>
      </c>
      <c r="M724" s="406" t="s">
        <v>1531</v>
      </c>
      <c r="N724" s="425" t="s">
        <v>2002</v>
      </c>
      <c r="O724" s="391" t="s">
        <v>2003</v>
      </c>
      <c r="P724" s="414" t="s">
        <v>1413</v>
      </c>
      <c r="Q724" s="340" t="s">
        <v>2433</v>
      </c>
      <c r="R724" s="338">
        <v>1</v>
      </c>
      <c r="S724" s="404" t="s">
        <v>1413</v>
      </c>
      <c r="T724" s="398" t="s">
        <v>1531</v>
      </c>
      <c r="U724" s="398" t="s">
        <v>1531</v>
      </c>
    </row>
    <row r="725" spans="1:21" ht="15">
      <c r="A725" s="403" t="s">
        <v>1531</v>
      </c>
      <c r="B725" s="404" t="s">
        <v>1413</v>
      </c>
      <c r="C725" s="398" t="s">
        <v>1531</v>
      </c>
      <c r="D725" s="404" t="s">
        <v>1413</v>
      </c>
      <c r="E725" s="394">
        <v>1.0000000000000001E-5</v>
      </c>
      <c r="F725" s="405" t="s">
        <v>961</v>
      </c>
      <c r="G725" s="398" t="s">
        <v>1531</v>
      </c>
      <c r="H725" s="404" t="s">
        <v>1413</v>
      </c>
      <c r="I725" s="404" t="s">
        <v>1413</v>
      </c>
      <c r="J725" s="404" t="s">
        <v>1413</v>
      </c>
      <c r="K725" s="405">
        <v>1</v>
      </c>
      <c r="L725" s="411" t="s">
        <v>1531</v>
      </c>
      <c r="M725" s="406" t="s">
        <v>1531</v>
      </c>
      <c r="N725" s="425" t="s">
        <v>1351</v>
      </c>
      <c r="O725" s="391" t="s">
        <v>286</v>
      </c>
      <c r="P725" s="429">
        <v>2</v>
      </c>
      <c r="Q725" s="340" t="s">
        <v>2433</v>
      </c>
      <c r="R725" s="338">
        <v>1</v>
      </c>
      <c r="S725" s="404" t="s">
        <v>1413</v>
      </c>
      <c r="T725" s="398" t="s">
        <v>1531</v>
      </c>
      <c r="U725" s="398" t="s">
        <v>1531</v>
      </c>
    </row>
    <row r="726" spans="1:21" ht="15.6" thickBot="1">
      <c r="A726" s="407" t="s">
        <v>1531</v>
      </c>
      <c r="B726" s="408" t="s">
        <v>1413</v>
      </c>
      <c r="C726" s="399" t="s">
        <v>1531</v>
      </c>
      <c r="D726" s="408" t="s">
        <v>1413</v>
      </c>
      <c r="E726" s="396">
        <v>1.0000000000000001E-5</v>
      </c>
      <c r="F726" s="409" t="s">
        <v>961</v>
      </c>
      <c r="G726" s="399" t="s">
        <v>1531</v>
      </c>
      <c r="H726" s="408" t="s">
        <v>1413</v>
      </c>
      <c r="I726" s="409" t="s">
        <v>969</v>
      </c>
      <c r="J726" s="408" t="s">
        <v>1413</v>
      </c>
      <c r="K726" s="409">
        <v>1</v>
      </c>
      <c r="L726" s="413" t="s">
        <v>1531</v>
      </c>
      <c r="M726" s="410" t="s">
        <v>1531</v>
      </c>
      <c r="N726" s="426" t="s">
        <v>2004</v>
      </c>
      <c r="O726" s="393" t="s">
        <v>2005</v>
      </c>
      <c r="P726" s="416" t="s">
        <v>1413</v>
      </c>
      <c r="Q726" s="340" t="s">
        <v>2434</v>
      </c>
      <c r="R726" s="338">
        <v>1</v>
      </c>
      <c r="S726" s="408" t="s">
        <v>1413</v>
      </c>
      <c r="T726" s="399" t="s">
        <v>1531</v>
      </c>
      <c r="U726" s="399" t="s">
        <v>1531</v>
      </c>
    </row>
    <row r="727" spans="1:21" ht="15">
      <c r="A727" s="403" t="s">
        <v>1531</v>
      </c>
      <c r="B727" s="404" t="s">
        <v>1413</v>
      </c>
      <c r="C727" s="398" t="s">
        <v>1531</v>
      </c>
      <c r="D727" s="404" t="s">
        <v>1413</v>
      </c>
      <c r="E727" s="394">
        <v>2.0000000000000002E-5</v>
      </c>
      <c r="F727" s="405" t="s">
        <v>961</v>
      </c>
      <c r="G727" s="398" t="s">
        <v>1531</v>
      </c>
      <c r="H727" s="404" t="s">
        <v>1413</v>
      </c>
      <c r="I727" s="405" t="s">
        <v>969</v>
      </c>
      <c r="J727" s="404" t="s">
        <v>1413</v>
      </c>
      <c r="K727" s="405">
        <v>1</v>
      </c>
      <c r="L727" s="411" t="s">
        <v>1531</v>
      </c>
      <c r="M727" s="406" t="s">
        <v>1531</v>
      </c>
      <c r="N727" s="425" t="s">
        <v>2006</v>
      </c>
      <c r="O727" s="391" t="s">
        <v>2007</v>
      </c>
      <c r="P727" s="414" t="s">
        <v>1413</v>
      </c>
      <c r="Q727" s="340" t="s">
        <v>2434</v>
      </c>
      <c r="R727" s="338">
        <v>1</v>
      </c>
      <c r="S727" s="404" t="s">
        <v>1413</v>
      </c>
      <c r="T727" s="398" t="s">
        <v>1531</v>
      </c>
      <c r="U727" s="398" t="s">
        <v>1531</v>
      </c>
    </row>
    <row r="728" spans="1:21" ht="15">
      <c r="A728" s="403" t="s">
        <v>1531</v>
      </c>
      <c r="B728" s="404" t="s">
        <v>1413</v>
      </c>
      <c r="C728" s="398" t="s">
        <v>1531</v>
      </c>
      <c r="D728" s="404" t="s">
        <v>1413</v>
      </c>
      <c r="E728" s="394">
        <v>1.0000000000000001E-5</v>
      </c>
      <c r="F728" s="405" t="s">
        <v>961</v>
      </c>
      <c r="G728" s="398" t="s">
        <v>1531</v>
      </c>
      <c r="H728" s="404" t="s">
        <v>1413</v>
      </c>
      <c r="I728" s="404" t="s">
        <v>1413</v>
      </c>
      <c r="J728" s="404" t="s">
        <v>1413</v>
      </c>
      <c r="K728" s="405">
        <v>1</v>
      </c>
      <c r="L728" s="411" t="s">
        <v>1531</v>
      </c>
      <c r="M728" s="406" t="s">
        <v>1531</v>
      </c>
      <c r="N728" s="425" t="s">
        <v>2008</v>
      </c>
      <c r="O728" s="391" t="s">
        <v>2009</v>
      </c>
      <c r="P728" s="414" t="s">
        <v>1413</v>
      </c>
      <c r="Q728" s="340" t="s">
        <v>2433</v>
      </c>
      <c r="R728" s="338">
        <v>1</v>
      </c>
      <c r="S728" s="404" t="s">
        <v>1413</v>
      </c>
      <c r="T728" s="398" t="s">
        <v>1531</v>
      </c>
      <c r="U728" s="398" t="s">
        <v>1531</v>
      </c>
    </row>
    <row r="729" spans="1:21" ht="15.6" thickBot="1">
      <c r="A729" s="407" t="s">
        <v>1531</v>
      </c>
      <c r="B729" s="408" t="s">
        <v>1413</v>
      </c>
      <c r="C729" s="399" t="s">
        <v>1531</v>
      </c>
      <c r="D729" s="408" t="s">
        <v>1413</v>
      </c>
      <c r="E729" s="396">
        <v>1.0000000000000001E-5</v>
      </c>
      <c r="F729" s="409" t="s">
        <v>405</v>
      </c>
      <c r="G729" s="399" t="s">
        <v>1531</v>
      </c>
      <c r="H729" s="408" t="s">
        <v>1413</v>
      </c>
      <c r="I729" s="408" t="s">
        <v>1413</v>
      </c>
      <c r="J729" s="408" t="s">
        <v>1413</v>
      </c>
      <c r="K729" s="409">
        <v>1</v>
      </c>
      <c r="L729" s="413" t="s">
        <v>1531</v>
      </c>
      <c r="M729" s="410" t="s">
        <v>1531</v>
      </c>
      <c r="N729" s="426" t="s">
        <v>2459</v>
      </c>
      <c r="O729" s="393" t="s">
        <v>2460</v>
      </c>
      <c r="P729" s="416" t="s">
        <v>1413</v>
      </c>
      <c r="Q729" s="340" t="s">
        <v>2433</v>
      </c>
      <c r="R729" s="338">
        <v>1</v>
      </c>
      <c r="S729" s="408" t="s">
        <v>1413</v>
      </c>
      <c r="T729" s="399" t="s">
        <v>1531</v>
      </c>
      <c r="U729" s="399" t="s">
        <v>1531</v>
      </c>
    </row>
    <row r="730" spans="1:21" ht="15">
      <c r="A730" s="403" t="s">
        <v>1531</v>
      </c>
      <c r="B730" s="404" t="s">
        <v>1413</v>
      </c>
      <c r="C730" s="398" t="s">
        <v>1531</v>
      </c>
      <c r="D730" s="404" t="s">
        <v>1413</v>
      </c>
      <c r="E730" s="394">
        <v>2.0000000000000002E-5</v>
      </c>
      <c r="F730" s="405" t="s">
        <v>961</v>
      </c>
      <c r="G730" s="398" t="s">
        <v>1531</v>
      </c>
      <c r="H730" s="404" t="s">
        <v>1413</v>
      </c>
      <c r="I730" s="404" t="s">
        <v>1413</v>
      </c>
      <c r="J730" s="404" t="s">
        <v>1413</v>
      </c>
      <c r="K730" s="405">
        <v>1</v>
      </c>
      <c r="L730" s="411" t="s">
        <v>1531</v>
      </c>
      <c r="M730" s="406" t="s">
        <v>1531</v>
      </c>
      <c r="N730" s="425" t="s">
        <v>2010</v>
      </c>
      <c r="O730" s="391" t="s">
        <v>2011</v>
      </c>
      <c r="P730" s="414" t="s">
        <v>1413</v>
      </c>
      <c r="Q730" s="340" t="s">
        <v>2433</v>
      </c>
      <c r="R730" s="338">
        <v>0</v>
      </c>
      <c r="S730" s="404" t="s">
        <v>1413</v>
      </c>
      <c r="T730" s="398" t="s">
        <v>1531</v>
      </c>
      <c r="U730" s="398" t="s">
        <v>1531</v>
      </c>
    </row>
    <row r="731" spans="1:21" ht="15">
      <c r="A731" s="403" t="s">
        <v>1531</v>
      </c>
      <c r="B731" s="404" t="s">
        <v>1413</v>
      </c>
      <c r="C731" s="398" t="s">
        <v>1531</v>
      </c>
      <c r="D731" s="404" t="s">
        <v>1413</v>
      </c>
      <c r="E731" s="394">
        <v>4.2999999999999997E-2</v>
      </c>
      <c r="F731" s="405" t="s">
        <v>1474</v>
      </c>
      <c r="G731" s="398" t="s">
        <v>1531</v>
      </c>
      <c r="H731" s="404" t="s">
        <v>1413</v>
      </c>
      <c r="I731" s="404" t="s">
        <v>1413</v>
      </c>
      <c r="J731" s="404" t="s">
        <v>1413</v>
      </c>
      <c r="K731" s="405">
        <v>1</v>
      </c>
      <c r="L731" s="405">
        <v>0.1</v>
      </c>
      <c r="M731" s="406" t="s">
        <v>1531</v>
      </c>
      <c r="N731" s="425" t="s">
        <v>2320</v>
      </c>
      <c r="O731" s="391" t="s">
        <v>958</v>
      </c>
      <c r="P731" s="414" t="s">
        <v>1413</v>
      </c>
      <c r="Q731" s="340" t="s">
        <v>2434</v>
      </c>
      <c r="R731" s="338">
        <v>0</v>
      </c>
      <c r="S731" s="404" t="s">
        <v>1413</v>
      </c>
      <c r="T731" s="398" t="s">
        <v>1531</v>
      </c>
      <c r="U731" s="398" t="s">
        <v>1531</v>
      </c>
    </row>
    <row r="732" spans="1:21" ht="15.6" thickBot="1">
      <c r="A732" s="407" t="s">
        <v>1531</v>
      </c>
      <c r="B732" s="408" t="s">
        <v>1413</v>
      </c>
      <c r="C732" s="399" t="s">
        <v>1531</v>
      </c>
      <c r="D732" s="408" t="s">
        <v>1413</v>
      </c>
      <c r="E732" s="396">
        <v>0.01</v>
      </c>
      <c r="F732" s="409" t="s">
        <v>1412</v>
      </c>
      <c r="G732" s="399" t="s">
        <v>1531</v>
      </c>
      <c r="H732" s="408" t="s">
        <v>1413</v>
      </c>
      <c r="I732" s="408" t="s">
        <v>1413</v>
      </c>
      <c r="J732" s="408" t="s">
        <v>1413</v>
      </c>
      <c r="K732" s="409">
        <v>1</v>
      </c>
      <c r="L732" s="409">
        <v>0.1</v>
      </c>
      <c r="M732" s="410" t="s">
        <v>1531</v>
      </c>
      <c r="N732" s="426" t="s">
        <v>1352</v>
      </c>
      <c r="O732" s="393" t="s">
        <v>287</v>
      </c>
      <c r="P732" s="416" t="s">
        <v>1413</v>
      </c>
      <c r="Q732" s="340" t="s">
        <v>2434</v>
      </c>
      <c r="R732" s="338">
        <v>0</v>
      </c>
      <c r="S732" s="408" t="s">
        <v>1413</v>
      </c>
      <c r="T732" s="399" t="s">
        <v>1531</v>
      </c>
      <c r="U732" s="399" t="s">
        <v>1531</v>
      </c>
    </row>
    <row r="733" spans="1:21" ht="15">
      <c r="A733" s="403" t="s">
        <v>1531</v>
      </c>
      <c r="B733" s="404" t="s">
        <v>1413</v>
      </c>
      <c r="C733" s="398" t="s">
        <v>1531</v>
      </c>
      <c r="D733" s="404" t="s">
        <v>1413</v>
      </c>
      <c r="E733" s="394">
        <v>2.0000000000000001E-4</v>
      </c>
      <c r="F733" s="405" t="s">
        <v>520</v>
      </c>
      <c r="G733" s="398" t="s">
        <v>1531</v>
      </c>
      <c r="H733" s="404" t="s">
        <v>1413</v>
      </c>
      <c r="I733" s="404" t="s">
        <v>1413</v>
      </c>
      <c r="J733" s="404" t="s">
        <v>1413</v>
      </c>
      <c r="K733" s="405">
        <v>1</v>
      </c>
      <c r="L733" s="411" t="s">
        <v>1531</v>
      </c>
      <c r="M733" s="406" t="s">
        <v>1531</v>
      </c>
      <c r="N733" s="425" t="s">
        <v>2409</v>
      </c>
      <c r="O733" s="506" t="s">
        <v>2167</v>
      </c>
      <c r="P733" s="414" t="s">
        <v>1413</v>
      </c>
      <c r="Q733" s="340" t="s">
        <v>2434</v>
      </c>
      <c r="R733" s="338">
        <v>1</v>
      </c>
      <c r="S733" s="404" t="s">
        <v>1413</v>
      </c>
      <c r="T733" s="398" t="s">
        <v>1531</v>
      </c>
      <c r="U733" s="398" t="s">
        <v>1531</v>
      </c>
    </row>
    <row r="734" spans="1:21" ht="15">
      <c r="A734" s="403" t="s">
        <v>1531</v>
      </c>
      <c r="B734" s="404" t="s">
        <v>1413</v>
      </c>
      <c r="C734" s="398" t="s">
        <v>1531</v>
      </c>
      <c r="D734" s="404" t="s">
        <v>1413</v>
      </c>
      <c r="E734" s="394">
        <v>2.0000000000000001E-4</v>
      </c>
      <c r="F734" s="405" t="s">
        <v>961</v>
      </c>
      <c r="G734" s="398" t="s">
        <v>1531</v>
      </c>
      <c r="H734" s="404" t="s">
        <v>1413</v>
      </c>
      <c r="I734" s="405" t="s">
        <v>969</v>
      </c>
      <c r="J734" s="404" t="s">
        <v>1413</v>
      </c>
      <c r="K734" s="405">
        <v>1</v>
      </c>
      <c r="L734" s="411" t="s">
        <v>1531</v>
      </c>
      <c r="M734" s="406" t="s">
        <v>1531</v>
      </c>
      <c r="N734" s="425" t="s">
        <v>2369</v>
      </c>
      <c r="O734" s="391" t="s">
        <v>799</v>
      </c>
      <c r="P734" s="414" t="s">
        <v>1413</v>
      </c>
      <c r="Q734" s="340" t="s">
        <v>2433</v>
      </c>
      <c r="R734" s="338">
        <v>1</v>
      </c>
      <c r="S734" s="404" t="s">
        <v>1413</v>
      </c>
      <c r="T734" s="398" t="s">
        <v>1531</v>
      </c>
      <c r="U734" s="398" t="s">
        <v>1531</v>
      </c>
    </row>
    <row r="735" spans="1:21" ht="15.6" thickBot="1">
      <c r="A735" s="407" t="s">
        <v>1531</v>
      </c>
      <c r="B735" s="408" t="s">
        <v>1413</v>
      </c>
      <c r="C735" s="399" t="s">
        <v>1531</v>
      </c>
      <c r="D735" s="408" t="s">
        <v>1413</v>
      </c>
      <c r="E735" s="396">
        <v>7.0000000000000007E-2</v>
      </c>
      <c r="F735" s="409" t="s">
        <v>961</v>
      </c>
      <c r="G735" s="399" t="s">
        <v>1531</v>
      </c>
      <c r="H735" s="408" t="s">
        <v>1413</v>
      </c>
      <c r="I735" s="408" t="s">
        <v>1413</v>
      </c>
      <c r="J735" s="408" t="s">
        <v>1413</v>
      </c>
      <c r="K735" s="409">
        <v>1</v>
      </c>
      <c r="L735" s="409">
        <v>7.4999999999999997E-3</v>
      </c>
      <c r="M735" s="410" t="s">
        <v>1531</v>
      </c>
      <c r="N735" s="426" t="s">
        <v>619</v>
      </c>
      <c r="O735" s="393" t="s">
        <v>288</v>
      </c>
      <c r="P735" s="416" t="s">
        <v>1413</v>
      </c>
      <c r="Q735" s="340" t="s">
        <v>2433</v>
      </c>
      <c r="R735" s="338">
        <v>0</v>
      </c>
      <c r="S735" s="408" t="s">
        <v>1413</v>
      </c>
      <c r="T735" s="399" t="s">
        <v>1531</v>
      </c>
      <c r="U735" s="399" t="s">
        <v>1531</v>
      </c>
    </row>
    <row r="736" spans="1:21" ht="15">
      <c r="A736" s="403" t="s">
        <v>1531</v>
      </c>
      <c r="B736" s="404" t="s">
        <v>1413</v>
      </c>
      <c r="C736" s="398" t="s">
        <v>1531</v>
      </c>
      <c r="D736" s="404" t="s">
        <v>1413</v>
      </c>
      <c r="E736" s="394">
        <v>2.9999999999999997E-4</v>
      </c>
      <c r="F736" s="405" t="s">
        <v>406</v>
      </c>
      <c r="G736" s="398" t="s">
        <v>1531</v>
      </c>
      <c r="H736" s="404" t="s">
        <v>1413</v>
      </c>
      <c r="I736" s="404" t="s">
        <v>1413</v>
      </c>
      <c r="J736" s="404" t="s">
        <v>1413</v>
      </c>
      <c r="K736" s="405">
        <v>1</v>
      </c>
      <c r="L736" s="405">
        <v>0.1</v>
      </c>
      <c r="M736" s="406" t="s">
        <v>1531</v>
      </c>
      <c r="N736" s="425" t="s">
        <v>1353</v>
      </c>
      <c r="O736" s="391" t="s">
        <v>289</v>
      </c>
      <c r="P736" s="414" t="s">
        <v>1413</v>
      </c>
      <c r="Q736" s="340" t="s">
        <v>2434</v>
      </c>
      <c r="R736" s="338">
        <v>0</v>
      </c>
      <c r="S736" s="404" t="s">
        <v>1413</v>
      </c>
      <c r="T736" s="398" t="s">
        <v>1531</v>
      </c>
      <c r="U736" s="398" t="s">
        <v>1531</v>
      </c>
    </row>
    <row r="737" spans="1:21" ht="15">
      <c r="A737" s="427">
        <v>1.2E-2</v>
      </c>
      <c r="B737" s="405" t="s">
        <v>1474</v>
      </c>
      <c r="C737" s="398" t="s">
        <v>1531</v>
      </c>
      <c r="D737" s="404" t="s">
        <v>1413</v>
      </c>
      <c r="E737" s="394">
        <v>2.7E-2</v>
      </c>
      <c r="F737" s="405" t="s">
        <v>1474</v>
      </c>
      <c r="G737" s="398" t="s">
        <v>1531</v>
      </c>
      <c r="H737" s="404" t="s">
        <v>1413</v>
      </c>
      <c r="I737" s="404" t="s">
        <v>1413</v>
      </c>
      <c r="J737" s="404" t="s">
        <v>1413</v>
      </c>
      <c r="K737" s="405">
        <v>1</v>
      </c>
      <c r="L737" s="405">
        <v>0.1</v>
      </c>
      <c r="M737" s="406" t="s">
        <v>1531</v>
      </c>
      <c r="N737" s="425" t="s">
        <v>1354</v>
      </c>
      <c r="O737" s="391" t="s">
        <v>290</v>
      </c>
      <c r="P737" s="414" t="s">
        <v>1413</v>
      </c>
      <c r="Q737" s="340" t="s">
        <v>2434</v>
      </c>
      <c r="R737" s="338">
        <v>0</v>
      </c>
      <c r="S737" s="404" t="s">
        <v>1413</v>
      </c>
      <c r="T737" s="398" t="s">
        <v>1531</v>
      </c>
      <c r="U737" s="398" t="s">
        <v>1531</v>
      </c>
    </row>
    <row r="738" spans="1:21" ht="15.6" thickBot="1">
      <c r="A738" s="407" t="s">
        <v>1531</v>
      </c>
      <c r="B738" s="408" t="s">
        <v>1413</v>
      </c>
      <c r="C738" s="399" t="s">
        <v>1531</v>
      </c>
      <c r="D738" s="408" t="s">
        <v>1413</v>
      </c>
      <c r="E738" s="396">
        <v>1.4999999999999999E-2</v>
      </c>
      <c r="F738" s="409" t="s">
        <v>1474</v>
      </c>
      <c r="G738" s="399" t="s">
        <v>1531</v>
      </c>
      <c r="H738" s="408" t="s">
        <v>1413</v>
      </c>
      <c r="I738" s="408" t="s">
        <v>1413</v>
      </c>
      <c r="J738" s="408" t="s">
        <v>1413</v>
      </c>
      <c r="K738" s="409">
        <v>1</v>
      </c>
      <c r="L738" s="409">
        <v>0.1</v>
      </c>
      <c r="M738" s="410" t="s">
        <v>1531</v>
      </c>
      <c r="N738" s="426" t="s">
        <v>1355</v>
      </c>
      <c r="O738" s="393" t="s">
        <v>291</v>
      </c>
      <c r="P738" s="416" t="s">
        <v>1413</v>
      </c>
      <c r="Q738" s="340" t="s">
        <v>2434</v>
      </c>
      <c r="R738" s="338">
        <v>1</v>
      </c>
      <c r="S738" s="408" t="s">
        <v>1413</v>
      </c>
      <c r="T738" s="399" t="s">
        <v>1531</v>
      </c>
      <c r="U738" s="399" t="s">
        <v>1531</v>
      </c>
    </row>
    <row r="739" spans="1:21" ht="15">
      <c r="A739" s="403" t="s">
        <v>1531</v>
      </c>
      <c r="B739" s="404" t="s">
        <v>1413</v>
      </c>
      <c r="C739" s="398" t="s">
        <v>1531</v>
      </c>
      <c r="D739" s="404" t="s">
        <v>1413</v>
      </c>
      <c r="E739" s="394">
        <v>0.6</v>
      </c>
      <c r="F739" s="405" t="s">
        <v>406</v>
      </c>
      <c r="G739" s="398" t="s">
        <v>1531</v>
      </c>
      <c r="H739" s="404" t="s">
        <v>1413</v>
      </c>
      <c r="I739" s="404" t="s">
        <v>1413</v>
      </c>
      <c r="J739" s="404" t="s">
        <v>1413</v>
      </c>
      <c r="K739" s="405">
        <v>1</v>
      </c>
      <c r="L739" s="411" t="s">
        <v>1531</v>
      </c>
      <c r="M739" s="406" t="s">
        <v>1531</v>
      </c>
      <c r="N739" s="425" t="s">
        <v>1356</v>
      </c>
      <c r="O739" s="391" t="s">
        <v>292</v>
      </c>
      <c r="P739" s="414" t="s">
        <v>1413</v>
      </c>
      <c r="Q739" s="340" t="s">
        <v>2433</v>
      </c>
      <c r="R739" s="338">
        <v>1</v>
      </c>
      <c r="S739" s="404" t="s">
        <v>1413</v>
      </c>
      <c r="T739" s="398" t="s">
        <v>1531</v>
      </c>
      <c r="U739" s="398" t="s">
        <v>1531</v>
      </c>
    </row>
    <row r="740" spans="1:21" ht="15">
      <c r="A740" s="403" t="s">
        <v>1531</v>
      </c>
      <c r="B740" s="404" t="s">
        <v>1413</v>
      </c>
      <c r="C740" s="398" t="s">
        <v>1531</v>
      </c>
      <c r="D740" s="404" t="s">
        <v>1413</v>
      </c>
      <c r="E740" s="398" t="s">
        <v>1531</v>
      </c>
      <c r="F740" s="404" t="s">
        <v>1413</v>
      </c>
      <c r="G740" s="394">
        <v>1E-4</v>
      </c>
      <c r="H740" s="405" t="s">
        <v>1414</v>
      </c>
      <c r="I740" s="405" t="s">
        <v>969</v>
      </c>
      <c r="J740" s="404" t="s">
        <v>1413</v>
      </c>
      <c r="K740" s="405">
        <v>1</v>
      </c>
      <c r="L740" s="411" t="s">
        <v>1531</v>
      </c>
      <c r="M740" s="406" t="s">
        <v>1531</v>
      </c>
      <c r="N740" s="425" t="s">
        <v>620</v>
      </c>
      <c r="O740" s="391" t="s">
        <v>293</v>
      </c>
      <c r="P740" s="414" t="s">
        <v>1413</v>
      </c>
      <c r="Q740" s="340" t="s">
        <v>2433</v>
      </c>
      <c r="R740" s="338">
        <v>1</v>
      </c>
      <c r="S740" s="404" t="s">
        <v>1413</v>
      </c>
      <c r="T740" s="398" t="s">
        <v>1531</v>
      </c>
      <c r="U740" s="394">
        <v>1E-4</v>
      </c>
    </row>
    <row r="741" spans="1:21" ht="12.75" customHeight="1" thickBot="1">
      <c r="A741" s="407" t="s">
        <v>1531</v>
      </c>
      <c r="B741" s="408" t="s">
        <v>1413</v>
      </c>
      <c r="C741" s="399" t="s">
        <v>1531</v>
      </c>
      <c r="D741" s="408" t="s">
        <v>1413</v>
      </c>
      <c r="E741" s="396">
        <v>0.08</v>
      </c>
      <c r="F741" s="409" t="s">
        <v>1412</v>
      </c>
      <c r="G741" s="396">
        <v>5</v>
      </c>
      <c r="H741" s="409" t="s">
        <v>1412</v>
      </c>
      <c r="I741" s="409" t="s">
        <v>969</v>
      </c>
      <c r="J741" s="408" t="s">
        <v>1413</v>
      </c>
      <c r="K741" s="409">
        <v>1</v>
      </c>
      <c r="L741" s="413" t="s">
        <v>1531</v>
      </c>
      <c r="M741" s="397">
        <v>818</v>
      </c>
      <c r="N741" s="426" t="s">
        <v>398</v>
      </c>
      <c r="O741" s="393" t="s">
        <v>294</v>
      </c>
      <c r="P741" s="415">
        <v>1000</v>
      </c>
      <c r="Q741" s="340" t="s">
        <v>2433</v>
      </c>
      <c r="R741" s="338">
        <v>1</v>
      </c>
      <c r="S741" s="408" t="s">
        <v>1413</v>
      </c>
      <c r="T741" s="399" t="s">
        <v>1531</v>
      </c>
      <c r="U741" s="396">
        <v>5</v>
      </c>
    </row>
    <row r="742" spans="1:21" ht="15">
      <c r="A742" s="403" t="s">
        <v>1531</v>
      </c>
      <c r="B742" s="404" t="s">
        <v>1413</v>
      </c>
      <c r="C742" s="394">
        <v>1.1E-5</v>
      </c>
      <c r="D742" s="405" t="s">
        <v>521</v>
      </c>
      <c r="E742" s="398" t="s">
        <v>1531</v>
      </c>
      <c r="F742" s="404" t="s">
        <v>1413</v>
      </c>
      <c r="G742" s="394">
        <v>7.9999999999999996E-6</v>
      </c>
      <c r="H742" s="405" t="s">
        <v>521</v>
      </c>
      <c r="I742" s="405" t="s">
        <v>969</v>
      </c>
      <c r="J742" s="404" t="s">
        <v>1413</v>
      </c>
      <c r="K742" s="405">
        <v>1</v>
      </c>
      <c r="L742" s="411" t="s">
        <v>1531</v>
      </c>
      <c r="M742" s="406" t="s">
        <v>1531</v>
      </c>
      <c r="N742" s="425" t="s">
        <v>2461</v>
      </c>
      <c r="O742" s="391" t="s">
        <v>2462</v>
      </c>
      <c r="P742" s="414" t="s">
        <v>1413</v>
      </c>
      <c r="Q742" s="340" t="s">
        <v>2433</v>
      </c>
      <c r="R742" s="338">
        <v>1</v>
      </c>
      <c r="S742" s="404" t="s">
        <v>1413</v>
      </c>
      <c r="T742" s="394">
        <v>1.1E-5</v>
      </c>
      <c r="U742" s="394">
        <v>7.9999999999999996E-6</v>
      </c>
    </row>
    <row r="743" spans="1:21" ht="15">
      <c r="A743" s="427">
        <v>0.18</v>
      </c>
      <c r="B743" s="405" t="s">
        <v>961</v>
      </c>
      <c r="C743" s="398" t="s">
        <v>1531</v>
      </c>
      <c r="D743" s="404" t="s">
        <v>1413</v>
      </c>
      <c r="E743" s="394">
        <v>2.0000000000000001E-4</v>
      </c>
      <c r="F743" s="405" t="s">
        <v>961</v>
      </c>
      <c r="G743" s="398" t="s">
        <v>1531</v>
      </c>
      <c r="H743" s="404" t="s">
        <v>1413</v>
      </c>
      <c r="I743" s="404" t="s">
        <v>1413</v>
      </c>
      <c r="J743" s="404" t="s">
        <v>1413</v>
      </c>
      <c r="K743" s="405">
        <v>1</v>
      </c>
      <c r="L743" s="405">
        <v>0.1</v>
      </c>
      <c r="M743" s="406" t="s">
        <v>1531</v>
      </c>
      <c r="N743" s="425" t="s">
        <v>1612</v>
      </c>
      <c r="O743" s="391" t="s">
        <v>1613</v>
      </c>
      <c r="P743" s="414" t="s">
        <v>1413</v>
      </c>
      <c r="Q743" s="340" t="s">
        <v>2433</v>
      </c>
      <c r="R743" s="338">
        <v>1</v>
      </c>
      <c r="S743" s="404" t="s">
        <v>1413</v>
      </c>
      <c r="T743" s="398" t="s">
        <v>1531</v>
      </c>
      <c r="U743" s="398" t="s">
        <v>1531</v>
      </c>
    </row>
    <row r="744" spans="1:21" ht="15.6" thickBot="1">
      <c r="A744" s="407" t="s">
        <v>1531</v>
      </c>
      <c r="B744" s="408" t="s">
        <v>1413</v>
      </c>
      <c r="C744" s="396">
        <v>1.1E-5</v>
      </c>
      <c r="D744" s="409" t="s">
        <v>521</v>
      </c>
      <c r="E744" s="399" t="s">
        <v>1531</v>
      </c>
      <c r="F744" s="408" t="s">
        <v>1413</v>
      </c>
      <c r="G744" s="396">
        <v>7.9999999999999996E-6</v>
      </c>
      <c r="H744" s="409" t="s">
        <v>521</v>
      </c>
      <c r="I744" s="409" t="s">
        <v>969</v>
      </c>
      <c r="J744" s="408" t="s">
        <v>1413</v>
      </c>
      <c r="K744" s="409">
        <v>1</v>
      </c>
      <c r="L744" s="413" t="s">
        <v>1531</v>
      </c>
      <c r="M744" s="397">
        <v>1710</v>
      </c>
      <c r="N744" s="426" t="s">
        <v>2463</v>
      </c>
      <c r="O744" s="393" t="s">
        <v>2464</v>
      </c>
      <c r="P744" s="416" t="s">
        <v>1413</v>
      </c>
      <c r="Q744" s="340" t="s">
        <v>2433</v>
      </c>
      <c r="R744" s="338">
        <v>1</v>
      </c>
      <c r="S744" s="408" t="s">
        <v>1413</v>
      </c>
      <c r="T744" s="396">
        <v>1.1E-5</v>
      </c>
      <c r="U744" s="396">
        <v>7.9999999999999996E-6</v>
      </c>
    </row>
    <row r="745" spans="1:21" ht="15">
      <c r="A745" s="403" t="s">
        <v>1531</v>
      </c>
      <c r="B745" s="404" t="s">
        <v>1413</v>
      </c>
      <c r="C745" s="398" t="s">
        <v>1531</v>
      </c>
      <c r="D745" s="404" t="s">
        <v>1413</v>
      </c>
      <c r="E745" s="394">
        <v>5.0000000000000001E-3</v>
      </c>
      <c r="F745" s="405" t="s">
        <v>520</v>
      </c>
      <c r="G745" s="398" t="s">
        <v>1531</v>
      </c>
      <c r="H745" s="404" t="s">
        <v>1413</v>
      </c>
      <c r="I745" s="404" t="s">
        <v>1413</v>
      </c>
      <c r="J745" s="404" t="s">
        <v>1413</v>
      </c>
      <c r="K745" s="405">
        <v>1</v>
      </c>
      <c r="L745" s="405">
        <v>0.1</v>
      </c>
      <c r="M745" s="406" t="s">
        <v>1531</v>
      </c>
      <c r="N745" s="425" t="s">
        <v>2509</v>
      </c>
      <c r="O745" s="391" t="s">
        <v>2510</v>
      </c>
      <c r="P745" s="414" t="s">
        <v>1413</v>
      </c>
      <c r="Q745" s="340" t="s">
        <v>2433</v>
      </c>
      <c r="R745" s="338">
        <v>1</v>
      </c>
      <c r="S745" s="404" t="s">
        <v>1413</v>
      </c>
      <c r="T745" s="398" t="s">
        <v>1531</v>
      </c>
      <c r="U745" s="398" t="s">
        <v>1531</v>
      </c>
    </row>
    <row r="746" spans="1:21" ht="15">
      <c r="A746" s="427">
        <v>1.6E-2</v>
      </c>
      <c r="B746" s="405" t="s">
        <v>520</v>
      </c>
      <c r="C746" s="394">
        <v>5.1E-5</v>
      </c>
      <c r="D746" s="405" t="s">
        <v>521</v>
      </c>
      <c r="E746" s="398" t="s">
        <v>1531</v>
      </c>
      <c r="F746" s="404" t="s">
        <v>1413</v>
      </c>
      <c r="G746" s="398" t="s">
        <v>1531</v>
      </c>
      <c r="H746" s="404" t="s">
        <v>1413</v>
      </c>
      <c r="I746" s="404" t="s">
        <v>1413</v>
      </c>
      <c r="J746" s="404" t="s">
        <v>1413</v>
      </c>
      <c r="K746" s="405">
        <v>1</v>
      </c>
      <c r="L746" s="405">
        <v>0.1</v>
      </c>
      <c r="M746" s="406" t="s">
        <v>1531</v>
      </c>
      <c r="N746" s="425" t="s">
        <v>2431</v>
      </c>
      <c r="O746" s="391" t="s">
        <v>2432</v>
      </c>
      <c r="P746" s="414" t="s">
        <v>1413</v>
      </c>
      <c r="Q746" s="340" t="s">
        <v>2433</v>
      </c>
      <c r="R746" s="338">
        <v>1</v>
      </c>
      <c r="S746" s="404" t="s">
        <v>1413</v>
      </c>
      <c r="T746" s="394">
        <v>5.1E-5</v>
      </c>
      <c r="U746" s="398" t="s">
        <v>1531</v>
      </c>
    </row>
    <row r="747" spans="1:21" ht="15.6" thickBot="1">
      <c r="A747" s="412">
        <v>0.03</v>
      </c>
      <c r="B747" s="409" t="s">
        <v>520</v>
      </c>
      <c r="C747" s="399" t="s">
        <v>1531</v>
      </c>
      <c r="D747" s="408" t="s">
        <v>1413</v>
      </c>
      <c r="E747" s="396">
        <v>4.0000000000000001E-3</v>
      </c>
      <c r="F747" s="409" t="s">
        <v>961</v>
      </c>
      <c r="G747" s="399" t="s">
        <v>1531</v>
      </c>
      <c r="H747" s="408" t="s">
        <v>1413</v>
      </c>
      <c r="I747" s="408" t="s">
        <v>1413</v>
      </c>
      <c r="J747" s="408" t="s">
        <v>1413</v>
      </c>
      <c r="K747" s="409">
        <v>1</v>
      </c>
      <c r="L747" s="409">
        <v>0.1</v>
      </c>
      <c r="M747" s="410" t="s">
        <v>1531</v>
      </c>
      <c r="N747" s="426" t="s">
        <v>1357</v>
      </c>
      <c r="O747" s="393" t="s">
        <v>295</v>
      </c>
      <c r="P747" s="416" t="s">
        <v>1413</v>
      </c>
      <c r="Q747" s="340" t="s">
        <v>2433</v>
      </c>
      <c r="R747" s="338">
        <v>1</v>
      </c>
      <c r="S747" s="408" t="s">
        <v>1413</v>
      </c>
      <c r="T747" s="399" t="s">
        <v>1531</v>
      </c>
      <c r="U747" s="399" t="s">
        <v>1531</v>
      </c>
    </row>
    <row r="748" spans="1:21" ht="30">
      <c r="A748" s="403" t="s">
        <v>1531</v>
      </c>
      <c r="B748" s="404" t="s">
        <v>1413</v>
      </c>
      <c r="C748" s="398" t="s">
        <v>1531</v>
      </c>
      <c r="D748" s="404" t="s">
        <v>1413</v>
      </c>
      <c r="E748" s="394">
        <v>3</v>
      </c>
      <c r="F748" s="405" t="s">
        <v>520</v>
      </c>
      <c r="G748" s="398" t="s">
        <v>1531</v>
      </c>
      <c r="H748" s="404" t="s">
        <v>1413</v>
      </c>
      <c r="I748" s="405" t="s">
        <v>969</v>
      </c>
      <c r="J748" s="404" t="s">
        <v>1413</v>
      </c>
      <c r="K748" s="405">
        <v>1</v>
      </c>
      <c r="L748" s="411" t="s">
        <v>1531</v>
      </c>
      <c r="M748" s="395">
        <v>0.34200000000000003</v>
      </c>
      <c r="N748" s="425" t="s">
        <v>2049</v>
      </c>
      <c r="O748" s="391" t="s">
        <v>2511</v>
      </c>
      <c r="P748" s="414" t="s">
        <v>1413</v>
      </c>
      <c r="Q748" s="340" t="s">
        <v>2433</v>
      </c>
      <c r="R748" s="338">
        <v>1</v>
      </c>
      <c r="S748" s="404" t="s">
        <v>1413</v>
      </c>
      <c r="T748" s="398" t="s">
        <v>1531</v>
      </c>
      <c r="U748" s="398" t="s">
        <v>1531</v>
      </c>
    </row>
    <row r="749" spans="1:21" ht="30">
      <c r="A749" s="403" t="s">
        <v>1531</v>
      </c>
      <c r="B749" s="404" t="s">
        <v>1413</v>
      </c>
      <c r="C749" s="398" t="s">
        <v>1531</v>
      </c>
      <c r="D749" s="404" t="s">
        <v>1413</v>
      </c>
      <c r="E749" s="398" t="s">
        <v>1531</v>
      </c>
      <c r="F749" s="404" t="s">
        <v>1413</v>
      </c>
      <c r="G749" s="394">
        <v>0.6</v>
      </c>
      <c r="H749" s="405" t="s">
        <v>520</v>
      </c>
      <c r="I749" s="405" t="s">
        <v>969</v>
      </c>
      <c r="J749" s="404" t="s">
        <v>1413</v>
      </c>
      <c r="K749" s="405">
        <v>1</v>
      </c>
      <c r="L749" s="411" t="s">
        <v>1531</v>
      </c>
      <c r="M749" s="395">
        <v>141</v>
      </c>
      <c r="N749" s="425" t="s">
        <v>2050</v>
      </c>
      <c r="O749" s="391" t="s">
        <v>2512</v>
      </c>
      <c r="P749" s="414" t="s">
        <v>1413</v>
      </c>
      <c r="Q749" s="340" t="s">
        <v>2433</v>
      </c>
      <c r="R749" s="338">
        <v>1</v>
      </c>
      <c r="S749" s="404" t="s">
        <v>1413</v>
      </c>
      <c r="T749" s="398" t="s">
        <v>1531</v>
      </c>
      <c r="U749" s="394">
        <v>0.6</v>
      </c>
    </row>
    <row r="750" spans="1:21" ht="30.6" thickBot="1">
      <c r="A750" s="407" t="s">
        <v>1531</v>
      </c>
      <c r="B750" s="408" t="s">
        <v>1413</v>
      </c>
      <c r="C750" s="399" t="s">
        <v>1531</v>
      </c>
      <c r="D750" s="408" t="s">
        <v>1413</v>
      </c>
      <c r="E750" s="396">
        <v>0.01</v>
      </c>
      <c r="F750" s="409" t="s">
        <v>961</v>
      </c>
      <c r="G750" s="396">
        <v>0.1</v>
      </c>
      <c r="H750" s="409" t="s">
        <v>520</v>
      </c>
      <c r="I750" s="409" t="s">
        <v>969</v>
      </c>
      <c r="J750" s="408" t="s">
        <v>1413</v>
      </c>
      <c r="K750" s="409">
        <v>1</v>
      </c>
      <c r="L750" s="413" t="s">
        <v>1531</v>
      </c>
      <c r="M750" s="397">
        <v>6.86</v>
      </c>
      <c r="N750" s="426" t="s">
        <v>2051</v>
      </c>
      <c r="O750" s="393" t="s">
        <v>2513</v>
      </c>
      <c r="P750" s="416" t="s">
        <v>1413</v>
      </c>
      <c r="Q750" s="340" t="s">
        <v>2434</v>
      </c>
      <c r="R750" s="338">
        <v>1</v>
      </c>
      <c r="S750" s="408" t="s">
        <v>1413</v>
      </c>
      <c r="T750" s="399" t="s">
        <v>1531</v>
      </c>
      <c r="U750" s="396">
        <v>0.1</v>
      </c>
    </row>
    <row r="751" spans="1:21" ht="30">
      <c r="A751" s="403" t="s">
        <v>1531</v>
      </c>
      <c r="B751" s="404" t="s">
        <v>1413</v>
      </c>
      <c r="C751" s="398" t="s">
        <v>1531</v>
      </c>
      <c r="D751" s="404" t="s">
        <v>1413</v>
      </c>
      <c r="E751" s="394">
        <v>0.04</v>
      </c>
      <c r="F751" s="405" t="s">
        <v>520</v>
      </c>
      <c r="G751" s="398" t="s">
        <v>1531</v>
      </c>
      <c r="H751" s="404" t="s">
        <v>1413</v>
      </c>
      <c r="I751" s="404" t="s">
        <v>1413</v>
      </c>
      <c r="J751" s="404" t="s">
        <v>1413</v>
      </c>
      <c r="K751" s="405">
        <v>1</v>
      </c>
      <c r="L751" s="405">
        <v>0.1</v>
      </c>
      <c r="M751" s="406" t="s">
        <v>1531</v>
      </c>
      <c r="N751" s="425" t="s">
        <v>2052</v>
      </c>
      <c r="O751" s="391" t="s">
        <v>2514</v>
      </c>
      <c r="P751" s="414" t="s">
        <v>1413</v>
      </c>
      <c r="Q751" s="340" t="s">
        <v>2433</v>
      </c>
      <c r="R751" s="338">
        <v>1</v>
      </c>
      <c r="S751" s="404" t="s">
        <v>1413</v>
      </c>
      <c r="T751" s="398" t="s">
        <v>1531</v>
      </c>
      <c r="U751" s="398" t="s">
        <v>1531</v>
      </c>
    </row>
    <row r="752" spans="1:21" ht="30">
      <c r="A752" s="403" t="s">
        <v>1531</v>
      </c>
      <c r="B752" s="404" t="s">
        <v>1413</v>
      </c>
      <c r="C752" s="398" t="s">
        <v>1531</v>
      </c>
      <c r="D752" s="404" t="s">
        <v>1413</v>
      </c>
      <c r="E752" s="394">
        <v>4.0000000000000001E-3</v>
      </c>
      <c r="F752" s="405" t="s">
        <v>520</v>
      </c>
      <c r="G752" s="394">
        <v>0.03</v>
      </c>
      <c r="H752" s="405" t="s">
        <v>520</v>
      </c>
      <c r="I752" s="405" t="s">
        <v>969</v>
      </c>
      <c r="J752" s="404" t="s">
        <v>1413</v>
      </c>
      <c r="K752" s="405">
        <v>1</v>
      </c>
      <c r="L752" s="411" t="s">
        <v>1531</v>
      </c>
      <c r="M752" s="395">
        <v>1820</v>
      </c>
      <c r="N752" s="425" t="s">
        <v>2053</v>
      </c>
      <c r="O752" s="391" t="s">
        <v>2515</v>
      </c>
      <c r="P752" s="414" t="s">
        <v>1413</v>
      </c>
      <c r="Q752" s="340" t="s">
        <v>2433</v>
      </c>
      <c r="R752" s="338">
        <v>1</v>
      </c>
      <c r="S752" s="404" t="s">
        <v>1413</v>
      </c>
      <c r="T752" s="398" t="s">
        <v>1531</v>
      </c>
      <c r="U752" s="394">
        <v>0.03</v>
      </c>
    </row>
    <row r="753" spans="1:21" ht="30.6" thickBot="1">
      <c r="A753" s="407" t="s">
        <v>1531</v>
      </c>
      <c r="B753" s="408" t="s">
        <v>1413</v>
      </c>
      <c r="C753" s="399" t="s">
        <v>1531</v>
      </c>
      <c r="D753" s="408" t="s">
        <v>1413</v>
      </c>
      <c r="E753" s="396">
        <v>4.0000000000000001E-3</v>
      </c>
      <c r="F753" s="409" t="s">
        <v>520</v>
      </c>
      <c r="G753" s="396">
        <v>3.0000000000000001E-3</v>
      </c>
      <c r="H753" s="409" t="s">
        <v>520</v>
      </c>
      <c r="I753" s="409" t="s">
        <v>969</v>
      </c>
      <c r="J753" s="408" t="s">
        <v>1413</v>
      </c>
      <c r="K753" s="409">
        <v>1</v>
      </c>
      <c r="L753" s="413" t="s">
        <v>1531</v>
      </c>
      <c r="M753" s="410" t="s">
        <v>1531</v>
      </c>
      <c r="N753" s="426" t="s">
        <v>2054</v>
      </c>
      <c r="O753" s="393" t="s">
        <v>2516</v>
      </c>
      <c r="P753" s="416" t="s">
        <v>1413</v>
      </c>
      <c r="Q753" s="340" t="s">
        <v>2433</v>
      </c>
      <c r="R753" s="338">
        <v>1</v>
      </c>
      <c r="S753" s="408" t="s">
        <v>1413</v>
      </c>
      <c r="T753" s="399" t="s">
        <v>1531</v>
      </c>
      <c r="U753" s="396">
        <v>3.0000000000000001E-3</v>
      </c>
    </row>
    <row r="754" spans="1:21" ht="15">
      <c r="A754" s="427">
        <v>1.1000000000000001</v>
      </c>
      <c r="B754" s="405" t="s">
        <v>1412</v>
      </c>
      <c r="C754" s="394">
        <v>3.2000000000000003E-4</v>
      </c>
      <c r="D754" s="405" t="s">
        <v>1412</v>
      </c>
      <c r="E754" s="398" t="s">
        <v>1531</v>
      </c>
      <c r="F754" s="404" t="s">
        <v>1413</v>
      </c>
      <c r="G754" s="398" t="s">
        <v>1531</v>
      </c>
      <c r="H754" s="404" t="s">
        <v>1413</v>
      </c>
      <c r="I754" s="404" t="s">
        <v>1413</v>
      </c>
      <c r="J754" s="404" t="s">
        <v>1413</v>
      </c>
      <c r="K754" s="405">
        <v>1</v>
      </c>
      <c r="L754" s="405">
        <v>0.1</v>
      </c>
      <c r="M754" s="406" t="s">
        <v>1531</v>
      </c>
      <c r="N754" s="425" t="s">
        <v>399</v>
      </c>
      <c r="O754" s="391" t="s">
        <v>296</v>
      </c>
      <c r="P754" s="429">
        <v>3</v>
      </c>
      <c r="Q754" s="340" t="s">
        <v>2433</v>
      </c>
      <c r="R754" s="338">
        <v>1</v>
      </c>
      <c r="S754" s="404" t="s">
        <v>1413</v>
      </c>
      <c r="T754" s="394">
        <v>3.2000000000000003E-4</v>
      </c>
      <c r="U754" s="398" t="s">
        <v>1531</v>
      </c>
    </row>
    <row r="755" spans="1:21" ht="15">
      <c r="A755" s="403" t="s">
        <v>1531</v>
      </c>
      <c r="B755" s="404" t="s">
        <v>1413</v>
      </c>
      <c r="C755" s="398" t="s">
        <v>1531</v>
      </c>
      <c r="D755" s="404" t="s">
        <v>1413</v>
      </c>
      <c r="E755" s="394">
        <v>7.4999999999999997E-3</v>
      </c>
      <c r="F755" s="405" t="s">
        <v>1412</v>
      </c>
      <c r="G755" s="398" t="s">
        <v>1531</v>
      </c>
      <c r="H755" s="404" t="s">
        <v>1413</v>
      </c>
      <c r="I755" s="404" t="s">
        <v>1413</v>
      </c>
      <c r="J755" s="404" t="s">
        <v>1413</v>
      </c>
      <c r="K755" s="405">
        <v>1</v>
      </c>
      <c r="L755" s="405">
        <v>0.1</v>
      </c>
      <c r="M755" s="406" t="s">
        <v>1531</v>
      </c>
      <c r="N755" s="425" t="s">
        <v>1358</v>
      </c>
      <c r="O755" s="391" t="s">
        <v>297</v>
      </c>
      <c r="P755" s="414" t="s">
        <v>1413</v>
      </c>
      <c r="Q755" s="340" t="s">
        <v>2434</v>
      </c>
      <c r="R755" s="338">
        <v>1</v>
      </c>
      <c r="S755" s="404" t="s">
        <v>1413</v>
      </c>
      <c r="T755" s="398" t="s">
        <v>1531</v>
      </c>
      <c r="U755" s="398" t="s">
        <v>1531</v>
      </c>
    </row>
    <row r="756" spans="1:21" ht="15.6" thickBot="1">
      <c r="A756" s="407" t="s">
        <v>1531</v>
      </c>
      <c r="B756" s="408" t="s">
        <v>1413</v>
      </c>
      <c r="C756" s="399" t="s">
        <v>1531</v>
      </c>
      <c r="D756" s="408" t="s">
        <v>1413</v>
      </c>
      <c r="E756" s="396">
        <v>80</v>
      </c>
      <c r="F756" s="409" t="s">
        <v>961</v>
      </c>
      <c r="G756" s="399" t="s">
        <v>1531</v>
      </c>
      <c r="H756" s="408" t="s">
        <v>1413</v>
      </c>
      <c r="I756" s="408" t="s">
        <v>1413</v>
      </c>
      <c r="J756" s="408" t="s">
        <v>1413</v>
      </c>
      <c r="K756" s="409">
        <v>1</v>
      </c>
      <c r="L756" s="409">
        <v>0.1</v>
      </c>
      <c r="M756" s="410" t="s">
        <v>1531</v>
      </c>
      <c r="N756" s="426" t="s">
        <v>2012</v>
      </c>
      <c r="O756" s="393" t="s">
        <v>2013</v>
      </c>
      <c r="P756" s="416" t="s">
        <v>1413</v>
      </c>
      <c r="Q756" s="340" t="s">
        <v>2434</v>
      </c>
      <c r="R756" s="338">
        <v>1</v>
      </c>
      <c r="S756" s="408" t="s">
        <v>1413</v>
      </c>
      <c r="T756" s="399" t="s">
        <v>1531</v>
      </c>
      <c r="U756" s="399" t="s">
        <v>1531</v>
      </c>
    </row>
    <row r="757" spans="1:21" ht="15">
      <c r="A757" s="403" t="s">
        <v>1531</v>
      </c>
      <c r="B757" s="404" t="s">
        <v>1413</v>
      </c>
      <c r="C757" s="398" t="s">
        <v>1531</v>
      </c>
      <c r="D757" s="404" t="s">
        <v>1413</v>
      </c>
      <c r="E757" s="394">
        <v>3.4000000000000002E-2</v>
      </c>
      <c r="F757" s="405" t="s">
        <v>1474</v>
      </c>
      <c r="G757" s="398" t="s">
        <v>1531</v>
      </c>
      <c r="H757" s="404" t="s">
        <v>1413</v>
      </c>
      <c r="I757" s="404" t="s">
        <v>1413</v>
      </c>
      <c r="J757" s="404" t="s">
        <v>1413</v>
      </c>
      <c r="K757" s="405">
        <v>1</v>
      </c>
      <c r="L757" s="405">
        <v>0.1</v>
      </c>
      <c r="M757" s="406" t="s">
        <v>1531</v>
      </c>
      <c r="N757" s="425" t="s">
        <v>2321</v>
      </c>
      <c r="O757" s="391" t="s">
        <v>680</v>
      </c>
      <c r="P757" s="414" t="s">
        <v>1413</v>
      </c>
      <c r="Q757" s="340" t="s">
        <v>2434</v>
      </c>
      <c r="R757" s="338">
        <v>1</v>
      </c>
      <c r="S757" s="404" t="s">
        <v>1413</v>
      </c>
      <c r="T757" s="398" t="s">
        <v>1531</v>
      </c>
      <c r="U757" s="398" t="s">
        <v>1531</v>
      </c>
    </row>
    <row r="758" spans="1:21" ht="15">
      <c r="A758" s="427">
        <v>7.1999999999999995E-2</v>
      </c>
      <c r="B758" s="405" t="s">
        <v>1474</v>
      </c>
      <c r="C758" s="398" t="s">
        <v>1531</v>
      </c>
      <c r="D758" s="404" t="s">
        <v>1413</v>
      </c>
      <c r="E758" s="394">
        <v>2.5000000000000001E-2</v>
      </c>
      <c r="F758" s="405" t="s">
        <v>1474</v>
      </c>
      <c r="G758" s="398" t="s">
        <v>1531</v>
      </c>
      <c r="H758" s="404" t="s">
        <v>1413</v>
      </c>
      <c r="I758" s="405" t="s">
        <v>969</v>
      </c>
      <c r="J758" s="404" t="s">
        <v>1413</v>
      </c>
      <c r="K758" s="405">
        <v>1</v>
      </c>
      <c r="L758" s="411" t="s">
        <v>1531</v>
      </c>
      <c r="M758" s="406" t="s">
        <v>1531</v>
      </c>
      <c r="N758" s="425" t="s">
        <v>1359</v>
      </c>
      <c r="O758" s="391" t="s">
        <v>305</v>
      </c>
      <c r="P758" s="414" t="s">
        <v>1413</v>
      </c>
      <c r="Q758" s="340" t="s">
        <v>2433</v>
      </c>
      <c r="R758" s="338">
        <v>1</v>
      </c>
      <c r="S758" s="404" t="s">
        <v>1413</v>
      </c>
      <c r="T758" s="398" t="s">
        <v>1531</v>
      </c>
      <c r="U758" s="398" t="s">
        <v>1531</v>
      </c>
    </row>
    <row r="759" spans="1:21" ht="45.6" thickBot="1">
      <c r="A759" s="407" t="s">
        <v>1531</v>
      </c>
      <c r="B759" s="408" t="s">
        <v>1413</v>
      </c>
      <c r="C759" s="399" t="s">
        <v>1531</v>
      </c>
      <c r="D759" s="408" t="s">
        <v>1413</v>
      </c>
      <c r="E759" s="396">
        <v>49</v>
      </c>
      <c r="F759" s="409" t="s">
        <v>520</v>
      </c>
      <c r="G759" s="399" t="s">
        <v>1531</v>
      </c>
      <c r="H759" s="408" t="s">
        <v>1413</v>
      </c>
      <c r="I759" s="408" t="s">
        <v>1413</v>
      </c>
      <c r="J759" s="408" t="s">
        <v>1413</v>
      </c>
      <c r="K759" s="409">
        <v>1</v>
      </c>
      <c r="L759" s="413" t="s">
        <v>1531</v>
      </c>
      <c r="M759" s="410" t="s">
        <v>1531</v>
      </c>
      <c r="N759" s="426" t="s">
        <v>2405</v>
      </c>
      <c r="O759" s="393" t="s">
        <v>1607</v>
      </c>
      <c r="P759" s="416" t="s">
        <v>1413</v>
      </c>
      <c r="Q759" s="340" t="s">
        <v>2433</v>
      </c>
      <c r="R759" s="338">
        <v>1</v>
      </c>
      <c r="S759" s="408" t="s">
        <v>1413</v>
      </c>
      <c r="T759" s="399" t="s">
        <v>1531</v>
      </c>
      <c r="U759" s="399" t="s">
        <v>1531</v>
      </c>
    </row>
    <row r="760" spans="1:21" ht="15">
      <c r="A760" s="403" t="s">
        <v>1531</v>
      </c>
      <c r="B760" s="404" t="s">
        <v>1413</v>
      </c>
      <c r="C760" s="398" t="s">
        <v>1531</v>
      </c>
      <c r="D760" s="404" t="s">
        <v>1413</v>
      </c>
      <c r="E760" s="394">
        <v>0.01</v>
      </c>
      <c r="F760" s="405" t="s">
        <v>1412</v>
      </c>
      <c r="G760" s="398" t="s">
        <v>1531</v>
      </c>
      <c r="H760" s="404" t="s">
        <v>1413</v>
      </c>
      <c r="I760" s="404" t="s">
        <v>1413</v>
      </c>
      <c r="J760" s="404" t="s">
        <v>1413</v>
      </c>
      <c r="K760" s="405">
        <v>1</v>
      </c>
      <c r="L760" s="405">
        <v>0.1</v>
      </c>
      <c r="M760" s="406" t="s">
        <v>1531</v>
      </c>
      <c r="N760" s="425" t="s">
        <v>1360</v>
      </c>
      <c r="O760" s="391" t="s">
        <v>306</v>
      </c>
      <c r="P760" s="414" t="s">
        <v>1413</v>
      </c>
      <c r="Q760" s="340" t="s">
        <v>2433</v>
      </c>
      <c r="R760" s="338">
        <v>1</v>
      </c>
      <c r="S760" s="404" t="s">
        <v>1413</v>
      </c>
      <c r="T760" s="398" t="s">
        <v>1531</v>
      </c>
      <c r="U760" s="398" t="s">
        <v>1531</v>
      </c>
    </row>
    <row r="761" spans="1:21" ht="15">
      <c r="A761" s="403" t="s">
        <v>1531</v>
      </c>
      <c r="B761" s="404" t="s">
        <v>1413</v>
      </c>
      <c r="C761" s="398" t="s">
        <v>1531</v>
      </c>
      <c r="D761" s="404" t="s">
        <v>1413</v>
      </c>
      <c r="E761" s="394">
        <v>8.0000000000000002E-3</v>
      </c>
      <c r="F761" s="405" t="s">
        <v>1412</v>
      </c>
      <c r="G761" s="398" t="s">
        <v>1531</v>
      </c>
      <c r="H761" s="404" t="s">
        <v>1413</v>
      </c>
      <c r="I761" s="404" t="s">
        <v>1413</v>
      </c>
      <c r="J761" s="404" t="s">
        <v>1413</v>
      </c>
      <c r="K761" s="405">
        <v>1</v>
      </c>
      <c r="L761" s="405">
        <v>0.1</v>
      </c>
      <c r="M761" s="406" t="s">
        <v>1531</v>
      </c>
      <c r="N761" s="425" t="s">
        <v>2322</v>
      </c>
      <c r="O761" s="391" t="s">
        <v>929</v>
      </c>
      <c r="P761" s="414" t="s">
        <v>1413</v>
      </c>
      <c r="Q761" s="340" t="s">
        <v>2434</v>
      </c>
      <c r="R761" s="338">
        <v>1</v>
      </c>
      <c r="S761" s="404" t="s">
        <v>1413</v>
      </c>
      <c r="T761" s="398" t="s">
        <v>1531</v>
      </c>
      <c r="U761" s="398" t="s">
        <v>1531</v>
      </c>
    </row>
    <row r="762" spans="1:21" ht="15.6" thickBot="1">
      <c r="A762" s="407" t="s">
        <v>1531</v>
      </c>
      <c r="B762" s="408" t="s">
        <v>1413</v>
      </c>
      <c r="C762" s="399" t="s">
        <v>1531</v>
      </c>
      <c r="D762" s="408" t="s">
        <v>1413</v>
      </c>
      <c r="E762" s="396">
        <v>5.0000000000000001E-3</v>
      </c>
      <c r="F762" s="409" t="s">
        <v>1412</v>
      </c>
      <c r="G762" s="399" t="s">
        <v>1531</v>
      </c>
      <c r="H762" s="408" t="s">
        <v>1413</v>
      </c>
      <c r="I762" s="409" t="s">
        <v>969</v>
      </c>
      <c r="J762" s="408" t="s">
        <v>1413</v>
      </c>
      <c r="K762" s="409">
        <v>1</v>
      </c>
      <c r="L762" s="413" t="s">
        <v>1531</v>
      </c>
      <c r="M762" s="410" t="s">
        <v>1531</v>
      </c>
      <c r="N762" s="426" t="s">
        <v>1361</v>
      </c>
      <c r="O762" s="393" t="s">
        <v>307</v>
      </c>
      <c r="P762" s="416" t="s">
        <v>1413</v>
      </c>
      <c r="Q762" s="340" t="s">
        <v>2433</v>
      </c>
      <c r="R762" s="338">
        <v>1</v>
      </c>
      <c r="S762" s="408" t="s">
        <v>1413</v>
      </c>
      <c r="T762" s="399" t="s">
        <v>1531</v>
      </c>
      <c r="U762" s="399" t="s">
        <v>1531</v>
      </c>
    </row>
    <row r="763" spans="1:21" ht="15">
      <c r="A763" s="403" t="s">
        <v>1531</v>
      </c>
      <c r="B763" s="404" t="s">
        <v>1413</v>
      </c>
      <c r="C763" s="398" t="s">
        <v>1531</v>
      </c>
      <c r="D763" s="404" t="s">
        <v>1413</v>
      </c>
      <c r="E763" s="394">
        <v>8.9999999999999993E-3</v>
      </c>
      <c r="F763" s="405" t="s">
        <v>961</v>
      </c>
      <c r="G763" s="398" t="s">
        <v>1531</v>
      </c>
      <c r="H763" s="404" t="s">
        <v>1413</v>
      </c>
      <c r="I763" s="404" t="s">
        <v>1413</v>
      </c>
      <c r="J763" s="404" t="s">
        <v>1413</v>
      </c>
      <c r="K763" s="405">
        <v>1</v>
      </c>
      <c r="L763" s="405">
        <v>0.1</v>
      </c>
      <c r="M763" s="406" t="s">
        <v>1531</v>
      </c>
      <c r="N763" s="425" t="s">
        <v>2465</v>
      </c>
      <c r="O763" s="391" t="s">
        <v>2466</v>
      </c>
      <c r="P763" s="414" t="s">
        <v>1413</v>
      </c>
      <c r="Q763" s="340" t="s">
        <v>2433</v>
      </c>
      <c r="R763" s="338">
        <v>1</v>
      </c>
      <c r="S763" s="404" t="s">
        <v>1413</v>
      </c>
      <c r="T763" s="398" t="s">
        <v>1531</v>
      </c>
      <c r="U763" s="398" t="s">
        <v>1531</v>
      </c>
    </row>
    <row r="764" spans="1:21" ht="15">
      <c r="A764" s="427">
        <v>8.9999999999999993E-3</v>
      </c>
      <c r="B764" s="405" t="s">
        <v>520</v>
      </c>
      <c r="C764" s="398" t="s">
        <v>1531</v>
      </c>
      <c r="D764" s="404" t="s">
        <v>1413</v>
      </c>
      <c r="E764" s="394">
        <v>0.01</v>
      </c>
      <c r="F764" s="405" t="s">
        <v>520</v>
      </c>
      <c r="G764" s="398" t="s">
        <v>1531</v>
      </c>
      <c r="H764" s="404" t="s">
        <v>1413</v>
      </c>
      <c r="I764" s="404" t="s">
        <v>1413</v>
      </c>
      <c r="J764" s="404" t="s">
        <v>1413</v>
      </c>
      <c r="K764" s="405">
        <v>1</v>
      </c>
      <c r="L764" s="405">
        <v>0.1</v>
      </c>
      <c r="M764" s="406" t="s">
        <v>1531</v>
      </c>
      <c r="N764" s="425" t="s">
        <v>543</v>
      </c>
      <c r="O764" s="391" t="s">
        <v>308</v>
      </c>
      <c r="P764" s="414" t="s">
        <v>1413</v>
      </c>
      <c r="Q764" s="340" t="s">
        <v>2433</v>
      </c>
      <c r="R764" s="338">
        <v>1</v>
      </c>
      <c r="S764" s="404" t="s">
        <v>1413</v>
      </c>
      <c r="T764" s="398" t="s">
        <v>1531</v>
      </c>
      <c r="U764" s="398" t="s">
        <v>1531</v>
      </c>
    </row>
    <row r="765" spans="1:21" ht="15.6" thickBot="1">
      <c r="A765" s="407" t="s">
        <v>1531</v>
      </c>
      <c r="B765" s="408" t="s">
        <v>1413</v>
      </c>
      <c r="C765" s="399" t="s">
        <v>1531</v>
      </c>
      <c r="D765" s="408" t="s">
        <v>1413</v>
      </c>
      <c r="E765" s="396">
        <v>2.9999999999999997E-4</v>
      </c>
      <c r="F765" s="409" t="s">
        <v>520</v>
      </c>
      <c r="G765" s="399" t="s">
        <v>1531</v>
      </c>
      <c r="H765" s="408" t="s">
        <v>1413</v>
      </c>
      <c r="I765" s="408" t="s">
        <v>1413</v>
      </c>
      <c r="J765" s="408" t="s">
        <v>1413</v>
      </c>
      <c r="K765" s="409">
        <v>1</v>
      </c>
      <c r="L765" s="409">
        <v>0.1</v>
      </c>
      <c r="M765" s="410" t="s">
        <v>1531</v>
      </c>
      <c r="N765" s="426" t="s">
        <v>1362</v>
      </c>
      <c r="O765" s="508" t="s">
        <v>2174</v>
      </c>
      <c r="P765" s="416" t="s">
        <v>1413</v>
      </c>
      <c r="Q765" s="340" t="s">
        <v>2434</v>
      </c>
      <c r="R765" s="338">
        <v>1</v>
      </c>
      <c r="S765" s="408" t="s">
        <v>1413</v>
      </c>
      <c r="T765" s="399" t="s">
        <v>1531</v>
      </c>
      <c r="U765" s="399" t="s">
        <v>1531</v>
      </c>
    </row>
    <row r="766" spans="1:21" ht="15">
      <c r="A766" s="403" t="s">
        <v>1531</v>
      </c>
      <c r="B766" s="404" t="s">
        <v>1413</v>
      </c>
      <c r="C766" s="398" t="s">
        <v>1531</v>
      </c>
      <c r="D766" s="404" t="s">
        <v>1413</v>
      </c>
      <c r="E766" s="394">
        <v>2.9999999999999997E-4</v>
      </c>
      <c r="F766" s="405" t="s">
        <v>1412</v>
      </c>
      <c r="G766" s="398" t="s">
        <v>1531</v>
      </c>
      <c r="H766" s="404" t="s">
        <v>1413</v>
      </c>
      <c r="I766" s="404" t="s">
        <v>1413</v>
      </c>
      <c r="J766" s="404" t="s">
        <v>1413</v>
      </c>
      <c r="K766" s="405">
        <v>1</v>
      </c>
      <c r="L766" s="405">
        <v>0.1</v>
      </c>
      <c r="M766" s="406" t="s">
        <v>1531</v>
      </c>
      <c r="N766" s="425" t="s">
        <v>1363</v>
      </c>
      <c r="O766" s="391" t="s">
        <v>309</v>
      </c>
      <c r="P766" s="414" t="s">
        <v>1413</v>
      </c>
      <c r="Q766" s="340" t="s">
        <v>2434</v>
      </c>
      <c r="R766" s="338">
        <v>1</v>
      </c>
      <c r="S766" s="404" t="s">
        <v>1413</v>
      </c>
      <c r="T766" s="398" t="s">
        <v>1531</v>
      </c>
      <c r="U766" s="398" t="s">
        <v>1531</v>
      </c>
    </row>
    <row r="767" spans="1:21" ht="15">
      <c r="A767" s="403" t="s">
        <v>1531</v>
      </c>
      <c r="B767" s="404" t="s">
        <v>1413</v>
      </c>
      <c r="C767" s="398" t="s">
        <v>1531</v>
      </c>
      <c r="D767" s="404" t="s">
        <v>1413</v>
      </c>
      <c r="E767" s="394">
        <v>49</v>
      </c>
      <c r="F767" s="405" t="s">
        <v>520</v>
      </c>
      <c r="G767" s="398" t="s">
        <v>1531</v>
      </c>
      <c r="H767" s="404" t="s">
        <v>1413</v>
      </c>
      <c r="I767" s="404" t="s">
        <v>1413</v>
      </c>
      <c r="J767" s="404" t="s">
        <v>1413</v>
      </c>
      <c r="K767" s="405">
        <v>1</v>
      </c>
      <c r="L767" s="411" t="s">
        <v>1531</v>
      </c>
      <c r="M767" s="406" t="s">
        <v>1531</v>
      </c>
      <c r="N767" s="425" t="s">
        <v>2406</v>
      </c>
      <c r="O767" s="391" t="s">
        <v>1608</v>
      </c>
      <c r="P767" s="414" t="s">
        <v>1413</v>
      </c>
      <c r="Q767" s="340" t="s">
        <v>2433</v>
      </c>
      <c r="R767" s="338">
        <v>1</v>
      </c>
      <c r="S767" s="404" t="s">
        <v>1413</v>
      </c>
      <c r="T767" s="398" t="s">
        <v>1531</v>
      </c>
      <c r="U767" s="398" t="s">
        <v>1531</v>
      </c>
    </row>
    <row r="768" spans="1:21" ht="15.6" thickBot="1">
      <c r="A768" s="407" t="s">
        <v>1531</v>
      </c>
      <c r="B768" s="408" t="s">
        <v>1413</v>
      </c>
      <c r="C768" s="399" t="s">
        <v>1531</v>
      </c>
      <c r="D768" s="408" t="s">
        <v>1413</v>
      </c>
      <c r="E768" s="396">
        <v>30</v>
      </c>
      <c r="F768" s="409" t="s">
        <v>1412</v>
      </c>
      <c r="G768" s="396">
        <v>5</v>
      </c>
      <c r="H768" s="409" t="s">
        <v>520</v>
      </c>
      <c r="I768" s="409" t="s">
        <v>969</v>
      </c>
      <c r="J768" s="408" t="s">
        <v>1413</v>
      </c>
      <c r="K768" s="409">
        <v>1</v>
      </c>
      <c r="L768" s="413" t="s">
        <v>1531</v>
      </c>
      <c r="M768" s="397">
        <v>910</v>
      </c>
      <c r="N768" s="426" t="s">
        <v>1364</v>
      </c>
      <c r="O768" s="393" t="s">
        <v>310</v>
      </c>
      <c r="P768" s="416" t="s">
        <v>1413</v>
      </c>
      <c r="Q768" s="340" t="s">
        <v>2433</v>
      </c>
      <c r="R768" s="338">
        <v>1</v>
      </c>
      <c r="S768" s="408" t="s">
        <v>1413</v>
      </c>
      <c r="T768" s="399" t="s">
        <v>1531</v>
      </c>
      <c r="U768" s="396">
        <v>5</v>
      </c>
    </row>
    <row r="769" spans="1:21" ht="15">
      <c r="A769" s="427">
        <v>7.0000000000000007E-2</v>
      </c>
      <c r="B769" s="405" t="s">
        <v>1412</v>
      </c>
      <c r="C769" s="398" t="s">
        <v>1531</v>
      </c>
      <c r="D769" s="404" t="s">
        <v>1413</v>
      </c>
      <c r="E769" s="394">
        <v>0.02</v>
      </c>
      <c r="F769" s="405" t="s">
        <v>1412</v>
      </c>
      <c r="G769" s="398" t="s">
        <v>1531</v>
      </c>
      <c r="H769" s="404" t="s">
        <v>1413</v>
      </c>
      <c r="I769" s="404" t="s">
        <v>1413</v>
      </c>
      <c r="J769" s="404" t="s">
        <v>1413</v>
      </c>
      <c r="K769" s="405">
        <v>1</v>
      </c>
      <c r="L769" s="405">
        <v>0.1</v>
      </c>
      <c r="M769" s="406" t="s">
        <v>1531</v>
      </c>
      <c r="N769" s="425" t="s">
        <v>311</v>
      </c>
      <c r="O769" s="391" t="s">
        <v>312</v>
      </c>
      <c r="P769" s="429">
        <v>60</v>
      </c>
      <c r="Q769" s="340" t="s">
        <v>2433</v>
      </c>
      <c r="R769" s="338">
        <v>1</v>
      </c>
      <c r="S769" s="404" t="s">
        <v>1413</v>
      </c>
      <c r="T769" s="398" t="s">
        <v>1531</v>
      </c>
      <c r="U769" s="398" t="s">
        <v>1531</v>
      </c>
    </row>
    <row r="770" spans="1:21" ht="15">
      <c r="A770" s="427">
        <v>2.9000000000000001E-2</v>
      </c>
      <c r="B770" s="405" t="s">
        <v>406</v>
      </c>
      <c r="C770" s="398" t="s">
        <v>1531</v>
      </c>
      <c r="D770" s="404" t="s">
        <v>1413</v>
      </c>
      <c r="E770" s="398" t="s">
        <v>1531</v>
      </c>
      <c r="F770" s="404" t="s">
        <v>1413</v>
      </c>
      <c r="G770" s="398" t="s">
        <v>1531</v>
      </c>
      <c r="H770" s="404" t="s">
        <v>1413</v>
      </c>
      <c r="I770" s="404" t="s">
        <v>1413</v>
      </c>
      <c r="J770" s="404" t="s">
        <v>1413</v>
      </c>
      <c r="K770" s="405">
        <v>1</v>
      </c>
      <c r="L770" s="405">
        <v>0.1</v>
      </c>
      <c r="M770" s="406" t="s">
        <v>1531</v>
      </c>
      <c r="N770" s="425" t="s">
        <v>1365</v>
      </c>
      <c r="O770" s="391" t="s">
        <v>313</v>
      </c>
      <c r="P770" s="414" t="s">
        <v>1413</v>
      </c>
      <c r="Q770" s="340" t="s">
        <v>2434</v>
      </c>
      <c r="R770" s="338">
        <v>1</v>
      </c>
      <c r="S770" s="404" t="s">
        <v>1413</v>
      </c>
      <c r="T770" s="398" t="s">
        <v>1531</v>
      </c>
      <c r="U770" s="398" t="s">
        <v>1531</v>
      </c>
    </row>
    <row r="771" spans="1:21" ht="15.6" thickBot="1">
      <c r="A771" s="412">
        <v>7.0000000000000001E-3</v>
      </c>
      <c r="B771" s="409" t="s">
        <v>961</v>
      </c>
      <c r="C771" s="399" t="s">
        <v>1531</v>
      </c>
      <c r="D771" s="408" t="s">
        <v>1413</v>
      </c>
      <c r="E771" s="396">
        <v>3.0000000000000001E-5</v>
      </c>
      <c r="F771" s="409" t="s">
        <v>961</v>
      </c>
      <c r="G771" s="399" t="s">
        <v>1531</v>
      </c>
      <c r="H771" s="408" t="s">
        <v>1413</v>
      </c>
      <c r="I771" s="408" t="s">
        <v>1413</v>
      </c>
      <c r="J771" s="408" t="s">
        <v>1413</v>
      </c>
      <c r="K771" s="409">
        <v>1</v>
      </c>
      <c r="L771" s="409">
        <v>0.1</v>
      </c>
      <c r="M771" s="410" t="s">
        <v>1531</v>
      </c>
      <c r="N771" s="426" t="s">
        <v>1366</v>
      </c>
      <c r="O771" s="393" t="s">
        <v>314</v>
      </c>
      <c r="P771" s="416" t="s">
        <v>1413</v>
      </c>
      <c r="Q771" s="340" t="s">
        <v>2433</v>
      </c>
      <c r="R771" s="338">
        <v>1</v>
      </c>
      <c r="S771" s="408" t="s">
        <v>1413</v>
      </c>
      <c r="T771" s="399" t="s">
        <v>1531</v>
      </c>
      <c r="U771" s="399" t="s">
        <v>1531</v>
      </c>
    </row>
    <row r="772" spans="1:21" ht="15">
      <c r="A772" s="403" t="s">
        <v>1531</v>
      </c>
      <c r="B772" s="404" t="s">
        <v>1413</v>
      </c>
      <c r="C772" s="398" t="s">
        <v>1531</v>
      </c>
      <c r="D772" s="404" t="s">
        <v>1413</v>
      </c>
      <c r="E772" s="394">
        <v>8.0000000000000004E-4</v>
      </c>
      <c r="F772" s="405" t="s">
        <v>961</v>
      </c>
      <c r="G772" s="398" t="s">
        <v>1531</v>
      </c>
      <c r="H772" s="404" t="s">
        <v>1413</v>
      </c>
      <c r="I772" s="405" t="s">
        <v>969</v>
      </c>
      <c r="J772" s="404" t="s">
        <v>1413</v>
      </c>
      <c r="K772" s="405">
        <v>1</v>
      </c>
      <c r="L772" s="411" t="s">
        <v>1531</v>
      </c>
      <c r="M772" s="406" t="s">
        <v>1531</v>
      </c>
      <c r="N772" s="425" t="s">
        <v>621</v>
      </c>
      <c r="O772" s="391" t="s">
        <v>315</v>
      </c>
      <c r="P772" s="414" t="s">
        <v>1413</v>
      </c>
      <c r="Q772" s="340" t="s">
        <v>2434</v>
      </c>
      <c r="R772" s="338">
        <v>1</v>
      </c>
      <c r="S772" s="404" t="s">
        <v>1413</v>
      </c>
      <c r="T772" s="398" t="s">
        <v>1531</v>
      </c>
      <c r="U772" s="398" t="s">
        <v>1531</v>
      </c>
    </row>
    <row r="773" spans="1:21" ht="15">
      <c r="A773" s="427">
        <v>2.9000000000000001E-2</v>
      </c>
      <c r="B773" s="405" t="s">
        <v>520</v>
      </c>
      <c r="C773" s="398" t="s">
        <v>1531</v>
      </c>
      <c r="D773" s="404" t="s">
        <v>1413</v>
      </c>
      <c r="E773" s="394">
        <v>0.01</v>
      </c>
      <c r="F773" s="405" t="s">
        <v>1412</v>
      </c>
      <c r="G773" s="394">
        <v>2E-3</v>
      </c>
      <c r="H773" s="405" t="s">
        <v>520</v>
      </c>
      <c r="I773" s="405" t="s">
        <v>969</v>
      </c>
      <c r="J773" s="404" t="s">
        <v>1413</v>
      </c>
      <c r="K773" s="405">
        <v>1</v>
      </c>
      <c r="L773" s="411" t="s">
        <v>1531</v>
      </c>
      <c r="M773" s="395">
        <v>404</v>
      </c>
      <c r="N773" s="425" t="s">
        <v>1367</v>
      </c>
      <c r="O773" s="391" t="s">
        <v>316</v>
      </c>
      <c r="P773" s="429">
        <v>70</v>
      </c>
      <c r="Q773" s="340" t="s">
        <v>2433</v>
      </c>
      <c r="R773" s="338">
        <v>1</v>
      </c>
      <c r="S773" s="404" t="s">
        <v>1413</v>
      </c>
      <c r="T773" s="398" t="s">
        <v>1531</v>
      </c>
      <c r="U773" s="394">
        <v>2E-3</v>
      </c>
    </row>
    <row r="774" spans="1:21" ht="15.6" thickBot="1">
      <c r="A774" s="407" t="s">
        <v>1531</v>
      </c>
      <c r="B774" s="408" t="s">
        <v>1413</v>
      </c>
      <c r="C774" s="399" t="s">
        <v>1531</v>
      </c>
      <c r="D774" s="408" t="s">
        <v>1413</v>
      </c>
      <c r="E774" s="396">
        <v>2</v>
      </c>
      <c r="F774" s="409" t="s">
        <v>1412</v>
      </c>
      <c r="G774" s="396">
        <v>5</v>
      </c>
      <c r="H774" s="409" t="s">
        <v>1412</v>
      </c>
      <c r="I774" s="409" t="s">
        <v>969</v>
      </c>
      <c r="J774" s="408" t="s">
        <v>1413</v>
      </c>
      <c r="K774" s="409">
        <v>1</v>
      </c>
      <c r="L774" s="413" t="s">
        <v>1531</v>
      </c>
      <c r="M774" s="397">
        <v>640</v>
      </c>
      <c r="N774" s="426" t="s">
        <v>442</v>
      </c>
      <c r="O774" s="393" t="s">
        <v>317</v>
      </c>
      <c r="P774" s="415">
        <v>200</v>
      </c>
      <c r="Q774" s="340" t="s">
        <v>2433</v>
      </c>
      <c r="R774" s="338">
        <v>1</v>
      </c>
      <c r="S774" s="408" t="s">
        <v>1413</v>
      </c>
      <c r="T774" s="399" t="s">
        <v>1531</v>
      </c>
      <c r="U774" s="396">
        <v>5</v>
      </c>
    </row>
    <row r="775" spans="1:21" ht="15">
      <c r="A775" s="427">
        <v>5.7000000000000002E-2</v>
      </c>
      <c r="B775" s="405" t="s">
        <v>1412</v>
      </c>
      <c r="C775" s="394">
        <v>1.5999999999999999E-5</v>
      </c>
      <c r="D775" s="405" t="s">
        <v>1412</v>
      </c>
      <c r="E775" s="394">
        <v>4.0000000000000001E-3</v>
      </c>
      <c r="F775" s="405" t="s">
        <v>1412</v>
      </c>
      <c r="G775" s="394">
        <v>2.0000000000000001E-4</v>
      </c>
      <c r="H775" s="405" t="s">
        <v>961</v>
      </c>
      <c r="I775" s="405" t="s">
        <v>969</v>
      </c>
      <c r="J775" s="404" t="s">
        <v>1413</v>
      </c>
      <c r="K775" s="405">
        <v>1</v>
      </c>
      <c r="L775" s="411" t="s">
        <v>1531</v>
      </c>
      <c r="M775" s="395">
        <v>2160</v>
      </c>
      <c r="N775" s="425" t="s">
        <v>1368</v>
      </c>
      <c r="O775" s="391" t="s">
        <v>318</v>
      </c>
      <c r="P775" s="429">
        <v>5</v>
      </c>
      <c r="Q775" s="340" t="s">
        <v>2434</v>
      </c>
      <c r="R775" s="338">
        <v>1</v>
      </c>
      <c r="S775" s="404" t="s">
        <v>1413</v>
      </c>
      <c r="T775" s="394">
        <v>1.5999999999999999E-5</v>
      </c>
      <c r="U775" s="394">
        <v>2.0000000000000001E-4</v>
      </c>
    </row>
    <row r="776" spans="1:21" ht="15">
      <c r="A776" s="427">
        <v>4.5999999999999999E-2</v>
      </c>
      <c r="B776" s="405" t="s">
        <v>1412</v>
      </c>
      <c r="C776" s="394">
        <v>4.0999999999999997E-6</v>
      </c>
      <c r="D776" s="405" t="s">
        <v>1412</v>
      </c>
      <c r="E776" s="394">
        <v>5.0000000000000001E-4</v>
      </c>
      <c r="F776" s="405" t="s">
        <v>1412</v>
      </c>
      <c r="G776" s="394">
        <v>2E-3</v>
      </c>
      <c r="H776" s="405" t="s">
        <v>1412</v>
      </c>
      <c r="I776" s="405" t="s">
        <v>969</v>
      </c>
      <c r="J776" s="405" t="s">
        <v>522</v>
      </c>
      <c r="K776" s="405">
        <v>1</v>
      </c>
      <c r="L776" s="411" t="s">
        <v>1531</v>
      </c>
      <c r="M776" s="395">
        <v>692</v>
      </c>
      <c r="N776" s="425" t="s">
        <v>400</v>
      </c>
      <c r="O776" s="391" t="s">
        <v>319</v>
      </c>
      <c r="P776" s="429">
        <v>5</v>
      </c>
      <c r="Q776" s="340" t="s">
        <v>2434</v>
      </c>
      <c r="R776" s="338">
        <v>1</v>
      </c>
      <c r="S776" s="405" t="s">
        <v>2191</v>
      </c>
      <c r="T776" s="394">
        <v>4.0999999999999997E-6</v>
      </c>
      <c r="U776" s="394">
        <v>2E-3</v>
      </c>
    </row>
    <row r="777" spans="1:21" ht="15.6" thickBot="1">
      <c r="A777" s="407" t="s">
        <v>1531</v>
      </c>
      <c r="B777" s="408" t="s">
        <v>1413</v>
      </c>
      <c r="C777" s="399" t="s">
        <v>1531</v>
      </c>
      <c r="D777" s="408" t="s">
        <v>1413</v>
      </c>
      <c r="E777" s="396">
        <v>0.3</v>
      </c>
      <c r="F777" s="409" t="s">
        <v>1412</v>
      </c>
      <c r="G777" s="399" t="s">
        <v>1531</v>
      </c>
      <c r="H777" s="408" t="s">
        <v>1413</v>
      </c>
      <c r="I777" s="409" t="s">
        <v>969</v>
      </c>
      <c r="J777" s="408" t="s">
        <v>1413</v>
      </c>
      <c r="K777" s="409">
        <v>1</v>
      </c>
      <c r="L777" s="413" t="s">
        <v>1531</v>
      </c>
      <c r="M777" s="397">
        <v>1230</v>
      </c>
      <c r="N777" s="426" t="s">
        <v>378</v>
      </c>
      <c r="O777" s="393" t="s">
        <v>320</v>
      </c>
      <c r="P777" s="416" t="s">
        <v>1413</v>
      </c>
      <c r="Q777" s="340" t="s">
        <v>2434</v>
      </c>
      <c r="R777" s="338">
        <v>1</v>
      </c>
      <c r="S777" s="408" t="s">
        <v>1413</v>
      </c>
      <c r="T777" s="399" t="s">
        <v>1531</v>
      </c>
      <c r="U777" s="399" t="s">
        <v>1531</v>
      </c>
    </row>
    <row r="778" spans="1:21" ht="15">
      <c r="A778" s="403" t="s">
        <v>1531</v>
      </c>
      <c r="B778" s="404" t="s">
        <v>1413</v>
      </c>
      <c r="C778" s="398" t="s">
        <v>1531</v>
      </c>
      <c r="D778" s="404" t="s">
        <v>1413</v>
      </c>
      <c r="E778" s="394">
        <v>0.1</v>
      </c>
      <c r="F778" s="405" t="s">
        <v>1412</v>
      </c>
      <c r="G778" s="398" t="s">
        <v>1531</v>
      </c>
      <c r="H778" s="404" t="s">
        <v>1413</v>
      </c>
      <c r="I778" s="404" t="s">
        <v>1413</v>
      </c>
      <c r="J778" s="404" t="s">
        <v>1413</v>
      </c>
      <c r="K778" s="405">
        <v>1</v>
      </c>
      <c r="L778" s="405">
        <v>0.1</v>
      </c>
      <c r="M778" s="406" t="s">
        <v>1531</v>
      </c>
      <c r="N778" s="425" t="s">
        <v>1369</v>
      </c>
      <c r="O778" s="391" t="s">
        <v>321</v>
      </c>
      <c r="P778" s="414" t="s">
        <v>1413</v>
      </c>
      <c r="Q778" s="340" t="s">
        <v>2433</v>
      </c>
      <c r="R778" s="338">
        <v>1</v>
      </c>
      <c r="S778" s="404" t="s">
        <v>1413</v>
      </c>
      <c r="T778" s="398" t="s">
        <v>1531</v>
      </c>
      <c r="U778" s="398" t="s">
        <v>1531</v>
      </c>
    </row>
    <row r="779" spans="1:21" ht="15">
      <c r="A779" s="427">
        <v>1.0999999999999999E-2</v>
      </c>
      <c r="B779" s="405" t="s">
        <v>1412</v>
      </c>
      <c r="C779" s="394">
        <v>3.1E-6</v>
      </c>
      <c r="D779" s="405" t="s">
        <v>1412</v>
      </c>
      <c r="E779" s="394">
        <v>1E-3</v>
      </c>
      <c r="F779" s="405" t="s">
        <v>520</v>
      </c>
      <c r="G779" s="398" t="s">
        <v>1531</v>
      </c>
      <c r="H779" s="404" t="s">
        <v>1413</v>
      </c>
      <c r="I779" s="404" t="s">
        <v>1413</v>
      </c>
      <c r="J779" s="404" t="s">
        <v>1413</v>
      </c>
      <c r="K779" s="405">
        <v>1</v>
      </c>
      <c r="L779" s="405">
        <v>0.1</v>
      </c>
      <c r="M779" s="406" t="s">
        <v>1531</v>
      </c>
      <c r="N779" s="425" t="s">
        <v>1370</v>
      </c>
      <c r="O779" s="391" t="s">
        <v>322</v>
      </c>
      <c r="P779" s="414" t="s">
        <v>1413</v>
      </c>
      <c r="Q779" s="340" t="s">
        <v>2433</v>
      </c>
      <c r="R779" s="338">
        <v>1</v>
      </c>
      <c r="S779" s="404" t="s">
        <v>1413</v>
      </c>
      <c r="T779" s="394">
        <v>3.1E-6</v>
      </c>
      <c r="U779" s="398" t="s">
        <v>1531</v>
      </c>
    </row>
    <row r="780" spans="1:21" ht="15.6" thickBot="1">
      <c r="A780" s="407" t="s">
        <v>1531</v>
      </c>
      <c r="B780" s="408" t="s">
        <v>1413</v>
      </c>
      <c r="C780" s="399" t="s">
        <v>1531</v>
      </c>
      <c r="D780" s="408" t="s">
        <v>1413</v>
      </c>
      <c r="E780" s="396">
        <v>0.01</v>
      </c>
      <c r="F780" s="409" t="s">
        <v>1412</v>
      </c>
      <c r="G780" s="399" t="s">
        <v>1531</v>
      </c>
      <c r="H780" s="408" t="s">
        <v>1413</v>
      </c>
      <c r="I780" s="408" t="s">
        <v>1413</v>
      </c>
      <c r="J780" s="408" t="s">
        <v>1413</v>
      </c>
      <c r="K780" s="409">
        <v>1</v>
      </c>
      <c r="L780" s="409">
        <v>0.1</v>
      </c>
      <c r="M780" s="410" t="s">
        <v>1531</v>
      </c>
      <c r="N780" s="426" t="s">
        <v>1371</v>
      </c>
      <c r="O780" s="393" t="s">
        <v>323</v>
      </c>
      <c r="P780" s="416" t="s">
        <v>1413</v>
      </c>
      <c r="Q780" s="340" t="s">
        <v>2433</v>
      </c>
      <c r="R780" s="338">
        <v>1</v>
      </c>
      <c r="S780" s="408" t="s">
        <v>1413</v>
      </c>
      <c r="T780" s="399" t="s">
        <v>1531</v>
      </c>
      <c r="U780" s="399" t="s">
        <v>1531</v>
      </c>
    </row>
    <row r="781" spans="1:21" ht="15">
      <c r="A781" s="403" t="s">
        <v>1531</v>
      </c>
      <c r="B781" s="404" t="s">
        <v>1413</v>
      </c>
      <c r="C781" s="398" t="s">
        <v>1531</v>
      </c>
      <c r="D781" s="404" t="s">
        <v>1413</v>
      </c>
      <c r="E781" s="394">
        <v>8.0000000000000002E-3</v>
      </c>
      <c r="F781" s="405" t="s">
        <v>1412</v>
      </c>
      <c r="G781" s="398" t="s">
        <v>1531</v>
      </c>
      <c r="H781" s="404" t="s">
        <v>1413</v>
      </c>
      <c r="I781" s="404" t="s">
        <v>1413</v>
      </c>
      <c r="J781" s="404" t="s">
        <v>1413</v>
      </c>
      <c r="K781" s="405">
        <v>1</v>
      </c>
      <c r="L781" s="405">
        <v>0.1</v>
      </c>
      <c r="M781" s="406" t="s">
        <v>1531</v>
      </c>
      <c r="N781" s="425" t="s">
        <v>622</v>
      </c>
      <c r="O781" s="391" t="s">
        <v>324</v>
      </c>
      <c r="P781" s="429">
        <v>50</v>
      </c>
      <c r="Q781" s="340" t="s">
        <v>2433</v>
      </c>
      <c r="R781" s="338">
        <v>1</v>
      </c>
      <c r="S781" s="404" t="s">
        <v>1413</v>
      </c>
      <c r="T781" s="398" t="s">
        <v>1531</v>
      </c>
      <c r="U781" s="398" t="s">
        <v>1531</v>
      </c>
    </row>
    <row r="782" spans="1:21" ht="15">
      <c r="A782" s="403" t="s">
        <v>1531</v>
      </c>
      <c r="B782" s="404" t="s">
        <v>1413</v>
      </c>
      <c r="C782" s="398" t="s">
        <v>1531</v>
      </c>
      <c r="D782" s="404" t="s">
        <v>1413</v>
      </c>
      <c r="E782" s="394">
        <v>5.0000000000000001E-3</v>
      </c>
      <c r="F782" s="405" t="s">
        <v>1412</v>
      </c>
      <c r="G782" s="398" t="s">
        <v>1531</v>
      </c>
      <c r="H782" s="404" t="s">
        <v>1413</v>
      </c>
      <c r="I782" s="405" t="s">
        <v>969</v>
      </c>
      <c r="J782" s="404" t="s">
        <v>1413</v>
      </c>
      <c r="K782" s="405">
        <v>1</v>
      </c>
      <c r="L782" s="411" t="s">
        <v>1531</v>
      </c>
      <c r="M782" s="395">
        <v>1280</v>
      </c>
      <c r="N782" s="425" t="s">
        <v>1372</v>
      </c>
      <c r="O782" s="391" t="s">
        <v>325</v>
      </c>
      <c r="P782" s="414" t="s">
        <v>1413</v>
      </c>
      <c r="Q782" s="340" t="s">
        <v>2433</v>
      </c>
      <c r="R782" s="338">
        <v>1</v>
      </c>
      <c r="S782" s="404" t="s">
        <v>1413</v>
      </c>
      <c r="T782" s="398" t="s">
        <v>1531</v>
      </c>
      <c r="U782" s="398" t="s">
        <v>1531</v>
      </c>
    </row>
    <row r="783" spans="1:21" ht="15.6" thickBot="1">
      <c r="A783" s="412">
        <v>30</v>
      </c>
      <c r="B783" s="409" t="s">
        <v>1412</v>
      </c>
      <c r="C783" s="399" t="s">
        <v>1531</v>
      </c>
      <c r="D783" s="408" t="s">
        <v>1413</v>
      </c>
      <c r="E783" s="396">
        <v>4.0000000000000001E-3</v>
      </c>
      <c r="F783" s="409" t="s">
        <v>1412</v>
      </c>
      <c r="G783" s="396">
        <v>2.9999999999999997E-4</v>
      </c>
      <c r="H783" s="409" t="s">
        <v>1412</v>
      </c>
      <c r="I783" s="409" t="s">
        <v>969</v>
      </c>
      <c r="J783" s="409" t="s">
        <v>522</v>
      </c>
      <c r="K783" s="409">
        <v>1</v>
      </c>
      <c r="L783" s="413" t="s">
        <v>1531</v>
      </c>
      <c r="M783" s="397">
        <v>1400</v>
      </c>
      <c r="N783" s="426" t="s">
        <v>1373</v>
      </c>
      <c r="O783" s="393" t="s">
        <v>326</v>
      </c>
      <c r="P783" s="416" t="s">
        <v>1413</v>
      </c>
      <c r="Q783" s="340" t="s">
        <v>2433</v>
      </c>
      <c r="R783" s="338">
        <v>1</v>
      </c>
      <c r="S783" s="409" t="s">
        <v>2424</v>
      </c>
      <c r="T783" s="399" t="s">
        <v>1531</v>
      </c>
      <c r="U783" s="396">
        <v>2.9999999999999997E-4</v>
      </c>
    </row>
    <row r="784" spans="1:21" ht="15">
      <c r="A784" s="403" t="s">
        <v>1531</v>
      </c>
      <c r="B784" s="404" t="s">
        <v>1413</v>
      </c>
      <c r="C784" s="398" t="s">
        <v>1531</v>
      </c>
      <c r="D784" s="404" t="s">
        <v>1413</v>
      </c>
      <c r="E784" s="394">
        <v>3.0000000000000001E-3</v>
      </c>
      <c r="F784" s="405" t="s">
        <v>961</v>
      </c>
      <c r="G784" s="394">
        <v>2.9999999999999997E-4</v>
      </c>
      <c r="H784" s="405" t="s">
        <v>520</v>
      </c>
      <c r="I784" s="405" t="s">
        <v>969</v>
      </c>
      <c r="J784" s="404" t="s">
        <v>1413</v>
      </c>
      <c r="K784" s="405">
        <v>1</v>
      </c>
      <c r="L784" s="411" t="s">
        <v>1531</v>
      </c>
      <c r="M784" s="395">
        <v>311</v>
      </c>
      <c r="N784" s="425" t="s">
        <v>544</v>
      </c>
      <c r="O784" s="391" t="s">
        <v>327</v>
      </c>
      <c r="P784" s="414" t="s">
        <v>1413</v>
      </c>
      <c r="Q784" s="340" t="s">
        <v>2434</v>
      </c>
      <c r="R784" s="338">
        <v>1</v>
      </c>
      <c r="S784" s="404" t="s">
        <v>1413</v>
      </c>
      <c r="T784" s="398" t="s">
        <v>1531</v>
      </c>
      <c r="U784" s="394">
        <v>2.9999999999999997E-4</v>
      </c>
    </row>
    <row r="785" spans="1:21" ht="15">
      <c r="A785" s="403" t="s">
        <v>1531</v>
      </c>
      <c r="B785" s="404" t="s">
        <v>1413</v>
      </c>
      <c r="C785" s="398" t="s">
        <v>1531</v>
      </c>
      <c r="D785" s="404" t="s">
        <v>1413</v>
      </c>
      <c r="E785" s="394">
        <v>0.02</v>
      </c>
      <c r="F785" s="405" t="s">
        <v>1414</v>
      </c>
      <c r="G785" s="398" t="s">
        <v>1531</v>
      </c>
      <c r="H785" s="404" t="s">
        <v>1413</v>
      </c>
      <c r="I785" s="404" t="s">
        <v>1413</v>
      </c>
      <c r="J785" s="404" t="s">
        <v>1413</v>
      </c>
      <c r="K785" s="405">
        <v>1</v>
      </c>
      <c r="L785" s="405">
        <v>0.1</v>
      </c>
      <c r="M785" s="406" t="s">
        <v>1531</v>
      </c>
      <c r="N785" s="425" t="s">
        <v>2032</v>
      </c>
      <c r="O785" s="391" t="s">
        <v>2033</v>
      </c>
      <c r="P785" s="414" t="s">
        <v>1413</v>
      </c>
      <c r="Q785" s="340" t="s">
        <v>2433</v>
      </c>
      <c r="R785" s="338">
        <v>1</v>
      </c>
      <c r="S785" s="404" t="s">
        <v>1413</v>
      </c>
      <c r="T785" s="398" t="s">
        <v>1531</v>
      </c>
      <c r="U785" s="398" t="s">
        <v>1531</v>
      </c>
    </row>
    <row r="786" spans="1:21" ht="15.6" thickBot="1">
      <c r="A786" s="407" t="s">
        <v>1531</v>
      </c>
      <c r="B786" s="408" t="s">
        <v>1413</v>
      </c>
      <c r="C786" s="399" t="s">
        <v>1531</v>
      </c>
      <c r="D786" s="408" t="s">
        <v>1413</v>
      </c>
      <c r="E786" s="396">
        <v>3.0000000000000001E-3</v>
      </c>
      <c r="F786" s="409" t="s">
        <v>1412</v>
      </c>
      <c r="G786" s="399" t="s">
        <v>1531</v>
      </c>
      <c r="H786" s="408" t="s">
        <v>1413</v>
      </c>
      <c r="I786" s="408" t="s">
        <v>1413</v>
      </c>
      <c r="J786" s="408" t="s">
        <v>1413</v>
      </c>
      <c r="K786" s="409">
        <v>1</v>
      </c>
      <c r="L786" s="409">
        <v>0.1</v>
      </c>
      <c r="M786" s="410" t="s">
        <v>1531</v>
      </c>
      <c r="N786" s="426" t="s">
        <v>1374</v>
      </c>
      <c r="O786" s="393" t="s">
        <v>328</v>
      </c>
      <c r="P786" s="416" t="s">
        <v>1413</v>
      </c>
      <c r="Q786" s="340" t="s">
        <v>2433</v>
      </c>
      <c r="R786" s="338">
        <v>1</v>
      </c>
      <c r="S786" s="408" t="s">
        <v>1413</v>
      </c>
      <c r="T786" s="399" t="s">
        <v>1531</v>
      </c>
      <c r="U786" s="399" t="s">
        <v>1531</v>
      </c>
    </row>
    <row r="787" spans="1:21" ht="15">
      <c r="A787" s="403" t="s">
        <v>1531</v>
      </c>
      <c r="B787" s="404" t="s">
        <v>1413</v>
      </c>
      <c r="C787" s="398" t="s">
        <v>1531</v>
      </c>
      <c r="D787" s="404" t="s">
        <v>1413</v>
      </c>
      <c r="E787" s="398" t="s">
        <v>1531</v>
      </c>
      <c r="F787" s="404" t="s">
        <v>1413</v>
      </c>
      <c r="G787" s="394">
        <v>7.0000000000000001E-3</v>
      </c>
      <c r="H787" s="405" t="s">
        <v>1412</v>
      </c>
      <c r="I787" s="405" t="s">
        <v>969</v>
      </c>
      <c r="J787" s="404" t="s">
        <v>1413</v>
      </c>
      <c r="K787" s="405">
        <v>1</v>
      </c>
      <c r="L787" s="411" t="s">
        <v>1531</v>
      </c>
      <c r="M787" s="395">
        <v>27900</v>
      </c>
      <c r="N787" s="425" t="s">
        <v>1375</v>
      </c>
      <c r="O787" s="391" t="s">
        <v>329</v>
      </c>
      <c r="P787" s="414" t="s">
        <v>1413</v>
      </c>
      <c r="Q787" s="340" t="s">
        <v>2433</v>
      </c>
      <c r="R787" s="338">
        <v>1</v>
      </c>
      <c r="S787" s="404" t="s">
        <v>1413</v>
      </c>
      <c r="T787" s="398" t="s">
        <v>1531</v>
      </c>
      <c r="U787" s="394">
        <v>7.0000000000000001E-3</v>
      </c>
    </row>
    <row r="788" spans="1:21" ht="15">
      <c r="A788" s="403" t="s">
        <v>1531</v>
      </c>
      <c r="B788" s="404" t="s">
        <v>1413</v>
      </c>
      <c r="C788" s="398" t="s">
        <v>1531</v>
      </c>
      <c r="D788" s="404" t="s">
        <v>1413</v>
      </c>
      <c r="E788" s="394">
        <v>2</v>
      </c>
      <c r="F788" s="405" t="s">
        <v>520</v>
      </c>
      <c r="G788" s="398" t="s">
        <v>1531</v>
      </c>
      <c r="H788" s="404" t="s">
        <v>1413</v>
      </c>
      <c r="I788" s="404" t="s">
        <v>1413</v>
      </c>
      <c r="J788" s="404" t="s">
        <v>1413</v>
      </c>
      <c r="K788" s="405">
        <v>1</v>
      </c>
      <c r="L788" s="405">
        <v>0.1</v>
      </c>
      <c r="M788" s="406" t="s">
        <v>1531</v>
      </c>
      <c r="N788" s="425" t="s">
        <v>2131</v>
      </c>
      <c r="O788" s="391" t="s">
        <v>2132</v>
      </c>
      <c r="P788" s="414" t="s">
        <v>1413</v>
      </c>
      <c r="Q788" s="340" t="s">
        <v>2434</v>
      </c>
      <c r="S788" s="404" t="s">
        <v>1413</v>
      </c>
      <c r="T788" s="398" t="s">
        <v>1531</v>
      </c>
      <c r="U788" s="398" t="s">
        <v>1531</v>
      </c>
    </row>
    <row r="789" spans="1:21" ht="15.6" thickBot="1">
      <c r="A789" s="407" t="s">
        <v>1531</v>
      </c>
      <c r="B789" s="408" t="s">
        <v>1413</v>
      </c>
      <c r="C789" s="399" t="s">
        <v>1531</v>
      </c>
      <c r="D789" s="408" t="s">
        <v>1413</v>
      </c>
      <c r="E789" s="399" t="s">
        <v>1531</v>
      </c>
      <c r="F789" s="408" t="s">
        <v>1413</v>
      </c>
      <c r="G789" s="396">
        <v>20</v>
      </c>
      <c r="H789" s="409" t="s">
        <v>520</v>
      </c>
      <c r="I789" s="409" t="s">
        <v>969</v>
      </c>
      <c r="J789" s="408" t="s">
        <v>1413</v>
      </c>
      <c r="K789" s="409">
        <v>1</v>
      </c>
      <c r="L789" s="413" t="s">
        <v>1531</v>
      </c>
      <c r="M789" s="397">
        <v>4810</v>
      </c>
      <c r="N789" s="426" t="s">
        <v>2294</v>
      </c>
      <c r="O789" s="393" t="s">
        <v>2291</v>
      </c>
      <c r="P789" s="416" t="s">
        <v>1413</v>
      </c>
      <c r="Q789" s="340" t="s">
        <v>2434</v>
      </c>
      <c r="R789" s="338">
        <v>1</v>
      </c>
      <c r="S789" s="408" t="s">
        <v>1413</v>
      </c>
      <c r="T789" s="399" t="s">
        <v>1531</v>
      </c>
      <c r="U789" s="396">
        <v>20</v>
      </c>
    </row>
    <row r="790" spans="1:21" ht="15">
      <c r="A790" s="427">
        <v>7.7000000000000002E-3</v>
      </c>
      <c r="B790" s="405" t="s">
        <v>1412</v>
      </c>
      <c r="C790" s="398" t="s">
        <v>1531</v>
      </c>
      <c r="D790" s="404" t="s">
        <v>1413</v>
      </c>
      <c r="E790" s="394">
        <v>7.4999999999999997E-3</v>
      </c>
      <c r="F790" s="405" t="s">
        <v>1412</v>
      </c>
      <c r="G790" s="398" t="s">
        <v>1531</v>
      </c>
      <c r="H790" s="404" t="s">
        <v>1413</v>
      </c>
      <c r="I790" s="405" t="s">
        <v>969</v>
      </c>
      <c r="J790" s="404" t="s">
        <v>1413</v>
      </c>
      <c r="K790" s="405">
        <v>1</v>
      </c>
      <c r="L790" s="411" t="s">
        <v>1531</v>
      </c>
      <c r="M790" s="406" t="s">
        <v>1531</v>
      </c>
      <c r="N790" s="425" t="s">
        <v>1376</v>
      </c>
      <c r="O790" s="391" t="s">
        <v>330</v>
      </c>
      <c r="P790" s="414" t="s">
        <v>1413</v>
      </c>
      <c r="Q790" s="340" t="s">
        <v>2434</v>
      </c>
      <c r="R790" s="338">
        <v>1</v>
      </c>
      <c r="S790" s="404" t="s">
        <v>1413</v>
      </c>
      <c r="T790" s="398" t="s">
        <v>1531</v>
      </c>
      <c r="U790" s="398" t="s">
        <v>1531</v>
      </c>
    </row>
    <row r="791" spans="1:21" ht="15">
      <c r="A791" s="403" t="s">
        <v>1531</v>
      </c>
      <c r="B791" s="404" t="s">
        <v>1413</v>
      </c>
      <c r="C791" s="398" t="s">
        <v>1531</v>
      </c>
      <c r="D791" s="404" t="s">
        <v>1413</v>
      </c>
      <c r="E791" s="394">
        <v>49</v>
      </c>
      <c r="F791" s="405" t="s">
        <v>520</v>
      </c>
      <c r="G791" s="398" t="s">
        <v>1531</v>
      </c>
      <c r="H791" s="404" t="s">
        <v>1413</v>
      </c>
      <c r="I791" s="404" t="s">
        <v>1413</v>
      </c>
      <c r="J791" s="404" t="s">
        <v>1413</v>
      </c>
      <c r="K791" s="405">
        <v>1</v>
      </c>
      <c r="L791" s="411" t="s">
        <v>1531</v>
      </c>
      <c r="M791" s="406" t="s">
        <v>1531</v>
      </c>
      <c r="N791" s="425" t="s">
        <v>2407</v>
      </c>
      <c r="O791" s="391" t="s">
        <v>1609</v>
      </c>
      <c r="P791" s="414" t="s">
        <v>1413</v>
      </c>
      <c r="Q791" s="340" t="s">
        <v>2433</v>
      </c>
      <c r="R791" s="338">
        <v>1</v>
      </c>
      <c r="S791" s="404" t="s">
        <v>1413</v>
      </c>
      <c r="T791" s="398" t="s">
        <v>1531</v>
      </c>
      <c r="U791" s="398" t="s">
        <v>1531</v>
      </c>
    </row>
    <row r="792" spans="1:21" ht="15.6" thickBot="1">
      <c r="A792" s="412">
        <v>0.02</v>
      </c>
      <c r="B792" s="409" t="s">
        <v>520</v>
      </c>
      <c r="C792" s="399" t="s">
        <v>1531</v>
      </c>
      <c r="D792" s="408" t="s">
        <v>1413</v>
      </c>
      <c r="E792" s="396">
        <v>0.01</v>
      </c>
      <c r="F792" s="409" t="s">
        <v>520</v>
      </c>
      <c r="G792" s="399" t="s">
        <v>1531</v>
      </c>
      <c r="H792" s="408" t="s">
        <v>1413</v>
      </c>
      <c r="I792" s="408" t="s">
        <v>1413</v>
      </c>
      <c r="J792" s="408" t="s">
        <v>1413</v>
      </c>
      <c r="K792" s="409">
        <v>1</v>
      </c>
      <c r="L792" s="409">
        <v>0.1</v>
      </c>
      <c r="M792" s="410" t="s">
        <v>1531</v>
      </c>
      <c r="N792" s="426" t="s">
        <v>1377</v>
      </c>
      <c r="O792" s="393" t="s">
        <v>331</v>
      </c>
      <c r="P792" s="416" t="s">
        <v>1413</v>
      </c>
      <c r="Q792" s="340" t="s">
        <v>2434</v>
      </c>
      <c r="R792" s="338">
        <v>1</v>
      </c>
      <c r="S792" s="408" t="s">
        <v>1413</v>
      </c>
      <c r="T792" s="399" t="s">
        <v>1531</v>
      </c>
      <c r="U792" s="399" t="s">
        <v>1531</v>
      </c>
    </row>
    <row r="793" spans="1:21" ht="15">
      <c r="A793" s="403" t="s">
        <v>1531</v>
      </c>
      <c r="B793" s="404" t="s">
        <v>1413</v>
      </c>
      <c r="C793" s="398" t="s">
        <v>1531</v>
      </c>
      <c r="D793" s="404" t="s">
        <v>1413</v>
      </c>
      <c r="E793" s="394">
        <v>0.01</v>
      </c>
      <c r="F793" s="405" t="s">
        <v>1412</v>
      </c>
      <c r="G793" s="394">
        <v>0.06</v>
      </c>
      <c r="H793" s="405" t="s">
        <v>1412</v>
      </c>
      <c r="I793" s="405" t="s">
        <v>969</v>
      </c>
      <c r="J793" s="404" t="s">
        <v>1413</v>
      </c>
      <c r="K793" s="405">
        <v>1</v>
      </c>
      <c r="L793" s="411" t="s">
        <v>1531</v>
      </c>
      <c r="M793" s="395">
        <v>293</v>
      </c>
      <c r="N793" s="425" t="s">
        <v>1614</v>
      </c>
      <c r="O793" s="391" t="s">
        <v>1615</v>
      </c>
      <c r="P793" s="414" t="s">
        <v>1413</v>
      </c>
      <c r="Q793" s="340" t="s">
        <v>2434</v>
      </c>
      <c r="R793" s="338">
        <v>1</v>
      </c>
      <c r="S793" s="404" t="s">
        <v>1413</v>
      </c>
      <c r="T793" s="398" t="s">
        <v>1531</v>
      </c>
      <c r="U793" s="394">
        <v>0.06</v>
      </c>
    </row>
    <row r="794" spans="1:21" ht="15">
      <c r="A794" s="403" t="s">
        <v>1531</v>
      </c>
      <c r="B794" s="404" t="s">
        <v>1413</v>
      </c>
      <c r="C794" s="398" t="s">
        <v>1531</v>
      </c>
      <c r="D794" s="404" t="s">
        <v>1413</v>
      </c>
      <c r="E794" s="394">
        <v>0.01</v>
      </c>
      <c r="F794" s="405" t="s">
        <v>1412</v>
      </c>
      <c r="G794" s="394">
        <v>0.06</v>
      </c>
      <c r="H794" s="405" t="s">
        <v>1412</v>
      </c>
      <c r="I794" s="405" t="s">
        <v>969</v>
      </c>
      <c r="J794" s="404" t="s">
        <v>1413</v>
      </c>
      <c r="K794" s="405">
        <v>1</v>
      </c>
      <c r="L794" s="411" t="s">
        <v>1531</v>
      </c>
      <c r="M794" s="395">
        <v>219</v>
      </c>
      <c r="N794" s="425" t="s">
        <v>1378</v>
      </c>
      <c r="O794" s="391" t="s">
        <v>332</v>
      </c>
      <c r="P794" s="414" t="s">
        <v>1413</v>
      </c>
      <c r="Q794" s="340" t="s">
        <v>2433</v>
      </c>
      <c r="R794" s="338">
        <v>1</v>
      </c>
      <c r="S794" s="404" t="s">
        <v>1413</v>
      </c>
      <c r="T794" s="398" t="s">
        <v>1531</v>
      </c>
      <c r="U794" s="394">
        <v>0.06</v>
      </c>
    </row>
    <row r="795" spans="1:21" ht="15.6" thickBot="1">
      <c r="A795" s="407" t="s">
        <v>1531</v>
      </c>
      <c r="B795" s="408" t="s">
        <v>1413</v>
      </c>
      <c r="C795" s="399" t="s">
        <v>1531</v>
      </c>
      <c r="D795" s="408" t="s">
        <v>1413</v>
      </c>
      <c r="E795" s="396">
        <v>0.01</v>
      </c>
      <c r="F795" s="409" t="s">
        <v>1412</v>
      </c>
      <c r="G795" s="396">
        <v>0.06</v>
      </c>
      <c r="H795" s="409" t="s">
        <v>1412</v>
      </c>
      <c r="I795" s="409" t="s">
        <v>969</v>
      </c>
      <c r="J795" s="408" t="s">
        <v>1413</v>
      </c>
      <c r="K795" s="409">
        <v>1</v>
      </c>
      <c r="L795" s="413" t="s">
        <v>1531</v>
      </c>
      <c r="M795" s="397">
        <v>182</v>
      </c>
      <c r="N795" s="426" t="s">
        <v>545</v>
      </c>
      <c r="O795" s="393" t="s">
        <v>333</v>
      </c>
      <c r="P795" s="416" t="s">
        <v>1413</v>
      </c>
      <c r="Q795" s="340" t="s">
        <v>2433</v>
      </c>
      <c r="R795" s="338">
        <v>1</v>
      </c>
      <c r="S795" s="408" t="s">
        <v>1413</v>
      </c>
      <c r="T795" s="399" t="s">
        <v>1531</v>
      </c>
      <c r="U795" s="396">
        <v>0.06</v>
      </c>
    </row>
    <row r="796" spans="1:21" ht="15">
      <c r="A796" s="403" t="s">
        <v>1531</v>
      </c>
      <c r="B796" s="404" t="s">
        <v>1413</v>
      </c>
      <c r="C796" s="398" t="s">
        <v>1531</v>
      </c>
      <c r="D796" s="404" t="s">
        <v>1413</v>
      </c>
      <c r="E796" s="394">
        <v>0.01</v>
      </c>
      <c r="F796" s="405" t="s">
        <v>961</v>
      </c>
      <c r="G796" s="398" t="s">
        <v>1531</v>
      </c>
      <c r="H796" s="404" t="s">
        <v>1413</v>
      </c>
      <c r="I796" s="405" t="s">
        <v>969</v>
      </c>
      <c r="J796" s="404" t="s">
        <v>1413</v>
      </c>
      <c r="K796" s="405">
        <v>1</v>
      </c>
      <c r="L796" s="411" t="s">
        <v>1531</v>
      </c>
      <c r="M796" s="395">
        <v>29.6</v>
      </c>
      <c r="N796" s="425" t="s">
        <v>2295</v>
      </c>
      <c r="O796" s="391" t="s">
        <v>2292</v>
      </c>
      <c r="P796" s="414" t="s">
        <v>1413</v>
      </c>
      <c r="Q796" s="340" t="s">
        <v>2434</v>
      </c>
      <c r="R796" s="338">
        <v>1</v>
      </c>
      <c r="S796" s="404" t="s">
        <v>1413</v>
      </c>
      <c r="T796" s="398" t="s">
        <v>1531</v>
      </c>
      <c r="U796" s="398" t="s">
        <v>1531</v>
      </c>
    </row>
    <row r="797" spans="1:21" ht="15">
      <c r="A797" s="403" t="s">
        <v>1531</v>
      </c>
      <c r="B797" s="404" t="s">
        <v>1413</v>
      </c>
      <c r="C797" s="398" t="s">
        <v>1531</v>
      </c>
      <c r="D797" s="404" t="s">
        <v>1413</v>
      </c>
      <c r="E797" s="394">
        <v>2.9999999999999997E-4</v>
      </c>
      <c r="F797" s="405" t="s">
        <v>1414</v>
      </c>
      <c r="G797" s="398" t="s">
        <v>1531</v>
      </c>
      <c r="H797" s="404" t="s">
        <v>1413</v>
      </c>
      <c r="I797" s="405" t="s">
        <v>969</v>
      </c>
      <c r="J797" s="404" t="s">
        <v>1413</v>
      </c>
      <c r="K797" s="405">
        <v>1</v>
      </c>
      <c r="L797" s="411" t="s">
        <v>1531</v>
      </c>
      <c r="M797" s="406" t="s">
        <v>1531</v>
      </c>
      <c r="N797" s="425" t="s">
        <v>1381</v>
      </c>
      <c r="O797" s="391" t="s">
        <v>1442</v>
      </c>
      <c r="P797" s="414" t="s">
        <v>1413</v>
      </c>
      <c r="Q797" s="340" t="s">
        <v>2434</v>
      </c>
      <c r="R797" s="338">
        <v>1</v>
      </c>
      <c r="S797" s="404" t="s">
        <v>1413</v>
      </c>
      <c r="T797" s="398" t="s">
        <v>1531</v>
      </c>
      <c r="U797" s="398" t="s">
        <v>1531</v>
      </c>
    </row>
    <row r="798" spans="1:21" ht="15.6" thickBot="1">
      <c r="A798" s="407" t="s">
        <v>1531</v>
      </c>
      <c r="B798" s="408" t="s">
        <v>1413</v>
      </c>
      <c r="C798" s="399" t="s">
        <v>1531</v>
      </c>
      <c r="D798" s="408" t="s">
        <v>1413</v>
      </c>
      <c r="E798" s="396">
        <v>0.03</v>
      </c>
      <c r="F798" s="409" t="s">
        <v>1412</v>
      </c>
      <c r="G798" s="399" t="s">
        <v>1531</v>
      </c>
      <c r="H798" s="408" t="s">
        <v>1413</v>
      </c>
      <c r="I798" s="408" t="s">
        <v>1413</v>
      </c>
      <c r="J798" s="408" t="s">
        <v>1413</v>
      </c>
      <c r="K798" s="409">
        <v>1</v>
      </c>
      <c r="L798" s="409">
        <v>1.9E-2</v>
      </c>
      <c r="M798" s="410" t="s">
        <v>1531</v>
      </c>
      <c r="N798" s="426" t="s">
        <v>1379</v>
      </c>
      <c r="O798" s="393" t="s">
        <v>334</v>
      </c>
      <c r="P798" s="416" t="s">
        <v>1413</v>
      </c>
      <c r="Q798" s="340" t="s">
        <v>2434</v>
      </c>
      <c r="R798" s="338">
        <v>1</v>
      </c>
      <c r="S798" s="408" t="s">
        <v>1413</v>
      </c>
      <c r="T798" s="399" t="s">
        <v>1531</v>
      </c>
      <c r="U798" s="399" t="s">
        <v>1531</v>
      </c>
    </row>
    <row r="799" spans="1:21" ht="15">
      <c r="A799" s="427">
        <v>0.03</v>
      </c>
      <c r="B799" s="405" t="s">
        <v>1412</v>
      </c>
      <c r="C799" s="398" t="s">
        <v>1531</v>
      </c>
      <c r="D799" s="404" t="s">
        <v>1413</v>
      </c>
      <c r="E799" s="394">
        <v>5.0000000000000001E-4</v>
      </c>
      <c r="F799" s="405" t="s">
        <v>1412</v>
      </c>
      <c r="G799" s="398" t="s">
        <v>1531</v>
      </c>
      <c r="H799" s="404" t="s">
        <v>1413</v>
      </c>
      <c r="I799" s="404" t="s">
        <v>1413</v>
      </c>
      <c r="J799" s="404" t="s">
        <v>1413</v>
      </c>
      <c r="K799" s="405">
        <v>1</v>
      </c>
      <c r="L799" s="405">
        <v>3.2000000000000001E-2</v>
      </c>
      <c r="M799" s="406" t="s">
        <v>1531</v>
      </c>
      <c r="N799" s="425" t="s">
        <v>1380</v>
      </c>
      <c r="O799" s="391" t="s">
        <v>335</v>
      </c>
      <c r="P799" s="414" t="s">
        <v>1413</v>
      </c>
      <c r="Q799" s="340" t="s">
        <v>2434</v>
      </c>
      <c r="R799" s="338">
        <v>1</v>
      </c>
      <c r="S799" s="404" t="s">
        <v>1413</v>
      </c>
      <c r="T799" s="398" t="s">
        <v>1531</v>
      </c>
      <c r="U799" s="398" t="s">
        <v>1531</v>
      </c>
    </row>
    <row r="800" spans="1:21" ht="15">
      <c r="A800" s="403" t="s">
        <v>1531</v>
      </c>
      <c r="B800" s="404" t="s">
        <v>1413</v>
      </c>
      <c r="C800" s="398" t="s">
        <v>1531</v>
      </c>
      <c r="D800" s="404" t="s">
        <v>1413</v>
      </c>
      <c r="E800" s="394">
        <v>0.02</v>
      </c>
      <c r="F800" s="405" t="s">
        <v>520</v>
      </c>
      <c r="G800" s="398" t="s">
        <v>1531</v>
      </c>
      <c r="H800" s="404" t="s">
        <v>1413</v>
      </c>
      <c r="I800" s="404" t="s">
        <v>1413</v>
      </c>
      <c r="J800" s="404" t="s">
        <v>1413</v>
      </c>
      <c r="K800" s="405">
        <v>1</v>
      </c>
      <c r="L800" s="405">
        <v>0.1</v>
      </c>
      <c r="M800" s="406" t="s">
        <v>1531</v>
      </c>
      <c r="N800" s="425" t="s">
        <v>546</v>
      </c>
      <c r="O800" s="391" t="s">
        <v>336</v>
      </c>
      <c r="P800" s="414" t="s">
        <v>1413</v>
      </c>
      <c r="Q800" s="340" t="s">
        <v>2433</v>
      </c>
      <c r="R800" s="338">
        <v>1</v>
      </c>
      <c r="S800" s="404" t="s">
        <v>1413</v>
      </c>
      <c r="T800" s="398" t="s">
        <v>1531</v>
      </c>
      <c r="U800" s="398" t="s">
        <v>1531</v>
      </c>
    </row>
    <row r="801" spans="1:21" ht="15.6" thickBot="1">
      <c r="A801" s="407" t="s">
        <v>1531</v>
      </c>
      <c r="B801" s="408" t="s">
        <v>1413</v>
      </c>
      <c r="C801" s="399" t="s">
        <v>1531</v>
      </c>
      <c r="D801" s="408" t="s">
        <v>1413</v>
      </c>
      <c r="E801" s="396">
        <v>49</v>
      </c>
      <c r="F801" s="409" t="s">
        <v>520</v>
      </c>
      <c r="G801" s="399" t="s">
        <v>1531</v>
      </c>
      <c r="H801" s="408" t="s">
        <v>1413</v>
      </c>
      <c r="I801" s="408" t="s">
        <v>1413</v>
      </c>
      <c r="J801" s="408" t="s">
        <v>1413</v>
      </c>
      <c r="K801" s="409">
        <v>1</v>
      </c>
      <c r="L801" s="413" t="s">
        <v>1531</v>
      </c>
      <c r="M801" s="410" t="s">
        <v>1531</v>
      </c>
      <c r="N801" s="426" t="s">
        <v>2408</v>
      </c>
      <c r="O801" s="393" t="s">
        <v>1610</v>
      </c>
      <c r="P801" s="416" t="s">
        <v>1413</v>
      </c>
      <c r="Q801" s="340" t="s">
        <v>2433</v>
      </c>
      <c r="R801" s="338">
        <v>1</v>
      </c>
      <c r="S801" s="408" t="s">
        <v>1413</v>
      </c>
      <c r="T801" s="399" t="s">
        <v>1531</v>
      </c>
      <c r="U801" s="399" t="s">
        <v>1531</v>
      </c>
    </row>
    <row r="802" spans="1:21" ht="15">
      <c r="A802" s="403" t="s">
        <v>1531</v>
      </c>
      <c r="B802" s="404" t="s">
        <v>1413</v>
      </c>
      <c r="C802" s="398" t="s">
        <v>1531</v>
      </c>
      <c r="D802" s="404" t="s">
        <v>1413</v>
      </c>
      <c r="E802" s="394">
        <v>0.02</v>
      </c>
      <c r="F802" s="405" t="s">
        <v>1414</v>
      </c>
      <c r="G802" s="398" t="s">
        <v>1531</v>
      </c>
      <c r="H802" s="404" t="s">
        <v>1413</v>
      </c>
      <c r="I802" s="404" t="s">
        <v>1413</v>
      </c>
      <c r="J802" s="404" t="s">
        <v>1413</v>
      </c>
      <c r="K802" s="405">
        <v>1</v>
      </c>
      <c r="L802" s="405">
        <v>0.1</v>
      </c>
      <c r="M802" s="406" t="s">
        <v>1531</v>
      </c>
      <c r="N802" s="425" t="s">
        <v>2034</v>
      </c>
      <c r="O802" s="391" t="s">
        <v>2035</v>
      </c>
      <c r="P802" s="414" t="s">
        <v>1413</v>
      </c>
      <c r="Q802" s="340" t="s">
        <v>2434</v>
      </c>
      <c r="R802" s="338">
        <v>1</v>
      </c>
      <c r="S802" s="404" t="s">
        <v>1413</v>
      </c>
      <c r="T802" s="398" t="s">
        <v>1531</v>
      </c>
      <c r="U802" s="398" t="s">
        <v>1531</v>
      </c>
    </row>
    <row r="803" spans="1:21" ht="15">
      <c r="A803" s="403" t="s">
        <v>1531</v>
      </c>
      <c r="B803" s="404" t="s">
        <v>1413</v>
      </c>
      <c r="C803" s="398" t="s">
        <v>1531</v>
      </c>
      <c r="D803" s="404" t="s">
        <v>1413</v>
      </c>
      <c r="E803" s="394">
        <v>0.01</v>
      </c>
      <c r="F803" s="405" t="s">
        <v>961</v>
      </c>
      <c r="G803" s="398" t="s">
        <v>1531</v>
      </c>
      <c r="H803" s="404" t="s">
        <v>1413</v>
      </c>
      <c r="I803" s="404" t="s">
        <v>1413</v>
      </c>
      <c r="J803" s="404" t="s">
        <v>1413</v>
      </c>
      <c r="K803" s="405">
        <v>1</v>
      </c>
      <c r="L803" s="405">
        <v>0.1</v>
      </c>
      <c r="M803" s="406" t="s">
        <v>1531</v>
      </c>
      <c r="N803" s="425" t="s">
        <v>2014</v>
      </c>
      <c r="O803" s="391" t="s">
        <v>2015</v>
      </c>
      <c r="P803" s="414" t="s">
        <v>1413</v>
      </c>
      <c r="Q803" s="340" t="s">
        <v>2434</v>
      </c>
      <c r="R803" s="338">
        <v>1</v>
      </c>
      <c r="S803" s="404" t="s">
        <v>1413</v>
      </c>
      <c r="T803" s="398" t="s">
        <v>1531</v>
      </c>
      <c r="U803" s="398" t="s">
        <v>1531</v>
      </c>
    </row>
    <row r="804" spans="1:21" ht="15.6" thickBot="1">
      <c r="A804" s="412">
        <v>2.2999999999999998</v>
      </c>
      <c r="B804" s="409" t="s">
        <v>521</v>
      </c>
      <c r="C804" s="396">
        <v>6.6E-4</v>
      </c>
      <c r="D804" s="409" t="s">
        <v>521</v>
      </c>
      <c r="E804" s="399" t="s">
        <v>1531</v>
      </c>
      <c r="F804" s="408" t="s">
        <v>1413</v>
      </c>
      <c r="G804" s="399" t="s">
        <v>1531</v>
      </c>
      <c r="H804" s="408" t="s">
        <v>1413</v>
      </c>
      <c r="I804" s="409" t="s">
        <v>969</v>
      </c>
      <c r="J804" s="408" t="s">
        <v>1413</v>
      </c>
      <c r="K804" s="409">
        <v>1</v>
      </c>
      <c r="L804" s="413" t="s">
        <v>1531</v>
      </c>
      <c r="M804" s="397">
        <v>467</v>
      </c>
      <c r="N804" s="426" t="s">
        <v>2196</v>
      </c>
      <c r="O804" s="393" t="s">
        <v>2197</v>
      </c>
      <c r="P804" s="416" t="s">
        <v>1413</v>
      </c>
      <c r="Q804" s="340" t="s">
        <v>2434</v>
      </c>
      <c r="R804" s="338">
        <v>1</v>
      </c>
      <c r="S804" s="408" t="s">
        <v>1413</v>
      </c>
      <c r="T804" s="396">
        <v>6.6E-4</v>
      </c>
      <c r="U804" s="399" t="s">
        <v>1531</v>
      </c>
    </row>
    <row r="805" spans="1:21" ht="15">
      <c r="A805" s="427">
        <v>0.02</v>
      </c>
      <c r="B805" s="405" t="s">
        <v>520</v>
      </c>
      <c r="C805" s="398" t="s">
        <v>1531</v>
      </c>
      <c r="D805" s="404" t="s">
        <v>1413</v>
      </c>
      <c r="E805" s="394">
        <v>7.0000000000000001E-3</v>
      </c>
      <c r="F805" s="405" t="s">
        <v>520</v>
      </c>
      <c r="G805" s="398" t="s">
        <v>1531</v>
      </c>
      <c r="H805" s="404" t="s">
        <v>1413</v>
      </c>
      <c r="I805" s="404" t="s">
        <v>1413</v>
      </c>
      <c r="J805" s="404" t="s">
        <v>1413</v>
      </c>
      <c r="K805" s="405">
        <v>1</v>
      </c>
      <c r="L805" s="405">
        <v>0.1</v>
      </c>
      <c r="M805" s="406" t="s">
        <v>1531</v>
      </c>
      <c r="N805" s="425" t="s">
        <v>547</v>
      </c>
      <c r="O805" s="391" t="s">
        <v>337</v>
      </c>
      <c r="P805" s="414" t="s">
        <v>1413</v>
      </c>
      <c r="Q805" s="340" t="s">
        <v>2434</v>
      </c>
      <c r="R805" s="338">
        <v>1</v>
      </c>
      <c r="S805" s="404" t="s">
        <v>1413</v>
      </c>
      <c r="T805" s="398" t="s">
        <v>1531</v>
      </c>
      <c r="U805" s="398" t="s">
        <v>1531</v>
      </c>
    </row>
    <row r="806" spans="1:21" ht="15">
      <c r="A806" s="427">
        <v>3.2000000000000002E-3</v>
      </c>
      <c r="B806" s="405" t="s">
        <v>520</v>
      </c>
      <c r="C806" s="398" t="s">
        <v>1531</v>
      </c>
      <c r="D806" s="404" t="s">
        <v>1413</v>
      </c>
      <c r="E806" s="394">
        <v>0.1</v>
      </c>
      <c r="F806" s="405" t="s">
        <v>520</v>
      </c>
      <c r="G806" s="398" t="s">
        <v>1531</v>
      </c>
      <c r="H806" s="404" t="s">
        <v>1413</v>
      </c>
      <c r="I806" s="404" t="s">
        <v>1413</v>
      </c>
      <c r="J806" s="404" t="s">
        <v>1413</v>
      </c>
      <c r="K806" s="405">
        <v>1</v>
      </c>
      <c r="L806" s="405">
        <v>0.1</v>
      </c>
      <c r="M806" s="406" t="s">
        <v>1531</v>
      </c>
      <c r="N806" s="425" t="s">
        <v>548</v>
      </c>
      <c r="O806" s="391" t="s">
        <v>338</v>
      </c>
      <c r="P806" s="414" t="s">
        <v>1413</v>
      </c>
      <c r="Q806" s="417" t="s">
        <v>2433</v>
      </c>
      <c r="R806" s="338">
        <v>1</v>
      </c>
      <c r="S806" s="404" t="s">
        <v>1413</v>
      </c>
      <c r="T806" s="398" t="s">
        <v>1531</v>
      </c>
      <c r="U806" s="398" t="s">
        <v>1531</v>
      </c>
    </row>
    <row r="807" spans="1:21" ht="15.6" thickBot="1">
      <c r="A807" s="407" t="s">
        <v>1531</v>
      </c>
      <c r="B807" s="408" t="s">
        <v>1413</v>
      </c>
      <c r="C807" s="399" t="s">
        <v>1531</v>
      </c>
      <c r="D807" s="408" t="s">
        <v>1413</v>
      </c>
      <c r="E807" s="396">
        <v>49</v>
      </c>
      <c r="F807" s="409" t="s">
        <v>520</v>
      </c>
      <c r="G807" s="399" t="s">
        <v>1531</v>
      </c>
      <c r="H807" s="408" t="s">
        <v>1413</v>
      </c>
      <c r="I807" s="408" t="s">
        <v>1413</v>
      </c>
      <c r="J807" s="408" t="s">
        <v>1413</v>
      </c>
      <c r="K807" s="409">
        <v>1</v>
      </c>
      <c r="L807" s="413" t="s">
        <v>1531</v>
      </c>
      <c r="M807" s="410" t="s">
        <v>1531</v>
      </c>
      <c r="N807" s="426" t="s">
        <v>2362</v>
      </c>
      <c r="O807" s="393" t="s">
        <v>1611</v>
      </c>
      <c r="P807" s="416" t="s">
        <v>1413</v>
      </c>
      <c r="Q807" s="340" t="s">
        <v>2434</v>
      </c>
      <c r="R807" s="338">
        <v>1</v>
      </c>
      <c r="S807" s="408" t="s">
        <v>1413</v>
      </c>
      <c r="T807" s="399" t="s">
        <v>1531</v>
      </c>
      <c r="U807" s="399" t="s">
        <v>1531</v>
      </c>
    </row>
    <row r="808" spans="1:21" ht="15">
      <c r="A808" s="403" t="s">
        <v>1531</v>
      </c>
      <c r="B808" s="404" t="s">
        <v>1413</v>
      </c>
      <c r="C808" s="398" t="s">
        <v>1531</v>
      </c>
      <c r="D808" s="404" t="s">
        <v>1413</v>
      </c>
      <c r="E808" s="394">
        <v>8.0000000000000004E-4</v>
      </c>
      <c r="F808" s="405" t="s">
        <v>520</v>
      </c>
      <c r="G808" s="398" t="s">
        <v>1531</v>
      </c>
      <c r="H808" s="404" t="s">
        <v>1413</v>
      </c>
      <c r="I808" s="404" t="s">
        <v>1413</v>
      </c>
      <c r="J808" s="404" t="s">
        <v>1413</v>
      </c>
      <c r="K808" s="405">
        <v>1</v>
      </c>
      <c r="L808" s="411" t="s">
        <v>1531</v>
      </c>
      <c r="M808" s="406" t="s">
        <v>1531</v>
      </c>
      <c r="N808" s="425" t="s">
        <v>2296</v>
      </c>
      <c r="O808" s="391" t="s">
        <v>2293</v>
      </c>
      <c r="P808" s="414" t="s">
        <v>1413</v>
      </c>
      <c r="Q808" s="417" t="s">
        <v>2434</v>
      </c>
      <c r="R808" s="338">
        <v>1</v>
      </c>
      <c r="S808" s="404" t="s">
        <v>1413</v>
      </c>
      <c r="T808" s="398" t="s">
        <v>1531</v>
      </c>
      <c r="U808" s="398" t="s">
        <v>1531</v>
      </c>
    </row>
    <row r="809" spans="1:21" ht="15">
      <c r="A809" s="403" t="s">
        <v>1531</v>
      </c>
      <c r="B809" s="404" t="s">
        <v>1413</v>
      </c>
      <c r="C809" s="398" t="s">
        <v>1531</v>
      </c>
      <c r="D809" s="404" t="s">
        <v>1413</v>
      </c>
      <c r="E809" s="394">
        <v>2.0000000000000001E-4</v>
      </c>
      <c r="F809" s="405" t="s">
        <v>1414</v>
      </c>
      <c r="G809" s="394">
        <v>4.0000000000000003E-5</v>
      </c>
      <c r="H809" s="405" t="s">
        <v>1414</v>
      </c>
      <c r="I809" s="404" t="s">
        <v>1413</v>
      </c>
      <c r="J809" s="404" t="s">
        <v>1413</v>
      </c>
      <c r="K809" s="405">
        <v>1</v>
      </c>
      <c r="L809" s="411" t="s">
        <v>1531</v>
      </c>
      <c r="M809" s="406" t="s">
        <v>1531</v>
      </c>
      <c r="N809" s="425" t="s">
        <v>1382</v>
      </c>
      <c r="O809" s="506" t="s">
        <v>2175</v>
      </c>
      <c r="P809" s="429">
        <v>30</v>
      </c>
      <c r="Q809" s="417" t="s">
        <v>2433</v>
      </c>
      <c r="R809" s="338">
        <v>1</v>
      </c>
      <c r="S809" s="404" t="s">
        <v>1413</v>
      </c>
      <c r="T809" s="398" t="s">
        <v>1531</v>
      </c>
      <c r="U809" s="394">
        <v>4.0000000000000003E-5</v>
      </c>
    </row>
    <row r="810" spans="1:21" ht="15.6" thickBot="1">
      <c r="A810" s="412">
        <v>1</v>
      </c>
      <c r="B810" s="409" t="s">
        <v>521</v>
      </c>
      <c r="C810" s="396">
        <v>2.9E-4</v>
      </c>
      <c r="D810" s="409" t="s">
        <v>521</v>
      </c>
      <c r="E810" s="399" t="s">
        <v>1531</v>
      </c>
      <c r="F810" s="408" t="s">
        <v>1413</v>
      </c>
      <c r="G810" s="399" t="s">
        <v>1531</v>
      </c>
      <c r="H810" s="408" t="s">
        <v>1413</v>
      </c>
      <c r="I810" s="408" t="s">
        <v>1413</v>
      </c>
      <c r="J810" s="409" t="s">
        <v>522</v>
      </c>
      <c r="K810" s="409">
        <v>1</v>
      </c>
      <c r="L810" s="409">
        <v>0.1</v>
      </c>
      <c r="M810" s="410" t="s">
        <v>1531</v>
      </c>
      <c r="N810" s="426" t="s">
        <v>623</v>
      </c>
      <c r="O810" s="393" t="s">
        <v>339</v>
      </c>
      <c r="P810" s="416" t="s">
        <v>1413</v>
      </c>
      <c r="Q810" s="417" t="s">
        <v>2433</v>
      </c>
      <c r="R810" s="338">
        <v>1</v>
      </c>
      <c r="S810" s="409" t="s">
        <v>2424</v>
      </c>
      <c r="T810" s="396">
        <v>2.9E-4</v>
      </c>
      <c r="U810" s="399" t="s">
        <v>1531</v>
      </c>
    </row>
    <row r="811" spans="1:21" ht="15">
      <c r="A811" s="403" t="s">
        <v>1531</v>
      </c>
      <c r="B811" s="404" t="s">
        <v>1413</v>
      </c>
      <c r="C811" s="398" t="s">
        <v>1531</v>
      </c>
      <c r="D811" s="404" t="s">
        <v>1413</v>
      </c>
      <c r="E811" s="394">
        <v>5.0000000000000001E-3</v>
      </c>
      <c r="F811" s="405" t="s">
        <v>405</v>
      </c>
      <c r="G811" s="394">
        <v>1E-4</v>
      </c>
      <c r="H811" s="405" t="s">
        <v>1414</v>
      </c>
      <c r="I811" s="404" t="s">
        <v>1413</v>
      </c>
      <c r="J811" s="404" t="s">
        <v>1413</v>
      </c>
      <c r="K811" s="405">
        <v>2.5999999999999999E-2</v>
      </c>
      <c r="L811" s="411" t="s">
        <v>1531</v>
      </c>
      <c r="M811" s="406" t="s">
        <v>1531</v>
      </c>
      <c r="N811" s="425" t="s">
        <v>1384</v>
      </c>
      <c r="O811" s="391" t="s">
        <v>2036</v>
      </c>
      <c r="P811" s="414" t="s">
        <v>1413</v>
      </c>
      <c r="Q811" s="417" t="s">
        <v>2433</v>
      </c>
      <c r="R811" s="338">
        <v>1</v>
      </c>
      <c r="S811" s="404" t="s">
        <v>1413</v>
      </c>
      <c r="T811" s="398" t="s">
        <v>1531</v>
      </c>
      <c r="U811" s="394">
        <v>1E-4</v>
      </c>
    </row>
    <row r="812" spans="1:21" ht="15">
      <c r="A812" s="403" t="s">
        <v>1531</v>
      </c>
      <c r="B812" s="404" t="s">
        <v>1413</v>
      </c>
      <c r="C812" s="394">
        <v>8.3000000000000001E-3</v>
      </c>
      <c r="D812" s="405" t="s">
        <v>520</v>
      </c>
      <c r="E812" s="394">
        <v>8.9999999999999993E-3</v>
      </c>
      <c r="F812" s="405" t="s">
        <v>1412</v>
      </c>
      <c r="G812" s="394">
        <v>6.9999999999999999E-6</v>
      </c>
      <c r="H812" s="405" t="s">
        <v>520</v>
      </c>
      <c r="I812" s="404" t="s">
        <v>1413</v>
      </c>
      <c r="J812" s="404" t="s">
        <v>1413</v>
      </c>
      <c r="K812" s="405">
        <v>2.5999999999999999E-2</v>
      </c>
      <c r="L812" s="411" t="s">
        <v>1531</v>
      </c>
      <c r="M812" s="406" t="s">
        <v>1531</v>
      </c>
      <c r="N812" s="425" t="s">
        <v>1383</v>
      </c>
      <c r="O812" s="507" t="s">
        <v>340</v>
      </c>
      <c r="P812" s="414" t="s">
        <v>1413</v>
      </c>
      <c r="Q812" s="417" t="s">
        <v>2434</v>
      </c>
      <c r="R812" s="338">
        <v>1</v>
      </c>
      <c r="S812" s="404" t="s">
        <v>1413</v>
      </c>
      <c r="T812" s="394">
        <v>8.3000000000000001E-3</v>
      </c>
      <c r="U812" s="394">
        <v>6.9999999999999999E-6</v>
      </c>
    </row>
    <row r="813" spans="1:21" ht="15.6" thickBot="1">
      <c r="A813" s="407" t="s">
        <v>1531</v>
      </c>
      <c r="B813" s="408" t="s">
        <v>1413</v>
      </c>
      <c r="C813" s="399" t="s">
        <v>1531</v>
      </c>
      <c r="D813" s="408" t="s">
        <v>1413</v>
      </c>
      <c r="E813" s="396">
        <v>1E-3</v>
      </c>
      <c r="F813" s="409" t="s">
        <v>1412</v>
      </c>
      <c r="G813" s="399" t="s">
        <v>1531</v>
      </c>
      <c r="H813" s="408" t="s">
        <v>1413</v>
      </c>
      <c r="I813" s="409" t="s">
        <v>969</v>
      </c>
      <c r="J813" s="408" t="s">
        <v>1413</v>
      </c>
      <c r="K813" s="409">
        <v>1</v>
      </c>
      <c r="L813" s="413" t="s">
        <v>1531</v>
      </c>
      <c r="M813" s="410" t="s">
        <v>1531</v>
      </c>
      <c r="N813" s="426" t="s">
        <v>1385</v>
      </c>
      <c r="O813" s="507" t="s">
        <v>341</v>
      </c>
      <c r="P813" s="416" t="s">
        <v>1413</v>
      </c>
      <c r="Q813" s="417" t="s">
        <v>2433</v>
      </c>
      <c r="R813" s="338">
        <v>1</v>
      </c>
      <c r="S813" s="408" t="s">
        <v>1413</v>
      </c>
      <c r="T813" s="399" t="s">
        <v>1531</v>
      </c>
      <c r="U813" s="399" t="s">
        <v>1531</v>
      </c>
    </row>
    <row r="814" spans="1:21" ht="15">
      <c r="A814" s="403" t="s">
        <v>1531</v>
      </c>
      <c r="B814" s="404" t="s">
        <v>1413</v>
      </c>
      <c r="C814" s="398" t="s">
        <v>1531</v>
      </c>
      <c r="D814" s="404" t="s">
        <v>1413</v>
      </c>
      <c r="E814" s="394">
        <v>1.1999999999999999E-3</v>
      </c>
      <c r="F814" s="405" t="s">
        <v>1474</v>
      </c>
      <c r="G814" s="398" t="s">
        <v>1531</v>
      </c>
      <c r="H814" s="404" t="s">
        <v>1413</v>
      </c>
      <c r="I814" s="404" t="s">
        <v>1413</v>
      </c>
      <c r="J814" s="404" t="s">
        <v>1413</v>
      </c>
      <c r="K814" s="405">
        <v>1</v>
      </c>
      <c r="L814" s="405">
        <v>0.1</v>
      </c>
      <c r="M814" s="406" t="s">
        <v>1531</v>
      </c>
      <c r="N814" s="425" t="s">
        <v>1386</v>
      </c>
      <c r="O814" s="391" t="s">
        <v>342</v>
      </c>
      <c r="P814" s="414" t="s">
        <v>1413</v>
      </c>
      <c r="Q814" s="417" t="s">
        <v>2433</v>
      </c>
      <c r="R814" s="338">
        <v>1</v>
      </c>
      <c r="S814" s="404" t="s">
        <v>1413</v>
      </c>
      <c r="T814" s="398" t="s">
        <v>1531</v>
      </c>
      <c r="U814" s="398" t="s">
        <v>1531</v>
      </c>
    </row>
    <row r="815" spans="1:21" ht="15">
      <c r="A815" s="403" t="s">
        <v>1531</v>
      </c>
      <c r="B815" s="404" t="s">
        <v>1413</v>
      </c>
      <c r="C815" s="398" t="s">
        <v>1531</v>
      </c>
      <c r="D815" s="404" t="s">
        <v>1413</v>
      </c>
      <c r="E815" s="394">
        <v>1</v>
      </c>
      <c r="F815" s="405" t="s">
        <v>406</v>
      </c>
      <c r="G815" s="394">
        <v>0.2</v>
      </c>
      <c r="H815" s="405" t="s">
        <v>1412</v>
      </c>
      <c r="I815" s="405" t="s">
        <v>969</v>
      </c>
      <c r="J815" s="404" t="s">
        <v>1413</v>
      </c>
      <c r="K815" s="405">
        <v>1</v>
      </c>
      <c r="L815" s="411" t="s">
        <v>1531</v>
      </c>
      <c r="M815" s="395">
        <v>2750</v>
      </c>
      <c r="N815" s="425" t="s">
        <v>1387</v>
      </c>
      <c r="O815" s="507" t="s">
        <v>343</v>
      </c>
      <c r="P815" s="414" t="s">
        <v>1413</v>
      </c>
      <c r="Q815" s="417" t="s">
        <v>2433</v>
      </c>
      <c r="R815" s="338">
        <v>1</v>
      </c>
      <c r="S815" s="404" t="s">
        <v>1413</v>
      </c>
      <c r="T815" s="398" t="s">
        <v>1531</v>
      </c>
      <c r="U815" s="394">
        <v>0.2</v>
      </c>
    </row>
    <row r="816" spans="1:21" ht="15.6" thickBot="1">
      <c r="A816" s="407" t="s">
        <v>1531</v>
      </c>
      <c r="B816" s="408" t="s">
        <v>1413</v>
      </c>
      <c r="C816" s="396">
        <v>3.1999999999999999E-5</v>
      </c>
      <c r="D816" s="409" t="s">
        <v>406</v>
      </c>
      <c r="E816" s="399" t="s">
        <v>1531</v>
      </c>
      <c r="F816" s="408" t="s">
        <v>1413</v>
      </c>
      <c r="G816" s="396">
        <v>3.0000000000000001E-3</v>
      </c>
      <c r="H816" s="409" t="s">
        <v>1412</v>
      </c>
      <c r="I816" s="409" t="s">
        <v>969</v>
      </c>
      <c r="J816" s="408" t="s">
        <v>1413</v>
      </c>
      <c r="K816" s="409">
        <v>1</v>
      </c>
      <c r="L816" s="413" t="s">
        <v>1531</v>
      </c>
      <c r="M816" s="397">
        <v>2470</v>
      </c>
      <c r="N816" s="426" t="s">
        <v>1388</v>
      </c>
      <c r="O816" s="507" t="s">
        <v>344</v>
      </c>
      <c r="P816" s="416" t="s">
        <v>1413</v>
      </c>
      <c r="Q816" s="417" t="s">
        <v>2433</v>
      </c>
      <c r="R816" s="338">
        <v>1</v>
      </c>
      <c r="S816" s="408" t="s">
        <v>1413</v>
      </c>
      <c r="T816" s="396">
        <v>3.1999999999999999E-5</v>
      </c>
      <c r="U816" s="396">
        <v>3.0000000000000001E-3</v>
      </c>
    </row>
    <row r="817" spans="1:21" ht="15">
      <c r="A817" s="427">
        <v>0.72</v>
      </c>
      <c r="B817" s="405" t="s">
        <v>1412</v>
      </c>
      <c r="C817" s="394">
        <v>4.4000000000000002E-6</v>
      </c>
      <c r="D817" s="405" t="s">
        <v>1412</v>
      </c>
      <c r="E817" s="394">
        <v>3.0000000000000001E-3</v>
      </c>
      <c r="F817" s="405" t="s">
        <v>1412</v>
      </c>
      <c r="G817" s="394">
        <v>0.1</v>
      </c>
      <c r="H817" s="405" t="s">
        <v>1412</v>
      </c>
      <c r="I817" s="405" t="s">
        <v>969</v>
      </c>
      <c r="J817" s="405" t="s">
        <v>522</v>
      </c>
      <c r="K817" s="405">
        <v>1</v>
      </c>
      <c r="L817" s="411" t="s">
        <v>1531</v>
      </c>
      <c r="M817" s="395">
        <v>3920</v>
      </c>
      <c r="N817" s="425" t="s">
        <v>1389</v>
      </c>
      <c r="O817" s="391" t="s">
        <v>345</v>
      </c>
      <c r="P817" s="429">
        <v>2</v>
      </c>
      <c r="Q817" s="417" t="s">
        <v>2434</v>
      </c>
      <c r="R817" s="338">
        <v>1</v>
      </c>
      <c r="S817" s="405" t="s">
        <v>2190</v>
      </c>
      <c r="T817" s="394">
        <v>4.4000000000000002E-6</v>
      </c>
      <c r="U817" s="394">
        <v>0.1</v>
      </c>
    </row>
    <row r="818" spans="1:21" ht="15">
      <c r="A818" s="403" t="s">
        <v>1531</v>
      </c>
      <c r="B818" s="404" t="s">
        <v>1413</v>
      </c>
      <c r="C818" s="398" t="s">
        <v>1531</v>
      </c>
      <c r="D818" s="404" t="s">
        <v>1413</v>
      </c>
      <c r="E818" s="394">
        <v>2.9999999999999997E-4</v>
      </c>
      <c r="F818" s="405" t="s">
        <v>1412</v>
      </c>
      <c r="G818" s="398" t="s">
        <v>1531</v>
      </c>
      <c r="H818" s="404" t="s">
        <v>1413</v>
      </c>
      <c r="I818" s="404" t="s">
        <v>1413</v>
      </c>
      <c r="J818" s="404" t="s">
        <v>1413</v>
      </c>
      <c r="K818" s="405">
        <v>1</v>
      </c>
      <c r="L818" s="405">
        <v>0.1</v>
      </c>
      <c r="M818" s="406" t="s">
        <v>1531</v>
      </c>
      <c r="N818" s="425" t="s">
        <v>1390</v>
      </c>
      <c r="O818" s="391" t="s">
        <v>346</v>
      </c>
      <c r="P818" s="414" t="s">
        <v>1413</v>
      </c>
      <c r="Q818" s="417" t="s">
        <v>2434</v>
      </c>
      <c r="R818" s="338">
        <v>1</v>
      </c>
      <c r="S818" s="404" t="s">
        <v>1413</v>
      </c>
      <c r="T818" s="398" t="s">
        <v>1531</v>
      </c>
      <c r="U818" s="398" t="s">
        <v>1531</v>
      </c>
    </row>
    <row r="819" spans="1:21" ht="15.6" thickBot="1">
      <c r="A819" s="407" t="s">
        <v>1531</v>
      </c>
      <c r="B819" s="408" t="s">
        <v>1413</v>
      </c>
      <c r="C819" s="399" t="s">
        <v>1531</v>
      </c>
      <c r="D819" s="408" t="s">
        <v>1413</v>
      </c>
      <c r="E819" s="396">
        <v>0.2</v>
      </c>
      <c r="F819" s="409" t="s">
        <v>405</v>
      </c>
      <c r="G819" s="396">
        <v>0.1</v>
      </c>
      <c r="H819" s="409" t="s">
        <v>405</v>
      </c>
      <c r="I819" s="409" t="s">
        <v>969</v>
      </c>
      <c r="J819" s="408" t="s">
        <v>1413</v>
      </c>
      <c r="K819" s="409">
        <v>1</v>
      </c>
      <c r="L819" s="413" t="s">
        <v>1531</v>
      </c>
      <c r="M819" s="397">
        <v>388</v>
      </c>
      <c r="N819" s="426" t="s">
        <v>1393</v>
      </c>
      <c r="O819" s="393" t="s">
        <v>349</v>
      </c>
      <c r="P819" s="416" t="s">
        <v>1413</v>
      </c>
      <c r="Q819" s="340" t="s">
        <v>2433</v>
      </c>
      <c r="R819" s="338">
        <v>1</v>
      </c>
      <c r="S819" s="408" t="s">
        <v>1413</v>
      </c>
      <c r="T819" s="399" t="s">
        <v>1531</v>
      </c>
      <c r="U819" s="396">
        <v>0.1</v>
      </c>
    </row>
    <row r="820" spans="1:21" ht="15">
      <c r="A820" s="403" t="s">
        <v>1531</v>
      </c>
      <c r="B820" s="404" t="s">
        <v>1413</v>
      </c>
      <c r="C820" s="398" t="s">
        <v>1531</v>
      </c>
      <c r="D820" s="404" t="s">
        <v>1413</v>
      </c>
      <c r="E820" s="394">
        <v>0.2</v>
      </c>
      <c r="F820" s="405" t="s">
        <v>405</v>
      </c>
      <c r="G820" s="394">
        <v>0.1</v>
      </c>
      <c r="H820" s="405" t="s">
        <v>405</v>
      </c>
      <c r="I820" s="405" t="s">
        <v>969</v>
      </c>
      <c r="J820" s="404" t="s">
        <v>1413</v>
      </c>
      <c r="K820" s="405">
        <v>1</v>
      </c>
      <c r="L820" s="411" t="s">
        <v>1531</v>
      </c>
      <c r="M820" s="395">
        <v>434</v>
      </c>
      <c r="N820" s="425" t="s">
        <v>1394</v>
      </c>
      <c r="O820" s="391" t="s">
        <v>350</v>
      </c>
      <c r="P820" s="414" t="s">
        <v>1413</v>
      </c>
      <c r="Q820" s="340" t="s">
        <v>2433</v>
      </c>
      <c r="R820" s="338">
        <v>1</v>
      </c>
      <c r="S820" s="404" t="s">
        <v>1413</v>
      </c>
      <c r="T820" s="398" t="s">
        <v>1531</v>
      </c>
      <c r="U820" s="394">
        <v>0.1</v>
      </c>
    </row>
    <row r="821" spans="1:21" ht="15">
      <c r="A821" s="403" t="s">
        <v>1531</v>
      </c>
      <c r="B821" s="404" t="s">
        <v>1413</v>
      </c>
      <c r="C821" s="398" t="s">
        <v>1531</v>
      </c>
      <c r="D821" s="404" t="s">
        <v>1413</v>
      </c>
      <c r="E821" s="394">
        <v>0.2</v>
      </c>
      <c r="F821" s="405" t="s">
        <v>405</v>
      </c>
      <c r="G821" s="394">
        <v>0.1</v>
      </c>
      <c r="H821" s="405" t="s">
        <v>405</v>
      </c>
      <c r="I821" s="405" t="s">
        <v>969</v>
      </c>
      <c r="J821" s="404" t="s">
        <v>1413</v>
      </c>
      <c r="K821" s="405">
        <v>1</v>
      </c>
      <c r="L821" s="411" t="s">
        <v>1531</v>
      </c>
      <c r="M821" s="395">
        <v>390</v>
      </c>
      <c r="N821" s="425" t="s">
        <v>1392</v>
      </c>
      <c r="O821" s="391" t="s">
        <v>348</v>
      </c>
      <c r="P821" s="414" t="s">
        <v>1413</v>
      </c>
      <c r="Q821" s="417" t="s">
        <v>2433</v>
      </c>
      <c r="R821" s="338">
        <v>1</v>
      </c>
      <c r="S821" s="404" t="s">
        <v>1413</v>
      </c>
      <c r="T821" s="398" t="s">
        <v>1531</v>
      </c>
      <c r="U821" s="394">
        <v>0.1</v>
      </c>
    </row>
    <row r="822" spans="1:21" ht="15.6" thickBot="1">
      <c r="A822" s="407" t="s">
        <v>1531</v>
      </c>
      <c r="B822" s="408" t="s">
        <v>1413</v>
      </c>
      <c r="C822" s="399" t="s">
        <v>1531</v>
      </c>
      <c r="D822" s="408" t="s">
        <v>1413</v>
      </c>
      <c r="E822" s="396">
        <v>0.2</v>
      </c>
      <c r="F822" s="409" t="s">
        <v>1412</v>
      </c>
      <c r="G822" s="396">
        <v>0.1</v>
      </c>
      <c r="H822" s="409" t="s">
        <v>1412</v>
      </c>
      <c r="I822" s="409" t="s">
        <v>969</v>
      </c>
      <c r="J822" s="408" t="s">
        <v>1413</v>
      </c>
      <c r="K822" s="409">
        <v>1</v>
      </c>
      <c r="L822" s="413" t="s">
        <v>1531</v>
      </c>
      <c r="M822" s="397">
        <v>260</v>
      </c>
      <c r="N822" s="426" t="s">
        <v>1616</v>
      </c>
      <c r="O822" s="393" t="s">
        <v>347</v>
      </c>
      <c r="P822" s="415">
        <v>10000</v>
      </c>
      <c r="Q822" s="340" t="s">
        <v>2433</v>
      </c>
      <c r="R822" s="338">
        <v>1</v>
      </c>
      <c r="S822" s="408" t="s">
        <v>1413</v>
      </c>
      <c r="T822" s="399" t="s">
        <v>1531</v>
      </c>
      <c r="U822" s="396">
        <v>0.1</v>
      </c>
    </row>
    <row r="823" spans="1:21" ht="15">
      <c r="A823" s="403" t="s">
        <v>1531</v>
      </c>
      <c r="B823" s="404" t="s">
        <v>1413</v>
      </c>
      <c r="C823" s="398" t="s">
        <v>1531</v>
      </c>
      <c r="D823" s="404" t="s">
        <v>1413</v>
      </c>
      <c r="E823" s="394">
        <v>0.3</v>
      </c>
      <c r="F823" s="405" t="s">
        <v>1412</v>
      </c>
      <c r="G823" s="398" t="s">
        <v>1531</v>
      </c>
      <c r="H823" s="404" t="s">
        <v>1413</v>
      </c>
      <c r="I823" s="404" t="s">
        <v>1413</v>
      </c>
      <c r="J823" s="404" t="s">
        <v>1413</v>
      </c>
      <c r="K823" s="405">
        <v>1</v>
      </c>
      <c r="L823" s="411" t="s">
        <v>1531</v>
      </c>
      <c r="M823" s="406" t="s">
        <v>1531</v>
      </c>
      <c r="N823" s="425" t="s">
        <v>1617</v>
      </c>
      <c r="O823" s="507" t="s">
        <v>351</v>
      </c>
      <c r="P823" s="414" t="s">
        <v>1413</v>
      </c>
      <c r="S823" s="404" t="s">
        <v>1413</v>
      </c>
      <c r="T823" s="398" t="s">
        <v>1531</v>
      </c>
      <c r="U823" s="398" t="s">
        <v>1531</v>
      </c>
    </row>
    <row r="824" spans="1:21" ht="15">
      <c r="A824" s="403" t="s">
        <v>1531</v>
      </c>
      <c r="B824" s="404" t="s">
        <v>1413</v>
      </c>
      <c r="C824" s="398" t="s">
        <v>1531</v>
      </c>
      <c r="D824" s="404" t="s">
        <v>1413</v>
      </c>
      <c r="E824" s="394">
        <v>0.05</v>
      </c>
      <c r="F824" s="405" t="s">
        <v>1412</v>
      </c>
      <c r="G824" s="398" t="s">
        <v>1531</v>
      </c>
      <c r="H824" s="404" t="s">
        <v>1413</v>
      </c>
      <c r="I824" s="404" t="s">
        <v>1413</v>
      </c>
      <c r="J824" s="404" t="s">
        <v>1413</v>
      </c>
      <c r="K824" s="405">
        <v>1</v>
      </c>
      <c r="L824" s="411" t="s">
        <v>1531</v>
      </c>
      <c r="M824" s="406" t="s">
        <v>1531</v>
      </c>
      <c r="N824" s="425" t="s">
        <v>2370</v>
      </c>
      <c r="O824" s="507" t="s">
        <v>800</v>
      </c>
      <c r="P824" s="414" t="s">
        <v>1413</v>
      </c>
      <c r="Q824" s="340" t="s">
        <v>2434</v>
      </c>
      <c r="R824" s="338">
        <v>1</v>
      </c>
      <c r="S824" s="404" t="s">
        <v>1413</v>
      </c>
      <c r="T824" s="398" t="s">
        <v>1531</v>
      </c>
      <c r="U824" s="398" t="s">
        <v>1531</v>
      </c>
    </row>
    <row r="825" spans="1:21" ht="15.6" thickBot="1">
      <c r="A825" s="407" t="s">
        <v>1531</v>
      </c>
      <c r="B825" s="408" t="s">
        <v>1413</v>
      </c>
      <c r="C825" s="399" t="s">
        <v>1531</v>
      </c>
      <c r="D825" s="408" t="s">
        <v>1413</v>
      </c>
      <c r="E825" s="396">
        <v>2.9999999999999997E-4</v>
      </c>
      <c r="F825" s="409" t="s">
        <v>1412</v>
      </c>
      <c r="G825" s="399" t="s">
        <v>1531</v>
      </c>
      <c r="H825" s="408" t="s">
        <v>1413</v>
      </c>
      <c r="I825" s="408" t="s">
        <v>1413</v>
      </c>
      <c r="J825" s="408" t="s">
        <v>1413</v>
      </c>
      <c r="K825" s="409">
        <v>1</v>
      </c>
      <c r="L825" s="413" t="s">
        <v>1531</v>
      </c>
      <c r="M825" s="410" t="s">
        <v>1531</v>
      </c>
      <c r="N825" s="426" t="s">
        <v>1395</v>
      </c>
      <c r="O825" s="507" t="s">
        <v>352</v>
      </c>
      <c r="P825" s="416" t="s">
        <v>1413</v>
      </c>
      <c r="Q825" s="340" t="s">
        <v>2433</v>
      </c>
      <c r="R825" s="338">
        <v>1</v>
      </c>
      <c r="S825" s="408" t="s">
        <v>1413</v>
      </c>
      <c r="T825" s="399" t="s">
        <v>1531</v>
      </c>
      <c r="U825" s="399" t="s">
        <v>1531</v>
      </c>
    </row>
    <row r="826" spans="1:21" ht="15">
      <c r="A826" s="403" t="s">
        <v>1531</v>
      </c>
      <c r="B826" s="404" t="s">
        <v>1413</v>
      </c>
      <c r="C826" s="398" t="s">
        <v>1531</v>
      </c>
      <c r="D826" s="404" t="s">
        <v>1413</v>
      </c>
      <c r="E826" s="394">
        <v>0.05</v>
      </c>
      <c r="F826" s="405" t="s">
        <v>1412</v>
      </c>
      <c r="G826" s="398" t="s">
        <v>1531</v>
      </c>
      <c r="H826" s="404" t="s">
        <v>1413</v>
      </c>
      <c r="I826" s="404" t="s">
        <v>1413</v>
      </c>
      <c r="J826" s="404" t="s">
        <v>1413</v>
      </c>
      <c r="K826" s="405">
        <v>1</v>
      </c>
      <c r="L826" s="405">
        <v>0.1</v>
      </c>
      <c r="M826" s="406" t="s">
        <v>1531</v>
      </c>
      <c r="N826" s="425" t="s">
        <v>1396</v>
      </c>
      <c r="O826" s="507" t="s">
        <v>353</v>
      </c>
      <c r="P826" s="414" t="s">
        <v>1413</v>
      </c>
      <c r="S826" s="404" t="s">
        <v>1413</v>
      </c>
      <c r="T826" s="398" t="s">
        <v>1531</v>
      </c>
      <c r="U826" s="398" t="s">
        <v>1531</v>
      </c>
    </row>
    <row r="827" spans="1:21" ht="15.6" thickBot="1">
      <c r="A827" s="407" t="s">
        <v>1531</v>
      </c>
      <c r="B827" s="408" t="s">
        <v>1413</v>
      </c>
      <c r="C827" s="399" t="s">
        <v>1531</v>
      </c>
      <c r="D827" s="408" t="s">
        <v>1413</v>
      </c>
      <c r="E827" s="396">
        <v>8.0000000000000007E-5</v>
      </c>
      <c r="F827" s="409" t="s">
        <v>961</v>
      </c>
      <c r="G827" s="399" t="s">
        <v>1531</v>
      </c>
      <c r="H827" s="408" t="s">
        <v>1413</v>
      </c>
      <c r="I827" s="408" t="s">
        <v>1413</v>
      </c>
      <c r="J827" s="408" t="s">
        <v>1413</v>
      </c>
      <c r="K827" s="409">
        <v>1</v>
      </c>
      <c r="L827" s="413" t="s">
        <v>1531</v>
      </c>
      <c r="M827" s="410" t="s">
        <v>1531</v>
      </c>
      <c r="N827" s="426" t="s">
        <v>2016</v>
      </c>
      <c r="O827" s="507" t="s">
        <v>2017</v>
      </c>
      <c r="P827" s="416" t="s">
        <v>1413</v>
      </c>
      <c r="S827" s="408" t="s">
        <v>1413</v>
      </c>
      <c r="T827" s="399" t="s">
        <v>1531</v>
      </c>
      <c r="U827" s="399" t="s">
        <v>1531</v>
      </c>
    </row>
  </sheetData>
  <sheetProtection algorithmName="SHA-512" hashValue="jczWBvsbNZPvkX1UGiXA+nZbIbcjwwWwi33sZ5YFJXGYqEDal03P+WnSCaWBeNo2tlz7ItSAZyc1KZeIeoTSfg==" saltValue="4yYftmdBBaP4am9oHgI+yQ==" spinCount="100000" sheet="1" selectLockedCells="1" autoFilter="0"/>
  <autoFilter ref="A3:S827"/>
  <sortState ref="A4:S802">
    <sortCondition ref="R4:R802"/>
  </sortState>
  <mergeCells count="3">
    <mergeCell ref="A2:M2"/>
    <mergeCell ref="N2:O2"/>
    <mergeCell ref="A1:P1"/>
  </mergeCells>
  <pageMargins left="0.7" right="0.7" top="0.75" bottom="0.75" header="0.3" footer="0.3"/>
  <pageSetup scale="10" fitToHeight="0" orientation="landscape" r:id="rId1"/>
  <headerFooter>
    <oddHeader>&amp;CVISL Version 3.5
Updated October 2017
Current Toxicity Values from June 2017 RSL Update</oddHeader>
    <oddFooter>&amp;LVISL Calculator Version 3.5, June 2017 RSLs&amp;CUpdated October 2017&amp;RPage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C826"/>
  <sheetViews>
    <sheetView topLeftCell="A705" zoomScaleNormal="100" workbookViewId="0">
      <selection activeCell="B282" sqref="B282"/>
    </sheetView>
  </sheetViews>
  <sheetFormatPr defaultColWidth="9.109375" defaultRowHeight="13.2"/>
  <cols>
    <col min="1" max="1" width="47.6640625" style="259" customWidth="1"/>
    <col min="2" max="2" width="35.33203125" style="259" bestFit="1" customWidth="1"/>
    <col min="3" max="3" width="15.6640625" style="259" customWidth="1"/>
    <col min="4" max="4" width="13" style="259" customWidth="1"/>
    <col min="5" max="5" width="9" style="259" bestFit="1" customWidth="1"/>
    <col min="6" max="6" width="10.88671875" style="259" bestFit="1" customWidth="1"/>
    <col min="7" max="7" width="11.5546875" style="259" customWidth="1"/>
    <col min="8" max="8" width="13.33203125" style="259" customWidth="1"/>
    <col min="9" max="13" width="14" style="259" customWidth="1"/>
    <col min="14" max="14" width="9.44140625" style="357" customWidth="1"/>
    <col min="15" max="15" width="12.44140625" style="259" customWidth="1"/>
    <col min="16" max="17" width="9.5546875" style="259" customWidth="1"/>
    <col min="18" max="18" width="24.109375" style="259" customWidth="1"/>
    <col min="19" max="20" width="8.5546875" style="259" customWidth="1"/>
    <col min="21" max="21" width="12" style="259" customWidth="1"/>
    <col min="22" max="23" width="10.33203125" style="259" customWidth="1"/>
    <col min="24" max="24" width="14.33203125" style="259" bestFit="1" customWidth="1"/>
    <col min="25" max="25" width="11.5546875" style="259" bestFit="1" customWidth="1"/>
    <col min="26" max="26" width="11.6640625" style="259" bestFit="1" customWidth="1"/>
    <col min="27" max="27" width="11.5546875" style="259" bestFit="1" customWidth="1"/>
    <col min="28" max="28" width="7.33203125" style="259" bestFit="1" customWidth="1"/>
    <col min="29" max="265" width="9.109375" style="259"/>
    <col min="266" max="266" width="68.44140625" style="259" bestFit="1" customWidth="1"/>
    <col min="267" max="267" width="11.44140625" style="259" bestFit="1" customWidth="1"/>
    <col min="268" max="268" width="7.5546875" style="259" bestFit="1" customWidth="1"/>
    <col min="269" max="269" width="8" style="259" bestFit="1" customWidth="1"/>
    <col min="270" max="270" width="11.5546875" style="259" bestFit="1" customWidth="1"/>
    <col min="271" max="271" width="14.5546875" style="259" bestFit="1" customWidth="1"/>
    <col min="272" max="272" width="13.88671875" style="259" bestFit="1" customWidth="1"/>
    <col min="273" max="273" width="7.6640625" style="259" bestFit="1" customWidth="1"/>
    <col min="274" max="274" width="12" style="259" bestFit="1" customWidth="1"/>
    <col min="275" max="275" width="9.5546875" style="259" bestFit="1" customWidth="1"/>
    <col min="276" max="276" width="8.33203125" style="259" bestFit="1" customWidth="1"/>
    <col min="277" max="277" width="11.5546875" style="259" bestFit="1" customWidth="1"/>
    <col min="278" max="278" width="8.33203125" style="259" bestFit="1" customWidth="1"/>
    <col min="279" max="279" width="12" style="259" bestFit="1" customWidth="1"/>
    <col min="280" max="280" width="9.6640625" style="259" bestFit="1" customWidth="1"/>
    <col min="281" max="281" width="11.5546875" style="259" bestFit="1" customWidth="1"/>
    <col min="282" max="282" width="6.88671875" style="259" bestFit="1" customWidth="1"/>
    <col min="283" max="283" width="11.5546875" style="259" bestFit="1" customWidth="1"/>
    <col min="284" max="284" width="6.6640625" style="259" bestFit="1" customWidth="1"/>
    <col min="285" max="521" width="9.109375" style="259"/>
    <col min="522" max="522" width="68.44140625" style="259" bestFit="1" customWidth="1"/>
    <col min="523" max="523" width="11.44140625" style="259" bestFit="1" customWidth="1"/>
    <col min="524" max="524" width="7.5546875" style="259" bestFit="1" customWidth="1"/>
    <col min="525" max="525" width="8" style="259" bestFit="1" customWidth="1"/>
    <col min="526" max="526" width="11.5546875" style="259" bestFit="1" customWidth="1"/>
    <col min="527" max="527" width="14.5546875" style="259" bestFit="1" customWidth="1"/>
    <col min="528" max="528" width="13.88671875" style="259" bestFit="1" customWidth="1"/>
    <col min="529" max="529" width="7.6640625" style="259" bestFit="1" customWidth="1"/>
    <col min="530" max="530" width="12" style="259" bestFit="1" customWidth="1"/>
    <col min="531" max="531" width="9.5546875" style="259" bestFit="1" customWidth="1"/>
    <col min="532" max="532" width="8.33203125" style="259" bestFit="1" customWidth="1"/>
    <col min="533" max="533" width="11.5546875" style="259" bestFit="1" customWidth="1"/>
    <col min="534" max="534" width="8.33203125" style="259" bestFit="1" customWidth="1"/>
    <col min="535" max="535" width="12" style="259" bestFit="1" customWidth="1"/>
    <col min="536" max="536" width="9.6640625" style="259" bestFit="1" customWidth="1"/>
    <col min="537" max="537" width="11.5546875" style="259" bestFit="1" customWidth="1"/>
    <col min="538" max="538" width="6.88671875" style="259" bestFit="1" customWidth="1"/>
    <col min="539" max="539" width="11.5546875" style="259" bestFit="1" customWidth="1"/>
    <col min="540" max="540" width="6.6640625" style="259" bestFit="1" customWidth="1"/>
    <col min="541" max="777" width="9.109375" style="259"/>
    <col min="778" max="778" width="68.44140625" style="259" bestFit="1" customWidth="1"/>
    <col min="779" max="779" width="11.44140625" style="259" bestFit="1" customWidth="1"/>
    <col min="780" max="780" width="7.5546875" style="259" bestFit="1" customWidth="1"/>
    <col min="781" max="781" width="8" style="259" bestFit="1" customWidth="1"/>
    <col min="782" max="782" width="11.5546875" style="259" bestFit="1" customWidth="1"/>
    <col min="783" max="783" width="14.5546875" style="259" bestFit="1" customWidth="1"/>
    <col min="784" max="784" width="13.88671875" style="259" bestFit="1" customWidth="1"/>
    <col min="785" max="785" width="7.6640625" style="259" bestFit="1" customWidth="1"/>
    <col min="786" max="786" width="12" style="259" bestFit="1" customWidth="1"/>
    <col min="787" max="787" width="9.5546875" style="259" bestFit="1" customWidth="1"/>
    <col min="788" max="788" width="8.33203125" style="259" bestFit="1" customWidth="1"/>
    <col min="789" max="789" width="11.5546875" style="259" bestFit="1" customWidth="1"/>
    <col min="790" max="790" width="8.33203125" style="259" bestFit="1" customWidth="1"/>
    <col min="791" max="791" width="12" style="259" bestFit="1" customWidth="1"/>
    <col min="792" max="792" width="9.6640625" style="259" bestFit="1" customWidth="1"/>
    <col min="793" max="793" width="11.5546875" style="259" bestFit="1" customWidth="1"/>
    <col min="794" max="794" width="6.88671875" style="259" bestFit="1" customWidth="1"/>
    <col min="795" max="795" width="11.5546875" style="259" bestFit="1" customWidth="1"/>
    <col min="796" max="796" width="6.6640625" style="259" bestFit="1" customWidth="1"/>
    <col min="797" max="1033" width="9.109375" style="259"/>
    <col min="1034" max="1034" width="68.44140625" style="259" bestFit="1" customWidth="1"/>
    <col min="1035" max="1035" width="11.44140625" style="259" bestFit="1" customWidth="1"/>
    <col min="1036" max="1036" width="7.5546875" style="259" bestFit="1" customWidth="1"/>
    <col min="1037" max="1037" width="8" style="259" bestFit="1" customWidth="1"/>
    <col min="1038" max="1038" width="11.5546875" style="259" bestFit="1" customWidth="1"/>
    <col min="1039" max="1039" width="14.5546875" style="259" bestFit="1" customWidth="1"/>
    <col min="1040" max="1040" width="13.88671875" style="259" bestFit="1" customWidth="1"/>
    <col min="1041" max="1041" width="7.6640625" style="259" bestFit="1" customWidth="1"/>
    <col min="1042" max="1042" width="12" style="259" bestFit="1" customWidth="1"/>
    <col min="1043" max="1043" width="9.5546875" style="259" bestFit="1" customWidth="1"/>
    <col min="1044" max="1044" width="8.33203125" style="259" bestFit="1" customWidth="1"/>
    <col min="1045" max="1045" width="11.5546875" style="259" bestFit="1" customWidth="1"/>
    <col min="1046" max="1046" width="8.33203125" style="259" bestFit="1" customWidth="1"/>
    <col min="1047" max="1047" width="12" style="259" bestFit="1" customWidth="1"/>
    <col min="1048" max="1048" width="9.6640625" style="259" bestFit="1" customWidth="1"/>
    <col min="1049" max="1049" width="11.5546875" style="259" bestFit="1" customWidth="1"/>
    <col min="1050" max="1050" width="6.88671875" style="259" bestFit="1" customWidth="1"/>
    <col min="1051" max="1051" width="11.5546875" style="259" bestFit="1" customWidth="1"/>
    <col min="1052" max="1052" width="6.6640625" style="259" bestFit="1" customWidth="1"/>
    <col min="1053" max="1289" width="9.109375" style="259"/>
    <col min="1290" max="1290" width="68.44140625" style="259" bestFit="1" customWidth="1"/>
    <col min="1291" max="1291" width="11.44140625" style="259" bestFit="1" customWidth="1"/>
    <col min="1292" max="1292" width="7.5546875" style="259" bestFit="1" customWidth="1"/>
    <col min="1293" max="1293" width="8" style="259" bestFit="1" customWidth="1"/>
    <col min="1294" max="1294" width="11.5546875" style="259" bestFit="1" customWidth="1"/>
    <col min="1295" max="1295" width="14.5546875" style="259" bestFit="1" customWidth="1"/>
    <col min="1296" max="1296" width="13.88671875" style="259" bestFit="1" customWidth="1"/>
    <col min="1297" max="1297" width="7.6640625" style="259" bestFit="1" customWidth="1"/>
    <col min="1298" max="1298" width="12" style="259" bestFit="1" customWidth="1"/>
    <col min="1299" max="1299" width="9.5546875" style="259" bestFit="1" customWidth="1"/>
    <col min="1300" max="1300" width="8.33203125" style="259" bestFit="1" customWidth="1"/>
    <col min="1301" max="1301" width="11.5546875" style="259" bestFit="1" customWidth="1"/>
    <col min="1302" max="1302" width="8.33203125" style="259" bestFit="1" customWidth="1"/>
    <col min="1303" max="1303" width="12" style="259" bestFit="1" customWidth="1"/>
    <col min="1304" max="1304" width="9.6640625" style="259" bestFit="1" customWidth="1"/>
    <col min="1305" max="1305" width="11.5546875" style="259" bestFit="1" customWidth="1"/>
    <col min="1306" max="1306" width="6.88671875" style="259" bestFit="1" customWidth="1"/>
    <col min="1307" max="1307" width="11.5546875" style="259" bestFit="1" customWidth="1"/>
    <col min="1308" max="1308" width="6.6640625" style="259" bestFit="1" customWidth="1"/>
    <col min="1309" max="1545" width="9.109375" style="259"/>
    <col min="1546" max="1546" width="68.44140625" style="259" bestFit="1" customWidth="1"/>
    <col min="1547" max="1547" width="11.44140625" style="259" bestFit="1" customWidth="1"/>
    <col min="1548" max="1548" width="7.5546875" style="259" bestFit="1" customWidth="1"/>
    <col min="1549" max="1549" width="8" style="259" bestFit="1" customWidth="1"/>
    <col min="1550" max="1550" width="11.5546875" style="259" bestFit="1" customWidth="1"/>
    <col min="1551" max="1551" width="14.5546875" style="259" bestFit="1" customWidth="1"/>
    <col min="1552" max="1552" width="13.88671875" style="259" bestFit="1" customWidth="1"/>
    <col min="1553" max="1553" width="7.6640625" style="259" bestFit="1" customWidth="1"/>
    <col min="1554" max="1554" width="12" style="259" bestFit="1" customWidth="1"/>
    <col min="1555" max="1555" width="9.5546875" style="259" bestFit="1" customWidth="1"/>
    <col min="1556" max="1556" width="8.33203125" style="259" bestFit="1" customWidth="1"/>
    <col min="1557" max="1557" width="11.5546875" style="259" bestFit="1" customWidth="1"/>
    <col min="1558" max="1558" width="8.33203125" style="259" bestFit="1" customWidth="1"/>
    <col min="1559" max="1559" width="12" style="259" bestFit="1" customWidth="1"/>
    <col min="1560" max="1560" width="9.6640625" style="259" bestFit="1" customWidth="1"/>
    <col min="1561" max="1561" width="11.5546875" style="259" bestFit="1" customWidth="1"/>
    <col min="1562" max="1562" width="6.88671875" style="259" bestFit="1" customWidth="1"/>
    <col min="1563" max="1563" width="11.5546875" style="259" bestFit="1" customWidth="1"/>
    <col min="1564" max="1564" width="6.6640625" style="259" bestFit="1" customWidth="1"/>
    <col min="1565" max="1801" width="9.109375" style="259"/>
    <col min="1802" max="1802" width="68.44140625" style="259" bestFit="1" customWidth="1"/>
    <col min="1803" max="1803" width="11.44140625" style="259" bestFit="1" customWidth="1"/>
    <col min="1804" max="1804" width="7.5546875" style="259" bestFit="1" customWidth="1"/>
    <col min="1805" max="1805" width="8" style="259" bestFit="1" customWidth="1"/>
    <col min="1806" max="1806" width="11.5546875" style="259" bestFit="1" customWidth="1"/>
    <col min="1807" max="1807" width="14.5546875" style="259" bestFit="1" customWidth="1"/>
    <col min="1808" max="1808" width="13.88671875" style="259" bestFit="1" customWidth="1"/>
    <col min="1809" max="1809" width="7.6640625" style="259" bestFit="1" customWidth="1"/>
    <col min="1810" max="1810" width="12" style="259" bestFit="1" customWidth="1"/>
    <col min="1811" max="1811" width="9.5546875" style="259" bestFit="1" customWidth="1"/>
    <col min="1812" max="1812" width="8.33203125" style="259" bestFit="1" customWidth="1"/>
    <col min="1813" max="1813" width="11.5546875" style="259" bestFit="1" customWidth="1"/>
    <col min="1814" max="1814" width="8.33203125" style="259" bestFit="1" customWidth="1"/>
    <col min="1815" max="1815" width="12" style="259" bestFit="1" customWidth="1"/>
    <col min="1816" max="1816" width="9.6640625" style="259" bestFit="1" customWidth="1"/>
    <col min="1817" max="1817" width="11.5546875" style="259" bestFit="1" customWidth="1"/>
    <col min="1818" max="1818" width="6.88671875" style="259" bestFit="1" customWidth="1"/>
    <col min="1819" max="1819" width="11.5546875" style="259" bestFit="1" customWidth="1"/>
    <col min="1820" max="1820" width="6.6640625" style="259" bestFit="1" customWidth="1"/>
    <col min="1821" max="2057" width="9.109375" style="259"/>
    <col min="2058" max="2058" width="68.44140625" style="259" bestFit="1" customWidth="1"/>
    <col min="2059" max="2059" width="11.44140625" style="259" bestFit="1" customWidth="1"/>
    <col min="2060" max="2060" width="7.5546875" style="259" bestFit="1" customWidth="1"/>
    <col min="2061" max="2061" width="8" style="259" bestFit="1" customWidth="1"/>
    <col min="2062" max="2062" width="11.5546875" style="259" bestFit="1" customWidth="1"/>
    <col min="2063" max="2063" width="14.5546875" style="259" bestFit="1" customWidth="1"/>
    <col min="2064" max="2064" width="13.88671875" style="259" bestFit="1" customWidth="1"/>
    <col min="2065" max="2065" width="7.6640625" style="259" bestFit="1" customWidth="1"/>
    <col min="2066" max="2066" width="12" style="259" bestFit="1" customWidth="1"/>
    <col min="2067" max="2067" width="9.5546875" style="259" bestFit="1" customWidth="1"/>
    <col min="2068" max="2068" width="8.33203125" style="259" bestFit="1" customWidth="1"/>
    <col min="2069" max="2069" width="11.5546875" style="259" bestFit="1" customWidth="1"/>
    <col min="2070" max="2070" width="8.33203125" style="259" bestFit="1" customWidth="1"/>
    <col min="2071" max="2071" width="12" style="259" bestFit="1" customWidth="1"/>
    <col min="2072" max="2072" width="9.6640625" style="259" bestFit="1" customWidth="1"/>
    <col min="2073" max="2073" width="11.5546875" style="259" bestFit="1" customWidth="1"/>
    <col min="2074" max="2074" width="6.88671875" style="259" bestFit="1" customWidth="1"/>
    <col min="2075" max="2075" width="11.5546875" style="259" bestFit="1" customWidth="1"/>
    <col min="2076" max="2076" width="6.6640625" style="259" bestFit="1" customWidth="1"/>
    <col min="2077" max="2313" width="9.109375" style="259"/>
    <col min="2314" max="2314" width="68.44140625" style="259" bestFit="1" customWidth="1"/>
    <col min="2315" max="2315" width="11.44140625" style="259" bestFit="1" customWidth="1"/>
    <col min="2316" max="2316" width="7.5546875" style="259" bestFit="1" customWidth="1"/>
    <col min="2317" max="2317" width="8" style="259" bestFit="1" customWidth="1"/>
    <col min="2318" max="2318" width="11.5546875" style="259" bestFit="1" customWidth="1"/>
    <col min="2319" max="2319" width="14.5546875" style="259" bestFit="1" customWidth="1"/>
    <col min="2320" max="2320" width="13.88671875" style="259" bestFit="1" customWidth="1"/>
    <col min="2321" max="2321" width="7.6640625" style="259" bestFit="1" customWidth="1"/>
    <col min="2322" max="2322" width="12" style="259" bestFit="1" customWidth="1"/>
    <col min="2323" max="2323" width="9.5546875" style="259" bestFit="1" customWidth="1"/>
    <col min="2324" max="2324" width="8.33203125" style="259" bestFit="1" customWidth="1"/>
    <col min="2325" max="2325" width="11.5546875" style="259" bestFit="1" customWidth="1"/>
    <col min="2326" max="2326" width="8.33203125" style="259" bestFit="1" customWidth="1"/>
    <col min="2327" max="2327" width="12" style="259" bestFit="1" customWidth="1"/>
    <col min="2328" max="2328" width="9.6640625" style="259" bestFit="1" customWidth="1"/>
    <col min="2329" max="2329" width="11.5546875" style="259" bestFit="1" customWidth="1"/>
    <col min="2330" max="2330" width="6.88671875" style="259" bestFit="1" customWidth="1"/>
    <col min="2331" max="2331" width="11.5546875" style="259" bestFit="1" customWidth="1"/>
    <col min="2332" max="2332" width="6.6640625" style="259" bestFit="1" customWidth="1"/>
    <col min="2333" max="2569" width="9.109375" style="259"/>
    <col min="2570" max="2570" width="68.44140625" style="259" bestFit="1" customWidth="1"/>
    <col min="2571" max="2571" width="11.44140625" style="259" bestFit="1" customWidth="1"/>
    <col min="2572" max="2572" width="7.5546875" style="259" bestFit="1" customWidth="1"/>
    <col min="2573" max="2573" width="8" style="259" bestFit="1" customWidth="1"/>
    <col min="2574" max="2574" width="11.5546875" style="259" bestFit="1" customWidth="1"/>
    <col min="2575" max="2575" width="14.5546875" style="259" bestFit="1" customWidth="1"/>
    <col min="2576" max="2576" width="13.88671875" style="259" bestFit="1" customWidth="1"/>
    <col min="2577" max="2577" width="7.6640625" style="259" bestFit="1" customWidth="1"/>
    <col min="2578" max="2578" width="12" style="259" bestFit="1" customWidth="1"/>
    <col min="2579" max="2579" width="9.5546875" style="259" bestFit="1" customWidth="1"/>
    <col min="2580" max="2580" width="8.33203125" style="259" bestFit="1" customWidth="1"/>
    <col min="2581" max="2581" width="11.5546875" style="259" bestFit="1" customWidth="1"/>
    <col min="2582" max="2582" width="8.33203125" style="259" bestFit="1" customWidth="1"/>
    <col min="2583" max="2583" width="12" style="259" bestFit="1" customWidth="1"/>
    <col min="2584" max="2584" width="9.6640625" style="259" bestFit="1" customWidth="1"/>
    <col min="2585" max="2585" width="11.5546875" style="259" bestFit="1" customWidth="1"/>
    <col min="2586" max="2586" width="6.88671875" style="259" bestFit="1" customWidth="1"/>
    <col min="2587" max="2587" width="11.5546875" style="259" bestFit="1" customWidth="1"/>
    <col min="2588" max="2588" width="6.6640625" style="259" bestFit="1" customWidth="1"/>
    <col min="2589" max="2825" width="9.109375" style="259"/>
    <col min="2826" max="2826" width="68.44140625" style="259" bestFit="1" customWidth="1"/>
    <col min="2827" max="2827" width="11.44140625" style="259" bestFit="1" customWidth="1"/>
    <col min="2828" max="2828" width="7.5546875" style="259" bestFit="1" customWidth="1"/>
    <col min="2829" max="2829" width="8" style="259" bestFit="1" customWidth="1"/>
    <col min="2830" max="2830" width="11.5546875" style="259" bestFit="1" customWidth="1"/>
    <col min="2831" max="2831" width="14.5546875" style="259" bestFit="1" customWidth="1"/>
    <col min="2832" max="2832" width="13.88671875" style="259" bestFit="1" customWidth="1"/>
    <col min="2833" max="2833" width="7.6640625" style="259" bestFit="1" customWidth="1"/>
    <col min="2834" max="2834" width="12" style="259" bestFit="1" customWidth="1"/>
    <col min="2835" max="2835" width="9.5546875" style="259" bestFit="1" customWidth="1"/>
    <col min="2836" max="2836" width="8.33203125" style="259" bestFit="1" customWidth="1"/>
    <col min="2837" max="2837" width="11.5546875" style="259" bestFit="1" customWidth="1"/>
    <col min="2838" max="2838" width="8.33203125" style="259" bestFit="1" customWidth="1"/>
    <col min="2839" max="2839" width="12" style="259" bestFit="1" customWidth="1"/>
    <col min="2840" max="2840" width="9.6640625" style="259" bestFit="1" customWidth="1"/>
    <col min="2841" max="2841" width="11.5546875" style="259" bestFit="1" customWidth="1"/>
    <col min="2842" max="2842" width="6.88671875" style="259" bestFit="1" customWidth="1"/>
    <col min="2843" max="2843" width="11.5546875" style="259" bestFit="1" customWidth="1"/>
    <col min="2844" max="2844" width="6.6640625" style="259" bestFit="1" customWidth="1"/>
    <col min="2845" max="3081" width="9.109375" style="259"/>
    <col min="3082" max="3082" width="68.44140625" style="259" bestFit="1" customWidth="1"/>
    <col min="3083" max="3083" width="11.44140625" style="259" bestFit="1" customWidth="1"/>
    <col min="3084" max="3084" width="7.5546875" style="259" bestFit="1" customWidth="1"/>
    <col min="3085" max="3085" width="8" style="259" bestFit="1" customWidth="1"/>
    <col min="3086" max="3086" width="11.5546875" style="259" bestFit="1" customWidth="1"/>
    <col min="3087" max="3087" width="14.5546875" style="259" bestFit="1" customWidth="1"/>
    <col min="3088" max="3088" width="13.88671875" style="259" bestFit="1" customWidth="1"/>
    <col min="3089" max="3089" width="7.6640625" style="259" bestFit="1" customWidth="1"/>
    <col min="3090" max="3090" width="12" style="259" bestFit="1" customWidth="1"/>
    <col min="3091" max="3091" width="9.5546875" style="259" bestFit="1" customWidth="1"/>
    <col min="3092" max="3092" width="8.33203125" style="259" bestFit="1" customWidth="1"/>
    <col min="3093" max="3093" width="11.5546875" style="259" bestFit="1" customWidth="1"/>
    <col min="3094" max="3094" width="8.33203125" style="259" bestFit="1" customWidth="1"/>
    <col min="3095" max="3095" width="12" style="259" bestFit="1" customWidth="1"/>
    <col min="3096" max="3096" width="9.6640625" style="259" bestFit="1" customWidth="1"/>
    <col min="3097" max="3097" width="11.5546875" style="259" bestFit="1" customWidth="1"/>
    <col min="3098" max="3098" width="6.88671875" style="259" bestFit="1" customWidth="1"/>
    <col min="3099" max="3099" width="11.5546875" style="259" bestFit="1" customWidth="1"/>
    <col min="3100" max="3100" width="6.6640625" style="259" bestFit="1" customWidth="1"/>
    <col min="3101" max="3337" width="9.109375" style="259"/>
    <col min="3338" max="3338" width="68.44140625" style="259" bestFit="1" customWidth="1"/>
    <col min="3339" max="3339" width="11.44140625" style="259" bestFit="1" customWidth="1"/>
    <col min="3340" max="3340" width="7.5546875" style="259" bestFit="1" customWidth="1"/>
    <col min="3341" max="3341" width="8" style="259" bestFit="1" customWidth="1"/>
    <col min="3342" max="3342" width="11.5546875" style="259" bestFit="1" customWidth="1"/>
    <col min="3343" max="3343" width="14.5546875" style="259" bestFit="1" customWidth="1"/>
    <col min="3344" max="3344" width="13.88671875" style="259" bestFit="1" customWidth="1"/>
    <col min="3345" max="3345" width="7.6640625" style="259" bestFit="1" customWidth="1"/>
    <col min="3346" max="3346" width="12" style="259" bestFit="1" customWidth="1"/>
    <col min="3347" max="3347" width="9.5546875" style="259" bestFit="1" customWidth="1"/>
    <col min="3348" max="3348" width="8.33203125" style="259" bestFit="1" customWidth="1"/>
    <col min="3349" max="3349" width="11.5546875" style="259" bestFit="1" customWidth="1"/>
    <col min="3350" max="3350" width="8.33203125" style="259" bestFit="1" customWidth="1"/>
    <col min="3351" max="3351" width="12" style="259" bestFit="1" customWidth="1"/>
    <col min="3352" max="3352" width="9.6640625" style="259" bestFit="1" customWidth="1"/>
    <col min="3353" max="3353" width="11.5546875" style="259" bestFit="1" customWidth="1"/>
    <col min="3354" max="3354" width="6.88671875" style="259" bestFit="1" customWidth="1"/>
    <col min="3355" max="3355" width="11.5546875" style="259" bestFit="1" customWidth="1"/>
    <col min="3356" max="3356" width="6.6640625" style="259" bestFit="1" customWidth="1"/>
    <col min="3357" max="3593" width="9.109375" style="259"/>
    <col min="3594" max="3594" width="68.44140625" style="259" bestFit="1" customWidth="1"/>
    <col min="3595" max="3595" width="11.44140625" style="259" bestFit="1" customWidth="1"/>
    <col min="3596" max="3596" width="7.5546875" style="259" bestFit="1" customWidth="1"/>
    <col min="3597" max="3597" width="8" style="259" bestFit="1" customWidth="1"/>
    <col min="3598" max="3598" width="11.5546875" style="259" bestFit="1" customWidth="1"/>
    <col min="3599" max="3599" width="14.5546875" style="259" bestFit="1" customWidth="1"/>
    <col min="3600" max="3600" width="13.88671875" style="259" bestFit="1" customWidth="1"/>
    <col min="3601" max="3601" width="7.6640625" style="259" bestFit="1" customWidth="1"/>
    <col min="3602" max="3602" width="12" style="259" bestFit="1" customWidth="1"/>
    <col min="3603" max="3603" width="9.5546875" style="259" bestFit="1" customWidth="1"/>
    <col min="3604" max="3604" width="8.33203125" style="259" bestFit="1" customWidth="1"/>
    <col min="3605" max="3605" width="11.5546875" style="259" bestFit="1" customWidth="1"/>
    <col min="3606" max="3606" width="8.33203125" style="259" bestFit="1" customWidth="1"/>
    <col min="3607" max="3607" width="12" style="259" bestFit="1" customWidth="1"/>
    <col min="3608" max="3608" width="9.6640625" style="259" bestFit="1" customWidth="1"/>
    <col min="3609" max="3609" width="11.5546875" style="259" bestFit="1" customWidth="1"/>
    <col min="3610" max="3610" width="6.88671875" style="259" bestFit="1" customWidth="1"/>
    <col min="3611" max="3611" width="11.5546875" style="259" bestFit="1" customWidth="1"/>
    <col min="3612" max="3612" width="6.6640625" style="259" bestFit="1" customWidth="1"/>
    <col min="3613" max="3849" width="9.109375" style="259"/>
    <col min="3850" max="3850" width="68.44140625" style="259" bestFit="1" customWidth="1"/>
    <col min="3851" max="3851" width="11.44140625" style="259" bestFit="1" customWidth="1"/>
    <col min="3852" max="3852" width="7.5546875" style="259" bestFit="1" customWidth="1"/>
    <col min="3853" max="3853" width="8" style="259" bestFit="1" customWidth="1"/>
    <col min="3854" max="3854" width="11.5546875" style="259" bestFit="1" customWidth="1"/>
    <col min="3855" max="3855" width="14.5546875" style="259" bestFit="1" customWidth="1"/>
    <col min="3856" max="3856" width="13.88671875" style="259" bestFit="1" customWidth="1"/>
    <col min="3857" max="3857" width="7.6640625" style="259" bestFit="1" customWidth="1"/>
    <col min="3858" max="3858" width="12" style="259" bestFit="1" customWidth="1"/>
    <col min="3859" max="3859" width="9.5546875" style="259" bestFit="1" customWidth="1"/>
    <col min="3860" max="3860" width="8.33203125" style="259" bestFit="1" customWidth="1"/>
    <col min="3861" max="3861" width="11.5546875" style="259" bestFit="1" customWidth="1"/>
    <col min="3862" max="3862" width="8.33203125" style="259" bestFit="1" customWidth="1"/>
    <col min="3863" max="3863" width="12" style="259" bestFit="1" customWidth="1"/>
    <col min="3864" max="3864" width="9.6640625" style="259" bestFit="1" customWidth="1"/>
    <col min="3865" max="3865" width="11.5546875" style="259" bestFit="1" customWidth="1"/>
    <col min="3866" max="3866" width="6.88671875" style="259" bestFit="1" customWidth="1"/>
    <col min="3867" max="3867" width="11.5546875" style="259" bestFit="1" customWidth="1"/>
    <col min="3868" max="3868" width="6.6640625" style="259" bestFit="1" customWidth="1"/>
    <col min="3869" max="4105" width="9.109375" style="259"/>
    <col min="4106" max="4106" width="68.44140625" style="259" bestFit="1" customWidth="1"/>
    <col min="4107" max="4107" width="11.44140625" style="259" bestFit="1" customWidth="1"/>
    <col min="4108" max="4108" width="7.5546875" style="259" bestFit="1" customWidth="1"/>
    <col min="4109" max="4109" width="8" style="259" bestFit="1" customWidth="1"/>
    <col min="4110" max="4110" width="11.5546875" style="259" bestFit="1" customWidth="1"/>
    <col min="4111" max="4111" width="14.5546875" style="259" bestFit="1" customWidth="1"/>
    <col min="4112" max="4112" width="13.88671875" style="259" bestFit="1" customWidth="1"/>
    <col min="4113" max="4113" width="7.6640625" style="259" bestFit="1" customWidth="1"/>
    <col min="4114" max="4114" width="12" style="259" bestFit="1" customWidth="1"/>
    <col min="4115" max="4115" width="9.5546875" style="259" bestFit="1" customWidth="1"/>
    <col min="4116" max="4116" width="8.33203125" style="259" bestFit="1" customWidth="1"/>
    <col min="4117" max="4117" width="11.5546875" style="259" bestFit="1" customWidth="1"/>
    <col min="4118" max="4118" width="8.33203125" style="259" bestFit="1" customWidth="1"/>
    <col min="4119" max="4119" width="12" style="259" bestFit="1" customWidth="1"/>
    <col min="4120" max="4120" width="9.6640625" style="259" bestFit="1" customWidth="1"/>
    <col min="4121" max="4121" width="11.5546875" style="259" bestFit="1" customWidth="1"/>
    <col min="4122" max="4122" width="6.88671875" style="259" bestFit="1" customWidth="1"/>
    <col min="4123" max="4123" width="11.5546875" style="259" bestFit="1" customWidth="1"/>
    <col min="4124" max="4124" width="6.6640625" style="259" bestFit="1" customWidth="1"/>
    <col min="4125" max="4361" width="9.109375" style="259"/>
    <col min="4362" max="4362" width="68.44140625" style="259" bestFit="1" customWidth="1"/>
    <col min="4363" max="4363" width="11.44140625" style="259" bestFit="1" customWidth="1"/>
    <col min="4364" max="4364" width="7.5546875" style="259" bestFit="1" customWidth="1"/>
    <col min="4365" max="4365" width="8" style="259" bestFit="1" customWidth="1"/>
    <col min="4366" max="4366" width="11.5546875" style="259" bestFit="1" customWidth="1"/>
    <col min="4367" max="4367" width="14.5546875" style="259" bestFit="1" customWidth="1"/>
    <col min="4368" max="4368" width="13.88671875" style="259" bestFit="1" customWidth="1"/>
    <col min="4369" max="4369" width="7.6640625" style="259" bestFit="1" customWidth="1"/>
    <col min="4370" max="4370" width="12" style="259" bestFit="1" customWidth="1"/>
    <col min="4371" max="4371" width="9.5546875" style="259" bestFit="1" customWidth="1"/>
    <col min="4372" max="4372" width="8.33203125" style="259" bestFit="1" customWidth="1"/>
    <col min="4373" max="4373" width="11.5546875" style="259" bestFit="1" customWidth="1"/>
    <col min="4374" max="4374" width="8.33203125" style="259" bestFit="1" customWidth="1"/>
    <col min="4375" max="4375" width="12" style="259" bestFit="1" customWidth="1"/>
    <col min="4376" max="4376" width="9.6640625" style="259" bestFit="1" customWidth="1"/>
    <col min="4377" max="4377" width="11.5546875" style="259" bestFit="1" customWidth="1"/>
    <col min="4378" max="4378" width="6.88671875" style="259" bestFit="1" customWidth="1"/>
    <col min="4379" max="4379" width="11.5546875" style="259" bestFit="1" customWidth="1"/>
    <col min="4380" max="4380" width="6.6640625" style="259" bestFit="1" customWidth="1"/>
    <col min="4381" max="4617" width="9.109375" style="259"/>
    <col min="4618" max="4618" width="68.44140625" style="259" bestFit="1" customWidth="1"/>
    <col min="4619" max="4619" width="11.44140625" style="259" bestFit="1" customWidth="1"/>
    <col min="4620" max="4620" width="7.5546875" style="259" bestFit="1" customWidth="1"/>
    <col min="4621" max="4621" width="8" style="259" bestFit="1" customWidth="1"/>
    <col min="4622" max="4622" width="11.5546875" style="259" bestFit="1" customWidth="1"/>
    <col min="4623" max="4623" width="14.5546875" style="259" bestFit="1" customWidth="1"/>
    <col min="4624" max="4624" width="13.88671875" style="259" bestFit="1" customWidth="1"/>
    <col min="4625" max="4625" width="7.6640625" style="259" bestFit="1" customWidth="1"/>
    <col min="4626" max="4626" width="12" style="259" bestFit="1" customWidth="1"/>
    <col min="4627" max="4627" width="9.5546875" style="259" bestFit="1" customWidth="1"/>
    <col min="4628" max="4628" width="8.33203125" style="259" bestFit="1" customWidth="1"/>
    <col min="4629" max="4629" width="11.5546875" style="259" bestFit="1" customWidth="1"/>
    <col min="4630" max="4630" width="8.33203125" style="259" bestFit="1" customWidth="1"/>
    <col min="4631" max="4631" width="12" style="259" bestFit="1" customWidth="1"/>
    <col min="4632" max="4632" width="9.6640625" style="259" bestFit="1" customWidth="1"/>
    <col min="4633" max="4633" width="11.5546875" style="259" bestFit="1" customWidth="1"/>
    <col min="4634" max="4634" width="6.88671875" style="259" bestFit="1" customWidth="1"/>
    <col min="4635" max="4635" width="11.5546875" style="259" bestFit="1" customWidth="1"/>
    <col min="4636" max="4636" width="6.6640625" style="259" bestFit="1" customWidth="1"/>
    <col min="4637" max="4873" width="9.109375" style="259"/>
    <col min="4874" max="4874" width="68.44140625" style="259" bestFit="1" customWidth="1"/>
    <col min="4875" max="4875" width="11.44140625" style="259" bestFit="1" customWidth="1"/>
    <col min="4876" max="4876" width="7.5546875" style="259" bestFit="1" customWidth="1"/>
    <col min="4877" max="4877" width="8" style="259" bestFit="1" customWidth="1"/>
    <col min="4878" max="4878" width="11.5546875" style="259" bestFit="1" customWidth="1"/>
    <col min="4879" max="4879" width="14.5546875" style="259" bestFit="1" customWidth="1"/>
    <col min="4880" max="4880" width="13.88671875" style="259" bestFit="1" customWidth="1"/>
    <col min="4881" max="4881" width="7.6640625" style="259" bestFit="1" customWidth="1"/>
    <col min="4882" max="4882" width="12" style="259" bestFit="1" customWidth="1"/>
    <col min="4883" max="4883" width="9.5546875" style="259" bestFit="1" customWidth="1"/>
    <col min="4884" max="4884" width="8.33203125" style="259" bestFit="1" customWidth="1"/>
    <col min="4885" max="4885" width="11.5546875" style="259" bestFit="1" customWidth="1"/>
    <col min="4886" max="4886" width="8.33203125" style="259" bestFit="1" customWidth="1"/>
    <col min="4887" max="4887" width="12" style="259" bestFit="1" customWidth="1"/>
    <col min="4888" max="4888" width="9.6640625" style="259" bestFit="1" customWidth="1"/>
    <col min="4889" max="4889" width="11.5546875" style="259" bestFit="1" customWidth="1"/>
    <col min="4890" max="4890" width="6.88671875" style="259" bestFit="1" customWidth="1"/>
    <col min="4891" max="4891" width="11.5546875" style="259" bestFit="1" customWidth="1"/>
    <col min="4892" max="4892" width="6.6640625" style="259" bestFit="1" customWidth="1"/>
    <col min="4893" max="5129" width="9.109375" style="259"/>
    <col min="5130" max="5130" width="68.44140625" style="259" bestFit="1" customWidth="1"/>
    <col min="5131" max="5131" width="11.44140625" style="259" bestFit="1" customWidth="1"/>
    <col min="5132" max="5132" width="7.5546875" style="259" bestFit="1" customWidth="1"/>
    <col min="5133" max="5133" width="8" style="259" bestFit="1" customWidth="1"/>
    <col min="5134" max="5134" width="11.5546875" style="259" bestFit="1" customWidth="1"/>
    <col min="5135" max="5135" width="14.5546875" style="259" bestFit="1" customWidth="1"/>
    <col min="5136" max="5136" width="13.88671875" style="259" bestFit="1" customWidth="1"/>
    <col min="5137" max="5137" width="7.6640625" style="259" bestFit="1" customWidth="1"/>
    <col min="5138" max="5138" width="12" style="259" bestFit="1" customWidth="1"/>
    <col min="5139" max="5139" width="9.5546875" style="259" bestFit="1" customWidth="1"/>
    <col min="5140" max="5140" width="8.33203125" style="259" bestFit="1" customWidth="1"/>
    <col min="5141" max="5141" width="11.5546875" style="259" bestFit="1" customWidth="1"/>
    <col min="5142" max="5142" width="8.33203125" style="259" bestFit="1" customWidth="1"/>
    <col min="5143" max="5143" width="12" style="259" bestFit="1" customWidth="1"/>
    <col min="5144" max="5144" width="9.6640625" style="259" bestFit="1" customWidth="1"/>
    <col min="5145" max="5145" width="11.5546875" style="259" bestFit="1" customWidth="1"/>
    <col min="5146" max="5146" width="6.88671875" style="259" bestFit="1" customWidth="1"/>
    <col min="5147" max="5147" width="11.5546875" style="259" bestFit="1" customWidth="1"/>
    <col min="5148" max="5148" width="6.6640625" style="259" bestFit="1" customWidth="1"/>
    <col min="5149" max="5385" width="9.109375" style="259"/>
    <col min="5386" max="5386" width="68.44140625" style="259" bestFit="1" customWidth="1"/>
    <col min="5387" max="5387" width="11.44140625" style="259" bestFit="1" customWidth="1"/>
    <col min="5388" max="5388" width="7.5546875" style="259" bestFit="1" customWidth="1"/>
    <col min="5389" max="5389" width="8" style="259" bestFit="1" customWidth="1"/>
    <col min="5390" max="5390" width="11.5546875" style="259" bestFit="1" customWidth="1"/>
    <col min="5391" max="5391" width="14.5546875" style="259" bestFit="1" customWidth="1"/>
    <col min="5392" max="5392" width="13.88671875" style="259" bestFit="1" customWidth="1"/>
    <col min="5393" max="5393" width="7.6640625" style="259" bestFit="1" customWidth="1"/>
    <col min="5394" max="5394" width="12" style="259" bestFit="1" customWidth="1"/>
    <col min="5395" max="5395" width="9.5546875" style="259" bestFit="1" customWidth="1"/>
    <col min="5396" max="5396" width="8.33203125" style="259" bestFit="1" customWidth="1"/>
    <col min="5397" max="5397" width="11.5546875" style="259" bestFit="1" customWidth="1"/>
    <col min="5398" max="5398" width="8.33203125" style="259" bestFit="1" customWidth="1"/>
    <col min="5399" max="5399" width="12" style="259" bestFit="1" customWidth="1"/>
    <col min="5400" max="5400" width="9.6640625" style="259" bestFit="1" customWidth="1"/>
    <col min="5401" max="5401" width="11.5546875" style="259" bestFit="1" customWidth="1"/>
    <col min="5402" max="5402" width="6.88671875" style="259" bestFit="1" customWidth="1"/>
    <col min="5403" max="5403" width="11.5546875" style="259" bestFit="1" customWidth="1"/>
    <col min="5404" max="5404" width="6.6640625" style="259" bestFit="1" customWidth="1"/>
    <col min="5405" max="5641" width="9.109375" style="259"/>
    <col min="5642" max="5642" width="68.44140625" style="259" bestFit="1" customWidth="1"/>
    <col min="5643" max="5643" width="11.44140625" style="259" bestFit="1" customWidth="1"/>
    <col min="5644" max="5644" width="7.5546875" style="259" bestFit="1" customWidth="1"/>
    <col min="5645" max="5645" width="8" style="259" bestFit="1" customWidth="1"/>
    <col min="5646" max="5646" width="11.5546875" style="259" bestFit="1" customWidth="1"/>
    <col min="5647" max="5647" width="14.5546875" style="259" bestFit="1" customWidth="1"/>
    <col min="5648" max="5648" width="13.88671875" style="259" bestFit="1" customWidth="1"/>
    <col min="5649" max="5649" width="7.6640625" style="259" bestFit="1" customWidth="1"/>
    <col min="5650" max="5650" width="12" style="259" bestFit="1" customWidth="1"/>
    <col min="5651" max="5651" width="9.5546875" style="259" bestFit="1" customWidth="1"/>
    <col min="5652" max="5652" width="8.33203125" style="259" bestFit="1" customWidth="1"/>
    <col min="5653" max="5653" width="11.5546875" style="259" bestFit="1" customWidth="1"/>
    <col min="5654" max="5654" width="8.33203125" style="259" bestFit="1" customWidth="1"/>
    <col min="5655" max="5655" width="12" style="259" bestFit="1" customWidth="1"/>
    <col min="5656" max="5656" width="9.6640625" style="259" bestFit="1" customWidth="1"/>
    <col min="5657" max="5657" width="11.5546875" style="259" bestFit="1" customWidth="1"/>
    <col min="5658" max="5658" width="6.88671875" style="259" bestFit="1" customWidth="1"/>
    <col min="5659" max="5659" width="11.5546875" style="259" bestFit="1" customWidth="1"/>
    <col min="5660" max="5660" width="6.6640625" style="259" bestFit="1" customWidth="1"/>
    <col min="5661" max="5897" width="9.109375" style="259"/>
    <col min="5898" max="5898" width="68.44140625" style="259" bestFit="1" customWidth="1"/>
    <col min="5899" max="5899" width="11.44140625" style="259" bestFit="1" customWidth="1"/>
    <col min="5900" max="5900" width="7.5546875" style="259" bestFit="1" customWidth="1"/>
    <col min="5901" max="5901" width="8" style="259" bestFit="1" customWidth="1"/>
    <col min="5902" max="5902" width="11.5546875" style="259" bestFit="1" customWidth="1"/>
    <col min="5903" max="5903" width="14.5546875" style="259" bestFit="1" customWidth="1"/>
    <col min="5904" max="5904" width="13.88671875" style="259" bestFit="1" customWidth="1"/>
    <col min="5905" max="5905" width="7.6640625" style="259" bestFit="1" customWidth="1"/>
    <col min="5906" max="5906" width="12" style="259" bestFit="1" customWidth="1"/>
    <col min="5907" max="5907" width="9.5546875" style="259" bestFit="1" customWidth="1"/>
    <col min="5908" max="5908" width="8.33203125" style="259" bestFit="1" customWidth="1"/>
    <col min="5909" max="5909" width="11.5546875" style="259" bestFit="1" customWidth="1"/>
    <col min="5910" max="5910" width="8.33203125" style="259" bestFit="1" customWidth="1"/>
    <col min="5911" max="5911" width="12" style="259" bestFit="1" customWidth="1"/>
    <col min="5912" max="5912" width="9.6640625" style="259" bestFit="1" customWidth="1"/>
    <col min="5913" max="5913" width="11.5546875" style="259" bestFit="1" customWidth="1"/>
    <col min="5914" max="5914" width="6.88671875" style="259" bestFit="1" customWidth="1"/>
    <col min="5915" max="5915" width="11.5546875" style="259" bestFit="1" customWidth="1"/>
    <col min="5916" max="5916" width="6.6640625" style="259" bestFit="1" customWidth="1"/>
    <col min="5917" max="6153" width="9.109375" style="259"/>
    <col min="6154" max="6154" width="68.44140625" style="259" bestFit="1" customWidth="1"/>
    <col min="6155" max="6155" width="11.44140625" style="259" bestFit="1" customWidth="1"/>
    <col min="6156" max="6156" width="7.5546875" style="259" bestFit="1" customWidth="1"/>
    <col min="6157" max="6157" width="8" style="259" bestFit="1" customWidth="1"/>
    <col min="6158" max="6158" width="11.5546875" style="259" bestFit="1" customWidth="1"/>
    <col min="6159" max="6159" width="14.5546875" style="259" bestFit="1" customWidth="1"/>
    <col min="6160" max="6160" width="13.88671875" style="259" bestFit="1" customWidth="1"/>
    <col min="6161" max="6161" width="7.6640625" style="259" bestFit="1" customWidth="1"/>
    <col min="6162" max="6162" width="12" style="259" bestFit="1" customWidth="1"/>
    <col min="6163" max="6163" width="9.5546875" style="259" bestFit="1" customWidth="1"/>
    <col min="6164" max="6164" width="8.33203125" style="259" bestFit="1" customWidth="1"/>
    <col min="6165" max="6165" width="11.5546875" style="259" bestFit="1" customWidth="1"/>
    <col min="6166" max="6166" width="8.33203125" style="259" bestFit="1" customWidth="1"/>
    <col min="6167" max="6167" width="12" style="259" bestFit="1" customWidth="1"/>
    <col min="6168" max="6168" width="9.6640625" style="259" bestFit="1" customWidth="1"/>
    <col min="6169" max="6169" width="11.5546875" style="259" bestFit="1" customWidth="1"/>
    <col min="6170" max="6170" width="6.88671875" style="259" bestFit="1" customWidth="1"/>
    <col min="6171" max="6171" width="11.5546875" style="259" bestFit="1" customWidth="1"/>
    <col min="6172" max="6172" width="6.6640625" style="259" bestFit="1" customWidth="1"/>
    <col min="6173" max="6409" width="9.109375" style="259"/>
    <col min="6410" max="6410" width="68.44140625" style="259" bestFit="1" customWidth="1"/>
    <col min="6411" max="6411" width="11.44140625" style="259" bestFit="1" customWidth="1"/>
    <col min="6412" max="6412" width="7.5546875" style="259" bestFit="1" customWidth="1"/>
    <col min="6413" max="6413" width="8" style="259" bestFit="1" customWidth="1"/>
    <col min="6414" max="6414" width="11.5546875" style="259" bestFit="1" customWidth="1"/>
    <col min="6415" max="6415" width="14.5546875" style="259" bestFit="1" customWidth="1"/>
    <col min="6416" max="6416" width="13.88671875" style="259" bestFit="1" customWidth="1"/>
    <col min="6417" max="6417" width="7.6640625" style="259" bestFit="1" customWidth="1"/>
    <col min="6418" max="6418" width="12" style="259" bestFit="1" customWidth="1"/>
    <col min="6419" max="6419" width="9.5546875" style="259" bestFit="1" customWidth="1"/>
    <col min="6420" max="6420" width="8.33203125" style="259" bestFit="1" customWidth="1"/>
    <col min="6421" max="6421" width="11.5546875" style="259" bestFit="1" customWidth="1"/>
    <col min="6422" max="6422" width="8.33203125" style="259" bestFit="1" customWidth="1"/>
    <col min="6423" max="6423" width="12" style="259" bestFit="1" customWidth="1"/>
    <col min="6424" max="6424" width="9.6640625" style="259" bestFit="1" customWidth="1"/>
    <col min="6425" max="6425" width="11.5546875" style="259" bestFit="1" customWidth="1"/>
    <col min="6426" max="6426" width="6.88671875" style="259" bestFit="1" customWidth="1"/>
    <col min="6427" max="6427" width="11.5546875" style="259" bestFit="1" customWidth="1"/>
    <col min="6428" max="6428" width="6.6640625" style="259" bestFit="1" customWidth="1"/>
    <col min="6429" max="6665" width="9.109375" style="259"/>
    <col min="6666" max="6666" width="68.44140625" style="259" bestFit="1" customWidth="1"/>
    <col min="6667" max="6667" width="11.44140625" style="259" bestFit="1" customWidth="1"/>
    <col min="6668" max="6668" width="7.5546875" style="259" bestFit="1" customWidth="1"/>
    <col min="6669" max="6669" width="8" style="259" bestFit="1" customWidth="1"/>
    <col min="6670" max="6670" width="11.5546875" style="259" bestFit="1" customWidth="1"/>
    <col min="6671" max="6671" width="14.5546875" style="259" bestFit="1" customWidth="1"/>
    <col min="6672" max="6672" width="13.88671875" style="259" bestFit="1" customWidth="1"/>
    <col min="6673" max="6673" width="7.6640625" style="259" bestFit="1" customWidth="1"/>
    <col min="6674" max="6674" width="12" style="259" bestFit="1" customWidth="1"/>
    <col min="6675" max="6675" width="9.5546875" style="259" bestFit="1" customWidth="1"/>
    <col min="6676" max="6676" width="8.33203125" style="259" bestFit="1" customWidth="1"/>
    <col min="6677" max="6677" width="11.5546875" style="259" bestFit="1" customWidth="1"/>
    <col min="6678" max="6678" width="8.33203125" style="259" bestFit="1" customWidth="1"/>
    <col min="6679" max="6679" width="12" style="259" bestFit="1" customWidth="1"/>
    <col min="6680" max="6680" width="9.6640625" style="259" bestFit="1" customWidth="1"/>
    <col min="6681" max="6681" width="11.5546875" style="259" bestFit="1" customWidth="1"/>
    <col min="6682" max="6682" width="6.88671875" style="259" bestFit="1" customWidth="1"/>
    <col min="6683" max="6683" width="11.5546875" style="259" bestFit="1" customWidth="1"/>
    <col min="6684" max="6684" width="6.6640625" style="259" bestFit="1" customWidth="1"/>
    <col min="6685" max="6921" width="9.109375" style="259"/>
    <col min="6922" max="6922" width="68.44140625" style="259" bestFit="1" customWidth="1"/>
    <col min="6923" max="6923" width="11.44140625" style="259" bestFit="1" customWidth="1"/>
    <col min="6924" max="6924" width="7.5546875" style="259" bestFit="1" customWidth="1"/>
    <col min="6925" max="6925" width="8" style="259" bestFit="1" customWidth="1"/>
    <col min="6926" max="6926" width="11.5546875" style="259" bestFit="1" customWidth="1"/>
    <col min="6927" max="6927" width="14.5546875" style="259" bestFit="1" customWidth="1"/>
    <col min="6928" max="6928" width="13.88671875" style="259" bestFit="1" customWidth="1"/>
    <col min="6929" max="6929" width="7.6640625" style="259" bestFit="1" customWidth="1"/>
    <col min="6930" max="6930" width="12" style="259" bestFit="1" customWidth="1"/>
    <col min="6931" max="6931" width="9.5546875" style="259" bestFit="1" customWidth="1"/>
    <col min="6932" max="6932" width="8.33203125" style="259" bestFit="1" customWidth="1"/>
    <col min="6933" max="6933" width="11.5546875" style="259" bestFit="1" customWidth="1"/>
    <col min="6934" max="6934" width="8.33203125" style="259" bestFit="1" customWidth="1"/>
    <col min="6935" max="6935" width="12" style="259" bestFit="1" customWidth="1"/>
    <col min="6936" max="6936" width="9.6640625" style="259" bestFit="1" customWidth="1"/>
    <col min="6937" max="6937" width="11.5546875" style="259" bestFit="1" customWidth="1"/>
    <col min="6938" max="6938" width="6.88671875" style="259" bestFit="1" customWidth="1"/>
    <col min="6939" max="6939" width="11.5546875" style="259" bestFit="1" customWidth="1"/>
    <col min="6940" max="6940" width="6.6640625" style="259" bestFit="1" customWidth="1"/>
    <col min="6941" max="7177" width="9.109375" style="259"/>
    <col min="7178" max="7178" width="68.44140625" style="259" bestFit="1" customWidth="1"/>
    <col min="7179" max="7179" width="11.44140625" style="259" bestFit="1" customWidth="1"/>
    <col min="7180" max="7180" width="7.5546875" style="259" bestFit="1" customWidth="1"/>
    <col min="7181" max="7181" width="8" style="259" bestFit="1" customWidth="1"/>
    <col min="7182" max="7182" width="11.5546875" style="259" bestFit="1" customWidth="1"/>
    <col min="7183" max="7183" width="14.5546875" style="259" bestFit="1" customWidth="1"/>
    <col min="7184" max="7184" width="13.88671875" style="259" bestFit="1" customWidth="1"/>
    <col min="7185" max="7185" width="7.6640625" style="259" bestFit="1" customWidth="1"/>
    <col min="7186" max="7186" width="12" style="259" bestFit="1" customWidth="1"/>
    <col min="7187" max="7187" width="9.5546875" style="259" bestFit="1" customWidth="1"/>
    <col min="7188" max="7188" width="8.33203125" style="259" bestFit="1" customWidth="1"/>
    <col min="7189" max="7189" width="11.5546875" style="259" bestFit="1" customWidth="1"/>
    <col min="7190" max="7190" width="8.33203125" style="259" bestFit="1" customWidth="1"/>
    <col min="7191" max="7191" width="12" style="259" bestFit="1" customWidth="1"/>
    <col min="7192" max="7192" width="9.6640625" style="259" bestFit="1" customWidth="1"/>
    <col min="7193" max="7193" width="11.5546875" style="259" bestFit="1" customWidth="1"/>
    <col min="7194" max="7194" width="6.88671875" style="259" bestFit="1" customWidth="1"/>
    <col min="7195" max="7195" width="11.5546875" style="259" bestFit="1" customWidth="1"/>
    <col min="7196" max="7196" width="6.6640625" style="259" bestFit="1" customWidth="1"/>
    <col min="7197" max="7433" width="9.109375" style="259"/>
    <col min="7434" max="7434" width="68.44140625" style="259" bestFit="1" customWidth="1"/>
    <col min="7435" max="7435" width="11.44140625" style="259" bestFit="1" customWidth="1"/>
    <col min="7436" max="7436" width="7.5546875" style="259" bestFit="1" customWidth="1"/>
    <col min="7437" max="7437" width="8" style="259" bestFit="1" customWidth="1"/>
    <col min="7438" max="7438" width="11.5546875" style="259" bestFit="1" customWidth="1"/>
    <col min="7439" max="7439" width="14.5546875" style="259" bestFit="1" customWidth="1"/>
    <col min="7440" max="7440" width="13.88671875" style="259" bestFit="1" customWidth="1"/>
    <col min="7441" max="7441" width="7.6640625" style="259" bestFit="1" customWidth="1"/>
    <col min="7442" max="7442" width="12" style="259" bestFit="1" customWidth="1"/>
    <col min="7443" max="7443" width="9.5546875" style="259" bestFit="1" customWidth="1"/>
    <col min="7444" max="7444" width="8.33203125" style="259" bestFit="1" customWidth="1"/>
    <col min="7445" max="7445" width="11.5546875" style="259" bestFit="1" customWidth="1"/>
    <col min="7446" max="7446" width="8.33203125" style="259" bestFit="1" customWidth="1"/>
    <col min="7447" max="7447" width="12" style="259" bestFit="1" customWidth="1"/>
    <col min="7448" max="7448" width="9.6640625" style="259" bestFit="1" customWidth="1"/>
    <col min="7449" max="7449" width="11.5546875" style="259" bestFit="1" customWidth="1"/>
    <col min="7450" max="7450" width="6.88671875" style="259" bestFit="1" customWidth="1"/>
    <col min="7451" max="7451" width="11.5546875" style="259" bestFit="1" customWidth="1"/>
    <col min="7452" max="7452" width="6.6640625" style="259" bestFit="1" customWidth="1"/>
    <col min="7453" max="7689" width="9.109375" style="259"/>
    <col min="7690" max="7690" width="68.44140625" style="259" bestFit="1" customWidth="1"/>
    <col min="7691" max="7691" width="11.44140625" style="259" bestFit="1" customWidth="1"/>
    <col min="7692" max="7692" width="7.5546875" style="259" bestFit="1" customWidth="1"/>
    <col min="7693" max="7693" width="8" style="259" bestFit="1" customWidth="1"/>
    <col min="7694" max="7694" width="11.5546875" style="259" bestFit="1" customWidth="1"/>
    <col min="7695" max="7695" width="14.5546875" style="259" bestFit="1" customWidth="1"/>
    <col min="7696" max="7696" width="13.88671875" style="259" bestFit="1" customWidth="1"/>
    <col min="7697" max="7697" width="7.6640625" style="259" bestFit="1" customWidth="1"/>
    <col min="7698" max="7698" width="12" style="259" bestFit="1" customWidth="1"/>
    <col min="7699" max="7699" width="9.5546875" style="259" bestFit="1" customWidth="1"/>
    <col min="7700" max="7700" width="8.33203125" style="259" bestFit="1" customWidth="1"/>
    <col min="7701" max="7701" width="11.5546875" style="259" bestFit="1" customWidth="1"/>
    <col min="7702" max="7702" width="8.33203125" style="259" bestFit="1" customWidth="1"/>
    <col min="7703" max="7703" width="12" style="259" bestFit="1" customWidth="1"/>
    <col min="7704" max="7704" width="9.6640625" style="259" bestFit="1" customWidth="1"/>
    <col min="7705" max="7705" width="11.5546875" style="259" bestFit="1" customWidth="1"/>
    <col min="7706" max="7706" width="6.88671875" style="259" bestFit="1" customWidth="1"/>
    <col min="7707" max="7707" width="11.5546875" style="259" bestFit="1" customWidth="1"/>
    <col min="7708" max="7708" width="6.6640625" style="259" bestFit="1" customWidth="1"/>
    <col min="7709" max="7945" width="9.109375" style="259"/>
    <col min="7946" max="7946" width="68.44140625" style="259" bestFit="1" customWidth="1"/>
    <col min="7947" max="7947" width="11.44140625" style="259" bestFit="1" customWidth="1"/>
    <col min="7948" max="7948" width="7.5546875" style="259" bestFit="1" customWidth="1"/>
    <col min="7949" max="7949" width="8" style="259" bestFit="1" customWidth="1"/>
    <col min="7950" max="7950" width="11.5546875" style="259" bestFit="1" customWidth="1"/>
    <col min="7951" max="7951" width="14.5546875" style="259" bestFit="1" customWidth="1"/>
    <col min="7952" max="7952" width="13.88671875" style="259" bestFit="1" customWidth="1"/>
    <col min="7953" max="7953" width="7.6640625" style="259" bestFit="1" customWidth="1"/>
    <col min="7954" max="7954" width="12" style="259" bestFit="1" customWidth="1"/>
    <col min="7955" max="7955" width="9.5546875" style="259" bestFit="1" customWidth="1"/>
    <col min="7956" max="7956" width="8.33203125" style="259" bestFit="1" customWidth="1"/>
    <col min="7957" max="7957" width="11.5546875" style="259" bestFit="1" customWidth="1"/>
    <col min="7958" max="7958" width="8.33203125" style="259" bestFit="1" customWidth="1"/>
    <col min="7959" max="7959" width="12" style="259" bestFit="1" customWidth="1"/>
    <col min="7960" max="7960" width="9.6640625" style="259" bestFit="1" customWidth="1"/>
    <col min="7961" max="7961" width="11.5546875" style="259" bestFit="1" customWidth="1"/>
    <col min="7962" max="7962" width="6.88671875" style="259" bestFit="1" customWidth="1"/>
    <col min="7963" max="7963" width="11.5546875" style="259" bestFit="1" customWidth="1"/>
    <col min="7964" max="7964" width="6.6640625" style="259" bestFit="1" customWidth="1"/>
    <col min="7965" max="8201" width="9.109375" style="259"/>
    <col min="8202" max="8202" width="68.44140625" style="259" bestFit="1" customWidth="1"/>
    <col min="8203" max="8203" width="11.44140625" style="259" bestFit="1" customWidth="1"/>
    <col min="8204" max="8204" width="7.5546875" style="259" bestFit="1" customWidth="1"/>
    <col min="8205" max="8205" width="8" style="259" bestFit="1" customWidth="1"/>
    <col min="8206" max="8206" width="11.5546875" style="259" bestFit="1" customWidth="1"/>
    <col min="8207" max="8207" width="14.5546875" style="259" bestFit="1" customWidth="1"/>
    <col min="8208" max="8208" width="13.88671875" style="259" bestFit="1" customWidth="1"/>
    <col min="8209" max="8209" width="7.6640625" style="259" bestFit="1" customWidth="1"/>
    <col min="8210" max="8210" width="12" style="259" bestFit="1" customWidth="1"/>
    <col min="8211" max="8211" width="9.5546875" style="259" bestFit="1" customWidth="1"/>
    <col min="8212" max="8212" width="8.33203125" style="259" bestFit="1" customWidth="1"/>
    <col min="8213" max="8213" width="11.5546875" style="259" bestFit="1" customWidth="1"/>
    <col min="8214" max="8214" width="8.33203125" style="259" bestFit="1" customWidth="1"/>
    <col min="8215" max="8215" width="12" style="259" bestFit="1" customWidth="1"/>
    <col min="8216" max="8216" width="9.6640625" style="259" bestFit="1" customWidth="1"/>
    <col min="8217" max="8217" width="11.5546875" style="259" bestFit="1" customWidth="1"/>
    <col min="8218" max="8218" width="6.88671875" style="259" bestFit="1" customWidth="1"/>
    <col min="8219" max="8219" width="11.5546875" style="259" bestFit="1" customWidth="1"/>
    <col min="8220" max="8220" width="6.6640625" style="259" bestFit="1" customWidth="1"/>
    <col min="8221" max="8457" width="9.109375" style="259"/>
    <col min="8458" max="8458" width="68.44140625" style="259" bestFit="1" customWidth="1"/>
    <col min="8459" max="8459" width="11.44140625" style="259" bestFit="1" customWidth="1"/>
    <col min="8460" max="8460" width="7.5546875" style="259" bestFit="1" customWidth="1"/>
    <col min="8461" max="8461" width="8" style="259" bestFit="1" customWidth="1"/>
    <col min="8462" max="8462" width="11.5546875" style="259" bestFit="1" customWidth="1"/>
    <col min="8463" max="8463" width="14.5546875" style="259" bestFit="1" customWidth="1"/>
    <col min="8464" max="8464" width="13.88671875" style="259" bestFit="1" customWidth="1"/>
    <col min="8465" max="8465" width="7.6640625" style="259" bestFit="1" customWidth="1"/>
    <col min="8466" max="8466" width="12" style="259" bestFit="1" customWidth="1"/>
    <col min="8467" max="8467" width="9.5546875" style="259" bestFit="1" customWidth="1"/>
    <col min="8468" max="8468" width="8.33203125" style="259" bestFit="1" customWidth="1"/>
    <col min="8469" max="8469" width="11.5546875" style="259" bestFit="1" customWidth="1"/>
    <col min="8470" max="8470" width="8.33203125" style="259" bestFit="1" customWidth="1"/>
    <col min="8471" max="8471" width="12" style="259" bestFit="1" customWidth="1"/>
    <col min="8472" max="8472" width="9.6640625" style="259" bestFit="1" customWidth="1"/>
    <col min="8473" max="8473" width="11.5546875" style="259" bestFit="1" customWidth="1"/>
    <col min="8474" max="8474" width="6.88671875" style="259" bestFit="1" customWidth="1"/>
    <col min="8475" max="8475" width="11.5546875" style="259" bestFit="1" customWidth="1"/>
    <col min="8476" max="8476" width="6.6640625" style="259" bestFit="1" customWidth="1"/>
    <col min="8477" max="8713" width="9.109375" style="259"/>
    <col min="8714" max="8714" width="68.44140625" style="259" bestFit="1" customWidth="1"/>
    <col min="8715" max="8715" width="11.44140625" style="259" bestFit="1" customWidth="1"/>
    <col min="8716" max="8716" width="7.5546875" style="259" bestFit="1" customWidth="1"/>
    <col min="8717" max="8717" width="8" style="259" bestFit="1" customWidth="1"/>
    <col min="8718" max="8718" width="11.5546875" style="259" bestFit="1" customWidth="1"/>
    <col min="8719" max="8719" width="14.5546875" style="259" bestFit="1" customWidth="1"/>
    <col min="8720" max="8720" width="13.88671875" style="259" bestFit="1" customWidth="1"/>
    <col min="8721" max="8721" width="7.6640625" style="259" bestFit="1" customWidth="1"/>
    <col min="8722" max="8722" width="12" style="259" bestFit="1" customWidth="1"/>
    <col min="8723" max="8723" width="9.5546875" style="259" bestFit="1" customWidth="1"/>
    <col min="8724" max="8724" width="8.33203125" style="259" bestFit="1" customWidth="1"/>
    <col min="8725" max="8725" width="11.5546875" style="259" bestFit="1" customWidth="1"/>
    <col min="8726" max="8726" width="8.33203125" style="259" bestFit="1" customWidth="1"/>
    <col min="8727" max="8727" width="12" style="259" bestFit="1" customWidth="1"/>
    <col min="8728" max="8728" width="9.6640625" style="259" bestFit="1" customWidth="1"/>
    <col min="8729" max="8729" width="11.5546875" style="259" bestFit="1" customWidth="1"/>
    <col min="8730" max="8730" width="6.88671875" style="259" bestFit="1" customWidth="1"/>
    <col min="8731" max="8731" width="11.5546875" style="259" bestFit="1" customWidth="1"/>
    <col min="8732" max="8732" width="6.6640625" style="259" bestFit="1" customWidth="1"/>
    <col min="8733" max="8969" width="9.109375" style="259"/>
    <col min="8970" max="8970" width="68.44140625" style="259" bestFit="1" customWidth="1"/>
    <col min="8971" max="8971" width="11.44140625" style="259" bestFit="1" customWidth="1"/>
    <col min="8972" max="8972" width="7.5546875" style="259" bestFit="1" customWidth="1"/>
    <col min="8973" max="8973" width="8" style="259" bestFit="1" customWidth="1"/>
    <col min="8974" max="8974" width="11.5546875" style="259" bestFit="1" customWidth="1"/>
    <col min="8975" max="8975" width="14.5546875" style="259" bestFit="1" customWidth="1"/>
    <col min="8976" max="8976" width="13.88671875" style="259" bestFit="1" customWidth="1"/>
    <col min="8977" max="8977" width="7.6640625" style="259" bestFit="1" customWidth="1"/>
    <col min="8978" max="8978" width="12" style="259" bestFit="1" customWidth="1"/>
    <col min="8979" max="8979" width="9.5546875" style="259" bestFit="1" customWidth="1"/>
    <col min="8980" max="8980" width="8.33203125" style="259" bestFit="1" customWidth="1"/>
    <col min="8981" max="8981" width="11.5546875" style="259" bestFit="1" customWidth="1"/>
    <col min="8982" max="8982" width="8.33203125" style="259" bestFit="1" customWidth="1"/>
    <col min="8983" max="8983" width="12" style="259" bestFit="1" customWidth="1"/>
    <col min="8984" max="8984" width="9.6640625" style="259" bestFit="1" customWidth="1"/>
    <col min="8985" max="8985" width="11.5546875" style="259" bestFit="1" customWidth="1"/>
    <col min="8986" max="8986" width="6.88671875" style="259" bestFit="1" customWidth="1"/>
    <col min="8987" max="8987" width="11.5546875" style="259" bestFit="1" customWidth="1"/>
    <col min="8988" max="8988" width="6.6640625" style="259" bestFit="1" customWidth="1"/>
    <col min="8989" max="9225" width="9.109375" style="259"/>
    <col min="9226" max="9226" width="68.44140625" style="259" bestFit="1" customWidth="1"/>
    <col min="9227" max="9227" width="11.44140625" style="259" bestFit="1" customWidth="1"/>
    <col min="9228" max="9228" width="7.5546875" style="259" bestFit="1" customWidth="1"/>
    <col min="9229" max="9229" width="8" style="259" bestFit="1" customWidth="1"/>
    <col min="9230" max="9230" width="11.5546875" style="259" bestFit="1" customWidth="1"/>
    <col min="9231" max="9231" width="14.5546875" style="259" bestFit="1" customWidth="1"/>
    <col min="9232" max="9232" width="13.88671875" style="259" bestFit="1" customWidth="1"/>
    <col min="9233" max="9233" width="7.6640625" style="259" bestFit="1" customWidth="1"/>
    <col min="9234" max="9234" width="12" style="259" bestFit="1" customWidth="1"/>
    <col min="9235" max="9235" width="9.5546875" style="259" bestFit="1" customWidth="1"/>
    <col min="9236" max="9236" width="8.33203125" style="259" bestFit="1" customWidth="1"/>
    <col min="9237" max="9237" width="11.5546875" style="259" bestFit="1" customWidth="1"/>
    <col min="9238" max="9238" width="8.33203125" style="259" bestFit="1" customWidth="1"/>
    <col min="9239" max="9239" width="12" style="259" bestFit="1" customWidth="1"/>
    <col min="9240" max="9240" width="9.6640625" style="259" bestFit="1" customWidth="1"/>
    <col min="9241" max="9241" width="11.5546875" style="259" bestFit="1" customWidth="1"/>
    <col min="9242" max="9242" width="6.88671875" style="259" bestFit="1" customWidth="1"/>
    <col min="9243" max="9243" width="11.5546875" style="259" bestFit="1" customWidth="1"/>
    <col min="9244" max="9244" width="6.6640625" style="259" bestFit="1" customWidth="1"/>
    <col min="9245" max="9481" width="9.109375" style="259"/>
    <col min="9482" max="9482" width="68.44140625" style="259" bestFit="1" customWidth="1"/>
    <col min="9483" max="9483" width="11.44140625" style="259" bestFit="1" customWidth="1"/>
    <col min="9484" max="9484" width="7.5546875" style="259" bestFit="1" customWidth="1"/>
    <col min="9485" max="9485" width="8" style="259" bestFit="1" customWidth="1"/>
    <col min="9486" max="9486" width="11.5546875" style="259" bestFit="1" customWidth="1"/>
    <col min="9487" max="9487" width="14.5546875" style="259" bestFit="1" customWidth="1"/>
    <col min="9488" max="9488" width="13.88671875" style="259" bestFit="1" customWidth="1"/>
    <col min="9489" max="9489" width="7.6640625" style="259" bestFit="1" customWidth="1"/>
    <col min="9490" max="9490" width="12" style="259" bestFit="1" customWidth="1"/>
    <col min="9491" max="9491" width="9.5546875" style="259" bestFit="1" customWidth="1"/>
    <col min="9492" max="9492" width="8.33203125" style="259" bestFit="1" customWidth="1"/>
    <col min="9493" max="9493" width="11.5546875" style="259" bestFit="1" customWidth="1"/>
    <col min="9494" max="9494" width="8.33203125" style="259" bestFit="1" customWidth="1"/>
    <col min="9495" max="9495" width="12" style="259" bestFit="1" customWidth="1"/>
    <col min="9496" max="9496" width="9.6640625" style="259" bestFit="1" customWidth="1"/>
    <col min="9497" max="9497" width="11.5546875" style="259" bestFit="1" customWidth="1"/>
    <col min="9498" max="9498" width="6.88671875" style="259" bestFit="1" customWidth="1"/>
    <col min="9499" max="9499" width="11.5546875" style="259" bestFit="1" customWidth="1"/>
    <col min="9500" max="9500" width="6.6640625" style="259" bestFit="1" customWidth="1"/>
    <col min="9501" max="9737" width="9.109375" style="259"/>
    <col min="9738" max="9738" width="68.44140625" style="259" bestFit="1" customWidth="1"/>
    <col min="9739" max="9739" width="11.44140625" style="259" bestFit="1" customWidth="1"/>
    <col min="9740" max="9740" width="7.5546875" style="259" bestFit="1" customWidth="1"/>
    <col min="9741" max="9741" width="8" style="259" bestFit="1" customWidth="1"/>
    <col min="9742" max="9742" width="11.5546875" style="259" bestFit="1" customWidth="1"/>
    <col min="9743" max="9743" width="14.5546875" style="259" bestFit="1" customWidth="1"/>
    <col min="9744" max="9744" width="13.88671875" style="259" bestFit="1" customWidth="1"/>
    <col min="9745" max="9745" width="7.6640625" style="259" bestFit="1" customWidth="1"/>
    <col min="9746" max="9746" width="12" style="259" bestFit="1" customWidth="1"/>
    <col min="9747" max="9747" width="9.5546875" style="259" bestFit="1" customWidth="1"/>
    <col min="9748" max="9748" width="8.33203125" style="259" bestFit="1" customWidth="1"/>
    <col min="9749" max="9749" width="11.5546875" style="259" bestFit="1" customWidth="1"/>
    <col min="9750" max="9750" width="8.33203125" style="259" bestFit="1" customWidth="1"/>
    <col min="9751" max="9751" width="12" style="259" bestFit="1" customWidth="1"/>
    <col min="9752" max="9752" width="9.6640625" style="259" bestFit="1" customWidth="1"/>
    <col min="9753" max="9753" width="11.5546875" style="259" bestFit="1" customWidth="1"/>
    <col min="9754" max="9754" width="6.88671875" style="259" bestFit="1" customWidth="1"/>
    <col min="9755" max="9755" width="11.5546875" style="259" bestFit="1" customWidth="1"/>
    <col min="9756" max="9756" width="6.6640625" style="259" bestFit="1" customWidth="1"/>
    <col min="9757" max="9993" width="9.109375" style="259"/>
    <col min="9994" max="9994" width="68.44140625" style="259" bestFit="1" customWidth="1"/>
    <col min="9995" max="9995" width="11.44140625" style="259" bestFit="1" customWidth="1"/>
    <col min="9996" max="9996" width="7.5546875" style="259" bestFit="1" customWidth="1"/>
    <col min="9997" max="9997" width="8" style="259" bestFit="1" customWidth="1"/>
    <col min="9998" max="9998" width="11.5546875" style="259" bestFit="1" customWidth="1"/>
    <col min="9999" max="9999" width="14.5546875" style="259" bestFit="1" customWidth="1"/>
    <col min="10000" max="10000" width="13.88671875" style="259" bestFit="1" customWidth="1"/>
    <col min="10001" max="10001" width="7.6640625" style="259" bestFit="1" customWidth="1"/>
    <col min="10002" max="10002" width="12" style="259" bestFit="1" customWidth="1"/>
    <col min="10003" max="10003" width="9.5546875" style="259" bestFit="1" customWidth="1"/>
    <col min="10004" max="10004" width="8.33203125" style="259" bestFit="1" customWidth="1"/>
    <col min="10005" max="10005" width="11.5546875" style="259" bestFit="1" customWidth="1"/>
    <col min="10006" max="10006" width="8.33203125" style="259" bestFit="1" customWidth="1"/>
    <col min="10007" max="10007" width="12" style="259" bestFit="1" customWidth="1"/>
    <col min="10008" max="10008" width="9.6640625" style="259" bestFit="1" customWidth="1"/>
    <col min="10009" max="10009" width="11.5546875" style="259" bestFit="1" customWidth="1"/>
    <col min="10010" max="10010" width="6.88671875" style="259" bestFit="1" customWidth="1"/>
    <col min="10011" max="10011" width="11.5546875" style="259" bestFit="1" customWidth="1"/>
    <col min="10012" max="10012" width="6.6640625" style="259" bestFit="1" customWidth="1"/>
    <col min="10013" max="10249" width="9.109375" style="259"/>
    <col min="10250" max="10250" width="68.44140625" style="259" bestFit="1" customWidth="1"/>
    <col min="10251" max="10251" width="11.44140625" style="259" bestFit="1" customWidth="1"/>
    <col min="10252" max="10252" width="7.5546875" style="259" bestFit="1" customWidth="1"/>
    <col min="10253" max="10253" width="8" style="259" bestFit="1" customWidth="1"/>
    <col min="10254" max="10254" width="11.5546875" style="259" bestFit="1" customWidth="1"/>
    <col min="10255" max="10255" width="14.5546875" style="259" bestFit="1" customWidth="1"/>
    <col min="10256" max="10256" width="13.88671875" style="259" bestFit="1" customWidth="1"/>
    <col min="10257" max="10257" width="7.6640625" style="259" bestFit="1" customWidth="1"/>
    <col min="10258" max="10258" width="12" style="259" bestFit="1" customWidth="1"/>
    <col min="10259" max="10259" width="9.5546875" style="259" bestFit="1" customWidth="1"/>
    <col min="10260" max="10260" width="8.33203125" style="259" bestFit="1" customWidth="1"/>
    <col min="10261" max="10261" width="11.5546875" style="259" bestFit="1" customWidth="1"/>
    <col min="10262" max="10262" width="8.33203125" style="259" bestFit="1" customWidth="1"/>
    <col min="10263" max="10263" width="12" style="259" bestFit="1" customWidth="1"/>
    <col min="10264" max="10264" width="9.6640625" style="259" bestFit="1" customWidth="1"/>
    <col min="10265" max="10265" width="11.5546875" style="259" bestFit="1" customWidth="1"/>
    <col min="10266" max="10266" width="6.88671875" style="259" bestFit="1" customWidth="1"/>
    <col min="10267" max="10267" width="11.5546875" style="259" bestFit="1" customWidth="1"/>
    <col min="10268" max="10268" width="6.6640625" style="259" bestFit="1" customWidth="1"/>
    <col min="10269" max="10505" width="9.109375" style="259"/>
    <col min="10506" max="10506" width="68.44140625" style="259" bestFit="1" customWidth="1"/>
    <col min="10507" max="10507" width="11.44140625" style="259" bestFit="1" customWidth="1"/>
    <col min="10508" max="10508" width="7.5546875" style="259" bestFit="1" customWidth="1"/>
    <col min="10509" max="10509" width="8" style="259" bestFit="1" customWidth="1"/>
    <col min="10510" max="10510" width="11.5546875" style="259" bestFit="1" customWidth="1"/>
    <col min="10511" max="10511" width="14.5546875" style="259" bestFit="1" customWidth="1"/>
    <col min="10512" max="10512" width="13.88671875" style="259" bestFit="1" customWidth="1"/>
    <col min="10513" max="10513" width="7.6640625" style="259" bestFit="1" customWidth="1"/>
    <col min="10514" max="10514" width="12" style="259" bestFit="1" customWidth="1"/>
    <col min="10515" max="10515" width="9.5546875" style="259" bestFit="1" customWidth="1"/>
    <col min="10516" max="10516" width="8.33203125" style="259" bestFit="1" customWidth="1"/>
    <col min="10517" max="10517" width="11.5546875" style="259" bestFit="1" customWidth="1"/>
    <col min="10518" max="10518" width="8.33203125" style="259" bestFit="1" customWidth="1"/>
    <col min="10519" max="10519" width="12" style="259" bestFit="1" customWidth="1"/>
    <col min="10520" max="10520" width="9.6640625" style="259" bestFit="1" customWidth="1"/>
    <col min="10521" max="10521" width="11.5546875" style="259" bestFit="1" customWidth="1"/>
    <col min="10522" max="10522" width="6.88671875" style="259" bestFit="1" customWidth="1"/>
    <col min="10523" max="10523" width="11.5546875" style="259" bestFit="1" customWidth="1"/>
    <col min="10524" max="10524" width="6.6640625" style="259" bestFit="1" customWidth="1"/>
    <col min="10525" max="10761" width="9.109375" style="259"/>
    <col min="10762" max="10762" width="68.44140625" style="259" bestFit="1" customWidth="1"/>
    <col min="10763" max="10763" width="11.44140625" style="259" bestFit="1" customWidth="1"/>
    <col min="10764" max="10764" width="7.5546875" style="259" bestFit="1" customWidth="1"/>
    <col min="10765" max="10765" width="8" style="259" bestFit="1" customWidth="1"/>
    <col min="10766" max="10766" width="11.5546875" style="259" bestFit="1" customWidth="1"/>
    <col min="10767" max="10767" width="14.5546875" style="259" bestFit="1" customWidth="1"/>
    <col min="10768" max="10768" width="13.88671875" style="259" bestFit="1" customWidth="1"/>
    <col min="10769" max="10769" width="7.6640625" style="259" bestFit="1" customWidth="1"/>
    <col min="10770" max="10770" width="12" style="259" bestFit="1" customWidth="1"/>
    <col min="10771" max="10771" width="9.5546875" style="259" bestFit="1" customWidth="1"/>
    <col min="10772" max="10772" width="8.33203125" style="259" bestFit="1" customWidth="1"/>
    <col min="10773" max="10773" width="11.5546875" style="259" bestFit="1" customWidth="1"/>
    <col min="10774" max="10774" width="8.33203125" style="259" bestFit="1" customWidth="1"/>
    <col min="10775" max="10775" width="12" style="259" bestFit="1" customWidth="1"/>
    <col min="10776" max="10776" width="9.6640625" style="259" bestFit="1" customWidth="1"/>
    <col min="10777" max="10777" width="11.5546875" style="259" bestFit="1" customWidth="1"/>
    <col min="10778" max="10778" width="6.88671875" style="259" bestFit="1" customWidth="1"/>
    <col min="10779" max="10779" width="11.5546875" style="259" bestFit="1" customWidth="1"/>
    <col min="10780" max="10780" width="6.6640625" style="259" bestFit="1" customWidth="1"/>
    <col min="10781" max="11017" width="9.109375" style="259"/>
    <col min="11018" max="11018" width="68.44140625" style="259" bestFit="1" customWidth="1"/>
    <col min="11019" max="11019" width="11.44140625" style="259" bestFit="1" customWidth="1"/>
    <col min="11020" max="11020" width="7.5546875" style="259" bestFit="1" customWidth="1"/>
    <col min="11021" max="11021" width="8" style="259" bestFit="1" customWidth="1"/>
    <col min="11022" max="11022" width="11.5546875" style="259" bestFit="1" customWidth="1"/>
    <col min="11023" max="11023" width="14.5546875" style="259" bestFit="1" customWidth="1"/>
    <col min="11024" max="11024" width="13.88671875" style="259" bestFit="1" customWidth="1"/>
    <col min="11025" max="11025" width="7.6640625" style="259" bestFit="1" customWidth="1"/>
    <col min="11026" max="11026" width="12" style="259" bestFit="1" customWidth="1"/>
    <col min="11027" max="11027" width="9.5546875" style="259" bestFit="1" customWidth="1"/>
    <col min="11028" max="11028" width="8.33203125" style="259" bestFit="1" customWidth="1"/>
    <col min="11029" max="11029" width="11.5546875" style="259" bestFit="1" customWidth="1"/>
    <col min="11030" max="11030" width="8.33203125" style="259" bestFit="1" customWidth="1"/>
    <col min="11031" max="11031" width="12" style="259" bestFit="1" customWidth="1"/>
    <col min="11032" max="11032" width="9.6640625" style="259" bestFit="1" customWidth="1"/>
    <col min="11033" max="11033" width="11.5546875" style="259" bestFit="1" customWidth="1"/>
    <col min="11034" max="11034" width="6.88671875" style="259" bestFit="1" customWidth="1"/>
    <col min="11035" max="11035" width="11.5546875" style="259" bestFit="1" customWidth="1"/>
    <col min="11036" max="11036" width="6.6640625" style="259" bestFit="1" customWidth="1"/>
    <col min="11037" max="11273" width="9.109375" style="259"/>
    <col min="11274" max="11274" width="68.44140625" style="259" bestFit="1" customWidth="1"/>
    <col min="11275" max="11275" width="11.44140625" style="259" bestFit="1" customWidth="1"/>
    <col min="11276" max="11276" width="7.5546875" style="259" bestFit="1" customWidth="1"/>
    <col min="11277" max="11277" width="8" style="259" bestFit="1" customWidth="1"/>
    <col min="11278" max="11278" width="11.5546875" style="259" bestFit="1" customWidth="1"/>
    <col min="11279" max="11279" width="14.5546875" style="259" bestFit="1" customWidth="1"/>
    <col min="11280" max="11280" width="13.88671875" style="259" bestFit="1" customWidth="1"/>
    <col min="11281" max="11281" width="7.6640625" style="259" bestFit="1" customWidth="1"/>
    <col min="11282" max="11282" width="12" style="259" bestFit="1" customWidth="1"/>
    <col min="11283" max="11283" width="9.5546875" style="259" bestFit="1" customWidth="1"/>
    <col min="11284" max="11284" width="8.33203125" style="259" bestFit="1" customWidth="1"/>
    <col min="11285" max="11285" width="11.5546875" style="259" bestFit="1" customWidth="1"/>
    <col min="11286" max="11286" width="8.33203125" style="259" bestFit="1" customWidth="1"/>
    <col min="11287" max="11287" width="12" style="259" bestFit="1" customWidth="1"/>
    <col min="11288" max="11288" width="9.6640625" style="259" bestFit="1" customWidth="1"/>
    <col min="11289" max="11289" width="11.5546875" style="259" bestFit="1" customWidth="1"/>
    <col min="11290" max="11290" width="6.88671875" style="259" bestFit="1" customWidth="1"/>
    <col min="11291" max="11291" width="11.5546875" style="259" bestFit="1" customWidth="1"/>
    <col min="11292" max="11292" width="6.6640625" style="259" bestFit="1" customWidth="1"/>
    <col min="11293" max="11529" width="9.109375" style="259"/>
    <col min="11530" max="11530" width="68.44140625" style="259" bestFit="1" customWidth="1"/>
    <col min="11531" max="11531" width="11.44140625" style="259" bestFit="1" customWidth="1"/>
    <col min="11532" max="11532" width="7.5546875" style="259" bestFit="1" customWidth="1"/>
    <col min="11533" max="11533" width="8" style="259" bestFit="1" customWidth="1"/>
    <col min="11534" max="11534" width="11.5546875" style="259" bestFit="1" customWidth="1"/>
    <col min="11535" max="11535" width="14.5546875" style="259" bestFit="1" customWidth="1"/>
    <col min="11536" max="11536" width="13.88671875" style="259" bestFit="1" customWidth="1"/>
    <col min="11537" max="11537" width="7.6640625" style="259" bestFit="1" customWidth="1"/>
    <col min="11538" max="11538" width="12" style="259" bestFit="1" customWidth="1"/>
    <col min="11539" max="11539" width="9.5546875" style="259" bestFit="1" customWidth="1"/>
    <col min="11540" max="11540" width="8.33203125" style="259" bestFit="1" customWidth="1"/>
    <col min="11541" max="11541" width="11.5546875" style="259" bestFit="1" customWidth="1"/>
    <col min="11542" max="11542" width="8.33203125" style="259" bestFit="1" customWidth="1"/>
    <col min="11543" max="11543" width="12" style="259" bestFit="1" customWidth="1"/>
    <col min="11544" max="11544" width="9.6640625" style="259" bestFit="1" customWidth="1"/>
    <col min="11545" max="11545" width="11.5546875" style="259" bestFit="1" customWidth="1"/>
    <col min="11546" max="11546" width="6.88671875" style="259" bestFit="1" customWidth="1"/>
    <col min="11547" max="11547" width="11.5546875" style="259" bestFit="1" customWidth="1"/>
    <col min="11548" max="11548" width="6.6640625" style="259" bestFit="1" customWidth="1"/>
    <col min="11549" max="11785" width="9.109375" style="259"/>
    <col min="11786" max="11786" width="68.44140625" style="259" bestFit="1" customWidth="1"/>
    <col min="11787" max="11787" width="11.44140625" style="259" bestFit="1" customWidth="1"/>
    <col min="11788" max="11788" width="7.5546875" style="259" bestFit="1" customWidth="1"/>
    <col min="11789" max="11789" width="8" style="259" bestFit="1" customWidth="1"/>
    <col min="11790" max="11790" width="11.5546875" style="259" bestFit="1" customWidth="1"/>
    <col min="11791" max="11791" width="14.5546875" style="259" bestFit="1" customWidth="1"/>
    <col min="11792" max="11792" width="13.88671875" style="259" bestFit="1" customWidth="1"/>
    <col min="11793" max="11793" width="7.6640625" style="259" bestFit="1" customWidth="1"/>
    <col min="11794" max="11794" width="12" style="259" bestFit="1" customWidth="1"/>
    <col min="11795" max="11795" width="9.5546875" style="259" bestFit="1" customWidth="1"/>
    <col min="11796" max="11796" width="8.33203125" style="259" bestFit="1" customWidth="1"/>
    <col min="11797" max="11797" width="11.5546875" style="259" bestFit="1" customWidth="1"/>
    <col min="11798" max="11798" width="8.33203125" style="259" bestFit="1" customWidth="1"/>
    <col min="11799" max="11799" width="12" style="259" bestFit="1" customWidth="1"/>
    <col min="11800" max="11800" width="9.6640625" style="259" bestFit="1" customWidth="1"/>
    <col min="11801" max="11801" width="11.5546875" style="259" bestFit="1" customWidth="1"/>
    <col min="11802" max="11802" width="6.88671875" style="259" bestFit="1" customWidth="1"/>
    <col min="11803" max="11803" width="11.5546875" style="259" bestFit="1" customWidth="1"/>
    <col min="11804" max="11804" width="6.6640625" style="259" bestFit="1" customWidth="1"/>
    <col min="11805" max="12041" width="9.109375" style="259"/>
    <col min="12042" max="12042" width="68.44140625" style="259" bestFit="1" customWidth="1"/>
    <col min="12043" max="12043" width="11.44140625" style="259" bestFit="1" customWidth="1"/>
    <col min="12044" max="12044" width="7.5546875" style="259" bestFit="1" customWidth="1"/>
    <col min="12045" max="12045" width="8" style="259" bestFit="1" customWidth="1"/>
    <col min="12046" max="12046" width="11.5546875" style="259" bestFit="1" customWidth="1"/>
    <col min="12047" max="12047" width="14.5546875" style="259" bestFit="1" customWidth="1"/>
    <col min="12048" max="12048" width="13.88671875" style="259" bestFit="1" customWidth="1"/>
    <col min="12049" max="12049" width="7.6640625" style="259" bestFit="1" customWidth="1"/>
    <col min="12050" max="12050" width="12" style="259" bestFit="1" customWidth="1"/>
    <col min="12051" max="12051" width="9.5546875" style="259" bestFit="1" customWidth="1"/>
    <col min="12052" max="12052" width="8.33203125" style="259" bestFit="1" customWidth="1"/>
    <col min="12053" max="12053" width="11.5546875" style="259" bestFit="1" customWidth="1"/>
    <col min="12054" max="12054" width="8.33203125" style="259" bestFit="1" customWidth="1"/>
    <col min="12055" max="12055" width="12" style="259" bestFit="1" customWidth="1"/>
    <col min="12056" max="12056" width="9.6640625" style="259" bestFit="1" customWidth="1"/>
    <col min="12057" max="12057" width="11.5546875" style="259" bestFit="1" customWidth="1"/>
    <col min="12058" max="12058" width="6.88671875" style="259" bestFit="1" customWidth="1"/>
    <col min="12059" max="12059" width="11.5546875" style="259" bestFit="1" customWidth="1"/>
    <col min="12060" max="12060" width="6.6640625" style="259" bestFit="1" customWidth="1"/>
    <col min="12061" max="12297" width="9.109375" style="259"/>
    <col min="12298" max="12298" width="68.44140625" style="259" bestFit="1" customWidth="1"/>
    <col min="12299" max="12299" width="11.44140625" style="259" bestFit="1" customWidth="1"/>
    <col min="12300" max="12300" width="7.5546875" style="259" bestFit="1" customWidth="1"/>
    <col min="12301" max="12301" width="8" style="259" bestFit="1" customWidth="1"/>
    <col min="12302" max="12302" width="11.5546875" style="259" bestFit="1" customWidth="1"/>
    <col min="12303" max="12303" width="14.5546875" style="259" bestFit="1" customWidth="1"/>
    <col min="12304" max="12304" width="13.88671875" style="259" bestFit="1" customWidth="1"/>
    <col min="12305" max="12305" width="7.6640625" style="259" bestFit="1" customWidth="1"/>
    <col min="12306" max="12306" width="12" style="259" bestFit="1" customWidth="1"/>
    <col min="12307" max="12307" width="9.5546875" style="259" bestFit="1" customWidth="1"/>
    <col min="12308" max="12308" width="8.33203125" style="259" bestFit="1" customWidth="1"/>
    <col min="12309" max="12309" width="11.5546875" style="259" bestFit="1" customWidth="1"/>
    <col min="12310" max="12310" width="8.33203125" style="259" bestFit="1" customWidth="1"/>
    <col min="12311" max="12311" width="12" style="259" bestFit="1" customWidth="1"/>
    <col min="12312" max="12312" width="9.6640625" style="259" bestFit="1" customWidth="1"/>
    <col min="12313" max="12313" width="11.5546875" style="259" bestFit="1" customWidth="1"/>
    <col min="12314" max="12314" width="6.88671875" style="259" bestFit="1" customWidth="1"/>
    <col min="12315" max="12315" width="11.5546875" style="259" bestFit="1" customWidth="1"/>
    <col min="12316" max="12316" width="6.6640625" style="259" bestFit="1" customWidth="1"/>
    <col min="12317" max="12553" width="9.109375" style="259"/>
    <col min="12554" max="12554" width="68.44140625" style="259" bestFit="1" customWidth="1"/>
    <col min="12555" max="12555" width="11.44140625" style="259" bestFit="1" customWidth="1"/>
    <col min="12556" max="12556" width="7.5546875" style="259" bestFit="1" customWidth="1"/>
    <col min="12557" max="12557" width="8" style="259" bestFit="1" customWidth="1"/>
    <col min="12558" max="12558" width="11.5546875" style="259" bestFit="1" customWidth="1"/>
    <col min="12559" max="12559" width="14.5546875" style="259" bestFit="1" customWidth="1"/>
    <col min="12560" max="12560" width="13.88671875" style="259" bestFit="1" customWidth="1"/>
    <col min="12561" max="12561" width="7.6640625" style="259" bestFit="1" customWidth="1"/>
    <col min="12562" max="12562" width="12" style="259" bestFit="1" customWidth="1"/>
    <col min="12563" max="12563" width="9.5546875" style="259" bestFit="1" customWidth="1"/>
    <col min="12564" max="12564" width="8.33203125" style="259" bestFit="1" customWidth="1"/>
    <col min="12565" max="12565" width="11.5546875" style="259" bestFit="1" customWidth="1"/>
    <col min="12566" max="12566" width="8.33203125" style="259" bestFit="1" customWidth="1"/>
    <col min="12567" max="12567" width="12" style="259" bestFit="1" customWidth="1"/>
    <col min="12568" max="12568" width="9.6640625" style="259" bestFit="1" customWidth="1"/>
    <col min="12569" max="12569" width="11.5546875" style="259" bestFit="1" customWidth="1"/>
    <col min="12570" max="12570" width="6.88671875" style="259" bestFit="1" customWidth="1"/>
    <col min="12571" max="12571" width="11.5546875" style="259" bestFit="1" customWidth="1"/>
    <col min="12572" max="12572" width="6.6640625" style="259" bestFit="1" customWidth="1"/>
    <col min="12573" max="12809" width="9.109375" style="259"/>
    <col min="12810" max="12810" width="68.44140625" style="259" bestFit="1" customWidth="1"/>
    <col min="12811" max="12811" width="11.44140625" style="259" bestFit="1" customWidth="1"/>
    <col min="12812" max="12812" width="7.5546875" style="259" bestFit="1" customWidth="1"/>
    <col min="12813" max="12813" width="8" style="259" bestFit="1" customWidth="1"/>
    <col min="12814" max="12814" width="11.5546875" style="259" bestFit="1" customWidth="1"/>
    <col min="12815" max="12815" width="14.5546875" style="259" bestFit="1" customWidth="1"/>
    <col min="12816" max="12816" width="13.88671875" style="259" bestFit="1" customWidth="1"/>
    <col min="12817" max="12817" width="7.6640625" style="259" bestFit="1" customWidth="1"/>
    <col min="12818" max="12818" width="12" style="259" bestFit="1" customWidth="1"/>
    <col min="12819" max="12819" width="9.5546875" style="259" bestFit="1" customWidth="1"/>
    <col min="12820" max="12820" width="8.33203125" style="259" bestFit="1" customWidth="1"/>
    <col min="12821" max="12821" width="11.5546875" style="259" bestFit="1" customWidth="1"/>
    <col min="12822" max="12822" width="8.33203125" style="259" bestFit="1" customWidth="1"/>
    <col min="12823" max="12823" width="12" style="259" bestFit="1" customWidth="1"/>
    <col min="12824" max="12824" width="9.6640625" style="259" bestFit="1" customWidth="1"/>
    <col min="12825" max="12825" width="11.5546875" style="259" bestFit="1" customWidth="1"/>
    <col min="12826" max="12826" width="6.88671875" style="259" bestFit="1" customWidth="1"/>
    <col min="12827" max="12827" width="11.5546875" style="259" bestFit="1" customWidth="1"/>
    <col min="12828" max="12828" width="6.6640625" style="259" bestFit="1" customWidth="1"/>
    <col min="12829" max="13065" width="9.109375" style="259"/>
    <col min="13066" max="13066" width="68.44140625" style="259" bestFit="1" customWidth="1"/>
    <col min="13067" max="13067" width="11.44140625" style="259" bestFit="1" customWidth="1"/>
    <col min="13068" max="13068" width="7.5546875" style="259" bestFit="1" customWidth="1"/>
    <col min="13069" max="13069" width="8" style="259" bestFit="1" customWidth="1"/>
    <col min="13070" max="13070" width="11.5546875" style="259" bestFit="1" customWidth="1"/>
    <col min="13071" max="13071" width="14.5546875" style="259" bestFit="1" customWidth="1"/>
    <col min="13072" max="13072" width="13.88671875" style="259" bestFit="1" customWidth="1"/>
    <col min="13073" max="13073" width="7.6640625" style="259" bestFit="1" customWidth="1"/>
    <col min="13074" max="13074" width="12" style="259" bestFit="1" customWidth="1"/>
    <col min="13075" max="13075" width="9.5546875" style="259" bestFit="1" customWidth="1"/>
    <col min="13076" max="13076" width="8.33203125" style="259" bestFit="1" customWidth="1"/>
    <col min="13077" max="13077" width="11.5546875" style="259" bestFit="1" customWidth="1"/>
    <col min="13078" max="13078" width="8.33203125" style="259" bestFit="1" customWidth="1"/>
    <col min="13079" max="13079" width="12" style="259" bestFit="1" customWidth="1"/>
    <col min="13080" max="13080" width="9.6640625" style="259" bestFit="1" customWidth="1"/>
    <col min="13081" max="13081" width="11.5546875" style="259" bestFit="1" customWidth="1"/>
    <col min="13082" max="13082" width="6.88671875" style="259" bestFit="1" customWidth="1"/>
    <col min="13083" max="13083" width="11.5546875" style="259" bestFit="1" customWidth="1"/>
    <col min="13084" max="13084" width="6.6640625" style="259" bestFit="1" customWidth="1"/>
    <col min="13085" max="13321" width="9.109375" style="259"/>
    <col min="13322" max="13322" width="68.44140625" style="259" bestFit="1" customWidth="1"/>
    <col min="13323" max="13323" width="11.44140625" style="259" bestFit="1" customWidth="1"/>
    <col min="13324" max="13324" width="7.5546875" style="259" bestFit="1" customWidth="1"/>
    <col min="13325" max="13325" width="8" style="259" bestFit="1" customWidth="1"/>
    <col min="13326" max="13326" width="11.5546875" style="259" bestFit="1" customWidth="1"/>
    <col min="13327" max="13327" width="14.5546875" style="259" bestFit="1" customWidth="1"/>
    <col min="13328" max="13328" width="13.88671875" style="259" bestFit="1" customWidth="1"/>
    <col min="13329" max="13329" width="7.6640625" style="259" bestFit="1" customWidth="1"/>
    <col min="13330" max="13330" width="12" style="259" bestFit="1" customWidth="1"/>
    <col min="13331" max="13331" width="9.5546875" style="259" bestFit="1" customWidth="1"/>
    <col min="13332" max="13332" width="8.33203125" style="259" bestFit="1" customWidth="1"/>
    <col min="13333" max="13333" width="11.5546875" style="259" bestFit="1" customWidth="1"/>
    <col min="13334" max="13334" width="8.33203125" style="259" bestFit="1" customWidth="1"/>
    <col min="13335" max="13335" width="12" style="259" bestFit="1" customWidth="1"/>
    <col min="13336" max="13336" width="9.6640625" style="259" bestFit="1" customWidth="1"/>
    <col min="13337" max="13337" width="11.5546875" style="259" bestFit="1" customWidth="1"/>
    <col min="13338" max="13338" width="6.88671875" style="259" bestFit="1" customWidth="1"/>
    <col min="13339" max="13339" width="11.5546875" style="259" bestFit="1" customWidth="1"/>
    <col min="13340" max="13340" width="6.6640625" style="259" bestFit="1" customWidth="1"/>
    <col min="13341" max="13577" width="9.109375" style="259"/>
    <col min="13578" max="13578" width="68.44140625" style="259" bestFit="1" customWidth="1"/>
    <col min="13579" max="13579" width="11.44140625" style="259" bestFit="1" customWidth="1"/>
    <col min="13580" max="13580" width="7.5546875" style="259" bestFit="1" customWidth="1"/>
    <col min="13581" max="13581" width="8" style="259" bestFit="1" customWidth="1"/>
    <col min="13582" max="13582" width="11.5546875" style="259" bestFit="1" customWidth="1"/>
    <col min="13583" max="13583" width="14.5546875" style="259" bestFit="1" customWidth="1"/>
    <col min="13584" max="13584" width="13.88671875" style="259" bestFit="1" customWidth="1"/>
    <col min="13585" max="13585" width="7.6640625" style="259" bestFit="1" customWidth="1"/>
    <col min="13586" max="13586" width="12" style="259" bestFit="1" customWidth="1"/>
    <col min="13587" max="13587" width="9.5546875" style="259" bestFit="1" customWidth="1"/>
    <col min="13588" max="13588" width="8.33203125" style="259" bestFit="1" customWidth="1"/>
    <col min="13589" max="13589" width="11.5546875" style="259" bestFit="1" customWidth="1"/>
    <col min="13590" max="13590" width="8.33203125" style="259" bestFit="1" customWidth="1"/>
    <col min="13591" max="13591" width="12" style="259" bestFit="1" customWidth="1"/>
    <col min="13592" max="13592" width="9.6640625" style="259" bestFit="1" customWidth="1"/>
    <col min="13593" max="13593" width="11.5546875" style="259" bestFit="1" customWidth="1"/>
    <col min="13594" max="13594" width="6.88671875" style="259" bestFit="1" customWidth="1"/>
    <col min="13595" max="13595" width="11.5546875" style="259" bestFit="1" customWidth="1"/>
    <col min="13596" max="13596" width="6.6640625" style="259" bestFit="1" customWidth="1"/>
    <col min="13597" max="13833" width="9.109375" style="259"/>
    <col min="13834" max="13834" width="68.44140625" style="259" bestFit="1" customWidth="1"/>
    <col min="13835" max="13835" width="11.44140625" style="259" bestFit="1" customWidth="1"/>
    <col min="13836" max="13836" width="7.5546875" style="259" bestFit="1" customWidth="1"/>
    <col min="13837" max="13837" width="8" style="259" bestFit="1" customWidth="1"/>
    <col min="13838" max="13838" width="11.5546875" style="259" bestFit="1" customWidth="1"/>
    <col min="13839" max="13839" width="14.5546875" style="259" bestFit="1" customWidth="1"/>
    <col min="13840" max="13840" width="13.88671875" style="259" bestFit="1" customWidth="1"/>
    <col min="13841" max="13841" width="7.6640625" style="259" bestFit="1" customWidth="1"/>
    <col min="13842" max="13842" width="12" style="259" bestFit="1" customWidth="1"/>
    <col min="13843" max="13843" width="9.5546875" style="259" bestFit="1" customWidth="1"/>
    <col min="13844" max="13844" width="8.33203125" style="259" bestFit="1" customWidth="1"/>
    <col min="13845" max="13845" width="11.5546875" style="259" bestFit="1" customWidth="1"/>
    <col min="13846" max="13846" width="8.33203125" style="259" bestFit="1" customWidth="1"/>
    <col min="13847" max="13847" width="12" style="259" bestFit="1" customWidth="1"/>
    <col min="13848" max="13848" width="9.6640625" style="259" bestFit="1" customWidth="1"/>
    <col min="13849" max="13849" width="11.5546875" style="259" bestFit="1" customWidth="1"/>
    <col min="13850" max="13850" width="6.88671875" style="259" bestFit="1" customWidth="1"/>
    <col min="13851" max="13851" width="11.5546875" style="259" bestFit="1" customWidth="1"/>
    <col min="13852" max="13852" width="6.6640625" style="259" bestFit="1" customWidth="1"/>
    <col min="13853" max="14089" width="9.109375" style="259"/>
    <col min="14090" max="14090" width="68.44140625" style="259" bestFit="1" customWidth="1"/>
    <col min="14091" max="14091" width="11.44140625" style="259" bestFit="1" customWidth="1"/>
    <col min="14092" max="14092" width="7.5546875" style="259" bestFit="1" customWidth="1"/>
    <col min="14093" max="14093" width="8" style="259" bestFit="1" customWidth="1"/>
    <col min="14094" max="14094" width="11.5546875" style="259" bestFit="1" customWidth="1"/>
    <col min="14095" max="14095" width="14.5546875" style="259" bestFit="1" customWidth="1"/>
    <col min="14096" max="14096" width="13.88671875" style="259" bestFit="1" customWidth="1"/>
    <col min="14097" max="14097" width="7.6640625" style="259" bestFit="1" customWidth="1"/>
    <col min="14098" max="14098" width="12" style="259" bestFit="1" customWidth="1"/>
    <col min="14099" max="14099" width="9.5546875" style="259" bestFit="1" customWidth="1"/>
    <col min="14100" max="14100" width="8.33203125" style="259" bestFit="1" customWidth="1"/>
    <col min="14101" max="14101" width="11.5546875" style="259" bestFit="1" customWidth="1"/>
    <col min="14102" max="14102" width="8.33203125" style="259" bestFit="1" customWidth="1"/>
    <col min="14103" max="14103" width="12" style="259" bestFit="1" customWidth="1"/>
    <col min="14104" max="14104" width="9.6640625" style="259" bestFit="1" customWidth="1"/>
    <col min="14105" max="14105" width="11.5546875" style="259" bestFit="1" customWidth="1"/>
    <col min="14106" max="14106" width="6.88671875" style="259" bestFit="1" customWidth="1"/>
    <col min="14107" max="14107" width="11.5546875" style="259" bestFit="1" customWidth="1"/>
    <col min="14108" max="14108" width="6.6640625" style="259" bestFit="1" customWidth="1"/>
    <col min="14109" max="14345" width="9.109375" style="259"/>
    <col min="14346" max="14346" width="68.44140625" style="259" bestFit="1" customWidth="1"/>
    <col min="14347" max="14347" width="11.44140625" style="259" bestFit="1" customWidth="1"/>
    <col min="14348" max="14348" width="7.5546875" style="259" bestFit="1" customWidth="1"/>
    <col min="14349" max="14349" width="8" style="259" bestFit="1" customWidth="1"/>
    <col min="14350" max="14350" width="11.5546875" style="259" bestFit="1" customWidth="1"/>
    <col min="14351" max="14351" width="14.5546875" style="259" bestFit="1" customWidth="1"/>
    <col min="14352" max="14352" width="13.88671875" style="259" bestFit="1" customWidth="1"/>
    <col min="14353" max="14353" width="7.6640625" style="259" bestFit="1" customWidth="1"/>
    <col min="14354" max="14354" width="12" style="259" bestFit="1" customWidth="1"/>
    <col min="14355" max="14355" width="9.5546875" style="259" bestFit="1" customWidth="1"/>
    <col min="14356" max="14356" width="8.33203125" style="259" bestFit="1" customWidth="1"/>
    <col min="14357" max="14357" width="11.5546875" style="259" bestFit="1" customWidth="1"/>
    <col min="14358" max="14358" width="8.33203125" style="259" bestFit="1" customWidth="1"/>
    <col min="14359" max="14359" width="12" style="259" bestFit="1" customWidth="1"/>
    <col min="14360" max="14360" width="9.6640625" style="259" bestFit="1" customWidth="1"/>
    <col min="14361" max="14361" width="11.5546875" style="259" bestFit="1" customWidth="1"/>
    <col min="14362" max="14362" width="6.88671875" style="259" bestFit="1" customWidth="1"/>
    <col min="14363" max="14363" width="11.5546875" style="259" bestFit="1" customWidth="1"/>
    <col min="14364" max="14364" width="6.6640625" style="259" bestFit="1" customWidth="1"/>
    <col min="14365" max="14601" width="9.109375" style="259"/>
    <col min="14602" max="14602" width="68.44140625" style="259" bestFit="1" customWidth="1"/>
    <col min="14603" max="14603" width="11.44140625" style="259" bestFit="1" customWidth="1"/>
    <col min="14604" max="14604" width="7.5546875" style="259" bestFit="1" customWidth="1"/>
    <col min="14605" max="14605" width="8" style="259" bestFit="1" customWidth="1"/>
    <col min="14606" max="14606" width="11.5546875" style="259" bestFit="1" customWidth="1"/>
    <col min="14607" max="14607" width="14.5546875" style="259" bestFit="1" customWidth="1"/>
    <col min="14608" max="14608" width="13.88671875" style="259" bestFit="1" customWidth="1"/>
    <col min="14609" max="14609" width="7.6640625" style="259" bestFit="1" customWidth="1"/>
    <col min="14610" max="14610" width="12" style="259" bestFit="1" customWidth="1"/>
    <col min="14611" max="14611" width="9.5546875" style="259" bestFit="1" customWidth="1"/>
    <col min="14612" max="14612" width="8.33203125" style="259" bestFit="1" customWidth="1"/>
    <col min="14613" max="14613" width="11.5546875" style="259" bestFit="1" customWidth="1"/>
    <col min="14614" max="14614" width="8.33203125" style="259" bestFit="1" customWidth="1"/>
    <col min="14615" max="14615" width="12" style="259" bestFit="1" customWidth="1"/>
    <col min="14616" max="14616" width="9.6640625" style="259" bestFit="1" customWidth="1"/>
    <col min="14617" max="14617" width="11.5546875" style="259" bestFit="1" customWidth="1"/>
    <col min="14618" max="14618" width="6.88671875" style="259" bestFit="1" customWidth="1"/>
    <col min="14619" max="14619" width="11.5546875" style="259" bestFit="1" customWidth="1"/>
    <col min="14620" max="14620" width="6.6640625" style="259" bestFit="1" customWidth="1"/>
    <col min="14621" max="14857" width="9.109375" style="259"/>
    <col min="14858" max="14858" width="68.44140625" style="259" bestFit="1" customWidth="1"/>
    <col min="14859" max="14859" width="11.44140625" style="259" bestFit="1" customWidth="1"/>
    <col min="14860" max="14860" width="7.5546875" style="259" bestFit="1" customWidth="1"/>
    <col min="14861" max="14861" width="8" style="259" bestFit="1" customWidth="1"/>
    <col min="14862" max="14862" width="11.5546875" style="259" bestFit="1" customWidth="1"/>
    <col min="14863" max="14863" width="14.5546875" style="259" bestFit="1" customWidth="1"/>
    <col min="14864" max="14864" width="13.88671875" style="259" bestFit="1" customWidth="1"/>
    <col min="14865" max="14865" width="7.6640625" style="259" bestFit="1" customWidth="1"/>
    <col min="14866" max="14866" width="12" style="259" bestFit="1" customWidth="1"/>
    <col min="14867" max="14867" width="9.5546875" style="259" bestFit="1" customWidth="1"/>
    <col min="14868" max="14868" width="8.33203125" style="259" bestFit="1" customWidth="1"/>
    <col min="14869" max="14869" width="11.5546875" style="259" bestFit="1" customWidth="1"/>
    <col min="14870" max="14870" width="8.33203125" style="259" bestFit="1" customWidth="1"/>
    <col min="14871" max="14871" width="12" style="259" bestFit="1" customWidth="1"/>
    <col min="14872" max="14872" width="9.6640625" style="259" bestFit="1" customWidth="1"/>
    <col min="14873" max="14873" width="11.5546875" style="259" bestFit="1" customWidth="1"/>
    <col min="14874" max="14874" width="6.88671875" style="259" bestFit="1" customWidth="1"/>
    <col min="14875" max="14875" width="11.5546875" style="259" bestFit="1" customWidth="1"/>
    <col min="14876" max="14876" width="6.6640625" style="259" bestFit="1" customWidth="1"/>
    <col min="14877" max="15113" width="9.109375" style="259"/>
    <col min="15114" max="15114" width="68.44140625" style="259" bestFit="1" customWidth="1"/>
    <col min="15115" max="15115" width="11.44140625" style="259" bestFit="1" customWidth="1"/>
    <col min="15116" max="15116" width="7.5546875" style="259" bestFit="1" customWidth="1"/>
    <col min="15117" max="15117" width="8" style="259" bestFit="1" customWidth="1"/>
    <col min="15118" max="15118" width="11.5546875" style="259" bestFit="1" customWidth="1"/>
    <col min="15119" max="15119" width="14.5546875" style="259" bestFit="1" customWidth="1"/>
    <col min="15120" max="15120" width="13.88671875" style="259" bestFit="1" customWidth="1"/>
    <col min="15121" max="15121" width="7.6640625" style="259" bestFit="1" customWidth="1"/>
    <col min="15122" max="15122" width="12" style="259" bestFit="1" customWidth="1"/>
    <col min="15123" max="15123" width="9.5546875" style="259" bestFit="1" customWidth="1"/>
    <col min="15124" max="15124" width="8.33203125" style="259" bestFit="1" customWidth="1"/>
    <col min="15125" max="15125" width="11.5546875" style="259" bestFit="1" customWidth="1"/>
    <col min="15126" max="15126" width="8.33203125" style="259" bestFit="1" customWidth="1"/>
    <col min="15127" max="15127" width="12" style="259" bestFit="1" customWidth="1"/>
    <col min="15128" max="15128" width="9.6640625" style="259" bestFit="1" customWidth="1"/>
    <col min="15129" max="15129" width="11.5546875" style="259" bestFit="1" customWidth="1"/>
    <col min="15130" max="15130" width="6.88671875" style="259" bestFit="1" customWidth="1"/>
    <col min="15131" max="15131" width="11.5546875" style="259" bestFit="1" customWidth="1"/>
    <col min="15132" max="15132" width="6.6640625" style="259" bestFit="1" customWidth="1"/>
    <col min="15133" max="15369" width="9.109375" style="259"/>
    <col min="15370" max="15370" width="68.44140625" style="259" bestFit="1" customWidth="1"/>
    <col min="15371" max="15371" width="11.44140625" style="259" bestFit="1" customWidth="1"/>
    <col min="15372" max="15372" width="7.5546875" style="259" bestFit="1" customWidth="1"/>
    <col min="15373" max="15373" width="8" style="259" bestFit="1" customWidth="1"/>
    <col min="15374" max="15374" width="11.5546875" style="259" bestFit="1" customWidth="1"/>
    <col min="15375" max="15375" width="14.5546875" style="259" bestFit="1" customWidth="1"/>
    <col min="15376" max="15376" width="13.88671875" style="259" bestFit="1" customWidth="1"/>
    <col min="15377" max="15377" width="7.6640625" style="259" bestFit="1" customWidth="1"/>
    <col min="15378" max="15378" width="12" style="259" bestFit="1" customWidth="1"/>
    <col min="15379" max="15379" width="9.5546875" style="259" bestFit="1" customWidth="1"/>
    <col min="15380" max="15380" width="8.33203125" style="259" bestFit="1" customWidth="1"/>
    <col min="15381" max="15381" width="11.5546875" style="259" bestFit="1" customWidth="1"/>
    <col min="15382" max="15382" width="8.33203125" style="259" bestFit="1" customWidth="1"/>
    <col min="15383" max="15383" width="12" style="259" bestFit="1" customWidth="1"/>
    <col min="15384" max="15384" width="9.6640625" style="259" bestFit="1" customWidth="1"/>
    <col min="15385" max="15385" width="11.5546875" style="259" bestFit="1" customWidth="1"/>
    <col min="15386" max="15386" width="6.88671875" style="259" bestFit="1" customWidth="1"/>
    <col min="15387" max="15387" width="11.5546875" style="259" bestFit="1" customWidth="1"/>
    <col min="15388" max="15388" width="6.6640625" style="259" bestFit="1" customWidth="1"/>
    <col min="15389" max="15625" width="9.109375" style="259"/>
    <col min="15626" max="15626" width="68.44140625" style="259" bestFit="1" customWidth="1"/>
    <col min="15627" max="15627" width="11.44140625" style="259" bestFit="1" customWidth="1"/>
    <col min="15628" max="15628" width="7.5546875" style="259" bestFit="1" customWidth="1"/>
    <col min="15629" max="15629" width="8" style="259" bestFit="1" customWidth="1"/>
    <col min="15630" max="15630" width="11.5546875" style="259" bestFit="1" customWidth="1"/>
    <col min="15631" max="15631" width="14.5546875" style="259" bestFit="1" customWidth="1"/>
    <col min="15632" max="15632" width="13.88671875" style="259" bestFit="1" customWidth="1"/>
    <col min="15633" max="15633" width="7.6640625" style="259" bestFit="1" customWidth="1"/>
    <col min="15634" max="15634" width="12" style="259" bestFit="1" customWidth="1"/>
    <col min="15635" max="15635" width="9.5546875" style="259" bestFit="1" customWidth="1"/>
    <col min="15636" max="15636" width="8.33203125" style="259" bestFit="1" customWidth="1"/>
    <col min="15637" max="15637" width="11.5546875" style="259" bestFit="1" customWidth="1"/>
    <col min="15638" max="15638" width="8.33203125" style="259" bestFit="1" customWidth="1"/>
    <col min="15639" max="15639" width="12" style="259" bestFit="1" customWidth="1"/>
    <col min="15640" max="15640" width="9.6640625" style="259" bestFit="1" customWidth="1"/>
    <col min="15641" max="15641" width="11.5546875" style="259" bestFit="1" customWidth="1"/>
    <col min="15642" max="15642" width="6.88671875" style="259" bestFit="1" customWidth="1"/>
    <col min="15643" max="15643" width="11.5546875" style="259" bestFit="1" customWidth="1"/>
    <col min="15644" max="15644" width="6.6640625" style="259" bestFit="1" customWidth="1"/>
    <col min="15645" max="15881" width="9.109375" style="259"/>
    <col min="15882" max="15882" width="68.44140625" style="259" bestFit="1" customWidth="1"/>
    <col min="15883" max="15883" width="11.44140625" style="259" bestFit="1" customWidth="1"/>
    <col min="15884" max="15884" width="7.5546875" style="259" bestFit="1" customWidth="1"/>
    <col min="15885" max="15885" width="8" style="259" bestFit="1" customWidth="1"/>
    <col min="15886" max="15886" width="11.5546875" style="259" bestFit="1" customWidth="1"/>
    <col min="15887" max="15887" width="14.5546875" style="259" bestFit="1" customWidth="1"/>
    <col min="15888" max="15888" width="13.88671875" style="259" bestFit="1" customWidth="1"/>
    <col min="15889" max="15889" width="7.6640625" style="259" bestFit="1" customWidth="1"/>
    <col min="15890" max="15890" width="12" style="259" bestFit="1" customWidth="1"/>
    <col min="15891" max="15891" width="9.5546875" style="259" bestFit="1" customWidth="1"/>
    <col min="15892" max="15892" width="8.33203125" style="259" bestFit="1" customWidth="1"/>
    <col min="15893" max="15893" width="11.5546875" style="259" bestFit="1" customWidth="1"/>
    <col min="15894" max="15894" width="8.33203125" style="259" bestFit="1" customWidth="1"/>
    <col min="15895" max="15895" width="12" style="259" bestFit="1" customWidth="1"/>
    <col min="15896" max="15896" width="9.6640625" style="259" bestFit="1" customWidth="1"/>
    <col min="15897" max="15897" width="11.5546875" style="259" bestFit="1" customWidth="1"/>
    <col min="15898" max="15898" width="6.88671875" style="259" bestFit="1" customWidth="1"/>
    <col min="15899" max="15899" width="11.5546875" style="259" bestFit="1" customWidth="1"/>
    <col min="15900" max="15900" width="6.6640625" style="259" bestFit="1" customWidth="1"/>
    <col min="15901" max="16137" width="9.109375" style="259"/>
    <col min="16138" max="16138" width="68.44140625" style="259" bestFit="1" customWidth="1"/>
    <col min="16139" max="16139" width="11.44140625" style="259" bestFit="1" customWidth="1"/>
    <col min="16140" max="16140" width="7.5546875" style="259" bestFit="1" customWidth="1"/>
    <col min="16141" max="16141" width="8" style="259" bestFit="1" customWidth="1"/>
    <col min="16142" max="16142" width="11.5546875" style="259" bestFit="1" customWidth="1"/>
    <col min="16143" max="16143" width="14.5546875" style="259" bestFit="1" customWidth="1"/>
    <col min="16144" max="16144" width="13.88671875" style="259" bestFit="1" customWidth="1"/>
    <col min="16145" max="16145" width="7.6640625" style="259" bestFit="1" customWidth="1"/>
    <col min="16146" max="16146" width="12" style="259" bestFit="1" customWidth="1"/>
    <col min="16147" max="16147" width="9.5546875" style="259" bestFit="1" customWidth="1"/>
    <col min="16148" max="16148" width="8.33203125" style="259" bestFit="1" customWidth="1"/>
    <col min="16149" max="16149" width="11.5546875" style="259" bestFit="1" customWidth="1"/>
    <col min="16150" max="16150" width="8.33203125" style="259" bestFit="1" customWidth="1"/>
    <col min="16151" max="16151" width="12" style="259" bestFit="1" customWidth="1"/>
    <col min="16152" max="16152" width="9.6640625" style="259" bestFit="1" customWidth="1"/>
    <col min="16153" max="16153" width="11.5546875" style="259" bestFit="1" customWidth="1"/>
    <col min="16154" max="16154" width="6.88671875" style="259" bestFit="1" customWidth="1"/>
    <col min="16155" max="16155" width="11.5546875" style="259" bestFit="1" customWidth="1"/>
    <col min="16156" max="16156" width="6.6640625" style="259" bestFit="1" customWidth="1"/>
    <col min="16157" max="16384" width="9.109375" style="259"/>
  </cols>
  <sheetData>
    <row r="1" spans="1:29" ht="33" customHeight="1" thickBot="1">
      <c r="A1" s="594" t="s">
        <v>964</v>
      </c>
      <c r="B1" s="595"/>
      <c r="C1" s="261"/>
      <c r="D1" s="261"/>
      <c r="E1" s="594" t="s">
        <v>404</v>
      </c>
      <c r="F1" s="595"/>
      <c r="G1" s="594" t="s">
        <v>625</v>
      </c>
      <c r="H1" s="596"/>
      <c r="I1" s="595"/>
      <c r="J1" s="337"/>
      <c r="K1" s="337"/>
      <c r="L1" s="367"/>
      <c r="M1" s="367"/>
      <c r="N1" s="597" t="s">
        <v>626</v>
      </c>
      <c r="O1" s="595"/>
      <c r="P1" s="594" t="s">
        <v>2159</v>
      </c>
      <c r="Q1" s="596"/>
      <c r="R1" s="595"/>
      <c r="S1" s="594" t="s">
        <v>2154</v>
      </c>
      <c r="T1" s="596"/>
      <c r="U1" s="596"/>
      <c r="V1" s="595"/>
      <c r="W1" s="594" t="s">
        <v>2156</v>
      </c>
      <c r="X1" s="595"/>
      <c r="Y1" s="594" t="s">
        <v>627</v>
      </c>
      <c r="Z1" s="595"/>
      <c r="AA1" s="594" t="s">
        <v>1667</v>
      </c>
      <c r="AB1" s="595"/>
    </row>
    <row r="2" spans="1:29" ht="59.25" customHeight="1" thickBot="1">
      <c r="A2" s="430" t="s">
        <v>966</v>
      </c>
      <c r="B2" s="430" t="s">
        <v>967</v>
      </c>
      <c r="C2" s="255" t="s">
        <v>2157</v>
      </c>
      <c r="D2" s="255" t="s">
        <v>2158</v>
      </c>
      <c r="E2" s="431" t="s">
        <v>504</v>
      </c>
      <c r="F2" s="431" t="s">
        <v>550</v>
      </c>
      <c r="G2" s="432" t="s">
        <v>628</v>
      </c>
      <c r="H2" s="433" t="s">
        <v>2517</v>
      </c>
      <c r="I2" s="432" t="s">
        <v>629</v>
      </c>
      <c r="J2" s="432" t="s">
        <v>2520</v>
      </c>
      <c r="K2" s="432" t="s">
        <v>2203</v>
      </c>
      <c r="L2" s="450" t="s">
        <v>2521</v>
      </c>
      <c r="M2" s="450" t="s">
        <v>2411</v>
      </c>
      <c r="N2" s="451" t="s">
        <v>2522</v>
      </c>
      <c r="O2" s="452" t="s">
        <v>551</v>
      </c>
      <c r="P2" s="469" t="s">
        <v>2523</v>
      </c>
      <c r="Q2" s="469" t="s">
        <v>2524</v>
      </c>
      <c r="R2" s="469" t="s">
        <v>2525</v>
      </c>
      <c r="S2" s="470" t="s">
        <v>2526</v>
      </c>
      <c r="T2" s="470" t="s">
        <v>2527</v>
      </c>
      <c r="U2" s="470" t="s">
        <v>2528</v>
      </c>
      <c r="V2" s="470" t="s">
        <v>2529</v>
      </c>
      <c r="W2" s="494" t="s">
        <v>2531</v>
      </c>
      <c r="X2" s="494" t="s">
        <v>2532</v>
      </c>
      <c r="Y2" s="485" t="s">
        <v>630</v>
      </c>
      <c r="Z2" s="485" t="s">
        <v>552</v>
      </c>
      <c r="AA2" s="503" t="s">
        <v>2533</v>
      </c>
      <c r="AB2" s="503" t="s">
        <v>2534</v>
      </c>
    </row>
    <row r="3" spans="1:29" s="402" customFormat="1" ht="20.100000000000001" customHeight="1">
      <c r="A3" s="390" t="s">
        <v>968</v>
      </c>
      <c r="B3" s="391" t="s">
        <v>632</v>
      </c>
      <c r="C3" s="400">
        <f>COUNTIF('Chem Props'!$B$6:$B$851,'Parameters Summary'!A3)</f>
        <v>1</v>
      </c>
      <c r="D3" s="400">
        <f>COUNTIF('Tox Summary'!$N$3:$N$792, 'Parameters Summary'!A3)</f>
        <v>1</v>
      </c>
      <c r="E3" s="434">
        <v>183.17</v>
      </c>
      <c r="F3" s="435" t="s">
        <v>1620</v>
      </c>
      <c r="G3" s="436">
        <v>2.048E-11</v>
      </c>
      <c r="H3" s="436">
        <v>5.0099999999999999E-13</v>
      </c>
      <c r="I3" s="437" t="s">
        <v>553</v>
      </c>
      <c r="J3" s="436">
        <v>1.7E-6</v>
      </c>
      <c r="K3" s="437" t="s">
        <v>1620</v>
      </c>
      <c r="L3" s="453">
        <v>88</v>
      </c>
      <c r="M3" s="454" t="s">
        <v>1620</v>
      </c>
      <c r="N3" s="455">
        <v>1.35</v>
      </c>
      <c r="O3" s="456" t="s">
        <v>1618</v>
      </c>
      <c r="P3" s="471">
        <v>3.7348300000000001E-2</v>
      </c>
      <c r="Q3" s="471">
        <v>7.9755000000000001E-6</v>
      </c>
      <c r="R3" s="472" t="s">
        <v>2435</v>
      </c>
      <c r="S3" s="473" t="s">
        <v>1531</v>
      </c>
      <c r="T3" s="474" t="s">
        <v>1413</v>
      </c>
      <c r="U3" s="484">
        <v>10</v>
      </c>
      <c r="V3" s="484" t="s">
        <v>553</v>
      </c>
      <c r="W3" s="495">
        <v>-0.85</v>
      </c>
      <c r="X3" s="496" t="s">
        <v>1620</v>
      </c>
      <c r="Y3" s="486">
        <v>818000</v>
      </c>
      <c r="Z3" s="487" t="s">
        <v>1620</v>
      </c>
      <c r="AA3" s="394">
        <v>4.0000000000000003E-5</v>
      </c>
      <c r="AB3" s="395" t="s">
        <v>553</v>
      </c>
      <c r="AC3" s="401"/>
    </row>
    <row r="4" spans="1:29" ht="20.100000000000001" customHeight="1">
      <c r="A4" s="390" t="s">
        <v>1428</v>
      </c>
      <c r="B4" s="391" t="s">
        <v>633</v>
      </c>
      <c r="C4" s="400">
        <f>COUNTIF('Chem Props'!$B$6:$B$851,'Parameters Summary'!A4)</f>
        <v>1</v>
      </c>
      <c r="D4" s="400">
        <f>COUNTIF('Tox Summary'!$N$3:$N$792, 'Parameters Summary'!A4)</f>
        <v>1</v>
      </c>
      <c r="E4" s="434">
        <v>44.054000000000002</v>
      </c>
      <c r="F4" s="435" t="s">
        <v>1620</v>
      </c>
      <c r="G4" s="436">
        <v>2.7269E-3</v>
      </c>
      <c r="H4" s="436">
        <v>6.6699999999999995E-5</v>
      </c>
      <c r="I4" s="437" t="s">
        <v>1620</v>
      </c>
      <c r="J4" s="436">
        <v>902</v>
      </c>
      <c r="K4" s="437" t="s">
        <v>1620</v>
      </c>
      <c r="L4" s="453">
        <v>-123.37</v>
      </c>
      <c r="M4" s="454" t="s">
        <v>1620</v>
      </c>
      <c r="N4" s="455">
        <v>0.78339999999999999</v>
      </c>
      <c r="O4" s="456" t="s">
        <v>1618</v>
      </c>
      <c r="P4" s="471">
        <v>0.1277026</v>
      </c>
      <c r="Q4" s="471">
        <v>1.3499999999999999E-5</v>
      </c>
      <c r="R4" s="472" t="s">
        <v>2435</v>
      </c>
      <c r="S4" s="473" t="s">
        <v>1531</v>
      </c>
      <c r="T4" s="474" t="s">
        <v>1413</v>
      </c>
      <c r="U4" s="484">
        <v>1</v>
      </c>
      <c r="V4" s="484" t="s">
        <v>553</v>
      </c>
      <c r="W4" s="495">
        <v>-0.34</v>
      </c>
      <c r="X4" s="496" t="s">
        <v>1620</v>
      </c>
      <c r="Y4" s="486">
        <v>1000000</v>
      </c>
      <c r="Z4" s="487" t="s">
        <v>1620</v>
      </c>
      <c r="AA4" s="394">
        <v>5.2700000000000002E-4</v>
      </c>
      <c r="AB4" s="395" t="s">
        <v>553</v>
      </c>
      <c r="AC4" s="369"/>
    </row>
    <row r="5" spans="1:29" ht="20.100000000000001" customHeight="1" thickBot="1">
      <c r="A5" s="392" t="s">
        <v>970</v>
      </c>
      <c r="B5" s="393" t="s">
        <v>634</v>
      </c>
      <c r="C5" s="400">
        <f>COUNTIF('Chem Props'!$B$6:$B$851,'Parameters Summary'!A5)</f>
        <v>1</v>
      </c>
      <c r="D5" s="400">
        <f>COUNTIF('Tox Summary'!$N$3:$N$792, 'Parameters Summary'!A5)</f>
        <v>1</v>
      </c>
      <c r="E5" s="438">
        <v>269.77</v>
      </c>
      <c r="F5" s="439" t="s">
        <v>1620</v>
      </c>
      <c r="G5" s="440">
        <v>9.1169000000000003E-7</v>
      </c>
      <c r="H5" s="440">
        <v>2.2300000000000001E-8</v>
      </c>
      <c r="I5" s="441" t="s">
        <v>1620</v>
      </c>
      <c r="J5" s="440">
        <v>2.8E-5</v>
      </c>
      <c r="K5" s="441" t="s">
        <v>1620</v>
      </c>
      <c r="L5" s="457">
        <v>10.6</v>
      </c>
      <c r="M5" s="458" t="s">
        <v>2199</v>
      </c>
      <c r="N5" s="459">
        <v>1.107</v>
      </c>
      <c r="O5" s="460" t="s">
        <v>2199</v>
      </c>
      <c r="P5" s="475">
        <v>2.2390799999999999E-2</v>
      </c>
      <c r="Q5" s="475">
        <v>5.6126000000000003E-6</v>
      </c>
      <c r="R5" s="476" t="s">
        <v>2435</v>
      </c>
      <c r="S5" s="477" t="s">
        <v>1531</v>
      </c>
      <c r="T5" s="478" t="s">
        <v>1413</v>
      </c>
      <c r="U5" s="481">
        <v>298.39999999999998</v>
      </c>
      <c r="V5" s="481" t="s">
        <v>553</v>
      </c>
      <c r="W5" s="497">
        <v>3.03</v>
      </c>
      <c r="X5" s="498" t="s">
        <v>1620</v>
      </c>
      <c r="Y5" s="488">
        <v>223</v>
      </c>
      <c r="Z5" s="489" t="s">
        <v>1620</v>
      </c>
      <c r="AA5" s="396">
        <v>4.9500000000000004E-3</v>
      </c>
      <c r="AB5" s="397" t="s">
        <v>553</v>
      </c>
      <c r="AC5" s="369"/>
    </row>
    <row r="6" spans="1:29" ht="20.100000000000001" customHeight="1">
      <c r="A6" s="390" t="s">
        <v>424</v>
      </c>
      <c r="B6" s="391" t="s">
        <v>635</v>
      </c>
      <c r="C6" s="400">
        <f>COUNTIF('Chem Props'!$B$6:$B$851,'Parameters Summary'!A6)</f>
        <v>1</v>
      </c>
      <c r="D6" s="400">
        <f>COUNTIF('Tox Summary'!$N$3:$N$792, 'Parameters Summary'!A6)</f>
        <v>1</v>
      </c>
      <c r="E6" s="434">
        <v>58.081000000000003</v>
      </c>
      <c r="F6" s="435" t="s">
        <v>1620</v>
      </c>
      <c r="G6" s="436">
        <v>1.4308999999999999E-3</v>
      </c>
      <c r="H6" s="436">
        <v>3.4999999999999997E-5</v>
      </c>
      <c r="I6" s="437" t="s">
        <v>1620</v>
      </c>
      <c r="J6" s="436">
        <v>231.5</v>
      </c>
      <c r="K6" s="437" t="s">
        <v>1620</v>
      </c>
      <c r="L6" s="453">
        <v>-94.8</v>
      </c>
      <c r="M6" s="454" t="s">
        <v>1620</v>
      </c>
      <c r="N6" s="455">
        <v>0.78449999999999998</v>
      </c>
      <c r="O6" s="456" t="s">
        <v>1618</v>
      </c>
      <c r="P6" s="471">
        <v>0.1059215</v>
      </c>
      <c r="Q6" s="471">
        <v>1.15E-5</v>
      </c>
      <c r="R6" s="472" t="s">
        <v>2435</v>
      </c>
      <c r="S6" s="473" t="s">
        <v>1531</v>
      </c>
      <c r="T6" s="474" t="s">
        <v>1413</v>
      </c>
      <c r="U6" s="484">
        <v>2.3639999999999999</v>
      </c>
      <c r="V6" s="484" t="s">
        <v>553</v>
      </c>
      <c r="W6" s="495">
        <v>-0.24</v>
      </c>
      <c r="X6" s="496" t="s">
        <v>1620</v>
      </c>
      <c r="Y6" s="486">
        <v>1000000</v>
      </c>
      <c r="Z6" s="487" t="s">
        <v>1620</v>
      </c>
      <c r="AA6" s="394">
        <v>5.1199999999999998E-4</v>
      </c>
      <c r="AB6" s="395" t="s">
        <v>553</v>
      </c>
      <c r="AC6" s="369"/>
    </row>
    <row r="7" spans="1:29" ht="20.100000000000001" customHeight="1">
      <c r="A7" s="390" t="s">
        <v>971</v>
      </c>
      <c r="B7" s="391" t="s">
        <v>636</v>
      </c>
      <c r="C7" s="400">
        <f>COUNTIF('Chem Props'!$B$6:$B$851,'Parameters Summary'!A7)</f>
        <v>1</v>
      </c>
      <c r="D7" s="400">
        <f>COUNTIF('Tox Summary'!$N$3:$N$792, 'Parameters Summary'!A7)</f>
        <v>1</v>
      </c>
      <c r="E7" s="434">
        <v>85.105999999999995</v>
      </c>
      <c r="F7" s="435" t="s">
        <v>1620</v>
      </c>
      <c r="G7" s="436">
        <v>8.0540000000000005E-8</v>
      </c>
      <c r="H7" s="436">
        <v>1.97E-9</v>
      </c>
      <c r="I7" s="437" t="s">
        <v>1620</v>
      </c>
      <c r="J7" s="436">
        <v>0.34100000000000003</v>
      </c>
      <c r="K7" s="437" t="s">
        <v>1620</v>
      </c>
      <c r="L7" s="453">
        <v>-19</v>
      </c>
      <c r="M7" s="454" t="s">
        <v>1620</v>
      </c>
      <c r="N7" s="455">
        <v>0.93200000000000005</v>
      </c>
      <c r="O7" s="456" t="s">
        <v>1618</v>
      </c>
      <c r="P7" s="471">
        <v>8.59491E-2</v>
      </c>
      <c r="Q7" s="471">
        <v>1.01E-5</v>
      </c>
      <c r="R7" s="472" t="s">
        <v>2435</v>
      </c>
      <c r="S7" s="473" t="s">
        <v>1531</v>
      </c>
      <c r="T7" s="474" t="s">
        <v>1413</v>
      </c>
      <c r="U7" s="484">
        <v>1</v>
      </c>
      <c r="V7" s="484" t="s">
        <v>553</v>
      </c>
      <c r="W7" s="495">
        <v>-0.03</v>
      </c>
      <c r="X7" s="496" t="s">
        <v>1620</v>
      </c>
      <c r="Y7" s="486">
        <v>1000000</v>
      </c>
      <c r="Z7" s="487" t="s">
        <v>1620</v>
      </c>
      <c r="AA7" s="394">
        <v>4.95E-4</v>
      </c>
      <c r="AB7" s="395" t="s">
        <v>553</v>
      </c>
      <c r="AC7" s="369"/>
    </row>
    <row r="8" spans="1:29" ht="20.100000000000001" customHeight="1" thickBot="1">
      <c r="A8" s="392" t="s">
        <v>1429</v>
      </c>
      <c r="B8" s="393" t="s">
        <v>637</v>
      </c>
      <c r="C8" s="400">
        <f>COUNTIF('Chem Props'!$B$6:$B$851,'Parameters Summary'!A8)</f>
        <v>1</v>
      </c>
      <c r="D8" s="400">
        <f>COUNTIF('Tox Summary'!$N$3:$N$792, 'Parameters Summary'!A8)</f>
        <v>1</v>
      </c>
      <c r="E8" s="438">
        <v>41.052999999999997</v>
      </c>
      <c r="F8" s="439" t="s">
        <v>1620</v>
      </c>
      <c r="G8" s="440">
        <v>1.4105000000000001E-3</v>
      </c>
      <c r="H8" s="440">
        <v>3.4499999999999998E-5</v>
      </c>
      <c r="I8" s="441" t="s">
        <v>1620</v>
      </c>
      <c r="J8" s="440">
        <v>88.8</v>
      </c>
      <c r="K8" s="441" t="s">
        <v>1620</v>
      </c>
      <c r="L8" s="457">
        <v>-43.8</v>
      </c>
      <c r="M8" s="458" t="s">
        <v>1620</v>
      </c>
      <c r="N8" s="459">
        <v>0.78569999999999995</v>
      </c>
      <c r="O8" s="460" t="s">
        <v>1618</v>
      </c>
      <c r="P8" s="475">
        <v>0.1339939</v>
      </c>
      <c r="Q8" s="475">
        <v>1.4100000000000001E-5</v>
      </c>
      <c r="R8" s="476" t="s">
        <v>2435</v>
      </c>
      <c r="S8" s="477" t="s">
        <v>1531</v>
      </c>
      <c r="T8" s="478" t="s">
        <v>1413</v>
      </c>
      <c r="U8" s="481">
        <v>4.67</v>
      </c>
      <c r="V8" s="481" t="s">
        <v>553</v>
      </c>
      <c r="W8" s="497">
        <v>-0.34</v>
      </c>
      <c r="X8" s="498" t="s">
        <v>1620</v>
      </c>
      <c r="Y8" s="488">
        <v>1000000</v>
      </c>
      <c r="Z8" s="489" t="s">
        <v>1620</v>
      </c>
      <c r="AA8" s="396">
        <v>5.4799999999999998E-4</v>
      </c>
      <c r="AB8" s="397" t="s">
        <v>553</v>
      </c>
      <c r="AC8" s="369"/>
    </row>
    <row r="9" spans="1:29" ht="20.100000000000001" customHeight="1">
      <c r="A9" s="390" t="s">
        <v>1430</v>
      </c>
      <c r="B9" s="391" t="s">
        <v>638</v>
      </c>
      <c r="C9" s="400">
        <f>COUNTIF('Chem Props'!$B$6:$B$851,'Parameters Summary'!A9)</f>
        <v>1</v>
      </c>
      <c r="D9" s="400">
        <f>COUNTIF('Tox Summary'!$N$3:$N$792, 'Parameters Summary'!A9)</f>
        <v>1</v>
      </c>
      <c r="E9" s="434">
        <v>120.15</v>
      </c>
      <c r="F9" s="435" t="s">
        <v>1620</v>
      </c>
      <c r="G9" s="436">
        <v>4.2519999999999998E-4</v>
      </c>
      <c r="H9" s="436">
        <v>1.04E-5</v>
      </c>
      <c r="I9" s="437" t="s">
        <v>1620</v>
      </c>
      <c r="J9" s="436">
        <v>0.39700000000000002</v>
      </c>
      <c r="K9" s="437" t="s">
        <v>1620</v>
      </c>
      <c r="L9" s="453">
        <v>20</v>
      </c>
      <c r="M9" s="454" t="s">
        <v>1620</v>
      </c>
      <c r="N9" s="455">
        <v>1.0281</v>
      </c>
      <c r="O9" s="456" t="s">
        <v>1618</v>
      </c>
      <c r="P9" s="471">
        <v>6.5222100000000005E-2</v>
      </c>
      <c r="Q9" s="471">
        <v>8.7229000000000008E-6</v>
      </c>
      <c r="R9" s="472" t="s">
        <v>2435</v>
      </c>
      <c r="S9" s="473" t="s">
        <v>1531</v>
      </c>
      <c r="T9" s="474" t="s">
        <v>1413</v>
      </c>
      <c r="U9" s="484">
        <v>51.85</v>
      </c>
      <c r="V9" s="484" t="s">
        <v>553</v>
      </c>
      <c r="W9" s="495">
        <v>1.58</v>
      </c>
      <c r="X9" s="496" t="s">
        <v>1620</v>
      </c>
      <c r="Y9" s="486">
        <v>6130</v>
      </c>
      <c r="Z9" s="487" t="s">
        <v>1620</v>
      </c>
      <c r="AA9" s="394">
        <v>3.7200000000000002E-3</v>
      </c>
      <c r="AB9" s="395" t="s">
        <v>553</v>
      </c>
      <c r="AC9" s="369"/>
    </row>
    <row r="10" spans="1:29" ht="20.100000000000001" customHeight="1">
      <c r="A10" s="390" t="s">
        <v>558</v>
      </c>
      <c r="B10" s="391" t="s">
        <v>639</v>
      </c>
      <c r="C10" s="400">
        <f>COUNTIF('Chem Props'!$B$6:$B$851,'Parameters Summary'!A10)</f>
        <v>1</v>
      </c>
      <c r="D10" s="400">
        <f>COUNTIF('Tox Summary'!$N$3:$N$792, 'Parameters Summary'!A10)</f>
        <v>1</v>
      </c>
      <c r="E10" s="434">
        <v>223.28</v>
      </c>
      <c r="F10" s="435" t="s">
        <v>1620</v>
      </c>
      <c r="G10" s="436">
        <v>7.8496000000000007E-9</v>
      </c>
      <c r="H10" s="436">
        <v>1.9200000000000001E-10</v>
      </c>
      <c r="I10" s="437" t="s">
        <v>1620</v>
      </c>
      <c r="J10" s="436">
        <v>9.4399999999999998E-8</v>
      </c>
      <c r="K10" s="437" t="s">
        <v>1620</v>
      </c>
      <c r="L10" s="453">
        <v>193</v>
      </c>
      <c r="M10" s="454" t="s">
        <v>1620</v>
      </c>
      <c r="N10" s="461" t="s">
        <v>1531</v>
      </c>
      <c r="O10" s="462" t="s">
        <v>1413</v>
      </c>
      <c r="P10" s="471">
        <v>5.1624200000000002E-2</v>
      </c>
      <c r="Q10" s="471">
        <v>6.0318999999999998E-6</v>
      </c>
      <c r="R10" s="472" t="s">
        <v>2435</v>
      </c>
      <c r="S10" s="473" t="s">
        <v>1531</v>
      </c>
      <c r="T10" s="474" t="s">
        <v>1413</v>
      </c>
      <c r="U10" s="484">
        <v>2206</v>
      </c>
      <c r="V10" s="484" t="s">
        <v>553</v>
      </c>
      <c r="W10" s="495">
        <v>3.12</v>
      </c>
      <c r="X10" s="496" t="s">
        <v>1620</v>
      </c>
      <c r="Y10" s="486">
        <v>5.5339999999999998</v>
      </c>
      <c r="Z10" s="487" t="s">
        <v>1620</v>
      </c>
      <c r="AA10" s="394">
        <v>1.2495900000000001E-2</v>
      </c>
      <c r="AB10" s="395" t="s">
        <v>1668</v>
      </c>
      <c r="AC10" s="369"/>
    </row>
    <row r="11" spans="1:29" ht="20.100000000000001" customHeight="1" thickBot="1">
      <c r="A11" s="392" t="s">
        <v>1431</v>
      </c>
      <c r="B11" s="393" t="s">
        <v>640</v>
      </c>
      <c r="C11" s="400">
        <f>COUNTIF('Chem Props'!$B$6:$B$851,'Parameters Summary'!A11)</f>
        <v>1</v>
      </c>
      <c r="D11" s="400">
        <f>COUNTIF('Tox Summary'!$N$3:$N$792, 'Parameters Summary'!A11)</f>
        <v>1</v>
      </c>
      <c r="E11" s="438">
        <v>56.064999999999998</v>
      </c>
      <c r="F11" s="439" t="s">
        <v>1620</v>
      </c>
      <c r="G11" s="440">
        <v>4.9877000000000003E-3</v>
      </c>
      <c r="H11" s="440">
        <v>1.22E-4</v>
      </c>
      <c r="I11" s="441" t="s">
        <v>1620</v>
      </c>
      <c r="J11" s="440">
        <v>274.10000000000002</v>
      </c>
      <c r="K11" s="441" t="s">
        <v>1620</v>
      </c>
      <c r="L11" s="457">
        <v>-87.7</v>
      </c>
      <c r="M11" s="458" t="s">
        <v>1620</v>
      </c>
      <c r="N11" s="459">
        <v>0.84</v>
      </c>
      <c r="O11" s="460" t="s">
        <v>1618</v>
      </c>
      <c r="P11" s="475">
        <v>0.1116862</v>
      </c>
      <c r="Q11" s="475">
        <v>1.22E-5</v>
      </c>
      <c r="R11" s="476" t="s">
        <v>2435</v>
      </c>
      <c r="S11" s="477" t="s">
        <v>1531</v>
      </c>
      <c r="T11" s="478" t="s">
        <v>1413</v>
      </c>
      <c r="U11" s="481">
        <v>1</v>
      </c>
      <c r="V11" s="481" t="s">
        <v>553</v>
      </c>
      <c r="W11" s="497">
        <v>-0.01</v>
      </c>
      <c r="X11" s="498" t="s">
        <v>1620</v>
      </c>
      <c r="Y11" s="488">
        <v>212000</v>
      </c>
      <c r="Z11" s="489" t="s">
        <v>1620</v>
      </c>
      <c r="AA11" s="396">
        <v>7.4799999999999997E-4</v>
      </c>
      <c r="AB11" s="397" t="s">
        <v>553</v>
      </c>
      <c r="AC11" s="369"/>
    </row>
    <row r="12" spans="1:29" ht="20.100000000000001" customHeight="1">
      <c r="A12" s="390" t="s">
        <v>1397</v>
      </c>
      <c r="B12" s="391" t="s">
        <v>641</v>
      </c>
      <c r="C12" s="400">
        <f>COUNTIF('Chem Props'!$B$6:$B$851,'Parameters Summary'!A12)</f>
        <v>1</v>
      </c>
      <c r="D12" s="400">
        <f>COUNTIF('Tox Summary'!$N$3:$N$792, 'Parameters Summary'!A12)</f>
        <v>1</v>
      </c>
      <c r="E12" s="434">
        <v>71.078999999999994</v>
      </c>
      <c r="F12" s="435" t="s">
        <v>1620</v>
      </c>
      <c r="G12" s="436">
        <v>6.9500999999999995E-8</v>
      </c>
      <c r="H12" s="436">
        <v>1.6999999999999999E-9</v>
      </c>
      <c r="I12" s="437" t="s">
        <v>553</v>
      </c>
      <c r="J12" s="436">
        <v>7.0000000000000001E-3</v>
      </c>
      <c r="K12" s="437" t="s">
        <v>1620</v>
      </c>
      <c r="L12" s="453">
        <v>84.5</v>
      </c>
      <c r="M12" s="454" t="s">
        <v>1620</v>
      </c>
      <c r="N12" s="455">
        <v>1.222</v>
      </c>
      <c r="O12" s="456" t="s">
        <v>1619</v>
      </c>
      <c r="P12" s="471">
        <v>0.1104004</v>
      </c>
      <c r="Q12" s="471">
        <v>1.33E-5</v>
      </c>
      <c r="R12" s="472" t="s">
        <v>2435</v>
      </c>
      <c r="S12" s="473" t="s">
        <v>1531</v>
      </c>
      <c r="T12" s="474" t="s">
        <v>1413</v>
      </c>
      <c r="U12" s="484">
        <v>5.694</v>
      </c>
      <c r="V12" s="484" t="s">
        <v>553</v>
      </c>
      <c r="W12" s="495">
        <v>-0.67</v>
      </c>
      <c r="X12" s="496" t="s">
        <v>1620</v>
      </c>
      <c r="Y12" s="486">
        <v>390000</v>
      </c>
      <c r="Z12" s="487" t="s">
        <v>1620</v>
      </c>
      <c r="AA12" s="394">
        <v>2.24E-4</v>
      </c>
      <c r="AB12" s="395" t="s">
        <v>553</v>
      </c>
      <c r="AC12" s="369"/>
    </row>
    <row r="13" spans="1:29" ht="20.100000000000001" customHeight="1">
      <c r="A13" s="390" t="s">
        <v>972</v>
      </c>
      <c r="B13" s="391" t="s">
        <v>642</v>
      </c>
      <c r="C13" s="400">
        <f>COUNTIF('Chem Props'!$B$6:$B$851,'Parameters Summary'!A13)</f>
        <v>1</v>
      </c>
      <c r="D13" s="400">
        <f>COUNTIF('Tox Summary'!$N$3:$N$792, 'Parameters Summary'!A13)</f>
        <v>1</v>
      </c>
      <c r="E13" s="434">
        <v>72.063999999999993</v>
      </c>
      <c r="F13" s="435" t="s">
        <v>1620</v>
      </c>
      <c r="G13" s="436">
        <v>1.5099999999999999E-5</v>
      </c>
      <c r="H13" s="436">
        <v>3.7E-7</v>
      </c>
      <c r="I13" s="437" t="s">
        <v>553</v>
      </c>
      <c r="J13" s="436">
        <v>3.97</v>
      </c>
      <c r="K13" s="437" t="s">
        <v>1620</v>
      </c>
      <c r="L13" s="453">
        <v>12.5</v>
      </c>
      <c r="M13" s="454" t="s">
        <v>1620</v>
      </c>
      <c r="N13" s="455">
        <v>1.0510999999999999</v>
      </c>
      <c r="O13" s="456" t="s">
        <v>1618</v>
      </c>
      <c r="P13" s="471">
        <v>0.1027173</v>
      </c>
      <c r="Q13" s="471">
        <v>1.2E-5</v>
      </c>
      <c r="R13" s="472" t="s">
        <v>2435</v>
      </c>
      <c r="S13" s="473" t="s">
        <v>1531</v>
      </c>
      <c r="T13" s="474" t="s">
        <v>1413</v>
      </c>
      <c r="U13" s="484">
        <v>1.44</v>
      </c>
      <c r="V13" s="484" t="s">
        <v>553</v>
      </c>
      <c r="W13" s="495">
        <v>0.35</v>
      </c>
      <c r="X13" s="496" t="s">
        <v>1620</v>
      </c>
      <c r="Y13" s="486">
        <v>1000000</v>
      </c>
      <c r="Z13" s="487" t="s">
        <v>1620</v>
      </c>
      <c r="AA13" s="394">
        <v>1.0499999999999999E-3</v>
      </c>
      <c r="AB13" s="395" t="s">
        <v>553</v>
      </c>
      <c r="AC13" s="369"/>
    </row>
    <row r="14" spans="1:29" ht="20.100000000000001" customHeight="1" thickBot="1">
      <c r="A14" s="392" t="s">
        <v>1432</v>
      </c>
      <c r="B14" s="393" t="s">
        <v>643</v>
      </c>
      <c r="C14" s="400">
        <f>COUNTIF('Chem Props'!$B$6:$B$851,'Parameters Summary'!A14)</f>
        <v>1</v>
      </c>
      <c r="D14" s="400">
        <f>COUNTIF('Tox Summary'!$N$3:$N$792, 'Parameters Summary'!A14)</f>
        <v>1</v>
      </c>
      <c r="E14" s="438">
        <v>53.064</v>
      </c>
      <c r="F14" s="439" t="s">
        <v>1620</v>
      </c>
      <c r="G14" s="440">
        <v>5.6419E-3</v>
      </c>
      <c r="H14" s="440">
        <v>1.3799999999999999E-4</v>
      </c>
      <c r="I14" s="441" t="s">
        <v>1620</v>
      </c>
      <c r="J14" s="440">
        <v>108.5</v>
      </c>
      <c r="K14" s="441" t="s">
        <v>1620</v>
      </c>
      <c r="L14" s="457">
        <v>-83.5</v>
      </c>
      <c r="M14" s="458" t="s">
        <v>1620</v>
      </c>
      <c r="N14" s="459">
        <v>0.80069999999999997</v>
      </c>
      <c r="O14" s="460" t="s">
        <v>1618</v>
      </c>
      <c r="P14" s="475">
        <v>0.1136836</v>
      </c>
      <c r="Q14" s="475">
        <v>1.2300000000000001E-5</v>
      </c>
      <c r="R14" s="476" t="s">
        <v>2435</v>
      </c>
      <c r="S14" s="477" t="s">
        <v>1531</v>
      </c>
      <c r="T14" s="478" t="s">
        <v>1413</v>
      </c>
      <c r="U14" s="481">
        <v>8.5109999999999992</v>
      </c>
      <c r="V14" s="481" t="s">
        <v>553</v>
      </c>
      <c r="W14" s="497">
        <v>0.25</v>
      </c>
      <c r="X14" s="498" t="s">
        <v>1620</v>
      </c>
      <c r="Y14" s="488">
        <v>74500</v>
      </c>
      <c r="Z14" s="489" t="s">
        <v>1620</v>
      </c>
      <c r="AA14" s="396">
        <v>1.16E-3</v>
      </c>
      <c r="AB14" s="397" t="s">
        <v>553</v>
      </c>
      <c r="AC14" s="369"/>
    </row>
    <row r="15" spans="1:29" ht="20.100000000000001" customHeight="1">
      <c r="A15" s="390" t="s">
        <v>973</v>
      </c>
      <c r="B15" s="391" t="s">
        <v>644</v>
      </c>
      <c r="C15" s="400">
        <f>COUNTIF('Chem Props'!$B$6:$B$851,'Parameters Summary'!A15)</f>
        <v>1</v>
      </c>
      <c r="D15" s="400">
        <f>COUNTIF('Tox Summary'!$N$3:$N$792, 'Parameters Summary'!A15)</f>
        <v>1</v>
      </c>
      <c r="E15" s="434">
        <v>108.14</v>
      </c>
      <c r="F15" s="435" t="s">
        <v>1620</v>
      </c>
      <c r="G15" s="436">
        <v>4.9468999999999998E-8</v>
      </c>
      <c r="H15" s="436">
        <v>1.21E-9</v>
      </c>
      <c r="I15" s="437" t="s">
        <v>553</v>
      </c>
      <c r="J15" s="436">
        <v>6.7900000000000002E-4</v>
      </c>
      <c r="K15" s="437" t="s">
        <v>1620</v>
      </c>
      <c r="L15" s="453">
        <v>1</v>
      </c>
      <c r="M15" s="454" t="s">
        <v>1620</v>
      </c>
      <c r="N15" s="455">
        <v>0.96760000000000002</v>
      </c>
      <c r="O15" s="456" t="s">
        <v>1618</v>
      </c>
      <c r="P15" s="471">
        <v>7.0777499999999993E-2</v>
      </c>
      <c r="Q15" s="471">
        <v>8.9598000000000002E-6</v>
      </c>
      <c r="R15" s="472" t="s">
        <v>2435</v>
      </c>
      <c r="S15" s="473" t="s">
        <v>1531</v>
      </c>
      <c r="T15" s="474" t="s">
        <v>1413</v>
      </c>
      <c r="U15" s="484">
        <v>20.18</v>
      </c>
      <c r="V15" s="484" t="s">
        <v>553</v>
      </c>
      <c r="W15" s="495">
        <v>-0.32</v>
      </c>
      <c r="X15" s="496" t="s">
        <v>1620</v>
      </c>
      <c r="Y15" s="486">
        <v>80000</v>
      </c>
      <c r="Z15" s="487" t="s">
        <v>1620</v>
      </c>
      <c r="AA15" s="394">
        <v>2.3699999999999999E-4</v>
      </c>
      <c r="AB15" s="395" t="s">
        <v>553</v>
      </c>
      <c r="AC15" s="369"/>
    </row>
    <row r="16" spans="1:29" ht="20.100000000000001" customHeight="1">
      <c r="A16" s="390" t="s">
        <v>974</v>
      </c>
      <c r="B16" s="391" t="s">
        <v>645</v>
      </c>
      <c r="C16" s="400">
        <f>COUNTIF('Chem Props'!$B$6:$B$851,'Parameters Summary'!A16)</f>
        <v>1</v>
      </c>
      <c r="D16" s="400">
        <f>COUNTIF('Tox Summary'!$N$3:$N$792, 'Parameters Summary'!A16)</f>
        <v>1</v>
      </c>
      <c r="E16" s="434">
        <v>269.77</v>
      </c>
      <c r="F16" s="435" t="s">
        <v>1620</v>
      </c>
      <c r="G16" s="436">
        <v>3.4014999999999999E-7</v>
      </c>
      <c r="H16" s="436">
        <v>8.3199999999999994E-9</v>
      </c>
      <c r="I16" s="437" t="s">
        <v>1620</v>
      </c>
      <c r="J16" s="436">
        <v>2.1999999999999999E-5</v>
      </c>
      <c r="K16" s="437" t="s">
        <v>1620</v>
      </c>
      <c r="L16" s="453">
        <v>40</v>
      </c>
      <c r="M16" s="454" t="s">
        <v>1620</v>
      </c>
      <c r="N16" s="455">
        <v>1.133</v>
      </c>
      <c r="O16" s="456" t="s">
        <v>1618</v>
      </c>
      <c r="P16" s="471">
        <v>2.26407E-2</v>
      </c>
      <c r="Q16" s="471">
        <v>5.6913E-6</v>
      </c>
      <c r="R16" s="472" t="s">
        <v>2435</v>
      </c>
      <c r="S16" s="473" t="s">
        <v>1531</v>
      </c>
      <c r="T16" s="474" t="s">
        <v>1413</v>
      </c>
      <c r="U16" s="484">
        <v>312.3</v>
      </c>
      <c r="V16" s="484" t="s">
        <v>553</v>
      </c>
      <c r="W16" s="495">
        <v>3.52</v>
      </c>
      <c r="X16" s="496" t="s">
        <v>1620</v>
      </c>
      <c r="Y16" s="486">
        <v>240</v>
      </c>
      <c r="Z16" s="487" t="s">
        <v>1620</v>
      </c>
      <c r="AA16" s="394">
        <v>1.0500000000000001E-2</v>
      </c>
      <c r="AB16" s="395" t="s">
        <v>553</v>
      </c>
      <c r="AC16" s="369"/>
    </row>
    <row r="17" spans="1:29" ht="20.100000000000001" customHeight="1" thickBot="1">
      <c r="A17" s="392" t="s">
        <v>975</v>
      </c>
      <c r="B17" s="393" t="s">
        <v>646</v>
      </c>
      <c r="C17" s="400">
        <f>COUNTIF('Chem Props'!$B$6:$B$851,'Parameters Summary'!A17)</f>
        <v>1</v>
      </c>
      <c r="D17" s="400">
        <f>COUNTIF('Tox Summary'!$N$3:$N$792, 'Parameters Summary'!A17)</f>
        <v>1</v>
      </c>
      <c r="E17" s="438">
        <v>190.27</v>
      </c>
      <c r="F17" s="439" t="s">
        <v>1620</v>
      </c>
      <c r="G17" s="440">
        <v>5.8871999999999999E-8</v>
      </c>
      <c r="H17" s="440">
        <v>1.44E-9</v>
      </c>
      <c r="I17" s="441" t="s">
        <v>553</v>
      </c>
      <c r="J17" s="440">
        <v>3.4700000000000003E-5</v>
      </c>
      <c r="K17" s="441" t="s">
        <v>1620</v>
      </c>
      <c r="L17" s="457">
        <v>99</v>
      </c>
      <c r="M17" s="458" t="s">
        <v>1620</v>
      </c>
      <c r="N17" s="459">
        <v>1.1950000000000001</v>
      </c>
      <c r="O17" s="460" t="s">
        <v>1618</v>
      </c>
      <c r="P17" s="475">
        <v>3.18629E-2</v>
      </c>
      <c r="Q17" s="475">
        <v>7.2455000000000003E-6</v>
      </c>
      <c r="R17" s="476" t="s">
        <v>2435</v>
      </c>
      <c r="S17" s="477" t="s">
        <v>1531</v>
      </c>
      <c r="T17" s="478" t="s">
        <v>1413</v>
      </c>
      <c r="U17" s="481">
        <v>24.64</v>
      </c>
      <c r="V17" s="481" t="s">
        <v>553</v>
      </c>
      <c r="W17" s="497">
        <v>1.1299999999999999</v>
      </c>
      <c r="X17" s="498" t="s">
        <v>1620</v>
      </c>
      <c r="Y17" s="488">
        <v>6030</v>
      </c>
      <c r="Z17" s="489" t="s">
        <v>1620</v>
      </c>
      <c r="AA17" s="396">
        <v>7.5500000000000003E-4</v>
      </c>
      <c r="AB17" s="397" t="s">
        <v>553</v>
      </c>
      <c r="AC17" s="369"/>
    </row>
    <row r="18" spans="1:29" ht="20.100000000000001" customHeight="1">
      <c r="A18" s="390" t="s">
        <v>976</v>
      </c>
      <c r="B18" s="391" t="s">
        <v>647</v>
      </c>
      <c r="C18" s="400">
        <f>COUNTIF('Chem Props'!$B$6:$B$851,'Parameters Summary'!A18)</f>
        <v>1</v>
      </c>
      <c r="D18" s="400">
        <f>COUNTIF('Tox Summary'!$N$3:$N$792, 'Parameters Summary'!A18)</f>
        <v>1</v>
      </c>
      <c r="E18" s="434">
        <v>222.26</v>
      </c>
      <c r="F18" s="435" t="s">
        <v>1620</v>
      </c>
      <c r="G18" s="436">
        <v>1.3778000000000001E-7</v>
      </c>
      <c r="H18" s="436">
        <v>3.3700000000000001E-9</v>
      </c>
      <c r="I18" s="437" t="s">
        <v>553</v>
      </c>
      <c r="J18" s="436">
        <v>9.0000000000000006E-5</v>
      </c>
      <c r="K18" s="437" t="s">
        <v>1620</v>
      </c>
      <c r="L18" s="453">
        <v>140</v>
      </c>
      <c r="M18" s="454" t="s">
        <v>1620</v>
      </c>
      <c r="N18" s="461" t="s">
        <v>1531</v>
      </c>
      <c r="O18" s="462" t="s">
        <v>1413</v>
      </c>
      <c r="P18" s="471">
        <v>5.1782099999999998E-2</v>
      </c>
      <c r="Q18" s="471">
        <v>6.0503000000000003E-6</v>
      </c>
      <c r="R18" s="472" t="s">
        <v>2435</v>
      </c>
      <c r="S18" s="473" t="s">
        <v>1531</v>
      </c>
      <c r="T18" s="474" t="s">
        <v>1413</v>
      </c>
      <c r="U18" s="484">
        <v>10</v>
      </c>
      <c r="V18" s="484" t="s">
        <v>553</v>
      </c>
      <c r="W18" s="495">
        <v>-0.56999999999999995</v>
      </c>
      <c r="X18" s="496" t="s">
        <v>1620</v>
      </c>
      <c r="Y18" s="486">
        <v>10000</v>
      </c>
      <c r="Z18" s="487" t="s">
        <v>1620</v>
      </c>
      <c r="AA18" s="394">
        <v>3.7100000000000001E-5</v>
      </c>
      <c r="AB18" s="395" t="s">
        <v>553</v>
      </c>
      <c r="AC18" s="369"/>
    </row>
    <row r="19" spans="1:29" ht="20.100000000000001" customHeight="1">
      <c r="A19" s="390" t="s">
        <v>1994</v>
      </c>
      <c r="B19" s="391" t="s">
        <v>1995</v>
      </c>
      <c r="C19" s="400">
        <f>COUNTIF('Chem Props'!$B$6:$B$851,'Parameters Summary'!A19)</f>
        <v>1</v>
      </c>
      <c r="D19" s="400">
        <f>COUNTIF('Tox Summary'!$N$3:$N$792, 'Parameters Summary'!A19)</f>
        <v>1</v>
      </c>
      <c r="E19" s="434">
        <v>206.27</v>
      </c>
      <c r="F19" s="435" t="s">
        <v>1620</v>
      </c>
      <c r="G19" s="436">
        <v>3.9616000000000002E-8</v>
      </c>
      <c r="H19" s="436">
        <v>9.6900000000000007E-10</v>
      </c>
      <c r="I19" s="437" t="s">
        <v>553</v>
      </c>
      <c r="J19" s="436">
        <v>1E-4</v>
      </c>
      <c r="K19" s="437" t="s">
        <v>1620</v>
      </c>
      <c r="L19" s="453">
        <v>77.88</v>
      </c>
      <c r="M19" s="454" t="s">
        <v>553</v>
      </c>
      <c r="N19" s="461" t="s">
        <v>1531</v>
      </c>
      <c r="O19" s="462" t="s">
        <v>1413</v>
      </c>
      <c r="P19" s="471">
        <v>5.4424699999999999E-2</v>
      </c>
      <c r="Q19" s="471">
        <v>6.3590999999999998E-6</v>
      </c>
      <c r="R19" s="472" t="s">
        <v>2435</v>
      </c>
      <c r="S19" s="473" t="s">
        <v>1531</v>
      </c>
      <c r="T19" s="474" t="s">
        <v>1413</v>
      </c>
      <c r="U19" s="484">
        <v>10</v>
      </c>
      <c r="V19" s="484" t="s">
        <v>553</v>
      </c>
      <c r="W19" s="495">
        <v>-0.78</v>
      </c>
      <c r="X19" s="496" t="s">
        <v>1620</v>
      </c>
      <c r="Y19" s="486">
        <v>28000</v>
      </c>
      <c r="Z19" s="487" t="s">
        <v>1620</v>
      </c>
      <c r="AA19" s="394">
        <v>3.29E-5</v>
      </c>
      <c r="AB19" s="395" t="s">
        <v>553</v>
      </c>
      <c r="AC19" s="369"/>
    </row>
    <row r="20" spans="1:29" ht="20.100000000000001" customHeight="1" thickBot="1">
      <c r="A20" s="392" t="s">
        <v>425</v>
      </c>
      <c r="B20" s="393" t="s">
        <v>648</v>
      </c>
      <c r="C20" s="400">
        <f>COUNTIF('Chem Props'!$B$6:$B$851,'Parameters Summary'!A20)</f>
        <v>1</v>
      </c>
      <c r="D20" s="400">
        <f>COUNTIF('Tox Summary'!$N$3:$N$792, 'Parameters Summary'!A20)</f>
        <v>1</v>
      </c>
      <c r="E20" s="438">
        <v>364.92</v>
      </c>
      <c r="F20" s="439" t="s">
        <v>1620</v>
      </c>
      <c r="G20" s="440">
        <v>1.7989E-3</v>
      </c>
      <c r="H20" s="440">
        <v>4.3999999999999999E-5</v>
      </c>
      <c r="I20" s="441" t="s">
        <v>1620</v>
      </c>
      <c r="J20" s="440">
        <v>1.2E-4</v>
      </c>
      <c r="K20" s="441" t="s">
        <v>1620</v>
      </c>
      <c r="L20" s="457">
        <v>104</v>
      </c>
      <c r="M20" s="458" t="s">
        <v>1620</v>
      </c>
      <c r="N20" s="459">
        <v>1.6</v>
      </c>
      <c r="O20" s="460" t="s">
        <v>2199</v>
      </c>
      <c r="P20" s="475">
        <v>2.2811600000000001E-2</v>
      </c>
      <c r="Q20" s="475">
        <v>5.8401999999999996E-6</v>
      </c>
      <c r="R20" s="476" t="s">
        <v>2435</v>
      </c>
      <c r="S20" s="477" t="s">
        <v>1531</v>
      </c>
      <c r="T20" s="478" t="s">
        <v>1413</v>
      </c>
      <c r="U20" s="481">
        <v>82020</v>
      </c>
      <c r="V20" s="481" t="s">
        <v>553</v>
      </c>
      <c r="W20" s="497">
        <v>6.5</v>
      </c>
      <c r="X20" s="498" t="s">
        <v>1620</v>
      </c>
      <c r="Y20" s="488">
        <v>1.7000000000000001E-2</v>
      </c>
      <c r="Z20" s="489" t="s">
        <v>1620</v>
      </c>
      <c r="AA20" s="396">
        <v>0.29299999999999998</v>
      </c>
      <c r="AB20" s="397" t="s">
        <v>553</v>
      </c>
      <c r="AC20" s="369"/>
    </row>
    <row r="21" spans="1:29" ht="20.100000000000001" customHeight="1">
      <c r="A21" s="390" t="s">
        <v>977</v>
      </c>
      <c r="B21" s="391" t="s">
        <v>650</v>
      </c>
      <c r="C21" s="400">
        <f>COUNTIF('Chem Props'!$B$6:$B$851,'Parameters Summary'!A21)</f>
        <v>1</v>
      </c>
      <c r="D21" s="400">
        <f>COUNTIF('Tox Summary'!$N$3:$N$792, 'Parameters Summary'!A21)</f>
        <v>1</v>
      </c>
      <c r="E21" s="434">
        <v>58.081000000000003</v>
      </c>
      <c r="F21" s="435" t="s">
        <v>1620</v>
      </c>
      <c r="G21" s="436">
        <v>2.04E-4</v>
      </c>
      <c r="H21" s="436">
        <v>4.9899999999999997E-6</v>
      </c>
      <c r="I21" s="437" t="s">
        <v>1620</v>
      </c>
      <c r="J21" s="436">
        <v>26.1</v>
      </c>
      <c r="K21" s="437" t="s">
        <v>1620</v>
      </c>
      <c r="L21" s="453">
        <v>-129</v>
      </c>
      <c r="M21" s="454" t="s">
        <v>1620</v>
      </c>
      <c r="N21" s="455">
        <v>0.85399999999999998</v>
      </c>
      <c r="O21" s="456" t="s">
        <v>1618</v>
      </c>
      <c r="P21" s="471">
        <v>0.1097535</v>
      </c>
      <c r="Q21" s="471">
        <v>1.2099999999999999E-5</v>
      </c>
      <c r="R21" s="472" t="s">
        <v>2435</v>
      </c>
      <c r="S21" s="473" t="s">
        <v>1531</v>
      </c>
      <c r="T21" s="474" t="s">
        <v>1413</v>
      </c>
      <c r="U21" s="484">
        <v>1.9039999999999999</v>
      </c>
      <c r="V21" s="484" t="s">
        <v>553</v>
      </c>
      <c r="W21" s="495">
        <v>0.17</v>
      </c>
      <c r="X21" s="496" t="s">
        <v>1620</v>
      </c>
      <c r="Y21" s="486">
        <v>1000000</v>
      </c>
      <c r="Z21" s="487" t="s">
        <v>1620</v>
      </c>
      <c r="AA21" s="394">
        <v>9.59E-4</v>
      </c>
      <c r="AB21" s="395" t="s">
        <v>553</v>
      </c>
      <c r="AC21" s="369"/>
    </row>
    <row r="22" spans="1:29" ht="20.100000000000001" customHeight="1">
      <c r="A22" s="390" t="s">
        <v>978</v>
      </c>
      <c r="B22" s="391" t="s">
        <v>651</v>
      </c>
      <c r="C22" s="400">
        <f>COUNTIF('Chem Props'!$B$6:$B$851,'Parameters Summary'!A22)</f>
        <v>1</v>
      </c>
      <c r="D22" s="400">
        <f>COUNTIF('Tox Summary'!$N$3:$N$792, 'Parameters Summary'!A22)</f>
        <v>1</v>
      </c>
      <c r="E22" s="434">
        <v>76.525999999999996</v>
      </c>
      <c r="F22" s="435" t="s">
        <v>1620</v>
      </c>
      <c r="G22" s="436">
        <v>0.4497138</v>
      </c>
      <c r="H22" s="436">
        <v>1.0999999999999999E-2</v>
      </c>
      <c r="I22" s="437" t="s">
        <v>553</v>
      </c>
      <c r="J22" s="436">
        <v>367.9</v>
      </c>
      <c r="K22" s="437" t="s">
        <v>1620</v>
      </c>
      <c r="L22" s="453">
        <v>-134.5</v>
      </c>
      <c r="M22" s="454" t="s">
        <v>1620</v>
      </c>
      <c r="N22" s="455">
        <v>0.93759999999999999</v>
      </c>
      <c r="O22" s="456" t="s">
        <v>1618</v>
      </c>
      <c r="P22" s="471">
        <v>9.3611E-2</v>
      </c>
      <c r="Q22" s="471">
        <v>1.08E-5</v>
      </c>
      <c r="R22" s="472" t="s">
        <v>2435</v>
      </c>
      <c r="S22" s="473" t="s">
        <v>1531</v>
      </c>
      <c r="T22" s="474" t="s">
        <v>1413</v>
      </c>
      <c r="U22" s="484">
        <v>39.6</v>
      </c>
      <c r="V22" s="484" t="s">
        <v>553</v>
      </c>
      <c r="W22" s="495">
        <v>1.93</v>
      </c>
      <c r="X22" s="496" t="s">
        <v>1620</v>
      </c>
      <c r="Y22" s="486">
        <v>3370</v>
      </c>
      <c r="Z22" s="487" t="s">
        <v>1620</v>
      </c>
      <c r="AA22" s="394">
        <v>1.12E-2</v>
      </c>
      <c r="AB22" s="395" t="s">
        <v>553</v>
      </c>
      <c r="AC22" s="369"/>
    </row>
    <row r="23" spans="1:29" ht="20.100000000000001" customHeight="1" thickBot="1">
      <c r="A23" s="392" t="s">
        <v>979</v>
      </c>
      <c r="B23" s="393" t="s">
        <v>652</v>
      </c>
      <c r="C23" s="400">
        <f>COUNTIF('Chem Props'!$B$6:$B$851,'Parameters Summary'!A23)</f>
        <v>1</v>
      </c>
      <c r="D23" s="400">
        <f>COUNTIF('Tox Summary'!$N$3:$N$792, 'Parameters Summary'!A23)</f>
        <v>1</v>
      </c>
      <c r="E23" s="438">
        <v>26.981999999999999</v>
      </c>
      <c r="F23" s="439" t="s">
        <v>1618</v>
      </c>
      <c r="G23" s="442" t="s">
        <v>1531</v>
      </c>
      <c r="H23" s="442" t="s">
        <v>1531</v>
      </c>
      <c r="I23" s="443" t="s">
        <v>1413</v>
      </c>
      <c r="J23" s="440">
        <v>0</v>
      </c>
      <c r="K23" s="441" t="s">
        <v>2204</v>
      </c>
      <c r="L23" s="457">
        <v>660.32</v>
      </c>
      <c r="M23" s="458" t="s">
        <v>1618</v>
      </c>
      <c r="N23" s="459">
        <v>2.7</v>
      </c>
      <c r="O23" s="460" t="s">
        <v>1618</v>
      </c>
      <c r="P23" s="479" t="s">
        <v>1531</v>
      </c>
      <c r="Q23" s="479" t="s">
        <v>1531</v>
      </c>
      <c r="R23" s="480" t="s">
        <v>1413</v>
      </c>
      <c r="S23" s="481">
        <v>1500</v>
      </c>
      <c r="T23" s="481" t="s">
        <v>2155</v>
      </c>
      <c r="U23" s="477" t="s">
        <v>1531</v>
      </c>
      <c r="V23" s="478" t="s">
        <v>1413</v>
      </c>
      <c r="W23" s="499" t="s">
        <v>1531</v>
      </c>
      <c r="X23" s="500" t="s">
        <v>1413</v>
      </c>
      <c r="Y23" s="490" t="s">
        <v>1531</v>
      </c>
      <c r="Z23" s="491" t="s">
        <v>1413</v>
      </c>
      <c r="AA23" s="396">
        <v>1E-3</v>
      </c>
      <c r="AB23" s="397" t="s">
        <v>1668</v>
      </c>
      <c r="AC23" s="369"/>
    </row>
    <row r="24" spans="1:29" ht="20.100000000000001" customHeight="1">
      <c r="A24" s="390" t="s">
        <v>980</v>
      </c>
      <c r="B24" s="391" t="s">
        <v>653</v>
      </c>
      <c r="C24" s="400">
        <f>COUNTIF('Chem Props'!$B$6:$B$851,'Parameters Summary'!A24)</f>
        <v>1</v>
      </c>
      <c r="D24" s="400">
        <f>COUNTIF('Tox Summary'!$N$3:$N$792, 'Parameters Summary'!A24)</f>
        <v>1</v>
      </c>
      <c r="E24" s="434">
        <v>57.954999999999998</v>
      </c>
      <c r="F24" s="435" t="s">
        <v>1620</v>
      </c>
      <c r="G24" s="444" t="s">
        <v>1531</v>
      </c>
      <c r="H24" s="444" t="s">
        <v>1531</v>
      </c>
      <c r="I24" s="445" t="s">
        <v>1413</v>
      </c>
      <c r="J24" s="444" t="s">
        <v>1531</v>
      </c>
      <c r="K24" s="445" t="s">
        <v>1413</v>
      </c>
      <c r="L24" s="453">
        <v>2550</v>
      </c>
      <c r="M24" s="454" t="s">
        <v>1618</v>
      </c>
      <c r="N24" s="455">
        <v>2.4</v>
      </c>
      <c r="O24" s="456" t="s">
        <v>1618</v>
      </c>
      <c r="P24" s="482" t="s">
        <v>1531</v>
      </c>
      <c r="Q24" s="482" t="s">
        <v>1531</v>
      </c>
      <c r="R24" s="483" t="s">
        <v>1413</v>
      </c>
      <c r="S24" s="473" t="s">
        <v>1531</v>
      </c>
      <c r="T24" s="474" t="s">
        <v>1413</v>
      </c>
      <c r="U24" s="473" t="s">
        <v>1531</v>
      </c>
      <c r="V24" s="474" t="s">
        <v>1413</v>
      </c>
      <c r="W24" s="501" t="s">
        <v>1531</v>
      </c>
      <c r="X24" s="502" t="s">
        <v>1413</v>
      </c>
      <c r="Y24" s="492" t="s">
        <v>1531</v>
      </c>
      <c r="Z24" s="493" t="s">
        <v>1413</v>
      </c>
      <c r="AA24" s="394">
        <v>1E-3</v>
      </c>
      <c r="AB24" s="395" t="s">
        <v>1668</v>
      </c>
      <c r="AC24" s="369"/>
    </row>
    <row r="25" spans="1:29" ht="20.100000000000001" customHeight="1">
      <c r="A25" s="390" t="s">
        <v>981</v>
      </c>
      <c r="B25" s="391" t="s">
        <v>655</v>
      </c>
      <c r="C25" s="400">
        <f>COUNTIF('Chem Props'!$B$6:$B$851,'Parameters Summary'!A25)</f>
        <v>1</v>
      </c>
      <c r="D25" s="400">
        <f>COUNTIF('Tox Summary'!$N$3:$N$792, 'Parameters Summary'!A25)</f>
        <v>1</v>
      </c>
      <c r="E25" s="434">
        <v>227.33</v>
      </c>
      <c r="F25" s="435" t="s">
        <v>1620</v>
      </c>
      <c r="G25" s="436">
        <v>9.9345999999999995E-8</v>
      </c>
      <c r="H25" s="436">
        <v>2.4300000000000001E-9</v>
      </c>
      <c r="I25" s="437" t="s">
        <v>553</v>
      </c>
      <c r="J25" s="436">
        <v>2.74E-6</v>
      </c>
      <c r="K25" s="437" t="s">
        <v>1620</v>
      </c>
      <c r="L25" s="453">
        <v>88</v>
      </c>
      <c r="M25" s="454" t="s">
        <v>1620</v>
      </c>
      <c r="N25" s="461" t="s">
        <v>1531</v>
      </c>
      <c r="O25" s="462" t="s">
        <v>1413</v>
      </c>
      <c r="P25" s="471">
        <v>5.10093E-2</v>
      </c>
      <c r="Q25" s="471">
        <v>5.9599999999999997E-6</v>
      </c>
      <c r="R25" s="472" t="s">
        <v>2435</v>
      </c>
      <c r="S25" s="473" t="s">
        <v>1531</v>
      </c>
      <c r="T25" s="474" t="s">
        <v>1413</v>
      </c>
      <c r="U25" s="484">
        <v>428.2</v>
      </c>
      <c r="V25" s="484" t="s">
        <v>553</v>
      </c>
      <c r="W25" s="495">
        <v>2.98</v>
      </c>
      <c r="X25" s="496" t="s">
        <v>1620</v>
      </c>
      <c r="Y25" s="486">
        <v>209</v>
      </c>
      <c r="Z25" s="487" t="s">
        <v>1620</v>
      </c>
      <c r="AA25" s="394">
        <v>7.9399999999999991E-3</v>
      </c>
      <c r="AB25" s="395" t="s">
        <v>553</v>
      </c>
      <c r="AC25" s="369"/>
    </row>
    <row r="26" spans="1:29" ht="20.100000000000001" customHeight="1" thickBot="1">
      <c r="A26" s="392" t="s">
        <v>559</v>
      </c>
      <c r="B26" s="393" t="s">
        <v>656</v>
      </c>
      <c r="C26" s="400">
        <f>COUNTIF('Chem Props'!$B$6:$B$851,'Parameters Summary'!A26)</f>
        <v>1</v>
      </c>
      <c r="D26" s="400">
        <f>COUNTIF('Tox Summary'!$N$3:$N$792, 'Parameters Summary'!A26)</f>
        <v>1</v>
      </c>
      <c r="E26" s="438">
        <v>169.23</v>
      </c>
      <c r="F26" s="439" t="s">
        <v>1620</v>
      </c>
      <c r="G26" s="440">
        <v>5.9688999999999997E-6</v>
      </c>
      <c r="H26" s="440">
        <v>1.4600000000000001E-7</v>
      </c>
      <c r="I26" s="441" t="s">
        <v>1620</v>
      </c>
      <c r="J26" s="440">
        <v>1.17E-4</v>
      </c>
      <c r="K26" s="441" t="s">
        <v>1620</v>
      </c>
      <c r="L26" s="457">
        <v>53.5</v>
      </c>
      <c r="M26" s="458" t="s">
        <v>1620</v>
      </c>
      <c r="N26" s="463" t="s">
        <v>1531</v>
      </c>
      <c r="O26" s="464" t="s">
        <v>1413</v>
      </c>
      <c r="P26" s="475">
        <v>6.2101499999999997E-2</v>
      </c>
      <c r="Q26" s="475">
        <v>7.2560999999999999E-6</v>
      </c>
      <c r="R26" s="476" t="s">
        <v>2435</v>
      </c>
      <c r="S26" s="477" t="s">
        <v>1531</v>
      </c>
      <c r="T26" s="478" t="s">
        <v>1413</v>
      </c>
      <c r="U26" s="481">
        <v>2471</v>
      </c>
      <c r="V26" s="481" t="s">
        <v>553</v>
      </c>
      <c r="W26" s="497">
        <v>2.86</v>
      </c>
      <c r="X26" s="498" t="s">
        <v>1620</v>
      </c>
      <c r="Y26" s="488">
        <v>223.9</v>
      </c>
      <c r="Z26" s="489" t="s">
        <v>1620</v>
      </c>
      <c r="AA26" s="396">
        <v>1.4E-2</v>
      </c>
      <c r="AB26" s="397" t="s">
        <v>553</v>
      </c>
      <c r="AC26" s="369"/>
    </row>
    <row r="27" spans="1:29" ht="20.100000000000001" customHeight="1">
      <c r="A27" s="390" t="s">
        <v>982</v>
      </c>
      <c r="B27" s="391" t="s">
        <v>657</v>
      </c>
      <c r="C27" s="400">
        <f>COUNTIF('Chem Props'!$B$6:$B$851,'Parameters Summary'!A27)</f>
        <v>1</v>
      </c>
      <c r="D27" s="400">
        <f>COUNTIF('Tox Summary'!$N$3:$N$792, 'Parameters Summary'!A27)</f>
        <v>1</v>
      </c>
      <c r="E27" s="434">
        <v>109.13</v>
      </c>
      <c r="F27" s="435" t="s">
        <v>1620</v>
      </c>
      <c r="G27" s="436">
        <v>8.0947999999999998E-9</v>
      </c>
      <c r="H27" s="436">
        <v>1.9799999999999999E-10</v>
      </c>
      <c r="I27" s="437" t="s">
        <v>1620</v>
      </c>
      <c r="J27" s="436">
        <v>9.5499999999999995E-3</v>
      </c>
      <c r="K27" s="437" t="s">
        <v>1620</v>
      </c>
      <c r="L27" s="453">
        <v>123</v>
      </c>
      <c r="M27" s="454" t="s">
        <v>1620</v>
      </c>
      <c r="N27" s="461" t="s">
        <v>1531</v>
      </c>
      <c r="O27" s="462" t="s">
        <v>1413</v>
      </c>
      <c r="P27" s="471">
        <v>8.3200200000000002E-2</v>
      </c>
      <c r="Q27" s="471">
        <v>9.7212999999999996E-6</v>
      </c>
      <c r="R27" s="472" t="s">
        <v>2435</v>
      </c>
      <c r="S27" s="473" t="s">
        <v>1531</v>
      </c>
      <c r="T27" s="474" t="s">
        <v>1413</v>
      </c>
      <c r="U27" s="484">
        <v>90.2</v>
      </c>
      <c r="V27" s="484" t="s">
        <v>553</v>
      </c>
      <c r="W27" s="495">
        <v>0.21</v>
      </c>
      <c r="X27" s="496" t="s">
        <v>1620</v>
      </c>
      <c r="Y27" s="486">
        <v>27000</v>
      </c>
      <c r="Z27" s="487" t="s">
        <v>1620</v>
      </c>
      <c r="AA27" s="394">
        <v>5.2700000000000002E-4</v>
      </c>
      <c r="AB27" s="395" t="s">
        <v>553</v>
      </c>
      <c r="AC27" s="369"/>
    </row>
    <row r="28" spans="1:29" ht="20.100000000000001" customHeight="1">
      <c r="A28" s="390" t="s">
        <v>2443</v>
      </c>
      <c r="B28" s="391" t="s">
        <v>2444</v>
      </c>
      <c r="C28" s="400">
        <f>COUNTIF('Chem Props'!$B$6:$B$851,'Parameters Summary'!A28)</f>
        <v>1</v>
      </c>
      <c r="D28" s="400">
        <f>COUNTIF('Tox Summary'!$N$3:$N$792, 'Parameters Summary'!A28)</f>
        <v>1</v>
      </c>
      <c r="E28" s="434">
        <v>109.13</v>
      </c>
      <c r="F28" s="435" t="s">
        <v>1620</v>
      </c>
      <c r="G28" s="436">
        <v>8.0947999999999998E-9</v>
      </c>
      <c r="H28" s="436">
        <v>1.9799999999999999E-10</v>
      </c>
      <c r="I28" s="437" t="s">
        <v>1620</v>
      </c>
      <c r="J28" s="436">
        <v>9.5499999999999995E-3</v>
      </c>
      <c r="K28" s="437" t="s">
        <v>1620</v>
      </c>
      <c r="L28" s="453">
        <v>174</v>
      </c>
      <c r="M28" s="454" t="s">
        <v>1620</v>
      </c>
      <c r="N28" s="455">
        <v>1.3280000000000001</v>
      </c>
      <c r="O28" s="456" t="s">
        <v>1618</v>
      </c>
      <c r="P28" s="471">
        <v>8.0487600000000006E-2</v>
      </c>
      <c r="Q28" s="471">
        <v>1.08E-5</v>
      </c>
      <c r="R28" s="472" t="s">
        <v>2435</v>
      </c>
      <c r="S28" s="473" t="s">
        <v>1531</v>
      </c>
      <c r="T28" s="474" t="s">
        <v>1413</v>
      </c>
      <c r="U28" s="484">
        <v>92.04</v>
      </c>
      <c r="V28" s="484" t="s">
        <v>553</v>
      </c>
      <c r="W28" s="495">
        <v>0.62</v>
      </c>
      <c r="X28" s="496" t="s">
        <v>1620</v>
      </c>
      <c r="Y28" s="486">
        <v>20000</v>
      </c>
      <c r="Z28" s="487" t="s">
        <v>1620</v>
      </c>
      <c r="AA28" s="394">
        <v>9.8799999999999995E-4</v>
      </c>
      <c r="AB28" s="395" t="s">
        <v>553</v>
      </c>
      <c r="AC28" s="369"/>
    </row>
    <row r="29" spans="1:29" ht="20.100000000000001" customHeight="1" thickBot="1">
      <c r="A29" s="392" t="s">
        <v>983</v>
      </c>
      <c r="B29" s="393" t="s">
        <v>658</v>
      </c>
      <c r="C29" s="400">
        <f>COUNTIF('Chem Props'!$B$6:$B$851,'Parameters Summary'!A29)</f>
        <v>1</v>
      </c>
      <c r="D29" s="400">
        <f>COUNTIF('Tox Summary'!$N$3:$N$792, 'Parameters Summary'!A29)</f>
        <v>1</v>
      </c>
      <c r="E29" s="438">
        <v>109.13</v>
      </c>
      <c r="F29" s="439" t="s">
        <v>1620</v>
      </c>
      <c r="G29" s="440">
        <v>1.4677E-8</v>
      </c>
      <c r="H29" s="440">
        <v>3.59E-10</v>
      </c>
      <c r="I29" s="441" t="s">
        <v>553</v>
      </c>
      <c r="J29" s="440">
        <v>4.0000000000000003E-5</v>
      </c>
      <c r="K29" s="441" t="s">
        <v>553</v>
      </c>
      <c r="L29" s="457">
        <v>187.5</v>
      </c>
      <c r="M29" s="458" t="s">
        <v>1620</v>
      </c>
      <c r="N29" s="463" t="s">
        <v>1531</v>
      </c>
      <c r="O29" s="464" t="s">
        <v>1413</v>
      </c>
      <c r="P29" s="475">
        <v>8.3200200000000002E-2</v>
      </c>
      <c r="Q29" s="475">
        <v>9.7212999999999996E-6</v>
      </c>
      <c r="R29" s="476" t="s">
        <v>2435</v>
      </c>
      <c r="S29" s="477" t="s">
        <v>1531</v>
      </c>
      <c r="T29" s="478" t="s">
        <v>1413</v>
      </c>
      <c r="U29" s="481">
        <v>90.2</v>
      </c>
      <c r="V29" s="481" t="s">
        <v>553</v>
      </c>
      <c r="W29" s="497">
        <v>0.04</v>
      </c>
      <c r="X29" s="498" t="s">
        <v>1620</v>
      </c>
      <c r="Y29" s="488">
        <v>16000</v>
      </c>
      <c r="Z29" s="489" t="s">
        <v>1620</v>
      </c>
      <c r="AA29" s="396">
        <v>4.0700000000000003E-4</v>
      </c>
      <c r="AB29" s="397" t="s">
        <v>553</v>
      </c>
      <c r="AC29" s="369"/>
    </row>
    <row r="30" spans="1:29" ht="20.100000000000001" customHeight="1">
      <c r="A30" s="390" t="s">
        <v>984</v>
      </c>
      <c r="B30" s="391" t="s">
        <v>659</v>
      </c>
      <c r="C30" s="400">
        <f>COUNTIF('Chem Props'!$B$6:$B$851,'Parameters Summary'!A30)</f>
        <v>1</v>
      </c>
      <c r="D30" s="400">
        <f>COUNTIF('Tox Summary'!$N$3:$N$792, 'Parameters Summary'!A30)</f>
        <v>1</v>
      </c>
      <c r="E30" s="434">
        <v>293.42</v>
      </c>
      <c r="F30" s="435" t="s">
        <v>1620</v>
      </c>
      <c r="G30" s="436">
        <v>4.035E-4</v>
      </c>
      <c r="H30" s="436">
        <v>9.8700000000000004E-6</v>
      </c>
      <c r="I30" s="437" t="s">
        <v>1620</v>
      </c>
      <c r="J30" s="436">
        <v>1.9999999999999999E-6</v>
      </c>
      <c r="K30" s="437" t="s">
        <v>1620</v>
      </c>
      <c r="L30" s="453">
        <v>86</v>
      </c>
      <c r="M30" s="454" t="s">
        <v>1620</v>
      </c>
      <c r="N30" s="455">
        <v>1.1279999999999999</v>
      </c>
      <c r="O30" s="456" t="s">
        <v>1618</v>
      </c>
      <c r="P30" s="471">
        <v>2.1614299999999999E-2</v>
      </c>
      <c r="Q30" s="471">
        <v>5.3971000000000004E-6</v>
      </c>
      <c r="R30" s="472" t="s">
        <v>2435</v>
      </c>
      <c r="S30" s="473" t="s">
        <v>1531</v>
      </c>
      <c r="T30" s="474" t="s">
        <v>1413</v>
      </c>
      <c r="U30" s="484">
        <v>257300</v>
      </c>
      <c r="V30" s="484" t="s">
        <v>553</v>
      </c>
      <c r="W30" s="495">
        <v>5.5</v>
      </c>
      <c r="X30" s="496" t="s">
        <v>1620</v>
      </c>
      <c r="Y30" s="486">
        <v>1</v>
      </c>
      <c r="Z30" s="487" t="s">
        <v>1620</v>
      </c>
      <c r="AA30" s="394">
        <v>0.16</v>
      </c>
      <c r="AB30" s="395" t="s">
        <v>553</v>
      </c>
      <c r="AC30" s="369"/>
    </row>
    <row r="31" spans="1:29" ht="20.100000000000001" customHeight="1">
      <c r="A31" s="390" t="s">
        <v>985</v>
      </c>
      <c r="B31" s="391" t="s">
        <v>660</v>
      </c>
      <c r="C31" s="400">
        <f>COUNTIF('Chem Props'!$B$6:$B$851,'Parameters Summary'!A31)</f>
        <v>1</v>
      </c>
      <c r="D31" s="400">
        <f>COUNTIF('Tox Summary'!$N$3:$N$792, 'Parameters Summary'!A31)</f>
        <v>1</v>
      </c>
      <c r="E31" s="434">
        <v>17.030999999999999</v>
      </c>
      <c r="F31" s="435" t="s">
        <v>1620</v>
      </c>
      <c r="G31" s="436">
        <v>6.5819999999999995E-4</v>
      </c>
      <c r="H31" s="436">
        <v>1.6099999999999998E-5</v>
      </c>
      <c r="I31" s="437" t="s">
        <v>1620</v>
      </c>
      <c r="J31" s="436">
        <v>7508</v>
      </c>
      <c r="K31" s="437" t="s">
        <v>1620</v>
      </c>
      <c r="L31" s="453">
        <v>-77.7</v>
      </c>
      <c r="M31" s="454" t="s">
        <v>1620</v>
      </c>
      <c r="N31" s="455">
        <v>0.69599999999999995</v>
      </c>
      <c r="O31" s="456" t="s">
        <v>1618</v>
      </c>
      <c r="P31" s="471">
        <v>0.2305471</v>
      </c>
      <c r="Q31" s="471">
        <v>2.23E-5</v>
      </c>
      <c r="R31" s="472" t="s">
        <v>2435</v>
      </c>
      <c r="S31" s="473" t="s">
        <v>1531</v>
      </c>
      <c r="T31" s="474" t="s">
        <v>1413</v>
      </c>
      <c r="U31" s="473" t="s">
        <v>1531</v>
      </c>
      <c r="V31" s="474" t="s">
        <v>1413</v>
      </c>
      <c r="W31" s="495">
        <v>0.23</v>
      </c>
      <c r="X31" s="496" t="s">
        <v>1620</v>
      </c>
      <c r="Y31" s="486">
        <v>482000</v>
      </c>
      <c r="Z31" s="487" t="s">
        <v>1620</v>
      </c>
      <c r="AA31" s="394">
        <v>1E-3</v>
      </c>
      <c r="AB31" s="395" t="s">
        <v>1668</v>
      </c>
      <c r="AC31" s="369"/>
    </row>
    <row r="32" spans="1:29" ht="20.100000000000001" customHeight="1" thickBot="1">
      <c r="A32" s="392" t="s">
        <v>986</v>
      </c>
      <c r="B32" s="393" t="s">
        <v>662</v>
      </c>
      <c r="C32" s="400">
        <f>COUNTIF('Chem Props'!$B$6:$B$851,'Parameters Summary'!A32)</f>
        <v>1</v>
      </c>
      <c r="D32" s="400">
        <f>COUNTIF('Tox Summary'!$N$3:$N$792, 'Parameters Summary'!A32)</f>
        <v>1</v>
      </c>
      <c r="E32" s="438">
        <v>114.124</v>
      </c>
      <c r="F32" s="439" t="s">
        <v>1618</v>
      </c>
      <c r="G32" s="442" t="s">
        <v>1531</v>
      </c>
      <c r="H32" s="442" t="s">
        <v>1531</v>
      </c>
      <c r="I32" s="443" t="s">
        <v>1413</v>
      </c>
      <c r="J32" s="440">
        <v>0</v>
      </c>
      <c r="K32" s="441" t="s">
        <v>2204</v>
      </c>
      <c r="L32" s="457">
        <v>131</v>
      </c>
      <c r="M32" s="458" t="s">
        <v>1618</v>
      </c>
      <c r="N32" s="459">
        <v>1.77</v>
      </c>
      <c r="O32" s="460" t="s">
        <v>2199</v>
      </c>
      <c r="P32" s="479" t="s">
        <v>1531</v>
      </c>
      <c r="Q32" s="479" t="s">
        <v>1531</v>
      </c>
      <c r="R32" s="480" t="s">
        <v>1413</v>
      </c>
      <c r="S32" s="477" t="s">
        <v>1531</v>
      </c>
      <c r="T32" s="478" t="s">
        <v>1413</v>
      </c>
      <c r="U32" s="477" t="s">
        <v>1531</v>
      </c>
      <c r="V32" s="478" t="s">
        <v>1413</v>
      </c>
      <c r="W32" s="499" t="s">
        <v>1531</v>
      </c>
      <c r="X32" s="500" t="s">
        <v>1413</v>
      </c>
      <c r="Y32" s="488">
        <v>1340000</v>
      </c>
      <c r="Z32" s="489" t="s">
        <v>1621</v>
      </c>
      <c r="AA32" s="396">
        <v>1E-3</v>
      </c>
      <c r="AB32" s="397" t="s">
        <v>1668</v>
      </c>
      <c r="AC32" s="369"/>
    </row>
    <row r="33" spans="1:29" ht="20.100000000000001" customHeight="1">
      <c r="A33" s="390" t="s">
        <v>2040</v>
      </c>
      <c r="B33" s="391" t="s">
        <v>2041</v>
      </c>
      <c r="C33" s="400">
        <f>COUNTIF('Chem Props'!$B$6:$B$851,'Parameters Summary'!A33)</f>
        <v>1</v>
      </c>
      <c r="D33" s="400">
        <f>COUNTIF('Tox Summary'!$N$3:$N$792, 'Parameters Summary'!A33)</f>
        <v>1</v>
      </c>
      <c r="E33" s="434">
        <v>88.150999999999996</v>
      </c>
      <c r="F33" s="435" t="s">
        <v>1620</v>
      </c>
      <c r="G33" s="436">
        <v>5.6420000000000005E-4</v>
      </c>
      <c r="H33" s="436">
        <v>1.38E-5</v>
      </c>
      <c r="I33" s="437" t="s">
        <v>1620</v>
      </c>
      <c r="J33" s="436">
        <v>16.7</v>
      </c>
      <c r="K33" s="437" t="s">
        <v>1620</v>
      </c>
      <c r="L33" s="453">
        <v>-9.1</v>
      </c>
      <c r="M33" s="454" t="s">
        <v>1620</v>
      </c>
      <c r="N33" s="455">
        <v>0.80959999999999999</v>
      </c>
      <c r="O33" s="456" t="s">
        <v>1618</v>
      </c>
      <c r="P33" s="471">
        <v>7.8544699999999995E-2</v>
      </c>
      <c r="Q33" s="471">
        <v>9.1012000000000002E-6</v>
      </c>
      <c r="R33" s="472" t="s">
        <v>2435</v>
      </c>
      <c r="S33" s="473" t="s">
        <v>1531</v>
      </c>
      <c r="T33" s="474" t="s">
        <v>1413</v>
      </c>
      <c r="U33" s="484">
        <v>4.1379999999999999</v>
      </c>
      <c r="V33" s="484" t="s">
        <v>553</v>
      </c>
      <c r="W33" s="495">
        <v>0.89</v>
      </c>
      <c r="X33" s="496" t="s">
        <v>1620</v>
      </c>
      <c r="Y33" s="486">
        <v>110000</v>
      </c>
      <c r="Z33" s="487" t="s">
        <v>1620</v>
      </c>
      <c r="AA33" s="394">
        <v>1.9599999999999999E-3</v>
      </c>
      <c r="AB33" s="395" t="s">
        <v>553</v>
      </c>
      <c r="AC33" s="369"/>
    </row>
    <row r="34" spans="1:29" ht="20.100000000000001" customHeight="1">
      <c r="A34" s="390" t="s">
        <v>1433</v>
      </c>
      <c r="B34" s="391" t="s">
        <v>663</v>
      </c>
      <c r="C34" s="400">
        <f>COUNTIF('Chem Props'!$B$6:$B$851,'Parameters Summary'!A34)</f>
        <v>1</v>
      </c>
      <c r="D34" s="400">
        <f>COUNTIF('Tox Summary'!$N$3:$N$792, 'Parameters Summary'!A34)</f>
        <v>1</v>
      </c>
      <c r="E34" s="434">
        <v>93.129000000000005</v>
      </c>
      <c r="F34" s="435" t="s">
        <v>1620</v>
      </c>
      <c r="G34" s="436">
        <v>8.2600000000000002E-5</v>
      </c>
      <c r="H34" s="436">
        <v>2.0200000000000001E-6</v>
      </c>
      <c r="I34" s="437" t="s">
        <v>1620</v>
      </c>
      <c r="J34" s="436">
        <v>0.66700000000000004</v>
      </c>
      <c r="K34" s="437" t="s">
        <v>1620</v>
      </c>
      <c r="L34" s="453">
        <v>-6.02</v>
      </c>
      <c r="M34" s="454" t="s">
        <v>1620</v>
      </c>
      <c r="N34" s="455">
        <v>1.0217000000000001</v>
      </c>
      <c r="O34" s="456" t="s">
        <v>1618</v>
      </c>
      <c r="P34" s="471">
        <v>8.3012199999999994E-2</v>
      </c>
      <c r="Q34" s="471">
        <v>1.01E-5</v>
      </c>
      <c r="R34" s="472" t="s">
        <v>2435</v>
      </c>
      <c r="S34" s="473" t="s">
        <v>1531</v>
      </c>
      <c r="T34" s="474" t="s">
        <v>1413</v>
      </c>
      <c r="U34" s="484">
        <v>70.23</v>
      </c>
      <c r="V34" s="484" t="s">
        <v>553</v>
      </c>
      <c r="W34" s="495">
        <v>0.9</v>
      </c>
      <c r="X34" s="496" t="s">
        <v>1620</v>
      </c>
      <c r="Y34" s="486">
        <v>36000</v>
      </c>
      <c r="Z34" s="487" t="s">
        <v>1620</v>
      </c>
      <c r="AA34" s="394">
        <v>1.8600000000000001E-3</v>
      </c>
      <c r="AB34" s="395" t="s">
        <v>553</v>
      </c>
      <c r="AC34" s="369"/>
    </row>
    <row r="35" spans="1:29" ht="20.100000000000001" customHeight="1" thickBot="1">
      <c r="A35" s="392" t="s">
        <v>1557</v>
      </c>
      <c r="B35" s="393" t="s">
        <v>1558</v>
      </c>
      <c r="C35" s="400">
        <f>COUNTIF('Chem Props'!$B$6:$B$851,'Parameters Summary'!A35)</f>
        <v>1</v>
      </c>
      <c r="D35" s="400">
        <f>COUNTIF('Tox Summary'!$N$3:$N$792, 'Parameters Summary'!A35)</f>
        <v>1</v>
      </c>
      <c r="E35" s="438">
        <v>208.22</v>
      </c>
      <c r="F35" s="439" t="s">
        <v>1620</v>
      </c>
      <c r="G35" s="440">
        <v>9.6099999999999999E-7</v>
      </c>
      <c r="H35" s="440">
        <v>2.3499999999999999E-8</v>
      </c>
      <c r="I35" s="441" t="s">
        <v>553</v>
      </c>
      <c r="J35" s="440">
        <v>1.1600000000000001E-7</v>
      </c>
      <c r="K35" s="441" t="s">
        <v>1620</v>
      </c>
      <c r="L35" s="457">
        <v>286</v>
      </c>
      <c r="M35" s="458" t="s">
        <v>1620</v>
      </c>
      <c r="N35" s="463" t="s">
        <v>1531</v>
      </c>
      <c r="O35" s="464" t="s">
        <v>1413</v>
      </c>
      <c r="P35" s="475">
        <v>5.4084399999999998E-2</v>
      </c>
      <c r="Q35" s="475">
        <v>6.3192999999999998E-6</v>
      </c>
      <c r="R35" s="476" t="s">
        <v>2435</v>
      </c>
      <c r="S35" s="477" t="s">
        <v>1531</v>
      </c>
      <c r="T35" s="478" t="s">
        <v>1413</v>
      </c>
      <c r="U35" s="481">
        <v>5012</v>
      </c>
      <c r="V35" s="481" t="s">
        <v>553</v>
      </c>
      <c r="W35" s="497">
        <v>3.39</v>
      </c>
      <c r="X35" s="498" t="s">
        <v>1620</v>
      </c>
      <c r="Y35" s="488">
        <v>1.35</v>
      </c>
      <c r="Z35" s="489" t="s">
        <v>1620</v>
      </c>
      <c r="AA35" s="396">
        <v>1.9E-2</v>
      </c>
      <c r="AB35" s="397" t="s">
        <v>553</v>
      </c>
      <c r="AC35" s="369"/>
    </row>
    <row r="36" spans="1:29" ht="20.100000000000001" customHeight="1">
      <c r="A36" s="390" t="s">
        <v>987</v>
      </c>
      <c r="B36" s="391" t="s">
        <v>664</v>
      </c>
      <c r="C36" s="400">
        <f>COUNTIF('Chem Props'!$B$6:$B$851,'Parameters Summary'!A36)</f>
        <v>1</v>
      </c>
      <c r="D36" s="400">
        <f>COUNTIF('Tox Summary'!$N$3:$N$792, 'Parameters Summary'!A36)</f>
        <v>1</v>
      </c>
      <c r="E36" s="434">
        <v>121.76</v>
      </c>
      <c r="F36" s="435" t="s">
        <v>1618</v>
      </c>
      <c r="G36" s="444" t="s">
        <v>1531</v>
      </c>
      <c r="H36" s="444" t="s">
        <v>1531</v>
      </c>
      <c r="I36" s="445" t="s">
        <v>1413</v>
      </c>
      <c r="J36" s="436">
        <v>0</v>
      </c>
      <c r="K36" s="437" t="s">
        <v>2204</v>
      </c>
      <c r="L36" s="453">
        <v>630</v>
      </c>
      <c r="M36" s="454" t="s">
        <v>1620</v>
      </c>
      <c r="N36" s="455">
        <v>6.68</v>
      </c>
      <c r="O36" s="456" t="s">
        <v>1618</v>
      </c>
      <c r="P36" s="482" t="s">
        <v>1531</v>
      </c>
      <c r="Q36" s="482" t="s">
        <v>1531</v>
      </c>
      <c r="R36" s="483" t="s">
        <v>1413</v>
      </c>
      <c r="S36" s="484">
        <v>45</v>
      </c>
      <c r="T36" s="484" t="s">
        <v>557</v>
      </c>
      <c r="U36" s="473" t="s">
        <v>1531</v>
      </c>
      <c r="V36" s="474" t="s">
        <v>1413</v>
      </c>
      <c r="W36" s="501" t="s">
        <v>1531</v>
      </c>
      <c r="X36" s="502" t="s">
        <v>1413</v>
      </c>
      <c r="Y36" s="492" t="s">
        <v>1531</v>
      </c>
      <c r="Z36" s="493" t="s">
        <v>1413</v>
      </c>
      <c r="AA36" s="394">
        <v>1E-3</v>
      </c>
      <c r="AB36" s="395" t="s">
        <v>1668</v>
      </c>
      <c r="AC36" s="369"/>
    </row>
    <row r="37" spans="1:29" ht="20.100000000000001" customHeight="1">
      <c r="A37" s="390" t="s">
        <v>988</v>
      </c>
      <c r="B37" s="391" t="s">
        <v>665</v>
      </c>
      <c r="C37" s="400">
        <f>COUNTIF('Chem Props'!$B$6:$B$851,'Parameters Summary'!A37)</f>
        <v>1</v>
      </c>
      <c r="D37" s="400">
        <f>COUNTIF('Tox Summary'!$N$3:$N$792, 'Parameters Summary'!A37)</f>
        <v>1</v>
      </c>
      <c r="E37" s="434">
        <v>323.517</v>
      </c>
      <c r="F37" s="435" t="s">
        <v>1618</v>
      </c>
      <c r="G37" s="444" t="s">
        <v>1531</v>
      </c>
      <c r="H37" s="444" t="s">
        <v>1531</v>
      </c>
      <c r="I37" s="445" t="s">
        <v>1413</v>
      </c>
      <c r="J37" s="444" t="s">
        <v>1531</v>
      </c>
      <c r="K37" s="445" t="s">
        <v>1413</v>
      </c>
      <c r="L37" s="465" t="s">
        <v>1531</v>
      </c>
      <c r="M37" s="466" t="s">
        <v>1413</v>
      </c>
      <c r="N37" s="455">
        <v>3.78</v>
      </c>
      <c r="O37" s="456" t="s">
        <v>1618</v>
      </c>
      <c r="P37" s="482" t="s">
        <v>1531</v>
      </c>
      <c r="Q37" s="482" t="s">
        <v>1531</v>
      </c>
      <c r="R37" s="483" t="s">
        <v>1413</v>
      </c>
      <c r="S37" s="473" t="s">
        <v>1531</v>
      </c>
      <c r="T37" s="474" t="s">
        <v>1413</v>
      </c>
      <c r="U37" s="473" t="s">
        <v>1531</v>
      </c>
      <c r="V37" s="474" t="s">
        <v>1413</v>
      </c>
      <c r="W37" s="501" t="s">
        <v>1531</v>
      </c>
      <c r="X37" s="502" t="s">
        <v>1413</v>
      </c>
      <c r="Y37" s="486">
        <v>3000</v>
      </c>
      <c r="Z37" s="487" t="s">
        <v>1618</v>
      </c>
      <c r="AA37" s="394">
        <v>1E-3</v>
      </c>
      <c r="AB37" s="395" t="s">
        <v>1668</v>
      </c>
      <c r="AC37" s="369"/>
    </row>
    <row r="38" spans="1:29" ht="20.100000000000001" customHeight="1" thickBot="1">
      <c r="A38" s="392" t="s">
        <v>989</v>
      </c>
      <c r="B38" s="393" t="s">
        <v>666</v>
      </c>
      <c r="C38" s="400">
        <f>COUNTIF('Chem Props'!$B$6:$B$851,'Parameters Summary'!A38)</f>
        <v>1</v>
      </c>
      <c r="D38" s="400">
        <f>COUNTIF('Tox Summary'!$N$3:$N$792, 'Parameters Summary'!A38)</f>
        <v>1</v>
      </c>
      <c r="E38" s="438">
        <v>307.52</v>
      </c>
      <c r="F38" s="439" t="s">
        <v>553</v>
      </c>
      <c r="G38" s="442" t="s">
        <v>1531</v>
      </c>
      <c r="H38" s="442" t="s">
        <v>1531</v>
      </c>
      <c r="I38" s="443" t="s">
        <v>1413</v>
      </c>
      <c r="J38" s="442" t="s">
        <v>1531</v>
      </c>
      <c r="K38" s="443" t="s">
        <v>1413</v>
      </c>
      <c r="L38" s="467" t="s">
        <v>1531</v>
      </c>
      <c r="M38" s="468" t="s">
        <v>1413</v>
      </c>
      <c r="N38" s="459">
        <v>6.64</v>
      </c>
      <c r="O38" s="460" t="s">
        <v>1618</v>
      </c>
      <c r="P38" s="479" t="s">
        <v>1531</v>
      </c>
      <c r="Q38" s="479" t="s">
        <v>1531</v>
      </c>
      <c r="R38" s="480" t="s">
        <v>1413</v>
      </c>
      <c r="S38" s="477" t="s">
        <v>1531</v>
      </c>
      <c r="T38" s="478" t="s">
        <v>1413</v>
      </c>
      <c r="U38" s="477" t="s">
        <v>1531</v>
      </c>
      <c r="V38" s="478" t="s">
        <v>1413</v>
      </c>
      <c r="W38" s="499" t="s">
        <v>1531</v>
      </c>
      <c r="X38" s="500" t="s">
        <v>1413</v>
      </c>
      <c r="Y38" s="490" t="s">
        <v>1531</v>
      </c>
      <c r="Z38" s="491" t="s">
        <v>1413</v>
      </c>
      <c r="AA38" s="396">
        <v>1E-3</v>
      </c>
      <c r="AB38" s="397" t="s">
        <v>1668</v>
      </c>
      <c r="AC38" s="369"/>
    </row>
    <row r="39" spans="1:29" ht="20.100000000000001" customHeight="1">
      <c r="A39" s="390" t="s">
        <v>990</v>
      </c>
      <c r="B39" s="391" t="s">
        <v>667</v>
      </c>
      <c r="C39" s="400">
        <f>COUNTIF('Chem Props'!$B$6:$B$851,'Parameters Summary'!A39)</f>
        <v>1</v>
      </c>
      <c r="D39" s="400">
        <f>COUNTIF('Tox Summary'!$N$3:$N$792, 'Parameters Summary'!A39)</f>
        <v>1</v>
      </c>
      <c r="E39" s="434">
        <v>291.52</v>
      </c>
      <c r="F39" s="435" t="s">
        <v>553</v>
      </c>
      <c r="G39" s="444" t="s">
        <v>1531</v>
      </c>
      <c r="H39" s="444" t="s">
        <v>1531</v>
      </c>
      <c r="I39" s="445" t="s">
        <v>1413</v>
      </c>
      <c r="J39" s="444" t="s">
        <v>1531</v>
      </c>
      <c r="K39" s="445" t="s">
        <v>1413</v>
      </c>
      <c r="L39" s="453">
        <v>570</v>
      </c>
      <c r="M39" s="454" t="s">
        <v>1618</v>
      </c>
      <c r="N39" s="455">
        <v>5.58</v>
      </c>
      <c r="O39" s="456" t="s">
        <v>1618</v>
      </c>
      <c r="P39" s="482" t="s">
        <v>1531</v>
      </c>
      <c r="Q39" s="482" t="s">
        <v>1531</v>
      </c>
      <c r="R39" s="483" t="s">
        <v>1413</v>
      </c>
      <c r="S39" s="473" t="s">
        <v>1531</v>
      </c>
      <c r="T39" s="474" t="s">
        <v>1413</v>
      </c>
      <c r="U39" s="473" t="s">
        <v>1531</v>
      </c>
      <c r="V39" s="474" t="s">
        <v>1413</v>
      </c>
      <c r="W39" s="501" t="s">
        <v>1531</v>
      </c>
      <c r="X39" s="502" t="s">
        <v>1413</v>
      </c>
      <c r="Y39" s="492" t="s">
        <v>1531</v>
      </c>
      <c r="Z39" s="493" t="s">
        <v>1413</v>
      </c>
      <c r="AA39" s="394">
        <v>1E-3</v>
      </c>
      <c r="AB39" s="395" t="s">
        <v>1668</v>
      </c>
      <c r="AC39" s="369"/>
    </row>
    <row r="40" spans="1:29" ht="20.100000000000001" customHeight="1">
      <c r="A40" s="390" t="s">
        <v>991</v>
      </c>
      <c r="B40" s="391" t="s">
        <v>670</v>
      </c>
      <c r="C40" s="400">
        <f>COUNTIF('Chem Props'!$B$6:$B$851,'Parameters Summary'!A40)</f>
        <v>1</v>
      </c>
      <c r="D40" s="400">
        <f>COUNTIF('Tox Summary'!$N$3:$N$792, 'Parameters Summary'!A40)</f>
        <v>1</v>
      </c>
      <c r="E40" s="434">
        <v>74.921999999999997</v>
      </c>
      <c r="F40" s="435" t="s">
        <v>1618</v>
      </c>
      <c r="G40" s="444" t="s">
        <v>1531</v>
      </c>
      <c r="H40" s="444" t="s">
        <v>1531</v>
      </c>
      <c r="I40" s="445" t="s">
        <v>1413</v>
      </c>
      <c r="J40" s="444" t="s">
        <v>1531</v>
      </c>
      <c r="K40" s="445" t="s">
        <v>1413</v>
      </c>
      <c r="L40" s="453">
        <v>270</v>
      </c>
      <c r="M40" s="454" t="s">
        <v>1618</v>
      </c>
      <c r="N40" s="455">
        <v>4.9000000000000004</v>
      </c>
      <c r="O40" s="456" t="s">
        <v>1618</v>
      </c>
      <c r="P40" s="482" t="s">
        <v>1531</v>
      </c>
      <c r="Q40" s="482" t="s">
        <v>1531</v>
      </c>
      <c r="R40" s="483" t="s">
        <v>1413</v>
      </c>
      <c r="S40" s="484">
        <v>29</v>
      </c>
      <c r="T40" s="484" t="s">
        <v>557</v>
      </c>
      <c r="U40" s="473" t="s">
        <v>1531</v>
      </c>
      <c r="V40" s="474" t="s">
        <v>1413</v>
      </c>
      <c r="W40" s="501" t="s">
        <v>1531</v>
      </c>
      <c r="X40" s="502" t="s">
        <v>1413</v>
      </c>
      <c r="Y40" s="492" t="s">
        <v>1531</v>
      </c>
      <c r="Z40" s="493" t="s">
        <v>1413</v>
      </c>
      <c r="AA40" s="394">
        <v>1E-3</v>
      </c>
      <c r="AB40" s="395" t="s">
        <v>1668</v>
      </c>
      <c r="AC40" s="369"/>
    </row>
    <row r="41" spans="1:29" ht="20.100000000000001" customHeight="1" thickBot="1">
      <c r="A41" s="392" t="s">
        <v>992</v>
      </c>
      <c r="B41" s="393" t="s">
        <v>671</v>
      </c>
      <c r="C41" s="400">
        <f>COUNTIF('Chem Props'!$B$6:$B$851,'Parameters Summary'!A41)</f>
        <v>1</v>
      </c>
      <c r="D41" s="400">
        <f>COUNTIF('Tox Summary'!$N$3:$N$792, 'Parameters Summary'!A41)</f>
        <v>1</v>
      </c>
      <c r="E41" s="438">
        <v>77.945999999999998</v>
      </c>
      <c r="F41" s="439" t="s">
        <v>1620</v>
      </c>
      <c r="G41" s="442" t="s">
        <v>1531</v>
      </c>
      <c r="H41" s="442" t="s">
        <v>1531</v>
      </c>
      <c r="I41" s="443" t="s">
        <v>1413</v>
      </c>
      <c r="J41" s="442" t="s">
        <v>1531</v>
      </c>
      <c r="K41" s="443" t="s">
        <v>1413</v>
      </c>
      <c r="L41" s="457">
        <v>-117</v>
      </c>
      <c r="M41" s="458" t="s">
        <v>1620</v>
      </c>
      <c r="N41" s="459">
        <v>3.1859999999999999</v>
      </c>
      <c r="O41" s="460" t="s">
        <v>1618</v>
      </c>
      <c r="P41" s="479" t="s">
        <v>1531</v>
      </c>
      <c r="Q41" s="479" t="s">
        <v>1531</v>
      </c>
      <c r="R41" s="480" t="s">
        <v>1413</v>
      </c>
      <c r="S41" s="477" t="s">
        <v>1531</v>
      </c>
      <c r="T41" s="478" t="s">
        <v>1413</v>
      </c>
      <c r="U41" s="477" t="s">
        <v>1531</v>
      </c>
      <c r="V41" s="478" t="s">
        <v>1413</v>
      </c>
      <c r="W41" s="499" t="s">
        <v>1531</v>
      </c>
      <c r="X41" s="500" t="s">
        <v>1413</v>
      </c>
      <c r="Y41" s="488">
        <v>200000</v>
      </c>
      <c r="Z41" s="489" t="s">
        <v>1621</v>
      </c>
      <c r="AA41" s="396">
        <v>1E-3</v>
      </c>
      <c r="AB41" s="397" t="s">
        <v>1668</v>
      </c>
      <c r="AC41" s="369"/>
    </row>
    <row r="42" spans="1:29" ht="20.100000000000001" customHeight="1">
      <c r="A42" s="390" t="s">
        <v>993</v>
      </c>
      <c r="B42" s="391" t="s">
        <v>673</v>
      </c>
      <c r="C42" s="400">
        <f>COUNTIF('Chem Props'!$B$6:$B$851,'Parameters Summary'!A42)</f>
        <v>1</v>
      </c>
      <c r="D42" s="400">
        <f>COUNTIF('Tox Summary'!$N$3:$N$792, 'Parameters Summary'!A42)</f>
        <v>1</v>
      </c>
      <c r="E42" s="434">
        <v>230.24</v>
      </c>
      <c r="F42" s="435" t="s">
        <v>1620</v>
      </c>
      <c r="G42" s="436">
        <v>6.9909999999999994E-11</v>
      </c>
      <c r="H42" s="436">
        <v>1.71E-12</v>
      </c>
      <c r="I42" s="437" t="s">
        <v>1620</v>
      </c>
      <c r="J42" s="436">
        <v>1.44E-6</v>
      </c>
      <c r="K42" s="437" t="s">
        <v>1620</v>
      </c>
      <c r="L42" s="453">
        <v>144</v>
      </c>
      <c r="M42" s="454" t="s">
        <v>1620</v>
      </c>
      <c r="N42" s="461" t="s">
        <v>1531</v>
      </c>
      <c r="O42" s="462" t="s">
        <v>1413</v>
      </c>
      <c r="P42" s="471">
        <v>5.0578600000000001E-2</v>
      </c>
      <c r="Q42" s="471">
        <v>5.9097000000000004E-6</v>
      </c>
      <c r="R42" s="472" t="s">
        <v>2435</v>
      </c>
      <c r="S42" s="473" t="s">
        <v>1531</v>
      </c>
      <c r="T42" s="474" t="s">
        <v>1413</v>
      </c>
      <c r="U42" s="484">
        <v>27.8</v>
      </c>
      <c r="V42" s="484" t="s">
        <v>553</v>
      </c>
      <c r="W42" s="495">
        <v>-0.27</v>
      </c>
      <c r="X42" s="496" t="s">
        <v>1620</v>
      </c>
      <c r="Y42" s="486">
        <v>5000</v>
      </c>
      <c r="Z42" s="487" t="s">
        <v>1620</v>
      </c>
      <c r="AA42" s="394">
        <v>5.2899999999999998E-5</v>
      </c>
      <c r="AB42" s="395" t="s">
        <v>553</v>
      </c>
      <c r="AC42" s="369"/>
    </row>
    <row r="43" spans="1:29" ht="20.100000000000001" customHeight="1">
      <c r="A43" s="390" t="s">
        <v>994</v>
      </c>
      <c r="B43" s="391" t="s">
        <v>674</v>
      </c>
      <c r="C43" s="400">
        <f>COUNTIF('Chem Props'!$B$6:$B$851,'Parameters Summary'!A43)</f>
        <v>1</v>
      </c>
      <c r="D43" s="400">
        <f>COUNTIF('Tox Summary'!$N$3:$N$792, 'Parameters Summary'!A43)</f>
        <v>1</v>
      </c>
      <c r="E43" s="434">
        <v>215.69</v>
      </c>
      <c r="F43" s="435" t="s">
        <v>1620</v>
      </c>
      <c r="G43" s="436">
        <v>9.6484000000000006E-8</v>
      </c>
      <c r="H43" s="436">
        <v>2.3600000000000001E-9</v>
      </c>
      <c r="I43" s="437" t="s">
        <v>553</v>
      </c>
      <c r="J43" s="436">
        <v>2.8900000000000001E-7</v>
      </c>
      <c r="K43" s="437" t="s">
        <v>1620</v>
      </c>
      <c r="L43" s="453">
        <v>173</v>
      </c>
      <c r="M43" s="454" t="s">
        <v>1620</v>
      </c>
      <c r="N43" s="455">
        <v>1.23</v>
      </c>
      <c r="O43" s="456" t="s">
        <v>2199</v>
      </c>
      <c r="P43" s="471">
        <v>2.6465499999999999E-2</v>
      </c>
      <c r="Q43" s="471">
        <v>6.8378E-6</v>
      </c>
      <c r="R43" s="472" t="s">
        <v>2435</v>
      </c>
      <c r="S43" s="473" t="s">
        <v>1531</v>
      </c>
      <c r="T43" s="474" t="s">
        <v>1413</v>
      </c>
      <c r="U43" s="484">
        <v>224.5</v>
      </c>
      <c r="V43" s="484" t="s">
        <v>553</v>
      </c>
      <c r="W43" s="495">
        <v>2.61</v>
      </c>
      <c r="X43" s="496" t="s">
        <v>1620</v>
      </c>
      <c r="Y43" s="486">
        <v>34.700000000000003</v>
      </c>
      <c r="Z43" s="487" t="s">
        <v>1620</v>
      </c>
      <c r="AA43" s="394">
        <v>5.2399999999999999E-3</v>
      </c>
      <c r="AB43" s="395" t="s">
        <v>553</v>
      </c>
      <c r="AC43" s="369"/>
    </row>
    <row r="44" spans="1:29" ht="20.100000000000001" customHeight="1" thickBot="1">
      <c r="A44" s="392" t="s">
        <v>560</v>
      </c>
      <c r="B44" s="393" t="s">
        <v>675</v>
      </c>
      <c r="C44" s="400">
        <f>COUNTIF('Chem Props'!$B$6:$B$851,'Parameters Summary'!A44)</f>
        <v>1</v>
      </c>
      <c r="D44" s="400">
        <f>COUNTIF('Tox Summary'!$N$3:$N$792, 'Parameters Summary'!A44)</f>
        <v>1</v>
      </c>
      <c r="E44" s="438">
        <v>267.38</v>
      </c>
      <c r="F44" s="439" t="s">
        <v>1620</v>
      </c>
      <c r="G44" s="440">
        <v>1.4880999999999999E-7</v>
      </c>
      <c r="H44" s="440">
        <v>3.6399999999999998E-9</v>
      </c>
      <c r="I44" s="441" t="s">
        <v>1620</v>
      </c>
      <c r="J44" s="440">
        <v>1.2899999999999999E-6</v>
      </c>
      <c r="K44" s="441" t="s">
        <v>1620</v>
      </c>
      <c r="L44" s="457">
        <v>136</v>
      </c>
      <c r="M44" s="458" t="s">
        <v>1620</v>
      </c>
      <c r="N44" s="463" t="s">
        <v>1531</v>
      </c>
      <c r="O44" s="464" t="s">
        <v>1413</v>
      </c>
      <c r="P44" s="475">
        <v>4.5779100000000003E-2</v>
      </c>
      <c r="Q44" s="475">
        <v>5.3488999999999997E-6</v>
      </c>
      <c r="R44" s="476" t="s">
        <v>2435</v>
      </c>
      <c r="S44" s="477" t="s">
        <v>1531</v>
      </c>
      <c r="T44" s="478" t="s">
        <v>1413</v>
      </c>
      <c r="U44" s="481">
        <v>4456</v>
      </c>
      <c r="V44" s="481" t="s">
        <v>553</v>
      </c>
      <c r="W44" s="497">
        <v>2.98</v>
      </c>
      <c r="X44" s="498" t="s">
        <v>1620</v>
      </c>
      <c r="Y44" s="488">
        <v>53.54</v>
      </c>
      <c r="Z44" s="489" t="s">
        <v>1620</v>
      </c>
      <c r="AA44" s="396">
        <v>1.11424E-2</v>
      </c>
      <c r="AB44" s="397" t="s">
        <v>1668</v>
      </c>
      <c r="AC44" s="369"/>
    </row>
    <row r="45" spans="1:29" ht="20.100000000000001" customHeight="1">
      <c r="A45" s="390" t="s">
        <v>995</v>
      </c>
      <c r="B45" s="391" t="s">
        <v>676</v>
      </c>
      <c r="C45" s="400">
        <f>COUNTIF('Chem Props'!$B$6:$B$851,'Parameters Summary'!A45)</f>
        <v>1</v>
      </c>
      <c r="D45" s="400">
        <f>COUNTIF('Tox Summary'!$N$3:$N$792, 'Parameters Summary'!A45)</f>
        <v>1</v>
      </c>
      <c r="E45" s="434">
        <v>875.12</v>
      </c>
      <c r="F45" s="435" t="s">
        <v>1620</v>
      </c>
      <c r="G45" s="436">
        <v>5.3970000000000006E-26</v>
      </c>
      <c r="H45" s="436">
        <v>1.3200000000000001E-27</v>
      </c>
      <c r="I45" s="437" t="s">
        <v>1620</v>
      </c>
      <c r="J45" s="436">
        <v>1.4600000000000001E-30</v>
      </c>
      <c r="K45" s="437" t="s">
        <v>1620</v>
      </c>
      <c r="L45" s="453">
        <v>349.84</v>
      </c>
      <c r="M45" s="454" t="s">
        <v>553</v>
      </c>
      <c r="N45" s="461" t="s">
        <v>1531</v>
      </c>
      <c r="O45" s="462" t="s">
        <v>1413</v>
      </c>
      <c r="P45" s="471">
        <v>2.07671E-2</v>
      </c>
      <c r="Q45" s="471">
        <v>2.4265E-6</v>
      </c>
      <c r="R45" s="472" t="s">
        <v>2435</v>
      </c>
      <c r="S45" s="473" t="s">
        <v>1531</v>
      </c>
      <c r="T45" s="474" t="s">
        <v>1413</v>
      </c>
      <c r="U45" s="484">
        <v>876700</v>
      </c>
      <c r="V45" s="484" t="s">
        <v>553</v>
      </c>
      <c r="W45" s="495">
        <v>4.4800000000000004</v>
      </c>
      <c r="X45" s="496" t="s">
        <v>1620</v>
      </c>
      <c r="Y45" s="486">
        <v>3.5E-4</v>
      </c>
      <c r="Z45" s="487" t="s">
        <v>1620</v>
      </c>
      <c r="AA45" s="394">
        <v>1.8099999999999999E-5</v>
      </c>
      <c r="AB45" s="395" t="s">
        <v>553</v>
      </c>
      <c r="AC45" s="369"/>
    </row>
    <row r="46" spans="1:29" ht="20.100000000000001" customHeight="1">
      <c r="A46" s="390" t="s">
        <v>2299</v>
      </c>
      <c r="B46" s="391" t="s">
        <v>956</v>
      </c>
      <c r="C46" s="400">
        <f>COUNTIF('Chem Props'!$B$6:$B$851,'Parameters Summary'!A46)</f>
        <v>1</v>
      </c>
      <c r="D46" s="400">
        <f>COUNTIF('Tox Summary'!$N$3:$N$792, 'Parameters Summary'!A46)</f>
        <v>1</v>
      </c>
      <c r="E46" s="434">
        <v>317.33</v>
      </c>
      <c r="F46" s="435" t="s">
        <v>1620</v>
      </c>
      <c r="G46" s="436">
        <v>9.7710999999999999E-7</v>
      </c>
      <c r="H46" s="436">
        <v>2.3899999999999999E-8</v>
      </c>
      <c r="I46" s="437" t="s">
        <v>553</v>
      </c>
      <c r="J46" s="436">
        <v>1.5999999999999999E-6</v>
      </c>
      <c r="K46" s="437" t="s">
        <v>1620</v>
      </c>
      <c r="L46" s="453">
        <v>73</v>
      </c>
      <c r="M46" s="454" t="s">
        <v>1620</v>
      </c>
      <c r="N46" s="455">
        <v>1.44</v>
      </c>
      <c r="O46" s="456" t="s">
        <v>1618</v>
      </c>
      <c r="P46" s="471">
        <v>2.3316199999999999E-2</v>
      </c>
      <c r="Q46" s="471">
        <v>5.9618999999999996E-6</v>
      </c>
      <c r="R46" s="472" t="s">
        <v>2435</v>
      </c>
      <c r="S46" s="473" t="s">
        <v>1531</v>
      </c>
      <c r="T46" s="474" t="s">
        <v>1413</v>
      </c>
      <c r="U46" s="484">
        <v>51.93</v>
      </c>
      <c r="V46" s="484" t="s">
        <v>553</v>
      </c>
      <c r="W46" s="495">
        <v>2.75</v>
      </c>
      <c r="X46" s="496" t="s">
        <v>1620</v>
      </c>
      <c r="Y46" s="486">
        <v>20.9</v>
      </c>
      <c r="Z46" s="487" t="s">
        <v>1620</v>
      </c>
      <c r="AA46" s="394">
        <v>1.75E-3</v>
      </c>
      <c r="AB46" s="395" t="s">
        <v>553</v>
      </c>
      <c r="AC46" s="369"/>
    </row>
    <row r="47" spans="1:29" ht="20.100000000000001" customHeight="1" thickBot="1">
      <c r="A47" s="392" t="s">
        <v>1398</v>
      </c>
      <c r="B47" s="393" t="s">
        <v>677</v>
      </c>
      <c r="C47" s="400">
        <f>COUNTIF('Chem Props'!$B$6:$B$851,'Parameters Summary'!A47)</f>
        <v>1</v>
      </c>
      <c r="D47" s="400">
        <f>COUNTIF('Tox Summary'!$N$3:$N$792, 'Parameters Summary'!A47)</f>
        <v>1</v>
      </c>
      <c r="E47" s="438">
        <v>182.23</v>
      </c>
      <c r="F47" s="439" t="s">
        <v>1620</v>
      </c>
      <c r="G47" s="440">
        <v>5.5190000000000003E-4</v>
      </c>
      <c r="H47" s="440">
        <v>1.3499999999999999E-5</v>
      </c>
      <c r="I47" s="441" t="s">
        <v>553</v>
      </c>
      <c r="J47" s="440">
        <v>3.6099999999999999E-4</v>
      </c>
      <c r="K47" s="441" t="s">
        <v>1620</v>
      </c>
      <c r="L47" s="457">
        <v>68</v>
      </c>
      <c r="M47" s="458" t="s">
        <v>1620</v>
      </c>
      <c r="N47" s="459">
        <v>1.2030000000000001</v>
      </c>
      <c r="O47" s="460" t="s">
        <v>1621</v>
      </c>
      <c r="P47" s="475">
        <v>3.5908500000000003E-2</v>
      </c>
      <c r="Q47" s="475">
        <v>7.4654999999999999E-6</v>
      </c>
      <c r="R47" s="476" t="s">
        <v>2435</v>
      </c>
      <c r="S47" s="477" t="s">
        <v>1531</v>
      </c>
      <c r="T47" s="478" t="s">
        <v>1413</v>
      </c>
      <c r="U47" s="481">
        <v>3759</v>
      </c>
      <c r="V47" s="481" t="s">
        <v>553</v>
      </c>
      <c r="W47" s="497">
        <v>3.82</v>
      </c>
      <c r="X47" s="498" t="s">
        <v>1620</v>
      </c>
      <c r="Y47" s="488">
        <v>6.4</v>
      </c>
      <c r="Z47" s="489" t="s">
        <v>1620</v>
      </c>
      <c r="AA47" s="396">
        <v>5.1400000000000001E-2</v>
      </c>
      <c r="AB47" s="397" t="s">
        <v>553</v>
      </c>
      <c r="AC47" s="369"/>
    </row>
    <row r="48" spans="1:29" ht="20.100000000000001" customHeight="1">
      <c r="A48" s="390" t="s">
        <v>2077</v>
      </c>
      <c r="B48" s="391" t="s">
        <v>2078</v>
      </c>
      <c r="C48" s="400">
        <f>COUNTIF('Chem Props'!$B$6:$B$851,'Parameters Summary'!A48)</f>
        <v>1</v>
      </c>
      <c r="D48" s="400">
        <f>COUNTIF('Tox Summary'!$N$3:$N$792, 'Parameters Summary'!A48)</f>
        <v>1</v>
      </c>
      <c r="E48" s="434">
        <v>116.08</v>
      </c>
      <c r="F48" s="435" t="s">
        <v>1620</v>
      </c>
      <c r="G48" s="436">
        <v>3.3519999999999998E-11</v>
      </c>
      <c r="H48" s="436">
        <v>8.2000000000000004E-13</v>
      </c>
      <c r="I48" s="437" t="s">
        <v>553</v>
      </c>
      <c r="J48" s="436">
        <v>1.88E-10</v>
      </c>
      <c r="K48" s="437" t="s">
        <v>1620</v>
      </c>
      <c r="L48" s="453">
        <v>212</v>
      </c>
      <c r="M48" s="454" t="s">
        <v>553</v>
      </c>
      <c r="N48" s="455">
        <v>1.65</v>
      </c>
      <c r="O48" s="456" t="s">
        <v>2085</v>
      </c>
      <c r="P48" s="471">
        <v>8.2955600000000004E-2</v>
      </c>
      <c r="Q48" s="471">
        <v>1.1800000000000001E-5</v>
      </c>
      <c r="R48" s="472" t="s">
        <v>2435</v>
      </c>
      <c r="S48" s="473" t="s">
        <v>1531</v>
      </c>
      <c r="T48" s="474" t="s">
        <v>1413</v>
      </c>
      <c r="U48" s="484">
        <v>69.58</v>
      </c>
      <c r="V48" s="484" t="s">
        <v>553</v>
      </c>
      <c r="W48" s="495">
        <v>-1.7</v>
      </c>
      <c r="X48" s="496" t="s">
        <v>1620</v>
      </c>
      <c r="Y48" s="486">
        <v>35</v>
      </c>
      <c r="Z48" s="487" t="s">
        <v>1620</v>
      </c>
      <c r="AA48" s="394">
        <v>2.5899999999999999E-5</v>
      </c>
      <c r="AB48" s="395" t="s">
        <v>553</v>
      </c>
      <c r="AC48" s="369"/>
    </row>
    <row r="49" spans="1:29" ht="20.100000000000001" customHeight="1">
      <c r="A49" s="390" t="s">
        <v>996</v>
      </c>
      <c r="B49" s="391" t="s">
        <v>678</v>
      </c>
      <c r="C49" s="400">
        <f>COUNTIF('Chem Props'!$B$6:$B$851,'Parameters Summary'!A49)</f>
        <v>1</v>
      </c>
      <c r="D49" s="400">
        <f>COUNTIF('Tox Summary'!$N$3:$N$792, 'Parameters Summary'!A49)</f>
        <v>1</v>
      </c>
      <c r="E49" s="434">
        <v>137.33000000000001</v>
      </c>
      <c r="F49" s="435" t="s">
        <v>553</v>
      </c>
      <c r="G49" s="444" t="s">
        <v>1531</v>
      </c>
      <c r="H49" s="444" t="s">
        <v>1531</v>
      </c>
      <c r="I49" s="445" t="s">
        <v>1413</v>
      </c>
      <c r="J49" s="444" t="s">
        <v>1531</v>
      </c>
      <c r="K49" s="445" t="s">
        <v>1413</v>
      </c>
      <c r="L49" s="453">
        <v>710</v>
      </c>
      <c r="M49" s="454" t="s">
        <v>1620</v>
      </c>
      <c r="N49" s="455">
        <v>3.62</v>
      </c>
      <c r="O49" s="456" t="s">
        <v>1618</v>
      </c>
      <c r="P49" s="482" t="s">
        <v>1531</v>
      </c>
      <c r="Q49" s="482" t="s">
        <v>1531</v>
      </c>
      <c r="R49" s="483" t="s">
        <v>1413</v>
      </c>
      <c r="S49" s="484">
        <v>41</v>
      </c>
      <c r="T49" s="484" t="s">
        <v>557</v>
      </c>
      <c r="U49" s="473" t="s">
        <v>1531</v>
      </c>
      <c r="V49" s="474" t="s">
        <v>1413</v>
      </c>
      <c r="W49" s="501" t="s">
        <v>1531</v>
      </c>
      <c r="X49" s="502" t="s">
        <v>1413</v>
      </c>
      <c r="Y49" s="492" t="s">
        <v>1531</v>
      </c>
      <c r="Z49" s="493" t="s">
        <v>1413</v>
      </c>
      <c r="AA49" s="394">
        <v>1E-3</v>
      </c>
      <c r="AB49" s="395" t="s">
        <v>1668</v>
      </c>
      <c r="AC49" s="369"/>
    </row>
    <row r="50" spans="1:29" ht="20.100000000000001" customHeight="1" thickBot="1">
      <c r="A50" s="392" t="s">
        <v>2300</v>
      </c>
      <c r="B50" s="393" t="s">
        <v>682</v>
      </c>
      <c r="C50" s="400">
        <f>COUNTIF('Chem Props'!$B$6:$B$851,'Parameters Summary'!A50)</f>
        <v>1</v>
      </c>
      <c r="D50" s="400">
        <f>COUNTIF('Tox Summary'!$N$3:$N$792, 'Parameters Summary'!A50)</f>
        <v>1</v>
      </c>
      <c r="E50" s="438">
        <v>335.29</v>
      </c>
      <c r="F50" s="439" t="s">
        <v>1620</v>
      </c>
      <c r="G50" s="440">
        <v>1.1897E-2</v>
      </c>
      <c r="H50" s="440">
        <v>2.9100000000000003E-4</v>
      </c>
      <c r="I50" s="441" t="s">
        <v>553</v>
      </c>
      <c r="J50" s="440">
        <v>6.5300000000000002E-5</v>
      </c>
      <c r="K50" s="441" t="s">
        <v>1620</v>
      </c>
      <c r="L50" s="457">
        <v>66</v>
      </c>
      <c r="M50" s="458" t="s">
        <v>1620</v>
      </c>
      <c r="N50" s="459">
        <v>1.337</v>
      </c>
      <c r="O50" s="460" t="s">
        <v>2205</v>
      </c>
      <c r="P50" s="475">
        <v>2.1872300000000001E-2</v>
      </c>
      <c r="Q50" s="475">
        <v>5.5168999999999996E-6</v>
      </c>
      <c r="R50" s="476" t="s">
        <v>2435</v>
      </c>
      <c r="S50" s="477" t="s">
        <v>1531</v>
      </c>
      <c r="T50" s="478" t="s">
        <v>1413</v>
      </c>
      <c r="U50" s="481">
        <v>16390</v>
      </c>
      <c r="V50" s="481" t="s">
        <v>553</v>
      </c>
      <c r="W50" s="497">
        <v>5.29</v>
      </c>
      <c r="X50" s="498" t="s">
        <v>1620</v>
      </c>
      <c r="Y50" s="488">
        <v>0.1</v>
      </c>
      <c r="Z50" s="489" t="s">
        <v>1620</v>
      </c>
      <c r="AA50" s="396">
        <v>6.7500000000000004E-2</v>
      </c>
      <c r="AB50" s="397" t="s">
        <v>553</v>
      </c>
      <c r="AC50" s="369"/>
    </row>
    <row r="51" spans="1:29" ht="20.100000000000001" customHeight="1">
      <c r="A51" s="390" t="s">
        <v>997</v>
      </c>
      <c r="B51" s="391" t="s">
        <v>683</v>
      </c>
      <c r="C51" s="400">
        <f>COUNTIF('Chem Props'!$B$6:$B$851,'Parameters Summary'!A51)</f>
        <v>1</v>
      </c>
      <c r="D51" s="400">
        <f>COUNTIF('Tox Summary'!$N$3:$N$792, 'Parameters Summary'!A51)</f>
        <v>1</v>
      </c>
      <c r="E51" s="434">
        <v>290.32</v>
      </c>
      <c r="F51" s="435" t="s">
        <v>1620</v>
      </c>
      <c r="G51" s="436">
        <v>2.0160000000000001E-10</v>
      </c>
      <c r="H51" s="436">
        <v>4.9300000000000002E-12</v>
      </c>
      <c r="I51" s="437" t="s">
        <v>1620</v>
      </c>
      <c r="J51" s="436">
        <v>3.7E-9</v>
      </c>
      <c r="K51" s="437" t="s">
        <v>1620</v>
      </c>
      <c r="L51" s="453">
        <v>140</v>
      </c>
      <c r="M51" s="454" t="s">
        <v>553</v>
      </c>
      <c r="N51" s="461" t="s">
        <v>1531</v>
      </c>
      <c r="O51" s="462" t="s">
        <v>1413</v>
      </c>
      <c r="P51" s="471">
        <v>4.3334699999999997E-2</v>
      </c>
      <c r="Q51" s="471">
        <v>5.0633000000000003E-6</v>
      </c>
      <c r="R51" s="472" t="s">
        <v>2435</v>
      </c>
      <c r="S51" s="473" t="s">
        <v>1531</v>
      </c>
      <c r="T51" s="474" t="s">
        <v>1413</v>
      </c>
      <c r="U51" s="484">
        <v>336.2</v>
      </c>
      <c r="V51" s="484" t="s">
        <v>553</v>
      </c>
      <c r="W51" s="495">
        <v>2.12</v>
      </c>
      <c r="X51" s="496" t="s">
        <v>1620</v>
      </c>
      <c r="Y51" s="486">
        <v>3.8</v>
      </c>
      <c r="Z51" s="487" t="s">
        <v>1620</v>
      </c>
      <c r="AA51" s="394">
        <v>9.4300000000000004E-4</v>
      </c>
      <c r="AB51" s="395" t="s">
        <v>553</v>
      </c>
      <c r="AC51" s="369"/>
    </row>
    <row r="52" spans="1:29" ht="20.100000000000001" customHeight="1">
      <c r="A52" s="390" t="s">
        <v>2301</v>
      </c>
      <c r="B52" s="391" t="s">
        <v>45</v>
      </c>
      <c r="C52" s="400">
        <f>COUNTIF('Chem Props'!$B$6:$B$851,'Parameters Summary'!A52)</f>
        <v>1</v>
      </c>
      <c r="D52" s="400">
        <f>COUNTIF('Tox Summary'!$N$3:$N$792, 'Parameters Summary'!A52)</f>
        <v>1</v>
      </c>
      <c r="E52" s="434">
        <v>410.41</v>
      </c>
      <c r="F52" s="435" t="s">
        <v>1620</v>
      </c>
      <c r="G52" s="436">
        <v>1.545E-13</v>
      </c>
      <c r="H52" s="436">
        <v>3.7799999999999999E-15</v>
      </c>
      <c r="I52" s="437" t="s">
        <v>553</v>
      </c>
      <c r="J52" s="436">
        <v>2.0999999999999999E-14</v>
      </c>
      <c r="K52" s="437" t="s">
        <v>1620</v>
      </c>
      <c r="L52" s="453">
        <v>187</v>
      </c>
      <c r="M52" s="454" t="s">
        <v>1620</v>
      </c>
      <c r="N52" s="461" t="s">
        <v>1531</v>
      </c>
      <c r="O52" s="462" t="s">
        <v>1413</v>
      </c>
      <c r="P52" s="471">
        <v>3.4403999999999997E-2</v>
      </c>
      <c r="Q52" s="471">
        <v>4.0198E-6</v>
      </c>
      <c r="R52" s="472" t="s">
        <v>2435</v>
      </c>
      <c r="S52" s="473" t="s">
        <v>1531</v>
      </c>
      <c r="T52" s="474" t="s">
        <v>1413</v>
      </c>
      <c r="U52" s="484">
        <v>27.76</v>
      </c>
      <c r="V52" s="484" t="s">
        <v>553</v>
      </c>
      <c r="W52" s="495">
        <v>2.1800000000000002</v>
      </c>
      <c r="X52" s="496" t="s">
        <v>1620</v>
      </c>
      <c r="Y52" s="486">
        <v>120</v>
      </c>
      <c r="Z52" s="487" t="s">
        <v>1620</v>
      </c>
      <c r="AA52" s="394">
        <v>2.1900000000000001E-4</v>
      </c>
      <c r="AB52" s="395" t="s">
        <v>553</v>
      </c>
      <c r="AC52" s="369"/>
    </row>
    <row r="53" spans="1:29" ht="20.100000000000001" customHeight="1" thickBot="1">
      <c r="A53" s="392" t="s">
        <v>998</v>
      </c>
      <c r="B53" s="393" t="s">
        <v>684</v>
      </c>
      <c r="C53" s="400">
        <f>COUNTIF('Chem Props'!$B$6:$B$851,'Parameters Summary'!A53)</f>
        <v>1</v>
      </c>
      <c r="D53" s="400">
        <f>COUNTIF('Tox Summary'!$N$3:$N$792, 'Parameters Summary'!A53)</f>
        <v>1</v>
      </c>
      <c r="E53" s="438">
        <v>240.28</v>
      </c>
      <c r="F53" s="439" t="s">
        <v>1620</v>
      </c>
      <c r="G53" s="440">
        <v>8.9124999999999999E-8</v>
      </c>
      <c r="H53" s="440">
        <v>2.1799999999999999E-9</v>
      </c>
      <c r="I53" s="441" t="s">
        <v>553</v>
      </c>
      <c r="J53" s="440">
        <v>3.45E-6</v>
      </c>
      <c r="K53" s="441" t="s">
        <v>1620</v>
      </c>
      <c r="L53" s="457">
        <v>138</v>
      </c>
      <c r="M53" s="458" t="s">
        <v>1620</v>
      </c>
      <c r="N53" s="463" t="s">
        <v>1531</v>
      </c>
      <c r="O53" s="464" t="s">
        <v>1413</v>
      </c>
      <c r="P53" s="475">
        <v>4.9159599999999998E-2</v>
      </c>
      <c r="Q53" s="475">
        <v>5.7439000000000002E-6</v>
      </c>
      <c r="R53" s="476" t="s">
        <v>2435</v>
      </c>
      <c r="S53" s="477" t="s">
        <v>1531</v>
      </c>
      <c r="T53" s="478" t="s">
        <v>1413</v>
      </c>
      <c r="U53" s="481">
        <v>10</v>
      </c>
      <c r="V53" s="481" t="s">
        <v>553</v>
      </c>
      <c r="W53" s="497">
        <v>2.34</v>
      </c>
      <c r="X53" s="498" t="s">
        <v>1620</v>
      </c>
      <c r="Y53" s="488">
        <v>500</v>
      </c>
      <c r="Z53" s="489" t="s">
        <v>1620</v>
      </c>
      <c r="AA53" s="396">
        <v>2.5200000000000001E-3</v>
      </c>
      <c r="AB53" s="397" t="s">
        <v>553</v>
      </c>
      <c r="AC53" s="369"/>
    </row>
    <row r="54" spans="1:29" ht="20.100000000000001" customHeight="1">
      <c r="A54" s="390" t="s">
        <v>1415</v>
      </c>
      <c r="B54" s="391" t="s">
        <v>685</v>
      </c>
      <c r="C54" s="400">
        <f>COUNTIF('Chem Props'!$B$6:$B$851,'Parameters Summary'!A54)</f>
        <v>1</v>
      </c>
      <c r="D54" s="400">
        <f>COUNTIF('Tox Summary'!$N$3:$N$792, 'Parameters Summary'!A54)</f>
        <v>1</v>
      </c>
      <c r="E54" s="434">
        <v>106.13</v>
      </c>
      <c r="F54" s="435" t="s">
        <v>1620</v>
      </c>
      <c r="G54" s="436">
        <v>1.0916000000000001E-3</v>
      </c>
      <c r="H54" s="436">
        <v>2.6699999999999998E-5</v>
      </c>
      <c r="I54" s="437" t="s">
        <v>1620</v>
      </c>
      <c r="J54" s="436">
        <v>1.27</v>
      </c>
      <c r="K54" s="437" t="s">
        <v>1620</v>
      </c>
      <c r="L54" s="453">
        <v>-26</v>
      </c>
      <c r="M54" s="454" t="s">
        <v>1620</v>
      </c>
      <c r="N54" s="455">
        <v>1.0401</v>
      </c>
      <c r="O54" s="456" t="s">
        <v>1618</v>
      </c>
      <c r="P54" s="471">
        <v>7.4393000000000001E-2</v>
      </c>
      <c r="Q54" s="471">
        <v>9.4627000000000001E-6</v>
      </c>
      <c r="R54" s="472" t="s">
        <v>2435</v>
      </c>
      <c r="S54" s="473" t="s">
        <v>1531</v>
      </c>
      <c r="T54" s="474" t="s">
        <v>1413</v>
      </c>
      <c r="U54" s="484">
        <v>11.09</v>
      </c>
      <c r="V54" s="484" t="s">
        <v>553</v>
      </c>
      <c r="W54" s="495">
        <v>1.48</v>
      </c>
      <c r="X54" s="496" t="s">
        <v>1620</v>
      </c>
      <c r="Y54" s="486">
        <v>6950</v>
      </c>
      <c r="Z54" s="487" t="s">
        <v>1620</v>
      </c>
      <c r="AA54" s="394">
        <v>3.8300000000000001E-3</v>
      </c>
      <c r="AB54" s="395" t="s">
        <v>553</v>
      </c>
      <c r="AC54" s="369"/>
    </row>
    <row r="55" spans="1:29" ht="20.100000000000001" customHeight="1">
      <c r="A55" s="390" t="s">
        <v>426</v>
      </c>
      <c r="B55" s="391" t="s">
        <v>686</v>
      </c>
      <c r="C55" s="400">
        <f>COUNTIF('Chem Props'!$B$6:$B$851,'Parameters Summary'!A55)</f>
        <v>1</v>
      </c>
      <c r="D55" s="400">
        <f>COUNTIF('Tox Summary'!$N$3:$N$792, 'Parameters Summary'!A55)</f>
        <v>1</v>
      </c>
      <c r="E55" s="434">
        <v>78.114999999999995</v>
      </c>
      <c r="F55" s="435" t="s">
        <v>1620</v>
      </c>
      <c r="G55" s="436">
        <v>0.22690109999999999</v>
      </c>
      <c r="H55" s="436">
        <v>5.5500000000000002E-3</v>
      </c>
      <c r="I55" s="437" t="s">
        <v>1620</v>
      </c>
      <c r="J55" s="436">
        <v>94.8</v>
      </c>
      <c r="K55" s="437" t="s">
        <v>1620</v>
      </c>
      <c r="L55" s="453">
        <v>5.5</v>
      </c>
      <c r="M55" s="454" t="s">
        <v>1620</v>
      </c>
      <c r="N55" s="455">
        <v>0.87649999999999995</v>
      </c>
      <c r="O55" s="456" t="s">
        <v>1618</v>
      </c>
      <c r="P55" s="471">
        <v>8.9534000000000002E-2</v>
      </c>
      <c r="Q55" s="471">
        <v>1.03E-5</v>
      </c>
      <c r="R55" s="472" t="s">
        <v>2435</v>
      </c>
      <c r="S55" s="473" t="s">
        <v>1531</v>
      </c>
      <c r="T55" s="474" t="s">
        <v>1413</v>
      </c>
      <c r="U55" s="484">
        <v>145.80000000000001</v>
      </c>
      <c r="V55" s="484" t="s">
        <v>553</v>
      </c>
      <c r="W55" s="495">
        <v>2.13</v>
      </c>
      <c r="X55" s="496" t="s">
        <v>1620</v>
      </c>
      <c r="Y55" s="486">
        <v>1790</v>
      </c>
      <c r="Z55" s="487" t="s">
        <v>1620</v>
      </c>
      <c r="AA55" s="394">
        <v>1.49E-2</v>
      </c>
      <c r="AB55" s="395" t="s">
        <v>553</v>
      </c>
      <c r="AC55" s="369"/>
    </row>
    <row r="56" spans="1:29" ht="20.100000000000001" customHeight="1" thickBot="1">
      <c r="A56" s="392" t="s">
        <v>1559</v>
      </c>
      <c r="B56" s="393" t="s">
        <v>1560</v>
      </c>
      <c r="C56" s="400">
        <f>COUNTIF('Chem Props'!$B$6:$B$851,'Parameters Summary'!A56)</f>
        <v>1</v>
      </c>
      <c r="D56" s="400">
        <f>COUNTIF('Tox Summary'!$N$3:$N$792, 'Parameters Summary'!A56)</f>
        <v>1</v>
      </c>
      <c r="E56" s="438">
        <v>220.24</v>
      </c>
      <c r="F56" s="439" t="s">
        <v>553</v>
      </c>
      <c r="G56" s="440">
        <v>8.8600000000000003E-22</v>
      </c>
      <c r="H56" s="440">
        <v>2.1700000000000001E-23</v>
      </c>
      <c r="I56" s="441" t="s">
        <v>553</v>
      </c>
      <c r="J56" s="440">
        <v>2.9000000000000003E-14</v>
      </c>
      <c r="K56" s="441" t="s">
        <v>553</v>
      </c>
      <c r="L56" s="457">
        <v>235.86</v>
      </c>
      <c r="M56" s="458" t="s">
        <v>553</v>
      </c>
      <c r="N56" s="463" t="s">
        <v>1531</v>
      </c>
      <c r="O56" s="464" t="s">
        <v>1413</v>
      </c>
      <c r="P56" s="475">
        <v>5.2098199999999997E-2</v>
      </c>
      <c r="Q56" s="475">
        <v>6.0873000000000001E-6</v>
      </c>
      <c r="R56" s="476" t="s">
        <v>2435</v>
      </c>
      <c r="S56" s="477" t="s">
        <v>1531</v>
      </c>
      <c r="T56" s="478" t="s">
        <v>1413</v>
      </c>
      <c r="U56" s="481">
        <v>38.380000000000003</v>
      </c>
      <c r="V56" s="481" t="s">
        <v>553</v>
      </c>
      <c r="W56" s="497">
        <v>-3.7267000000000001</v>
      </c>
      <c r="X56" s="498" t="s">
        <v>553</v>
      </c>
      <c r="Y56" s="488">
        <v>1000000</v>
      </c>
      <c r="Z56" s="489" t="s">
        <v>553</v>
      </c>
      <c r="AA56" s="396">
        <v>3.0400000000000002E-7</v>
      </c>
      <c r="AB56" s="397" t="s">
        <v>553</v>
      </c>
      <c r="AC56" s="369"/>
    </row>
    <row r="57" spans="1:29" ht="20.100000000000001" customHeight="1">
      <c r="A57" s="390" t="s">
        <v>999</v>
      </c>
      <c r="B57" s="391" t="s">
        <v>687</v>
      </c>
      <c r="C57" s="400">
        <f>COUNTIF('Chem Props'!$B$6:$B$851,'Parameters Summary'!A57)</f>
        <v>1</v>
      </c>
      <c r="D57" s="400">
        <f>COUNTIF('Tox Summary'!$N$3:$N$792, 'Parameters Summary'!A57)</f>
        <v>1</v>
      </c>
      <c r="E57" s="434">
        <v>110.18</v>
      </c>
      <c r="F57" s="435" t="s">
        <v>1620</v>
      </c>
      <c r="G57" s="436">
        <v>1.3695799999999999E-2</v>
      </c>
      <c r="H57" s="436">
        <v>3.3500000000000001E-4</v>
      </c>
      <c r="I57" s="437" t="s">
        <v>553</v>
      </c>
      <c r="J57" s="436">
        <v>1.93</v>
      </c>
      <c r="K57" s="437" t="s">
        <v>1620</v>
      </c>
      <c r="L57" s="453">
        <v>-14.9</v>
      </c>
      <c r="M57" s="454" t="s">
        <v>1620</v>
      </c>
      <c r="N57" s="455">
        <v>1.0774999999999999</v>
      </c>
      <c r="O57" s="456" t="s">
        <v>1618</v>
      </c>
      <c r="P57" s="471">
        <v>7.2856400000000002E-2</v>
      </c>
      <c r="Q57" s="471">
        <v>9.4506000000000006E-6</v>
      </c>
      <c r="R57" s="472" t="s">
        <v>2435</v>
      </c>
      <c r="S57" s="473" t="s">
        <v>1531</v>
      </c>
      <c r="T57" s="474" t="s">
        <v>1413</v>
      </c>
      <c r="U57" s="484">
        <v>233.9</v>
      </c>
      <c r="V57" s="484" t="s">
        <v>553</v>
      </c>
      <c r="W57" s="495">
        <v>2.52</v>
      </c>
      <c r="X57" s="496" t="s">
        <v>1620</v>
      </c>
      <c r="Y57" s="486">
        <v>835</v>
      </c>
      <c r="Z57" s="487" t="s">
        <v>1620</v>
      </c>
      <c r="AA57" s="394">
        <v>1.78E-2</v>
      </c>
      <c r="AB57" s="395" t="s">
        <v>553</v>
      </c>
      <c r="AC57" s="369"/>
    </row>
    <row r="58" spans="1:29" ht="20.100000000000001" customHeight="1">
      <c r="A58" s="390" t="s">
        <v>1399</v>
      </c>
      <c r="B58" s="391" t="s">
        <v>688</v>
      </c>
      <c r="C58" s="400">
        <f>COUNTIF('Chem Props'!$B$6:$B$851,'Parameters Summary'!A58)</f>
        <v>1</v>
      </c>
      <c r="D58" s="400">
        <f>COUNTIF('Tox Summary'!$N$3:$N$792, 'Parameters Summary'!A58)</f>
        <v>1</v>
      </c>
      <c r="E58" s="434">
        <v>184.24</v>
      </c>
      <c r="F58" s="435" t="s">
        <v>1620</v>
      </c>
      <c r="G58" s="436">
        <v>2.1136999999999998E-9</v>
      </c>
      <c r="H58" s="436">
        <v>5.17E-11</v>
      </c>
      <c r="I58" s="437" t="s">
        <v>1620</v>
      </c>
      <c r="J58" s="436">
        <v>8.9800000000000002E-7</v>
      </c>
      <c r="K58" s="437" t="s">
        <v>1620</v>
      </c>
      <c r="L58" s="453">
        <v>120</v>
      </c>
      <c r="M58" s="454" t="s">
        <v>1620</v>
      </c>
      <c r="N58" s="455">
        <v>1.2190000000000001</v>
      </c>
      <c r="O58" s="456" t="s">
        <v>1669</v>
      </c>
      <c r="P58" s="471">
        <v>3.51273E-2</v>
      </c>
      <c r="Q58" s="471">
        <v>7.4756000000000001E-6</v>
      </c>
      <c r="R58" s="472" t="s">
        <v>2435</v>
      </c>
      <c r="S58" s="473" t="s">
        <v>1531</v>
      </c>
      <c r="T58" s="474" t="s">
        <v>1413</v>
      </c>
      <c r="U58" s="484">
        <v>1190</v>
      </c>
      <c r="V58" s="484" t="s">
        <v>553</v>
      </c>
      <c r="W58" s="495">
        <v>1.34</v>
      </c>
      <c r="X58" s="496" t="s">
        <v>1620</v>
      </c>
      <c r="Y58" s="486">
        <v>322</v>
      </c>
      <c r="Z58" s="487" t="s">
        <v>1620</v>
      </c>
      <c r="AA58" s="394">
        <v>1.1299999999999999E-3</v>
      </c>
      <c r="AB58" s="395" t="s">
        <v>553</v>
      </c>
      <c r="AC58" s="369"/>
    </row>
    <row r="59" spans="1:29" ht="20.100000000000001" customHeight="1" thickBot="1">
      <c r="A59" s="392" t="s">
        <v>427</v>
      </c>
      <c r="B59" s="393" t="s">
        <v>689</v>
      </c>
      <c r="C59" s="400">
        <f>COUNTIF('Chem Props'!$B$6:$B$851,'Parameters Summary'!A59)</f>
        <v>1</v>
      </c>
      <c r="D59" s="400">
        <f>COUNTIF('Tox Summary'!$N$3:$N$792, 'Parameters Summary'!A59)</f>
        <v>1</v>
      </c>
      <c r="E59" s="438">
        <v>122.12</v>
      </c>
      <c r="F59" s="439" t="s">
        <v>1620</v>
      </c>
      <c r="G59" s="440">
        <v>1.5575999999999999E-6</v>
      </c>
      <c r="H59" s="440">
        <v>3.8099999999999997E-8</v>
      </c>
      <c r="I59" s="441" t="s">
        <v>553</v>
      </c>
      <c r="J59" s="440">
        <v>6.9999999999999999E-4</v>
      </c>
      <c r="K59" s="441" t="s">
        <v>1620</v>
      </c>
      <c r="L59" s="457">
        <v>122.4</v>
      </c>
      <c r="M59" s="458" t="s">
        <v>1620</v>
      </c>
      <c r="N59" s="459">
        <v>1.2659</v>
      </c>
      <c r="O59" s="460" t="s">
        <v>1618</v>
      </c>
      <c r="P59" s="475">
        <v>7.0193900000000004E-2</v>
      </c>
      <c r="Q59" s="475">
        <v>9.7867999999999992E-6</v>
      </c>
      <c r="R59" s="476" t="s">
        <v>2435</v>
      </c>
      <c r="S59" s="477" t="s">
        <v>1531</v>
      </c>
      <c r="T59" s="478" t="s">
        <v>1413</v>
      </c>
      <c r="U59" s="481">
        <v>0.6</v>
      </c>
      <c r="V59" s="481" t="s">
        <v>557</v>
      </c>
      <c r="W59" s="497">
        <v>1.87</v>
      </c>
      <c r="X59" s="498" t="s">
        <v>1620</v>
      </c>
      <c r="Y59" s="488">
        <v>3400</v>
      </c>
      <c r="Z59" s="489" t="s">
        <v>1620</v>
      </c>
      <c r="AA59" s="396">
        <v>5.6499999999999996E-3</v>
      </c>
      <c r="AB59" s="397" t="s">
        <v>553</v>
      </c>
      <c r="AC59" s="369"/>
    </row>
    <row r="60" spans="1:29" ht="20.100000000000001" customHeight="1">
      <c r="A60" s="390" t="s">
        <v>1000</v>
      </c>
      <c r="B60" s="391" t="s">
        <v>690</v>
      </c>
      <c r="C60" s="400">
        <f>COUNTIF('Chem Props'!$B$6:$B$851,'Parameters Summary'!A60)</f>
        <v>1</v>
      </c>
      <c r="D60" s="400">
        <f>COUNTIF('Tox Summary'!$N$3:$N$792, 'Parameters Summary'!A60)</f>
        <v>1</v>
      </c>
      <c r="E60" s="434">
        <v>195.48</v>
      </c>
      <c r="F60" s="435" t="s">
        <v>1620</v>
      </c>
      <c r="G60" s="436">
        <v>1.0629599999999999E-2</v>
      </c>
      <c r="H60" s="436">
        <v>2.5999999999999998E-4</v>
      </c>
      <c r="I60" s="437" t="s">
        <v>1620</v>
      </c>
      <c r="J60" s="436">
        <v>0.41399999999999998</v>
      </c>
      <c r="K60" s="437" t="s">
        <v>553</v>
      </c>
      <c r="L60" s="453">
        <v>-5</v>
      </c>
      <c r="M60" s="454" t="s">
        <v>1620</v>
      </c>
      <c r="N60" s="455">
        <v>1.3723000000000001</v>
      </c>
      <c r="O60" s="456" t="s">
        <v>1618</v>
      </c>
      <c r="P60" s="471">
        <v>3.1255499999999999E-2</v>
      </c>
      <c r="Q60" s="471">
        <v>7.746E-6</v>
      </c>
      <c r="R60" s="472" t="s">
        <v>2435</v>
      </c>
      <c r="S60" s="473" t="s">
        <v>1531</v>
      </c>
      <c r="T60" s="474" t="s">
        <v>1413</v>
      </c>
      <c r="U60" s="484">
        <v>1001</v>
      </c>
      <c r="V60" s="484" t="s">
        <v>553</v>
      </c>
      <c r="W60" s="495">
        <v>3.9</v>
      </c>
      <c r="X60" s="496" t="s">
        <v>1620</v>
      </c>
      <c r="Y60" s="486">
        <v>53</v>
      </c>
      <c r="Z60" s="487" t="s">
        <v>1620</v>
      </c>
      <c r="AA60" s="394">
        <v>4.87E-2</v>
      </c>
      <c r="AB60" s="395" t="s">
        <v>553</v>
      </c>
      <c r="AC60" s="369"/>
    </row>
    <row r="61" spans="1:29" ht="20.100000000000001" customHeight="1">
      <c r="A61" s="390" t="s">
        <v>1001</v>
      </c>
      <c r="B61" s="391" t="s">
        <v>691</v>
      </c>
      <c r="C61" s="400">
        <f>COUNTIF('Chem Props'!$B$6:$B$851,'Parameters Summary'!A61)</f>
        <v>1</v>
      </c>
      <c r="D61" s="400">
        <f>COUNTIF('Tox Summary'!$N$3:$N$792, 'Parameters Summary'!A61)</f>
        <v>1</v>
      </c>
      <c r="E61" s="434">
        <v>108.14</v>
      </c>
      <c r="F61" s="435" t="s">
        <v>1620</v>
      </c>
      <c r="G61" s="436">
        <v>1.38E-5</v>
      </c>
      <c r="H61" s="436">
        <v>3.3700000000000001E-7</v>
      </c>
      <c r="I61" s="437" t="s">
        <v>1620</v>
      </c>
      <c r="J61" s="436">
        <v>9.4E-2</v>
      </c>
      <c r="K61" s="437" t="s">
        <v>1620</v>
      </c>
      <c r="L61" s="453">
        <v>-15.2</v>
      </c>
      <c r="M61" s="454" t="s">
        <v>1620</v>
      </c>
      <c r="N61" s="455">
        <v>1.0419</v>
      </c>
      <c r="O61" s="456" t="s">
        <v>1618</v>
      </c>
      <c r="P61" s="471">
        <v>7.3118600000000006E-2</v>
      </c>
      <c r="Q61" s="471">
        <v>9.3664999999999992E-6</v>
      </c>
      <c r="R61" s="472" t="s">
        <v>2435</v>
      </c>
      <c r="S61" s="473" t="s">
        <v>1531</v>
      </c>
      <c r="T61" s="474" t="s">
        <v>1413</v>
      </c>
      <c r="U61" s="484">
        <v>21.46</v>
      </c>
      <c r="V61" s="484" t="s">
        <v>553</v>
      </c>
      <c r="W61" s="495">
        <v>1.1000000000000001</v>
      </c>
      <c r="X61" s="496" t="s">
        <v>1620</v>
      </c>
      <c r="Y61" s="486">
        <v>42900</v>
      </c>
      <c r="Z61" s="487" t="s">
        <v>1620</v>
      </c>
      <c r="AA61" s="394">
        <v>2.0899999999999998E-3</v>
      </c>
      <c r="AB61" s="395" t="s">
        <v>553</v>
      </c>
      <c r="AC61" s="369"/>
    </row>
    <row r="62" spans="1:29" ht="20.100000000000001" customHeight="1" thickBot="1">
      <c r="A62" s="392" t="s">
        <v>1002</v>
      </c>
      <c r="B62" s="393" t="s">
        <v>692</v>
      </c>
      <c r="C62" s="400">
        <f>COUNTIF('Chem Props'!$B$6:$B$851,'Parameters Summary'!A62)</f>
        <v>1</v>
      </c>
      <c r="D62" s="400">
        <f>COUNTIF('Tox Summary'!$N$3:$N$792, 'Parameters Summary'!A62)</f>
        <v>1</v>
      </c>
      <c r="E62" s="438">
        <v>126.59</v>
      </c>
      <c r="F62" s="439" t="s">
        <v>1620</v>
      </c>
      <c r="G62" s="440">
        <v>1.6843799999999999E-2</v>
      </c>
      <c r="H62" s="440">
        <v>4.1199999999999999E-4</v>
      </c>
      <c r="I62" s="441" t="s">
        <v>553</v>
      </c>
      <c r="J62" s="440">
        <v>1.23</v>
      </c>
      <c r="K62" s="441" t="s">
        <v>1620</v>
      </c>
      <c r="L62" s="457">
        <v>-45</v>
      </c>
      <c r="M62" s="458" t="s">
        <v>1620</v>
      </c>
      <c r="N62" s="459">
        <v>1.1004</v>
      </c>
      <c r="O62" s="460" t="s">
        <v>1618</v>
      </c>
      <c r="P62" s="475">
        <v>6.3361799999999996E-2</v>
      </c>
      <c r="Q62" s="475">
        <v>8.8056999999999994E-6</v>
      </c>
      <c r="R62" s="476" t="s">
        <v>2435</v>
      </c>
      <c r="S62" s="477" t="s">
        <v>1531</v>
      </c>
      <c r="T62" s="478" t="s">
        <v>1413</v>
      </c>
      <c r="U62" s="481">
        <v>446.1</v>
      </c>
      <c r="V62" s="481" t="s">
        <v>553</v>
      </c>
      <c r="W62" s="497">
        <v>2.2999999999999998</v>
      </c>
      <c r="X62" s="498" t="s">
        <v>1620</v>
      </c>
      <c r="Y62" s="488">
        <v>525</v>
      </c>
      <c r="Z62" s="489" t="s">
        <v>1620</v>
      </c>
      <c r="AA62" s="396">
        <v>1.03E-2</v>
      </c>
      <c r="AB62" s="397" t="s">
        <v>553</v>
      </c>
      <c r="AC62" s="369"/>
    </row>
    <row r="63" spans="1:29" ht="20.100000000000001" customHeight="1">
      <c r="A63" s="390" t="s">
        <v>1003</v>
      </c>
      <c r="B63" s="391" t="s">
        <v>693</v>
      </c>
      <c r="C63" s="400">
        <f>COUNTIF('Chem Props'!$B$6:$B$851,'Parameters Summary'!A63)</f>
        <v>1</v>
      </c>
      <c r="D63" s="400">
        <f>COUNTIF('Tox Summary'!$N$3:$N$792, 'Parameters Summary'!A63)</f>
        <v>1</v>
      </c>
      <c r="E63" s="434">
        <v>9.01</v>
      </c>
      <c r="F63" s="435" t="s">
        <v>553</v>
      </c>
      <c r="G63" s="444" t="s">
        <v>1531</v>
      </c>
      <c r="H63" s="444" t="s">
        <v>1531</v>
      </c>
      <c r="I63" s="445" t="s">
        <v>1413</v>
      </c>
      <c r="J63" s="436">
        <v>0</v>
      </c>
      <c r="K63" s="437" t="s">
        <v>2204</v>
      </c>
      <c r="L63" s="453">
        <v>986</v>
      </c>
      <c r="M63" s="454" t="s">
        <v>1620</v>
      </c>
      <c r="N63" s="455">
        <v>1.85</v>
      </c>
      <c r="O63" s="456" t="s">
        <v>1618</v>
      </c>
      <c r="P63" s="482" t="s">
        <v>1531</v>
      </c>
      <c r="Q63" s="482" t="s">
        <v>1531</v>
      </c>
      <c r="R63" s="483" t="s">
        <v>1413</v>
      </c>
      <c r="S63" s="484">
        <v>790</v>
      </c>
      <c r="T63" s="484" t="s">
        <v>557</v>
      </c>
      <c r="U63" s="473" t="s">
        <v>1531</v>
      </c>
      <c r="V63" s="474" t="s">
        <v>1413</v>
      </c>
      <c r="W63" s="501" t="s">
        <v>1531</v>
      </c>
      <c r="X63" s="502" t="s">
        <v>1413</v>
      </c>
      <c r="Y63" s="492" t="s">
        <v>1531</v>
      </c>
      <c r="Z63" s="493" t="s">
        <v>1413</v>
      </c>
      <c r="AA63" s="394">
        <v>1E-3</v>
      </c>
      <c r="AB63" s="395" t="s">
        <v>1668</v>
      </c>
      <c r="AC63" s="369"/>
    </row>
    <row r="64" spans="1:29" ht="20.100000000000001" customHeight="1">
      <c r="A64" s="390" t="s">
        <v>1004</v>
      </c>
      <c r="B64" s="391" t="s">
        <v>695</v>
      </c>
      <c r="C64" s="400">
        <f>COUNTIF('Chem Props'!$B$6:$B$851,'Parameters Summary'!A64)</f>
        <v>1</v>
      </c>
      <c r="D64" s="400">
        <f>COUNTIF('Tox Summary'!$N$3:$N$792, 'Parameters Summary'!A64)</f>
        <v>1</v>
      </c>
      <c r="E64" s="434">
        <v>342.14</v>
      </c>
      <c r="F64" s="435" t="s">
        <v>1620</v>
      </c>
      <c r="G64" s="436">
        <v>4.4154000000000001E-6</v>
      </c>
      <c r="H64" s="436">
        <v>1.08E-7</v>
      </c>
      <c r="I64" s="437" t="s">
        <v>553</v>
      </c>
      <c r="J64" s="436">
        <v>9.9999999999999995E-8</v>
      </c>
      <c r="K64" s="437" t="s">
        <v>1620</v>
      </c>
      <c r="L64" s="453">
        <v>85</v>
      </c>
      <c r="M64" s="454" t="s">
        <v>1620</v>
      </c>
      <c r="N64" s="455">
        <v>1.155</v>
      </c>
      <c r="O64" s="456" t="s">
        <v>2199</v>
      </c>
      <c r="P64" s="471">
        <v>2.01637E-2</v>
      </c>
      <c r="Q64" s="471">
        <v>4.9922999999999996E-6</v>
      </c>
      <c r="R64" s="472" t="s">
        <v>2435</v>
      </c>
      <c r="S64" s="473" t="s">
        <v>1531</v>
      </c>
      <c r="T64" s="474" t="s">
        <v>1413</v>
      </c>
      <c r="U64" s="484">
        <v>3679</v>
      </c>
      <c r="V64" s="484" t="s">
        <v>553</v>
      </c>
      <c r="W64" s="495">
        <v>4.4800000000000004</v>
      </c>
      <c r="X64" s="496" t="s">
        <v>1620</v>
      </c>
      <c r="Y64" s="486">
        <v>0.39800000000000002</v>
      </c>
      <c r="Z64" s="487" t="s">
        <v>1620</v>
      </c>
      <c r="AA64" s="394">
        <v>1.7899999999999999E-2</v>
      </c>
      <c r="AB64" s="395" t="s">
        <v>553</v>
      </c>
      <c r="AC64" s="369"/>
    </row>
    <row r="65" spans="1:29" ht="20.100000000000001" customHeight="1" thickBot="1">
      <c r="A65" s="392" t="s">
        <v>1005</v>
      </c>
      <c r="B65" s="393" t="s">
        <v>696</v>
      </c>
      <c r="C65" s="400">
        <f>COUNTIF('Chem Props'!$B$6:$B$851,'Parameters Summary'!A65)</f>
        <v>1</v>
      </c>
      <c r="D65" s="400">
        <f>COUNTIF('Tox Summary'!$N$3:$N$792, 'Parameters Summary'!A65)</f>
        <v>1</v>
      </c>
      <c r="E65" s="438">
        <v>422.88</v>
      </c>
      <c r="F65" s="439" t="s">
        <v>1620</v>
      </c>
      <c r="G65" s="440">
        <v>4.0899999999999998E-5</v>
      </c>
      <c r="H65" s="440">
        <v>9.9999999999999995E-7</v>
      </c>
      <c r="I65" s="441" t="s">
        <v>553</v>
      </c>
      <c r="J65" s="440">
        <v>1.8E-7</v>
      </c>
      <c r="K65" s="441" t="s">
        <v>1620</v>
      </c>
      <c r="L65" s="457">
        <v>69</v>
      </c>
      <c r="M65" s="458" t="s">
        <v>1620</v>
      </c>
      <c r="N65" s="459">
        <v>1.2</v>
      </c>
      <c r="O65" s="460" t="s">
        <v>1618</v>
      </c>
      <c r="P65" s="475">
        <v>1.8375499999999999E-2</v>
      </c>
      <c r="Q65" s="475">
        <v>4.4982999999999998E-6</v>
      </c>
      <c r="R65" s="476" t="s">
        <v>2435</v>
      </c>
      <c r="S65" s="477" t="s">
        <v>1531</v>
      </c>
      <c r="T65" s="478" t="s">
        <v>1413</v>
      </c>
      <c r="U65" s="481">
        <v>2272000</v>
      </c>
      <c r="V65" s="481" t="s">
        <v>553</v>
      </c>
      <c r="W65" s="497">
        <v>6</v>
      </c>
      <c r="X65" s="498" t="s">
        <v>1620</v>
      </c>
      <c r="Y65" s="488">
        <v>1E-3</v>
      </c>
      <c r="Z65" s="489" t="s">
        <v>1620</v>
      </c>
      <c r="AA65" s="396">
        <v>1.74</v>
      </c>
      <c r="AB65" s="397" t="s">
        <v>553</v>
      </c>
      <c r="AC65" s="369"/>
    </row>
    <row r="66" spans="1:29" ht="20.100000000000001" customHeight="1">
      <c r="A66" s="390" t="s">
        <v>1006</v>
      </c>
      <c r="B66" s="391" t="s">
        <v>374</v>
      </c>
      <c r="C66" s="400">
        <f>COUNTIF('Chem Props'!$B$6:$B$851,'Parameters Summary'!A66)</f>
        <v>1</v>
      </c>
      <c r="D66" s="400">
        <f>COUNTIF('Tox Summary'!$N$3:$N$792, 'Parameters Summary'!A66)</f>
        <v>1</v>
      </c>
      <c r="E66" s="434">
        <v>154.21</v>
      </c>
      <c r="F66" s="435" t="s">
        <v>1620</v>
      </c>
      <c r="G66" s="436">
        <v>1.2592000000000001E-2</v>
      </c>
      <c r="H66" s="436">
        <v>3.0800000000000001E-4</v>
      </c>
      <c r="I66" s="437" t="s">
        <v>1620</v>
      </c>
      <c r="J66" s="436">
        <v>8.9300000000000004E-3</v>
      </c>
      <c r="K66" s="437" t="s">
        <v>1620</v>
      </c>
      <c r="L66" s="453">
        <v>69</v>
      </c>
      <c r="M66" s="454" t="s">
        <v>1620</v>
      </c>
      <c r="N66" s="455">
        <v>1.04</v>
      </c>
      <c r="O66" s="456" t="s">
        <v>1618</v>
      </c>
      <c r="P66" s="471">
        <v>4.7059200000000002E-2</v>
      </c>
      <c r="Q66" s="471">
        <v>7.5618000000000002E-6</v>
      </c>
      <c r="R66" s="472" t="s">
        <v>2435</v>
      </c>
      <c r="S66" s="473" t="s">
        <v>1531</v>
      </c>
      <c r="T66" s="474" t="s">
        <v>1413</v>
      </c>
      <c r="U66" s="484">
        <v>5129</v>
      </c>
      <c r="V66" s="484" t="s">
        <v>553</v>
      </c>
      <c r="W66" s="495">
        <v>4.01</v>
      </c>
      <c r="X66" s="496" t="s">
        <v>1620</v>
      </c>
      <c r="Y66" s="486">
        <v>7.48</v>
      </c>
      <c r="Z66" s="487" t="s">
        <v>1620</v>
      </c>
      <c r="AA66" s="394">
        <v>9.4299999999999995E-2</v>
      </c>
      <c r="AB66" s="395" t="s">
        <v>553</v>
      </c>
      <c r="AC66" s="369"/>
    </row>
    <row r="67" spans="1:29" ht="20.100000000000001" customHeight="1">
      <c r="A67" s="390" t="s">
        <v>1008</v>
      </c>
      <c r="B67" s="391" t="s">
        <v>375</v>
      </c>
      <c r="C67" s="400">
        <f>COUNTIF('Chem Props'!$B$6:$B$851,'Parameters Summary'!A67)</f>
        <v>1</v>
      </c>
      <c r="D67" s="400">
        <f>COUNTIF('Tox Summary'!$N$3:$N$792, 'Parameters Summary'!A67)</f>
        <v>1</v>
      </c>
      <c r="E67" s="434">
        <v>171.07</v>
      </c>
      <c r="F67" s="435" t="s">
        <v>1620</v>
      </c>
      <c r="G67" s="436">
        <v>3.0335000000000002E-3</v>
      </c>
      <c r="H67" s="436">
        <v>7.4200000000000001E-5</v>
      </c>
      <c r="I67" s="437" t="s">
        <v>553</v>
      </c>
      <c r="J67" s="436">
        <v>0.56000000000000005</v>
      </c>
      <c r="K67" s="437" t="s">
        <v>1620</v>
      </c>
      <c r="L67" s="453">
        <v>-97</v>
      </c>
      <c r="M67" s="454" t="s">
        <v>1620</v>
      </c>
      <c r="N67" s="455">
        <v>1.103</v>
      </c>
      <c r="O67" s="456" t="s">
        <v>1618</v>
      </c>
      <c r="P67" s="471">
        <v>3.9889099999999997E-2</v>
      </c>
      <c r="Q67" s="471">
        <v>7.3606000000000003E-6</v>
      </c>
      <c r="R67" s="472" t="s">
        <v>2435</v>
      </c>
      <c r="S67" s="473" t="s">
        <v>1531</v>
      </c>
      <c r="T67" s="474" t="s">
        <v>1413</v>
      </c>
      <c r="U67" s="484">
        <v>82.92</v>
      </c>
      <c r="V67" s="484" t="s">
        <v>553</v>
      </c>
      <c r="W67" s="495">
        <v>2.48</v>
      </c>
      <c r="X67" s="496" t="s">
        <v>1620</v>
      </c>
      <c r="Y67" s="486">
        <v>1700</v>
      </c>
      <c r="Z67" s="487" t="s">
        <v>1620</v>
      </c>
      <c r="AA67" s="394">
        <v>7.6400000000000001E-3</v>
      </c>
      <c r="AB67" s="395" t="s">
        <v>553</v>
      </c>
      <c r="AC67" s="369"/>
    </row>
    <row r="68" spans="1:29" ht="20.100000000000001" customHeight="1" thickBot="1">
      <c r="A68" s="392" t="s">
        <v>1007</v>
      </c>
      <c r="B68" s="393" t="s">
        <v>697</v>
      </c>
      <c r="C68" s="400">
        <f>COUNTIF('Chem Props'!$B$6:$B$851,'Parameters Summary'!A68)</f>
        <v>1</v>
      </c>
      <c r="D68" s="400">
        <f>COUNTIF('Tox Summary'!$N$3:$N$792, 'Parameters Summary'!A68)</f>
        <v>1</v>
      </c>
      <c r="E68" s="438">
        <v>173.04</v>
      </c>
      <c r="F68" s="439" t="s">
        <v>1620</v>
      </c>
      <c r="G68" s="440">
        <v>1.574E-4</v>
      </c>
      <c r="H68" s="440">
        <v>3.8500000000000004E-6</v>
      </c>
      <c r="I68" s="441" t="s">
        <v>553</v>
      </c>
      <c r="J68" s="440">
        <v>0.13200000000000001</v>
      </c>
      <c r="K68" s="441" t="s">
        <v>553</v>
      </c>
      <c r="L68" s="457">
        <v>-32</v>
      </c>
      <c r="M68" s="458" t="s">
        <v>1620</v>
      </c>
      <c r="N68" s="463" t="s">
        <v>1531</v>
      </c>
      <c r="O68" s="464" t="s">
        <v>1413</v>
      </c>
      <c r="P68" s="475">
        <v>6.1186499999999998E-2</v>
      </c>
      <c r="Q68" s="475">
        <v>7.1492000000000001E-6</v>
      </c>
      <c r="R68" s="476" t="s">
        <v>2435</v>
      </c>
      <c r="S68" s="477" t="s">
        <v>1531</v>
      </c>
      <c r="T68" s="478" t="s">
        <v>1413</v>
      </c>
      <c r="U68" s="481">
        <v>14.38</v>
      </c>
      <c r="V68" s="481" t="s">
        <v>553</v>
      </c>
      <c r="W68" s="497">
        <v>1.3</v>
      </c>
      <c r="X68" s="498" t="s">
        <v>1620</v>
      </c>
      <c r="Y68" s="488">
        <v>7800</v>
      </c>
      <c r="Z68" s="489" t="s">
        <v>1620</v>
      </c>
      <c r="AA68" s="396">
        <v>1.2199999999999999E-3</v>
      </c>
      <c r="AB68" s="397" t="s">
        <v>553</v>
      </c>
      <c r="AC68" s="369"/>
    </row>
    <row r="69" spans="1:29" ht="20.100000000000001" customHeight="1">
      <c r="A69" s="390" t="s">
        <v>428</v>
      </c>
      <c r="B69" s="391" t="s">
        <v>698</v>
      </c>
      <c r="C69" s="400">
        <f>COUNTIF('Chem Props'!$B$6:$B$851,'Parameters Summary'!A69)</f>
        <v>1</v>
      </c>
      <c r="D69" s="400">
        <f>COUNTIF('Tox Summary'!$N$3:$N$792, 'Parameters Summary'!A69)</f>
        <v>1</v>
      </c>
      <c r="E69" s="434">
        <v>143.01</v>
      </c>
      <c r="F69" s="435" t="s">
        <v>1620</v>
      </c>
      <c r="G69" s="436">
        <v>6.9499999999999998E-4</v>
      </c>
      <c r="H69" s="436">
        <v>1.7E-5</v>
      </c>
      <c r="I69" s="437" t="s">
        <v>553</v>
      </c>
      <c r="J69" s="436">
        <v>1.55</v>
      </c>
      <c r="K69" s="437" t="s">
        <v>1620</v>
      </c>
      <c r="L69" s="453">
        <v>-51.9</v>
      </c>
      <c r="M69" s="454" t="s">
        <v>1620</v>
      </c>
      <c r="N69" s="455">
        <v>1.22</v>
      </c>
      <c r="O69" s="456" t="s">
        <v>1618</v>
      </c>
      <c r="P69" s="471">
        <v>5.6719199999999997E-2</v>
      </c>
      <c r="Q69" s="471">
        <v>8.7069999999999998E-6</v>
      </c>
      <c r="R69" s="472" t="s">
        <v>2435</v>
      </c>
      <c r="S69" s="473" t="s">
        <v>1531</v>
      </c>
      <c r="T69" s="474" t="s">
        <v>1413</v>
      </c>
      <c r="U69" s="484">
        <v>32.21</v>
      </c>
      <c r="V69" s="484" t="s">
        <v>553</v>
      </c>
      <c r="W69" s="495">
        <v>1.29</v>
      </c>
      <c r="X69" s="496" t="s">
        <v>1620</v>
      </c>
      <c r="Y69" s="486">
        <v>17200</v>
      </c>
      <c r="Z69" s="487" t="s">
        <v>1620</v>
      </c>
      <c r="AA69" s="394">
        <v>1.7799999999999999E-3</v>
      </c>
      <c r="AB69" s="395" t="s">
        <v>553</v>
      </c>
      <c r="AC69" s="369"/>
    </row>
    <row r="70" spans="1:29" ht="20.100000000000001" customHeight="1">
      <c r="A70" s="390" t="s">
        <v>1435</v>
      </c>
      <c r="B70" s="391" t="s">
        <v>700</v>
      </c>
      <c r="C70" s="400">
        <f>COUNTIF('Chem Props'!$B$6:$B$851,'Parameters Summary'!A70)</f>
        <v>1</v>
      </c>
      <c r="D70" s="400">
        <f>COUNTIF('Tox Summary'!$N$3:$N$792, 'Parameters Summary'!A70)</f>
        <v>1</v>
      </c>
      <c r="E70" s="434">
        <v>114.96</v>
      </c>
      <c r="F70" s="435" t="s">
        <v>1620</v>
      </c>
      <c r="G70" s="436">
        <v>0.1782502</v>
      </c>
      <c r="H70" s="436">
        <v>4.3600000000000002E-3</v>
      </c>
      <c r="I70" s="437" t="s">
        <v>553</v>
      </c>
      <c r="J70" s="436">
        <v>29.4</v>
      </c>
      <c r="K70" s="437" t="s">
        <v>1620</v>
      </c>
      <c r="L70" s="453">
        <v>-41.5</v>
      </c>
      <c r="M70" s="454" t="s">
        <v>1620</v>
      </c>
      <c r="N70" s="455">
        <v>1.323</v>
      </c>
      <c r="O70" s="456" t="s">
        <v>1618</v>
      </c>
      <c r="P70" s="471">
        <v>7.6300099999999996E-2</v>
      </c>
      <c r="Q70" s="471">
        <v>1.04E-5</v>
      </c>
      <c r="R70" s="472" t="s">
        <v>2435</v>
      </c>
      <c r="S70" s="473" t="s">
        <v>1531</v>
      </c>
      <c r="T70" s="474" t="s">
        <v>1413</v>
      </c>
      <c r="U70" s="484">
        <v>9.6989999999999998</v>
      </c>
      <c r="V70" s="484" t="s">
        <v>553</v>
      </c>
      <c r="W70" s="495">
        <v>0.56999999999999995</v>
      </c>
      <c r="X70" s="496" t="s">
        <v>1620</v>
      </c>
      <c r="Y70" s="486">
        <v>22000</v>
      </c>
      <c r="Z70" s="487" t="s">
        <v>1620</v>
      </c>
      <c r="AA70" s="394">
        <v>8.5499999999999997E-4</v>
      </c>
      <c r="AB70" s="395" t="s">
        <v>553</v>
      </c>
      <c r="AC70" s="369"/>
    </row>
    <row r="71" spans="1:29" ht="20.100000000000001" customHeight="1" thickBot="1">
      <c r="A71" s="392" t="s">
        <v>1009</v>
      </c>
      <c r="B71" s="393" t="s">
        <v>701</v>
      </c>
      <c r="C71" s="400">
        <f>COUNTIF('Chem Props'!$B$6:$B$851,'Parameters Summary'!A71)</f>
        <v>1</v>
      </c>
      <c r="D71" s="400">
        <f>COUNTIF('Tox Summary'!$N$3:$N$792, 'Parameters Summary'!A71)</f>
        <v>1</v>
      </c>
      <c r="E71" s="438">
        <v>228.29</v>
      </c>
      <c r="F71" s="439" t="s">
        <v>1620</v>
      </c>
      <c r="G71" s="440">
        <v>4.0880000000000003E-10</v>
      </c>
      <c r="H71" s="440">
        <v>9.9999999999999994E-12</v>
      </c>
      <c r="I71" s="441" t="s">
        <v>1620</v>
      </c>
      <c r="J71" s="440">
        <v>3.9099999999999999E-7</v>
      </c>
      <c r="K71" s="441" t="s">
        <v>1620</v>
      </c>
      <c r="L71" s="457">
        <v>153</v>
      </c>
      <c r="M71" s="458" t="s">
        <v>1620</v>
      </c>
      <c r="N71" s="459">
        <v>1.1950000000000001</v>
      </c>
      <c r="O71" s="460" t="s">
        <v>2199</v>
      </c>
      <c r="P71" s="475">
        <v>2.5346899999999999E-2</v>
      </c>
      <c r="Q71" s="475">
        <v>6.4953000000000003E-6</v>
      </c>
      <c r="R71" s="476" t="s">
        <v>2435</v>
      </c>
      <c r="S71" s="477" t="s">
        <v>1531</v>
      </c>
      <c r="T71" s="478" t="s">
        <v>1413</v>
      </c>
      <c r="U71" s="481">
        <v>37670</v>
      </c>
      <c r="V71" s="481" t="s">
        <v>553</v>
      </c>
      <c r="W71" s="497">
        <v>3.32</v>
      </c>
      <c r="X71" s="498" t="s">
        <v>1620</v>
      </c>
      <c r="Y71" s="488">
        <v>120</v>
      </c>
      <c r="Z71" s="489" t="s">
        <v>1620</v>
      </c>
      <c r="AA71" s="396">
        <v>1.32E-2</v>
      </c>
      <c r="AB71" s="397" t="s">
        <v>553</v>
      </c>
      <c r="AC71" s="369"/>
    </row>
    <row r="72" spans="1:29" ht="20.100000000000001" customHeight="1">
      <c r="A72" s="390" t="s">
        <v>1010</v>
      </c>
      <c r="B72" s="391" t="s">
        <v>702</v>
      </c>
      <c r="C72" s="400">
        <f>COUNTIF('Chem Props'!$B$6:$B$851,'Parameters Summary'!A72)</f>
        <v>1</v>
      </c>
      <c r="D72" s="400">
        <f>COUNTIF('Tox Summary'!$N$3:$N$792, 'Parameters Summary'!A72)</f>
        <v>1</v>
      </c>
      <c r="E72" s="434">
        <v>13.84</v>
      </c>
      <c r="F72" s="435" t="s">
        <v>553</v>
      </c>
      <c r="G72" s="444" t="s">
        <v>1531</v>
      </c>
      <c r="H72" s="444" t="s">
        <v>1531</v>
      </c>
      <c r="I72" s="445" t="s">
        <v>1413</v>
      </c>
      <c r="J72" s="444" t="s">
        <v>1531</v>
      </c>
      <c r="K72" s="445" t="s">
        <v>1413</v>
      </c>
      <c r="L72" s="453">
        <v>2075</v>
      </c>
      <c r="M72" s="454" t="s">
        <v>1618</v>
      </c>
      <c r="N72" s="455">
        <v>2.34</v>
      </c>
      <c r="O72" s="456" t="s">
        <v>1618</v>
      </c>
      <c r="P72" s="482" t="s">
        <v>1531</v>
      </c>
      <c r="Q72" s="482" t="s">
        <v>1531</v>
      </c>
      <c r="R72" s="483" t="s">
        <v>1413</v>
      </c>
      <c r="S72" s="484">
        <v>3</v>
      </c>
      <c r="T72" s="484" t="s">
        <v>2155</v>
      </c>
      <c r="U72" s="473" t="s">
        <v>1531</v>
      </c>
      <c r="V72" s="474" t="s">
        <v>1413</v>
      </c>
      <c r="W72" s="501" t="s">
        <v>1531</v>
      </c>
      <c r="X72" s="502" t="s">
        <v>1413</v>
      </c>
      <c r="Y72" s="492" t="s">
        <v>1531</v>
      </c>
      <c r="Z72" s="493" t="s">
        <v>1413</v>
      </c>
      <c r="AA72" s="394">
        <v>1E-3</v>
      </c>
      <c r="AB72" s="395" t="s">
        <v>1668</v>
      </c>
      <c r="AC72" s="369"/>
    </row>
    <row r="73" spans="1:29" ht="20.100000000000001" customHeight="1">
      <c r="A73" s="390" t="s">
        <v>1996</v>
      </c>
      <c r="B73" s="391" t="s">
        <v>1997</v>
      </c>
      <c r="C73" s="400">
        <f>COUNTIF('Chem Props'!$B$6:$B$851,'Parameters Summary'!A73)</f>
        <v>1</v>
      </c>
      <c r="D73" s="400">
        <f>COUNTIF('Tox Summary'!$N$3:$N$792, 'Parameters Summary'!A73)</f>
        <v>1</v>
      </c>
      <c r="E73" s="434">
        <v>117.17</v>
      </c>
      <c r="F73" s="435" t="s">
        <v>1620</v>
      </c>
      <c r="G73" s="436">
        <v>0.748</v>
      </c>
      <c r="H73" s="436">
        <v>1.83E-2</v>
      </c>
      <c r="I73" s="437" t="s">
        <v>1620</v>
      </c>
      <c r="J73" s="436">
        <v>1</v>
      </c>
      <c r="K73" s="437" t="s">
        <v>1620</v>
      </c>
      <c r="L73" s="453">
        <v>-107</v>
      </c>
      <c r="M73" s="454" t="s">
        <v>1620</v>
      </c>
      <c r="N73" s="455">
        <v>4.7889999999999999E-3</v>
      </c>
      <c r="O73" s="456" t="s">
        <v>1618</v>
      </c>
      <c r="P73" s="471">
        <v>0.12454469999999999</v>
      </c>
      <c r="Q73" s="471">
        <v>2.23E-5</v>
      </c>
      <c r="R73" s="472" t="s">
        <v>2435</v>
      </c>
      <c r="S73" s="473" t="s">
        <v>1531</v>
      </c>
      <c r="T73" s="474" t="s">
        <v>1413</v>
      </c>
      <c r="U73" s="473" t="s">
        <v>1531</v>
      </c>
      <c r="V73" s="474" t="s">
        <v>1413</v>
      </c>
      <c r="W73" s="495">
        <v>1.1599999999999999</v>
      </c>
      <c r="X73" s="496" t="s">
        <v>1620</v>
      </c>
      <c r="Y73" s="492" t="s">
        <v>1531</v>
      </c>
      <c r="Z73" s="493" t="s">
        <v>1413</v>
      </c>
      <c r="AA73" s="394">
        <v>1E-3</v>
      </c>
      <c r="AB73" s="395" t="s">
        <v>1668</v>
      </c>
      <c r="AC73" s="369"/>
    </row>
    <row r="74" spans="1:29" ht="20.100000000000001" customHeight="1" thickBot="1">
      <c r="A74" s="392" t="s">
        <v>1011</v>
      </c>
      <c r="B74" s="393" t="s">
        <v>703</v>
      </c>
      <c r="C74" s="400">
        <f>COUNTIF('Chem Props'!$B$6:$B$851,'Parameters Summary'!A74)</f>
        <v>1</v>
      </c>
      <c r="D74" s="400">
        <f>COUNTIF('Tox Summary'!$N$3:$N$792, 'Parameters Summary'!A74)</f>
        <v>1</v>
      </c>
      <c r="E74" s="438">
        <v>67.805999999999997</v>
      </c>
      <c r="F74" s="439" t="s">
        <v>1620</v>
      </c>
      <c r="G74" s="442" t="s">
        <v>1531</v>
      </c>
      <c r="H74" s="442" t="s">
        <v>1531</v>
      </c>
      <c r="I74" s="443" t="s">
        <v>1413</v>
      </c>
      <c r="J74" s="440">
        <v>36555</v>
      </c>
      <c r="K74" s="441" t="s">
        <v>1620</v>
      </c>
      <c r="L74" s="457">
        <v>-126.8</v>
      </c>
      <c r="M74" s="458" t="s">
        <v>1620</v>
      </c>
      <c r="N74" s="459">
        <v>2.7719999999999998</v>
      </c>
      <c r="O74" s="460" t="s">
        <v>1618</v>
      </c>
      <c r="P74" s="475">
        <v>0.1563359</v>
      </c>
      <c r="Q74" s="475">
        <v>2.23E-5</v>
      </c>
      <c r="R74" s="476" t="s">
        <v>2435</v>
      </c>
      <c r="S74" s="477" t="s">
        <v>1531</v>
      </c>
      <c r="T74" s="478" t="s">
        <v>1413</v>
      </c>
      <c r="U74" s="477" t="s">
        <v>1531</v>
      </c>
      <c r="V74" s="478" t="s">
        <v>1413</v>
      </c>
      <c r="W74" s="497">
        <v>0.22</v>
      </c>
      <c r="X74" s="498" t="s">
        <v>1620</v>
      </c>
      <c r="Y74" s="488">
        <v>3320000</v>
      </c>
      <c r="Z74" s="489" t="s">
        <v>1620</v>
      </c>
      <c r="AA74" s="396">
        <v>1E-3</v>
      </c>
      <c r="AB74" s="397" t="s">
        <v>1668</v>
      </c>
      <c r="AC74" s="369"/>
    </row>
    <row r="75" spans="1:29" ht="20.100000000000001" customHeight="1">
      <c r="A75" s="390" t="s">
        <v>1012</v>
      </c>
      <c r="B75" s="391" t="s">
        <v>704</v>
      </c>
      <c r="C75" s="400">
        <f>COUNTIF('Chem Props'!$B$6:$B$851,'Parameters Summary'!A75)</f>
        <v>1</v>
      </c>
      <c r="D75" s="400">
        <f>COUNTIF('Tox Summary'!$N$3:$N$792, 'Parameters Summary'!A75)</f>
        <v>1</v>
      </c>
      <c r="E75" s="434">
        <v>79.900000000000006</v>
      </c>
      <c r="F75" s="435" t="s">
        <v>553</v>
      </c>
      <c r="G75" s="444" t="s">
        <v>1531</v>
      </c>
      <c r="H75" s="444" t="s">
        <v>1531</v>
      </c>
      <c r="I75" s="445" t="s">
        <v>1413</v>
      </c>
      <c r="J75" s="444" t="s">
        <v>1531</v>
      </c>
      <c r="K75" s="445" t="s">
        <v>1413</v>
      </c>
      <c r="L75" s="465" t="s">
        <v>1531</v>
      </c>
      <c r="M75" s="466" t="s">
        <v>1413</v>
      </c>
      <c r="N75" s="461" t="s">
        <v>1531</v>
      </c>
      <c r="O75" s="462" t="s">
        <v>1413</v>
      </c>
      <c r="P75" s="482" t="s">
        <v>1531</v>
      </c>
      <c r="Q75" s="482" t="s">
        <v>1531</v>
      </c>
      <c r="R75" s="483" t="s">
        <v>1413</v>
      </c>
      <c r="S75" s="484">
        <v>7.5</v>
      </c>
      <c r="T75" s="484" t="s">
        <v>2155</v>
      </c>
      <c r="U75" s="473" t="s">
        <v>1531</v>
      </c>
      <c r="V75" s="474" t="s">
        <v>1413</v>
      </c>
      <c r="W75" s="501" t="s">
        <v>1531</v>
      </c>
      <c r="X75" s="502" t="s">
        <v>1413</v>
      </c>
      <c r="Y75" s="492" t="s">
        <v>1531</v>
      </c>
      <c r="Z75" s="493" t="s">
        <v>1413</v>
      </c>
      <c r="AA75" s="394">
        <v>1E-3</v>
      </c>
      <c r="AB75" s="395" t="s">
        <v>1668</v>
      </c>
      <c r="AC75" s="369"/>
    </row>
    <row r="76" spans="1:29" ht="20.100000000000001" customHeight="1">
      <c r="A76" s="390" t="s">
        <v>561</v>
      </c>
      <c r="B76" s="391" t="s">
        <v>705</v>
      </c>
      <c r="C76" s="400">
        <f>COUNTIF('Chem Props'!$B$6:$B$851,'Parameters Summary'!A76)</f>
        <v>1</v>
      </c>
      <c r="D76" s="400">
        <f>COUNTIF('Tox Summary'!$N$3:$N$792, 'Parameters Summary'!A76)</f>
        <v>1</v>
      </c>
      <c r="E76" s="434">
        <v>143.41</v>
      </c>
      <c r="F76" s="435" t="s">
        <v>1620</v>
      </c>
      <c r="G76" s="436">
        <v>3.71627E-2</v>
      </c>
      <c r="H76" s="436">
        <v>9.0899999999999998E-4</v>
      </c>
      <c r="I76" s="437" t="s">
        <v>1620</v>
      </c>
      <c r="J76" s="436">
        <v>33.1</v>
      </c>
      <c r="K76" s="437" t="s">
        <v>1620</v>
      </c>
      <c r="L76" s="453">
        <v>-16.7</v>
      </c>
      <c r="M76" s="454" t="s">
        <v>1620</v>
      </c>
      <c r="N76" s="455">
        <v>1.7392000000000001</v>
      </c>
      <c r="O76" s="456" t="s">
        <v>1618</v>
      </c>
      <c r="P76" s="471">
        <v>6.5924800000000006E-2</v>
      </c>
      <c r="Q76" s="471">
        <v>1.08E-5</v>
      </c>
      <c r="R76" s="472" t="s">
        <v>2435</v>
      </c>
      <c r="S76" s="473" t="s">
        <v>1531</v>
      </c>
      <c r="T76" s="474" t="s">
        <v>1413</v>
      </c>
      <c r="U76" s="484">
        <v>39.6</v>
      </c>
      <c r="V76" s="484" t="s">
        <v>553</v>
      </c>
      <c r="W76" s="495">
        <v>1.92</v>
      </c>
      <c r="X76" s="496" t="s">
        <v>1620</v>
      </c>
      <c r="Y76" s="486">
        <v>6900</v>
      </c>
      <c r="Z76" s="487" t="s">
        <v>1620</v>
      </c>
      <c r="AA76" s="394">
        <v>4.64E-3</v>
      </c>
      <c r="AB76" s="395" t="s">
        <v>553</v>
      </c>
      <c r="AC76" s="369"/>
    </row>
    <row r="77" spans="1:29" ht="20.100000000000001" customHeight="1" thickBot="1">
      <c r="A77" s="392" t="s">
        <v>2491</v>
      </c>
      <c r="B77" s="393" t="s">
        <v>2492</v>
      </c>
      <c r="C77" s="400">
        <f>COUNTIF('Chem Props'!$B$6:$B$851,'Parameters Summary'!A77)</f>
        <v>1</v>
      </c>
      <c r="D77" s="400">
        <f>COUNTIF('Tox Summary'!$N$3:$N$792, 'Parameters Summary'!A77)</f>
        <v>1</v>
      </c>
      <c r="E77" s="438">
        <v>175</v>
      </c>
      <c r="F77" s="439" t="s">
        <v>1620</v>
      </c>
      <c r="G77" s="440">
        <v>0.1022077</v>
      </c>
      <c r="H77" s="440">
        <v>2.5000000000000001E-3</v>
      </c>
      <c r="I77" s="441" t="s">
        <v>1620</v>
      </c>
      <c r="J77" s="440">
        <v>2.84</v>
      </c>
      <c r="K77" s="441" t="s">
        <v>1620</v>
      </c>
      <c r="L77" s="457">
        <v>-19.100000000000001</v>
      </c>
      <c r="M77" s="458" t="s">
        <v>553</v>
      </c>
      <c r="N77" s="459">
        <v>1.7081</v>
      </c>
      <c r="O77" s="460" t="s">
        <v>1618</v>
      </c>
      <c r="P77" s="475">
        <v>4.6200699999999997E-2</v>
      </c>
      <c r="Q77" s="475">
        <v>9.4397000000000004E-6</v>
      </c>
      <c r="R77" s="476" t="s">
        <v>2435</v>
      </c>
      <c r="S77" s="477" t="s">
        <v>1531</v>
      </c>
      <c r="T77" s="478" t="s">
        <v>1413</v>
      </c>
      <c r="U77" s="481">
        <v>375.3</v>
      </c>
      <c r="V77" s="481" t="s">
        <v>553</v>
      </c>
      <c r="W77" s="497">
        <v>2.92</v>
      </c>
      <c r="X77" s="498" t="s">
        <v>1620</v>
      </c>
      <c r="Y77" s="488">
        <v>378</v>
      </c>
      <c r="Z77" s="489" t="s">
        <v>1620</v>
      </c>
      <c r="AA77" s="396">
        <v>1.4200000000000001E-2</v>
      </c>
      <c r="AB77" s="397" t="s">
        <v>553</v>
      </c>
      <c r="AC77" s="369"/>
    </row>
    <row r="78" spans="1:29" ht="20.100000000000001" customHeight="1">
      <c r="A78" s="390" t="s">
        <v>2493</v>
      </c>
      <c r="B78" s="391" t="s">
        <v>2494</v>
      </c>
      <c r="C78" s="400">
        <f>COUNTIF('Chem Props'!$B$6:$B$851,'Parameters Summary'!A78)</f>
        <v>1</v>
      </c>
      <c r="D78" s="400">
        <f>COUNTIF('Tox Summary'!$N$3:$N$792, 'Parameters Summary'!A78)</f>
        <v>1</v>
      </c>
      <c r="E78" s="434">
        <v>175</v>
      </c>
      <c r="F78" s="435" t="s">
        <v>1620</v>
      </c>
      <c r="G78" s="436">
        <v>0.1022077</v>
      </c>
      <c r="H78" s="436">
        <v>2.5000000000000001E-3</v>
      </c>
      <c r="I78" s="437" t="s">
        <v>1620</v>
      </c>
      <c r="J78" s="436">
        <v>2.84</v>
      </c>
      <c r="K78" s="437" t="s">
        <v>1620</v>
      </c>
      <c r="L78" s="453">
        <v>-17.399999999999999</v>
      </c>
      <c r="M78" s="454" t="s">
        <v>1620</v>
      </c>
      <c r="N78" s="455">
        <v>1.593</v>
      </c>
      <c r="O78" s="456" t="s">
        <v>1618</v>
      </c>
      <c r="P78" s="471">
        <v>4.4806899999999997E-2</v>
      </c>
      <c r="Q78" s="471">
        <v>9.0527000000000006E-6</v>
      </c>
      <c r="R78" s="472" t="s">
        <v>2435</v>
      </c>
      <c r="S78" s="473" t="s">
        <v>1531</v>
      </c>
      <c r="T78" s="474" t="s">
        <v>1413</v>
      </c>
      <c r="U78" s="484">
        <v>375.3</v>
      </c>
      <c r="V78" s="484" t="s">
        <v>553</v>
      </c>
      <c r="W78" s="495">
        <v>3.08</v>
      </c>
      <c r="X78" s="496" t="s">
        <v>1620</v>
      </c>
      <c r="Y78" s="486">
        <v>136.4</v>
      </c>
      <c r="Z78" s="487" t="s">
        <v>1620</v>
      </c>
      <c r="AA78" s="394">
        <v>1.8200000000000001E-2</v>
      </c>
      <c r="AB78" s="395" t="s">
        <v>553</v>
      </c>
      <c r="AC78" s="369"/>
    </row>
    <row r="79" spans="1:29" ht="20.100000000000001" customHeight="1">
      <c r="A79" s="390" t="s">
        <v>523</v>
      </c>
      <c r="B79" s="391" t="s">
        <v>706</v>
      </c>
      <c r="C79" s="400">
        <f>COUNTIF('Chem Props'!$B$6:$B$851,'Parameters Summary'!A79)</f>
        <v>1</v>
      </c>
      <c r="D79" s="400">
        <f>COUNTIF('Tox Summary'!$N$3:$N$792, 'Parameters Summary'!A79)</f>
        <v>1</v>
      </c>
      <c r="E79" s="434">
        <v>157.01</v>
      </c>
      <c r="F79" s="435" t="s">
        <v>1620</v>
      </c>
      <c r="G79" s="436">
        <v>0.10098119999999999</v>
      </c>
      <c r="H79" s="436">
        <v>2.47E-3</v>
      </c>
      <c r="I79" s="437" t="s">
        <v>1620</v>
      </c>
      <c r="J79" s="436">
        <v>4.1820000000000004</v>
      </c>
      <c r="K79" s="437" t="s">
        <v>1620</v>
      </c>
      <c r="L79" s="453">
        <v>-30.6</v>
      </c>
      <c r="M79" s="454" t="s">
        <v>1620</v>
      </c>
      <c r="N79" s="455">
        <v>1.4950000000000001</v>
      </c>
      <c r="O79" s="456" t="s">
        <v>1618</v>
      </c>
      <c r="P79" s="471">
        <v>5.3713200000000003E-2</v>
      </c>
      <c r="Q79" s="471">
        <v>9.3003999999999999E-6</v>
      </c>
      <c r="R79" s="472" t="s">
        <v>2435</v>
      </c>
      <c r="S79" s="473" t="s">
        <v>1531</v>
      </c>
      <c r="T79" s="474" t="s">
        <v>1413</v>
      </c>
      <c r="U79" s="484">
        <v>233.9</v>
      </c>
      <c r="V79" s="484" t="s">
        <v>553</v>
      </c>
      <c r="W79" s="495">
        <v>2.99</v>
      </c>
      <c r="X79" s="496" t="s">
        <v>1620</v>
      </c>
      <c r="Y79" s="486">
        <v>446</v>
      </c>
      <c r="Z79" s="487" t="s">
        <v>1620</v>
      </c>
      <c r="AA79" s="394">
        <v>0.02</v>
      </c>
      <c r="AB79" s="395" t="s">
        <v>553</v>
      </c>
      <c r="AC79" s="369"/>
    </row>
    <row r="80" spans="1:29" ht="20.100000000000001" customHeight="1" thickBot="1">
      <c r="A80" s="392" t="s">
        <v>1561</v>
      </c>
      <c r="B80" s="393" t="s">
        <v>1562</v>
      </c>
      <c r="C80" s="400">
        <f>COUNTIF('Chem Props'!$B$6:$B$851,'Parameters Summary'!A80)</f>
        <v>1</v>
      </c>
      <c r="D80" s="400">
        <f>COUNTIF('Tox Summary'!$N$3:$N$792, 'Parameters Summary'!A80)</f>
        <v>1</v>
      </c>
      <c r="E80" s="438">
        <v>129.38</v>
      </c>
      <c r="F80" s="439" t="s">
        <v>1620</v>
      </c>
      <c r="G80" s="440">
        <v>5.9689300000000001E-2</v>
      </c>
      <c r="H80" s="440">
        <v>1.4599999999999999E-3</v>
      </c>
      <c r="I80" s="441" t="s">
        <v>553</v>
      </c>
      <c r="J80" s="440">
        <v>142.5</v>
      </c>
      <c r="K80" s="441" t="s">
        <v>1620</v>
      </c>
      <c r="L80" s="457">
        <v>-87.9</v>
      </c>
      <c r="M80" s="458" t="s">
        <v>1620</v>
      </c>
      <c r="N80" s="459">
        <v>1.9343999999999999</v>
      </c>
      <c r="O80" s="460" t="s">
        <v>1618</v>
      </c>
      <c r="P80" s="475">
        <v>7.8691999999999998E-2</v>
      </c>
      <c r="Q80" s="475">
        <v>1.22E-5</v>
      </c>
      <c r="R80" s="476" t="s">
        <v>2435</v>
      </c>
      <c r="S80" s="477" t="s">
        <v>1531</v>
      </c>
      <c r="T80" s="478" t="s">
        <v>1413</v>
      </c>
      <c r="U80" s="481">
        <v>21.73</v>
      </c>
      <c r="V80" s="481" t="s">
        <v>553</v>
      </c>
      <c r="W80" s="497">
        <v>1.41</v>
      </c>
      <c r="X80" s="498" t="s">
        <v>1620</v>
      </c>
      <c r="Y80" s="488">
        <v>16700</v>
      </c>
      <c r="Z80" s="489" t="s">
        <v>1620</v>
      </c>
      <c r="AA80" s="396">
        <v>2.5500000000000002E-3</v>
      </c>
      <c r="AB80" s="397" t="s">
        <v>553</v>
      </c>
      <c r="AC80" s="369"/>
    </row>
    <row r="81" spans="1:29" ht="20.100000000000001" customHeight="1">
      <c r="A81" s="390" t="s">
        <v>429</v>
      </c>
      <c r="B81" s="391" t="s">
        <v>707</v>
      </c>
      <c r="C81" s="400">
        <f>COUNTIF('Chem Props'!$B$6:$B$851,'Parameters Summary'!A81)</f>
        <v>1</v>
      </c>
      <c r="D81" s="400">
        <f>COUNTIF('Tox Summary'!$N$3:$N$792, 'Parameters Summary'!A81)</f>
        <v>1</v>
      </c>
      <c r="E81" s="434">
        <v>163.83000000000001</v>
      </c>
      <c r="F81" s="435" t="s">
        <v>1620</v>
      </c>
      <c r="G81" s="436">
        <v>8.6672100000000002E-2</v>
      </c>
      <c r="H81" s="436">
        <v>2.1199999999999999E-3</v>
      </c>
      <c r="I81" s="437" t="s">
        <v>1620</v>
      </c>
      <c r="J81" s="436">
        <v>50</v>
      </c>
      <c r="K81" s="437" t="s">
        <v>1620</v>
      </c>
      <c r="L81" s="453">
        <v>-57</v>
      </c>
      <c r="M81" s="454" t="s">
        <v>1620</v>
      </c>
      <c r="N81" s="455">
        <v>1.98</v>
      </c>
      <c r="O81" s="456" t="s">
        <v>1618</v>
      </c>
      <c r="P81" s="471">
        <v>5.6262899999999998E-2</v>
      </c>
      <c r="Q81" s="471">
        <v>1.0699999999999999E-5</v>
      </c>
      <c r="R81" s="472" t="s">
        <v>2435</v>
      </c>
      <c r="S81" s="473" t="s">
        <v>1531</v>
      </c>
      <c r="T81" s="474" t="s">
        <v>1413</v>
      </c>
      <c r="U81" s="484">
        <v>31.82</v>
      </c>
      <c r="V81" s="484" t="s">
        <v>553</v>
      </c>
      <c r="W81" s="495">
        <v>2</v>
      </c>
      <c r="X81" s="496" t="s">
        <v>1620</v>
      </c>
      <c r="Y81" s="486">
        <v>3032</v>
      </c>
      <c r="Z81" s="487" t="s">
        <v>1620</v>
      </c>
      <c r="AA81" s="394">
        <v>4.0200000000000001E-3</v>
      </c>
      <c r="AB81" s="395" t="s">
        <v>553</v>
      </c>
      <c r="AC81" s="369"/>
    </row>
    <row r="82" spans="1:29" ht="20.100000000000001" customHeight="1">
      <c r="A82" s="390" t="s">
        <v>430</v>
      </c>
      <c r="B82" s="391" t="s">
        <v>708</v>
      </c>
      <c r="C82" s="400">
        <f>COUNTIF('Chem Props'!$B$6:$B$851,'Parameters Summary'!A82)</f>
        <v>1</v>
      </c>
      <c r="D82" s="400">
        <f>COUNTIF('Tox Summary'!$N$3:$N$792, 'Parameters Summary'!A82)</f>
        <v>1</v>
      </c>
      <c r="E82" s="434">
        <v>252.73</v>
      </c>
      <c r="F82" s="435" t="s">
        <v>1620</v>
      </c>
      <c r="G82" s="436">
        <v>2.18724E-2</v>
      </c>
      <c r="H82" s="436">
        <v>5.3499999999999999E-4</v>
      </c>
      <c r="I82" s="437" t="s">
        <v>1620</v>
      </c>
      <c r="J82" s="436">
        <v>5.4</v>
      </c>
      <c r="K82" s="437" t="s">
        <v>553</v>
      </c>
      <c r="L82" s="453">
        <v>8</v>
      </c>
      <c r="M82" s="454" t="s">
        <v>1620</v>
      </c>
      <c r="N82" s="455">
        <v>2.8788</v>
      </c>
      <c r="O82" s="456" t="s">
        <v>1618</v>
      </c>
      <c r="P82" s="471">
        <v>3.5732399999999997E-2</v>
      </c>
      <c r="Q82" s="471">
        <v>1.04E-5</v>
      </c>
      <c r="R82" s="472" t="s">
        <v>2435</v>
      </c>
      <c r="S82" s="473" t="s">
        <v>1531</v>
      </c>
      <c r="T82" s="474" t="s">
        <v>1413</v>
      </c>
      <c r="U82" s="484">
        <v>31.82</v>
      </c>
      <c r="V82" s="484" t="s">
        <v>553</v>
      </c>
      <c r="W82" s="495">
        <v>2.4</v>
      </c>
      <c r="X82" s="496" t="s">
        <v>1620</v>
      </c>
      <c r="Y82" s="486">
        <v>3100</v>
      </c>
      <c r="Z82" s="487" t="s">
        <v>1620</v>
      </c>
      <c r="AA82" s="394">
        <v>2.3500000000000001E-3</v>
      </c>
      <c r="AB82" s="395" t="s">
        <v>553</v>
      </c>
      <c r="AC82" s="369"/>
    </row>
    <row r="83" spans="1:29" ht="20.100000000000001" customHeight="1" thickBot="1">
      <c r="A83" s="392" t="s">
        <v>1013</v>
      </c>
      <c r="B83" s="393" t="s">
        <v>709</v>
      </c>
      <c r="C83" s="400">
        <f>COUNTIF('Chem Props'!$B$6:$B$851,'Parameters Summary'!A83)</f>
        <v>1</v>
      </c>
      <c r="D83" s="400">
        <f>COUNTIF('Tox Summary'!$N$3:$N$792, 'Parameters Summary'!A83)</f>
        <v>1</v>
      </c>
      <c r="E83" s="438">
        <v>94.938999999999993</v>
      </c>
      <c r="F83" s="439" t="s">
        <v>1620</v>
      </c>
      <c r="G83" s="440">
        <v>0.30008180000000001</v>
      </c>
      <c r="H83" s="440">
        <v>7.3400000000000002E-3</v>
      </c>
      <c r="I83" s="441" t="s">
        <v>1620</v>
      </c>
      <c r="J83" s="440">
        <v>1616</v>
      </c>
      <c r="K83" s="441" t="s">
        <v>1620</v>
      </c>
      <c r="L83" s="457">
        <v>-93.7</v>
      </c>
      <c r="M83" s="458" t="s">
        <v>1620</v>
      </c>
      <c r="N83" s="459">
        <v>1.6755</v>
      </c>
      <c r="O83" s="460" t="s">
        <v>1618</v>
      </c>
      <c r="P83" s="475">
        <v>0.10049760000000001</v>
      </c>
      <c r="Q83" s="475">
        <v>1.3499999999999999E-5</v>
      </c>
      <c r="R83" s="476" t="s">
        <v>2435</v>
      </c>
      <c r="S83" s="477" t="s">
        <v>1531</v>
      </c>
      <c r="T83" s="478" t="s">
        <v>1413</v>
      </c>
      <c r="U83" s="481">
        <v>13.22</v>
      </c>
      <c r="V83" s="481" t="s">
        <v>553</v>
      </c>
      <c r="W83" s="497">
        <v>1.19</v>
      </c>
      <c r="X83" s="498" t="s">
        <v>1620</v>
      </c>
      <c r="Y83" s="488">
        <v>15200</v>
      </c>
      <c r="Z83" s="489" t="s">
        <v>1620</v>
      </c>
      <c r="AA83" s="396">
        <v>2.8400000000000001E-3</v>
      </c>
      <c r="AB83" s="397" t="s">
        <v>553</v>
      </c>
      <c r="AC83" s="369"/>
    </row>
    <row r="84" spans="1:29" ht="20.100000000000001" customHeight="1">
      <c r="A84" s="390" t="s">
        <v>1014</v>
      </c>
      <c r="B84" s="391" t="s">
        <v>710</v>
      </c>
      <c r="C84" s="400">
        <f>COUNTIF('Chem Props'!$B$6:$B$851,'Parameters Summary'!A84)</f>
        <v>1</v>
      </c>
      <c r="D84" s="400">
        <f>COUNTIF('Tox Summary'!$N$3:$N$792, 'Parameters Summary'!A84)</f>
        <v>1</v>
      </c>
      <c r="E84" s="434">
        <v>366</v>
      </c>
      <c r="F84" s="435" t="s">
        <v>1620</v>
      </c>
      <c r="G84" s="436">
        <v>8.3809999999999996E-3</v>
      </c>
      <c r="H84" s="436">
        <v>2.05E-4</v>
      </c>
      <c r="I84" s="437" t="s">
        <v>553</v>
      </c>
      <c r="J84" s="436">
        <v>1.2750000000000001E-4</v>
      </c>
      <c r="K84" s="437" t="s">
        <v>1620</v>
      </c>
      <c r="L84" s="453">
        <v>53.5</v>
      </c>
      <c r="M84" s="454" t="s">
        <v>1620</v>
      </c>
      <c r="N84" s="455">
        <v>1.704</v>
      </c>
      <c r="O84" s="456" t="s">
        <v>2206</v>
      </c>
      <c r="P84" s="471">
        <v>2.3467600000000002E-2</v>
      </c>
      <c r="Q84" s="471">
        <v>6.0542999999999998E-6</v>
      </c>
      <c r="R84" s="472" t="s">
        <v>2435</v>
      </c>
      <c r="S84" s="473" t="s">
        <v>1531</v>
      </c>
      <c r="T84" s="474" t="s">
        <v>1413</v>
      </c>
      <c r="U84" s="484">
        <v>2019</v>
      </c>
      <c r="V84" s="484" t="s">
        <v>553</v>
      </c>
      <c r="W84" s="495">
        <v>5.21</v>
      </c>
      <c r="X84" s="496" t="s">
        <v>1620</v>
      </c>
      <c r="Y84" s="486">
        <v>0.3</v>
      </c>
      <c r="Z84" s="487" t="s">
        <v>1620</v>
      </c>
      <c r="AA84" s="394">
        <v>4.0099999999999997E-2</v>
      </c>
      <c r="AB84" s="395" t="s">
        <v>553</v>
      </c>
      <c r="AC84" s="369"/>
    </row>
    <row r="85" spans="1:29" ht="20.100000000000001" customHeight="1">
      <c r="A85" s="390" t="s">
        <v>2495</v>
      </c>
      <c r="B85" s="391" t="s">
        <v>2496</v>
      </c>
      <c r="C85" s="400">
        <f>COUNTIF('Chem Props'!$B$6:$B$851,'Parameters Summary'!A85)</f>
        <v>1</v>
      </c>
      <c r="D85" s="400">
        <f>COUNTIF('Tox Summary'!$N$3:$N$792, 'Parameters Summary'!A85)</f>
        <v>1</v>
      </c>
      <c r="E85" s="434">
        <v>122.99</v>
      </c>
      <c r="F85" s="435" t="s">
        <v>553</v>
      </c>
      <c r="G85" s="436">
        <v>0.29926000000000003</v>
      </c>
      <c r="H85" s="436">
        <v>7.3200000000000001E-3</v>
      </c>
      <c r="I85" s="437" t="s">
        <v>553</v>
      </c>
      <c r="J85" s="436">
        <v>110.8</v>
      </c>
      <c r="K85" s="437" t="s">
        <v>553</v>
      </c>
      <c r="L85" s="453">
        <v>-110</v>
      </c>
      <c r="M85" s="454" t="s">
        <v>553</v>
      </c>
      <c r="N85" s="455">
        <v>1.3536999999999999</v>
      </c>
      <c r="O85" s="456" t="s">
        <v>1618</v>
      </c>
      <c r="P85" s="471">
        <v>7.1693400000000004E-2</v>
      </c>
      <c r="Q85" s="471">
        <v>1.01E-5</v>
      </c>
      <c r="R85" s="472" t="s">
        <v>2435</v>
      </c>
      <c r="S85" s="473" t="s">
        <v>1531</v>
      </c>
      <c r="T85" s="474" t="s">
        <v>1413</v>
      </c>
      <c r="U85" s="484">
        <v>39.6</v>
      </c>
      <c r="V85" s="484" t="s">
        <v>553</v>
      </c>
      <c r="W85" s="495">
        <v>2.1</v>
      </c>
      <c r="X85" s="496" t="s">
        <v>553</v>
      </c>
      <c r="Y85" s="486">
        <v>2450</v>
      </c>
      <c r="Z85" s="487" t="s">
        <v>553</v>
      </c>
      <c r="AA85" s="394">
        <v>7.9500000000000005E-3</v>
      </c>
      <c r="AB85" s="395" t="s">
        <v>553</v>
      </c>
      <c r="AC85" s="369"/>
    </row>
    <row r="86" spans="1:29" ht="20.100000000000001" customHeight="1" thickBot="1">
      <c r="A86" s="392" t="s">
        <v>1015</v>
      </c>
      <c r="B86" s="393" t="s">
        <v>711</v>
      </c>
      <c r="C86" s="400">
        <f>COUNTIF('Chem Props'!$B$6:$B$851,'Parameters Summary'!A86)</f>
        <v>1</v>
      </c>
      <c r="D86" s="400">
        <f>COUNTIF('Tox Summary'!$N$3:$N$792, 'Parameters Summary'!A86)</f>
        <v>1</v>
      </c>
      <c r="E86" s="438">
        <v>276.92</v>
      </c>
      <c r="F86" s="439" t="s">
        <v>1620</v>
      </c>
      <c r="G86" s="440">
        <v>5.3966000000000002E-9</v>
      </c>
      <c r="H86" s="440">
        <v>1.3200000000000001E-10</v>
      </c>
      <c r="I86" s="441" t="s">
        <v>553</v>
      </c>
      <c r="J86" s="440">
        <v>4.7199999999999999E-8</v>
      </c>
      <c r="K86" s="441" t="s">
        <v>1620</v>
      </c>
      <c r="L86" s="457">
        <v>190</v>
      </c>
      <c r="M86" s="458" t="s">
        <v>1620</v>
      </c>
      <c r="N86" s="463" t="s">
        <v>1531</v>
      </c>
      <c r="O86" s="464" t="s">
        <v>1413</v>
      </c>
      <c r="P86" s="475">
        <v>4.47216E-2</v>
      </c>
      <c r="Q86" s="475">
        <v>5.2254E-6</v>
      </c>
      <c r="R86" s="476" t="s">
        <v>2435</v>
      </c>
      <c r="S86" s="477" t="s">
        <v>1531</v>
      </c>
      <c r="T86" s="478" t="s">
        <v>1413</v>
      </c>
      <c r="U86" s="481">
        <v>330.1</v>
      </c>
      <c r="V86" s="481" t="s">
        <v>553</v>
      </c>
      <c r="W86" s="497">
        <v>2.8</v>
      </c>
      <c r="X86" s="498" t="s">
        <v>1620</v>
      </c>
      <c r="Y86" s="488">
        <v>130</v>
      </c>
      <c r="Z86" s="489" t="s">
        <v>1620</v>
      </c>
      <c r="AA86" s="396">
        <v>7.8300000000000002E-3</v>
      </c>
      <c r="AB86" s="397" t="s">
        <v>553</v>
      </c>
      <c r="AC86" s="369"/>
    </row>
    <row r="87" spans="1:29" ht="20.100000000000001" customHeight="1">
      <c r="A87" s="390" t="s">
        <v>1016</v>
      </c>
      <c r="B87" s="391" t="s">
        <v>712</v>
      </c>
      <c r="C87" s="400">
        <f>COUNTIF('Chem Props'!$B$6:$B$851,'Parameters Summary'!A87)</f>
        <v>1</v>
      </c>
      <c r="D87" s="400">
        <f>COUNTIF('Tox Summary'!$N$3:$N$792, 'Parameters Summary'!A87)</f>
        <v>1</v>
      </c>
      <c r="E87" s="434">
        <v>403.12</v>
      </c>
      <c r="F87" s="435" t="s">
        <v>1620</v>
      </c>
      <c r="G87" s="436">
        <v>1.3041999999999999E-3</v>
      </c>
      <c r="H87" s="436">
        <v>3.1900000000000003E-5</v>
      </c>
      <c r="I87" s="437" t="s">
        <v>553</v>
      </c>
      <c r="J87" s="436">
        <v>4.7999999999999998E-6</v>
      </c>
      <c r="K87" s="437" t="s">
        <v>1620</v>
      </c>
      <c r="L87" s="453">
        <v>45.5</v>
      </c>
      <c r="M87" s="454" t="s">
        <v>1620</v>
      </c>
      <c r="N87" s="455">
        <v>1.54</v>
      </c>
      <c r="O87" s="456" t="s">
        <v>2206</v>
      </c>
      <c r="P87" s="471">
        <v>2.12801E-2</v>
      </c>
      <c r="Q87" s="471">
        <v>5.3767999999999999E-6</v>
      </c>
      <c r="R87" s="472" t="s">
        <v>2435</v>
      </c>
      <c r="S87" s="473" t="s">
        <v>1531</v>
      </c>
      <c r="T87" s="474" t="s">
        <v>1413</v>
      </c>
      <c r="U87" s="484">
        <v>4252</v>
      </c>
      <c r="V87" s="484" t="s">
        <v>553</v>
      </c>
      <c r="W87" s="495">
        <v>5.4</v>
      </c>
      <c r="X87" s="496" t="s">
        <v>1620</v>
      </c>
      <c r="Y87" s="486">
        <v>0.08</v>
      </c>
      <c r="Z87" s="487" t="s">
        <v>1620</v>
      </c>
      <c r="AA87" s="394">
        <v>3.32E-2</v>
      </c>
      <c r="AB87" s="395" t="s">
        <v>553</v>
      </c>
      <c r="AC87" s="369"/>
    </row>
    <row r="88" spans="1:29" ht="20.100000000000001" customHeight="1">
      <c r="A88" s="390" t="s">
        <v>1017</v>
      </c>
      <c r="B88" s="391" t="s">
        <v>713</v>
      </c>
      <c r="C88" s="400">
        <f>COUNTIF('Chem Props'!$B$6:$B$851,'Parameters Summary'!A88)</f>
        <v>1</v>
      </c>
      <c r="D88" s="400">
        <f>COUNTIF('Tox Summary'!$N$3:$N$792, 'Parameters Summary'!A88)</f>
        <v>1</v>
      </c>
      <c r="E88" s="434">
        <v>54.091999999999999</v>
      </c>
      <c r="F88" s="435" t="s">
        <v>1620</v>
      </c>
      <c r="G88" s="436">
        <v>3.0089942999999999</v>
      </c>
      <c r="H88" s="436">
        <v>7.3599999999999999E-2</v>
      </c>
      <c r="I88" s="437" t="s">
        <v>553</v>
      </c>
      <c r="J88" s="436">
        <v>2107</v>
      </c>
      <c r="K88" s="437" t="s">
        <v>1620</v>
      </c>
      <c r="L88" s="453">
        <v>-108.9</v>
      </c>
      <c r="M88" s="454" t="s">
        <v>1620</v>
      </c>
      <c r="N88" s="455">
        <v>0.6149</v>
      </c>
      <c r="O88" s="456" t="s">
        <v>1618</v>
      </c>
      <c r="P88" s="471">
        <v>0.1003488</v>
      </c>
      <c r="Q88" s="471">
        <v>1.03E-5</v>
      </c>
      <c r="R88" s="472" t="s">
        <v>2435</v>
      </c>
      <c r="S88" s="473" t="s">
        <v>1531</v>
      </c>
      <c r="T88" s="474" t="s">
        <v>1413</v>
      </c>
      <c r="U88" s="484">
        <v>39.6</v>
      </c>
      <c r="V88" s="484" t="s">
        <v>553</v>
      </c>
      <c r="W88" s="495">
        <v>1.99</v>
      </c>
      <c r="X88" s="496" t="s">
        <v>1620</v>
      </c>
      <c r="Y88" s="486">
        <v>735</v>
      </c>
      <c r="Z88" s="487" t="s">
        <v>1620</v>
      </c>
      <c r="AA88" s="394">
        <v>1.6400000000000001E-2</v>
      </c>
      <c r="AB88" s="395" t="s">
        <v>553</v>
      </c>
      <c r="AC88" s="369"/>
    </row>
    <row r="89" spans="1:29" ht="20.100000000000001" customHeight="1" thickBot="1">
      <c r="A89" s="392" t="s">
        <v>2428</v>
      </c>
      <c r="B89" s="393" t="s">
        <v>841</v>
      </c>
      <c r="C89" s="400">
        <f>COUNTIF('Chem Props'!$B$6:$B$851,'Parameters Summary'!A89)</f>
        <v>1</v>
      </c>
      <c r="D89" s="400">
        <f>COUNTIF('Tox Summary'!$N$3:$N$792, 'Parameters Summary'!A89)</f>
        <v>1</v>
      </c>
      <c r="E89" s="438">
        <v>249.1</v>
      </c>
      <c r="F89" s="439" t="s">
        <v>1620</v>
      </c>
      <c r="G89" s="440">
        <v>9.3622000000000003E-8</v>
      </c>
      <c r="H89" s="440">
        <v>2.2900000000000002E-9</v>
      </c>
      <c r="I89" s="441" t="s">
        <v>1620</v>
      </c>
      <c r="J89" s="440">
        <v>1.11E-5</v>
      </c>
      <c r="K89" s="441" t="s">
        <v>1620</v>
      </c>
      <c r="L89" s="457">
        <v>118</v>
      </c>
      <c r="M89" s="458" t="s">
        <v>1620</v>
      </c>
      <c r="N89" s="459">
        <v>1.369</v>
      </c>
      <c r="O89" s="460" t="s">
        <v>2205</v>
      </c>
      <c r="P89" s="475">
        <v>2.58052E-2</v>
      </c>
      <c r="Q89" s="475">
        <v>6.6879E-6</v>
      </c>
      <c r="R89" s="476" t="s">
        <v>2435</v>
      </c>
      <c r="S89" s="477" t="s">
        <v>1531</v>
      </c>
      <c r="T89" s="478" t="s">
        <v>1413</v>
      </c>
      <c r="U89" s="481">
        <v>370</v>
      </c>
      <c r="V89" s="481" t="s">
        <v>2199</v>
      </c>
      <c r="W89" s="497">
        <v>3.53</v>
      </c>
      <c r="X89" s="498" t="s">
        <v>1620</v>
      </c>
      <c r="Y89" s="488">
        <v>46</v>
      </c>
      <c r="Z89" s="489" t="s">
        <v>1620</v>
      </c>
      <c r="AA89" s="396">
        <v>1.3899999999999999E-2</v>
      </c>
      <c r="AB89" s="397" t="s">
        <v>553</v>
      </c>
      <c r="AC89" s="369"/>
    </row>
    <row r="90" spans="1:29" ht="20.100000000000001" customHeight="1">
      <c r="A90" s="390" t="s">
        <v>1018</v>
      </c>
      <c r="B90" s="391" t="s">
        <v>714</v>
      </c>
      <c r="C90" s="400">
        <f>COUNTIF('Chem Props'!$B$6:$B$851,'Parameters Summary'!A90)</f>
        <v>1</v>
      </c>
      <c r="D90" s="400">
        <f>COUNTIF('Tox Summary'!$N$3:$N$792, 'Parameters Summary'!A90)</f>
        <v>1</v>
      </c>
      <c r="E90" s="434">
        <v>74.123999999999995</v>
      </c>
      <c r="F90" s="435" t="s">
        <v>1620</v>
      </c>
      <c r="G90" s="436">
        <v>3.6019999999999997E-4</v>
      </c>
      <c r="H90" s="436">
        <v>8.8100000000000004E-6</v>
      </c>
      <c r="I90" s="437" t="s">
        <v>1620</v>
      </c>
      <c r="J90" s="436">
        <v>6.7</v>
      </c>
      <c r="K90" s="437" t="s">
        <v>1620</v>
      </c>
      <c r="L90" s="453">
        <v>-89.8</v>
      </c>
      <c r="M90" s="454" t="s">
        <v>1620</v>
      </c>
      <c r="N90" s="455">
        <v>0.8095</v>
      </c>
      <c r="O90" s="456" t="s">
        <v>1618</v>
      </c>
      <c r="P90" s="471">
        <v>9.0038699999999999E-2</v>
      </c>
      <c r="Q90" s="471">
        <v>1.01E-5</v>
      </c>
      <c r="R90" s="472" t="s">
        <v>2435</v>
      </c>
      <c r="S90" s="473" t="s">
        <v>1531</v>
      </c>
      <c r="T90" s="474" t="s">
        <v>1413</v>
      </c>
      <c r="U90" s="484">
        <v>3.4710000000000001</v>
      </c>
      <c r="V90" s="484" t="s">
        <v>553</v>
      </c>
      <c r="W90" s="495">
        <v>0.88</v>
      </c>
      <c r="X90" s="496" t="s">
        <v>1620</v>
      </c>
      <c r="Y90" s="486">
        <v>63200</v>
      </c>
      <c r="Z90" s="487" t="s">
        <v>1620</v>
      </c>
      <c r="AA90" s="394">
        <v>2.31E-3</v>
      </c>
      <c r="AB90" s="395" t="s">
        <v>553</v>
      </c>
      <c r="AC90" s="369"/>
    </row>
    <row r="91" spans="1:29" ht="20.100000000000001" customHeight="1">
      <c r="A91" s="390" t="s">
        <v>562</v>
      </c>
      <c r="B91" s="391" t="s">
        <v>716</v>
      </c>
      <c r="C91" s="400">
        <f>COUNTIF('Chem Props'!$B$6:$B$851,'Parameters Summary'!A91)</f>
        <v>1</v>
      </c>
      <c r="D91" s="400">
        <f>COUNTIF('Tox Summary'!$N$3:$N$792, 'Parameters Summary'!A91)</f>
        <v>1</v>
      </c>
      <c r="E91" s="434">
        <v>74.123999999999995</v>
      </c>
      <c r="F91" s="435" t="s">
        <v>1620</v>
      </c>
      <c r="G91" s="436">
        <v>3.704E-4</v>
      </c>
      <c r="H91" s="436">
        <v>9.0599999999999997E-6</v>
      </c>
      <c r="I91" s="437" t="s">
        <v>1620</v>
      </c>
      <c r="J91" s="436">
        <v>18.329999999999998</v>
      </c>
      <c r="K91" s="437" t="s">
        <v>1620</v>
      </c>
      <c r="L91" s="453">
        <v>-114.7</v>
      </c>
      <c r="M91" s="454" t="s">
        <v>1620</v>
      </c>
      <c r="N91" s="455">
        <v>0.80630000000000002</v>
      </c>
      <c r="O91" s="456" t="s">
        <v>1618</v>
      </c>
      <c r="P91" s="471">
        <v>8.9884800000000001E-2</v>
      </c>
      <c r="Q91" s="471">
        <v>1.01E-5</v>
      </c>
      <c r="R91" s="472" t="s">
        <v>2435</v>
      </c>
      <c r="S91" s="473" t="s">
        <v>1531</v>
      </c>
      <c r="T91" s="474" t="s">
        <v>1413</v>
      </c>
      <c r="U91" s="484">
        <v>2.919</v>
      </c>
      <c r="V91" s="484" t="s">
        <v>553</v>
      </c>
      <c r="W91" s="495">
        <v>0.61</v>
      </c>
      <c r="X91" s="496" t="s">
        <v>1620</v>
      </c>
      <c r="Y91" s="486">
        <v>181000</v>
      </c>
      <c r="Z91" s="487" t="s">
        <v>1620</v>
      </c>
      <c r="AA91" s="394">
        <v>1.5299999999999999E-3</v>
      </c>
      <c r="AB91" s="395" t="s">
        <v>553</v>
      </c>
      <c r="AC91" s="369"/>
    </row>
    <row r="92" spans="1:29" ht="20.100000000000001" customHeight="1" thickBot="1">
      <c r="A92" s="392" t="s">
        <v>1019</v>
      </c>
      <c r="B92" s="393" t="s">
        <v>717</v>
      </c>
      <c r="C92" s="400">
        <f>COUNTIF('Chem Props'!$B$6:$B$851,'Parameters Summary'!A92)</f>
        <v>1</v>
      </c>
      <c r="D92" s="400">
        <f>COUNTIF('Tox Summary'!$N$3:$N$792, 'Parameters Summary'!A92)</f>
        <v>1</v>
      </c>
      <c r="E92" s="438">
        <v>217.38</v>
      </c>
      <c r="F92" s="439" t="s">
        <v>1620</v>
      </c>
      <c r="G92" s="440">
        <v>3.4545999999999999E-3</v>
      </c>
      <c r="H92" s="440">
        <v>8.4499999999999994E-5</v>
      </c>
      <c r="I92" s="441" t="s">
        <v>553</v>
      </c>
      <c r="J92" s="440">
        <v>1.2999999999999999E-2</v>
      </c>
      <c r="K92" s="441" t="s">
        <v>1620</v>
      </c>
      <c r="L92" s="457">
        <v>60.29</v>
      </c>
      <c r="M92" s="458" t="s">
        <v>553</v>
      </c>
      <c r="N92" s="459">
        <v>0.94020000000000004</v>
      </c>
      <c r="O92" s="460" t="s">
        <v>1618</v>
      </c>
      <c r="P92" s="475">
        <v>2.3230600000000001E-2</v>
      </c>
      <c r="Q92" s="475">
        <v>5.7926000000000002E-6</v>
      </c>
      <c r="R92" s="476" t="s">
        <v>2435</v>
      </c>
      <c r="S92" s="477" t="s">
        <v>1531</v>
      </c>
      <c r="T92" s="478" t="s">
        <v>1413</v>
      </c>
      <c r="U92" s="481">
        <v>385.7</v>
      </c>
      <c r="V92" s="481" t="s">
        <v>553</v>
      </c>
      <c r="W92" s="497">
        <v>4.1500000000000004</v>
      </c>
      <c r="X92" s="498" t="s">
        <v>1620</v>
      </c>
      <c r="Y92" s="488">
        <v>45</v>
      </c>
      <c r="Z92" s="489" t="s">
        <v>1620</v>
      </c>
      <c r="AA92" s="396">
        <v>5.4100000000000002E-2</v>
      </c>
      <c r="AB92" s="397" t="s">
        <v>553</v>
      </c>
      <c r="AC92" s="369"/>
    </row>
    <row r="93" spans="1:29" ht="20.100000000000001" customHeight="1">
      <c r="A93" s="390" t="s">
        <v>563</v>
      </c>
      <c r="B93" s="391" t="s">
        <v>718</v>
      </c>
      <c r="C93" s="400">
        <f>COUNTIF('Chem Props'!$B$6:$B$851,'Parameters Summary'!A93)</f>
        <v>1</v>
      </c>
      <c r="D93" s="400">
        <f>COUNTIF('Tox Summary'!$N$3:$N$792, 'Parameters Summary'!A93)</f>
        <v>1</v>
      </c>
      <c r="E93" s="434">
        <v>360.5</v>
      </c>
      <c r="F93" s="435" t="s">
        <v>1620</v>
      </c>
      <c r="G93" s="436">
        <v>4.7800000000000003E-5</v>
      </c>
      <c r="H93" s="436">
        <v>1.17E-6</v>
      </c>
      <c r="I93" s="437" t="s">
        <v>1620</v>
      </c>
      <c r="J93" s="436">
        <v>2.48E-3</v>
      </c>
      <c r="K93" s="437" t="s">
        <v>1620</v>
      </c>
      <c r="L93" s="453">
        <v>51</v>
      </c>
      <c r="M93" s="454" t="s">
        <v>1620</v>
      </c>
      <c r="N93" s="461" t="s">
        <v>1531</v>
      </c>
      <c r="O93" s="462" t="s">
        <v>1413</v>
      </c>
      <c r="P93" s="471">
        <v>3.7510300000000003E-2</v>
      </c>
      <c r="Q93" s="471">
        <v>4.3827999999999998E-6</v>
      </c>
      <c r="R93" s="472" t="s">
        <v>2435</v>
      </c>
      <c r="S93" s="473" t="s">
        <v>1531</v>
      </c>
      <c r="T93" s="474" t="s">
        <v>1413</v>
      </c>
      <c r="U93" s="484">
        <v>840.7</v>
      </c>
      <c r="V93" s="484" t="s">
        <v>553</v>
      </c>
      <c r="W93" s="495">
        <v>3.5</v>
      </c>
      <c r="X93" s="496" t="s">
        <v>1620</v>
      </c>
      <c r="Y93" s="486">
        <v>212.8</v>
      </c>
      <c r="Z93" s="487" t="s">
        <v>1620</v>
      </c>
      <c r="AA93" s="394">
        <v>3.2500000000000001E-2</v>
      </c>
      <c r="AB93" s="395" t="s">
        <v>553</v>
      </c>
      <c r="AC93" s="369"/>
    </row>
    <row r="94" spans="1:29" ht="20.100000000000001" customHeight="1">
      <c r="A94" s="390" t="s">
        <v>2042</v>
      </c>
      <c r="B94" s="391" t="s">
        <v>2043</v>
      </c>
      <c r="C94" s="400">
        <f>COUNTIF('Chem Props'!$B$6:$B$851,'Parameters Summary'!A94)</f>
        <v>1</v>
      </c>
      <c r="D94" s="400">
        <f>COUNTIF('Tox Summary'!$N$3:$N$792, 'Parameters Summary'!A94)</f>
        <v>1</v>
      </c>
      <c r="E94" s="434">
        <v>220.36</v>
      </c>
      <c r="F94" s="435" t="s">
        <v>1620</v>
      </c>
      <c r="G94" s="436">
        <v>1.684E-4</v>
      </c>
      <c r="H94" s="436">
        <v>4.1200000000000004E-6</v>
      </c>
      <c r="I94" s="437" t="s">
        <v>1620</v>
      </c>
      <c r="J94" s="436">
        <v>5.1599999999999997E-3</v>
      </c>
      <c r="K94" s="437" t="s">
        <v>553</v>
      </c>
      <c r="L94" s="453">
        <v>71</v>
      </c>
      <c r="M94" s="454" t="s">
        <v>1620</v>
      </c>
      <c r="N94" s="455">
        <v>0.89370000000000005</v>
      </c>
      <c r="O94" s="456" t="s">
        <v>1618</v>
      </c>
      <c r="P94" s="471">
        <v>2.2509399999999999E-2</v>
      </c>
      <c r="Q94" s="471">
        <v>5.5732000000000003E-6</v>
      </c>
      <c r="R94" s="472" t="s">
        <v>2435</v>
      </c>
      <c r="S94" s="473" t="s">
        <v>1531</v>
      </c>
      <c r="T94" s="474" t="s">
        <v>1413</v>
      </c>
      <c r="U94" s="484">
        <v>14750</v>
      </c>
      <c r="V94" s="484" t="s">
        <v>553</v>
      </c>
      <c r="W94" s="495">
        <v>5.0999999999999996</v>
      </c>
      <c r="X94" s="496" t="s">
        <v>1620</v>
      </c>
      <c r="Y94" s="486">
        <v>0.6</v>
      </c>
      <c r="Z94" s="487" t="s">
        <v>1620</v>
      </c>
      <c r="AA94" s="394">
        <v>0.223</v>
      </c>
      <c r="AB94" s="395" t="s">
        <v>553</v>
      </c>
      <c r="AC94" s="369"/>
    </row>
    <row r="95" spans="1:29" ht="20.100000000000001" customHeight="1" thickBot="1">
      <c r="A95" s="392" t="s">
        <v>1563</v>
      </c>
      <c r="B95" s="393" t="s">
        <v>1564</v>
      </c>
      <c r="C95" s="400">
        <f>COUNTIF('Chem Props'!$B$6:$B$851,'Parameters Summary'!A95)</f>
        <v>1</v>
      </c>
      <c r="D95" s="400">
        <f>COUNTIF('Tox Summary'!$N$3:$N$792, 'Parameters Summary'!A95)</f>
        <v>1</v>
      </c>
      <c r="E95" s="438">
        <v>134.22</v>
      </c>
      <c r="F95" s="439" t="s">
        <v>1620</v>
      </c>
      <c r="G95" s="440">
        <v>0.65004090000000003</v>
      </c>
      <c r="H95" s="440">
        <v>1.5900000000000001E-2</v>
      </c>
      <c r="I95" s="441" t="s">
        <v>553</v>
      </c>
      <c r="J95" s="440">
        <v>1.0641</v>
      </c>
      <c r="K95" s="441" t="s">
        <v>1620</v>
      </c>
      <c r="L95" s="457">
        <v>-87.9</v>
      </c>
      <c r="M95" s="458" t="s">
        <v>1620</v>
      </c>
      <c r="N95" s="459">
        <v>0.86009999999999998</v>
      </c>
      <c r="O95" s="460" t="s">
        <v>1618</v>
      </c>
      <c r="P95" s="475">
        <v>5.2773199999999999E-2</v>
      </c>
      <c r="Q95" s="475">
        <v>7.3335000000000002E-6</v>
      </c>
      <c r="R95" s="476" t="s">
        <v>2435</v>
      </c>
      <c r="S95" s="477" t="s">
        <v>1531</v>
      </c>
      <c r="T95" s="478" t="s">
        <v>1413</v>
      </c>
      <c r="U95" s="481">
        <v>1482</v>
      </c>
      <c r="V95" s="481" t="s">
        <v>553</v>
      </c>
      <c r="W95" s="497">
        <v>4.38</v>
      </c>
      <c r="X95" s="498" t="s">
        <v>1620</v>
      </c>
      <c r="Y95" s="488">
        <v>11.8</v>
      </c>
      <c r="Z95" s="489" t="s">
        <v>1620</v>
      </c>
      <c r="AA95" s="396">
        <v>0.22500000000000001</v>
      </c>
      <c r="AB95" s="397" t="s">
        <v>553</v>
      </c>
      <c r="AC95" s="369"/>
    </row>
    <row r="96" spans="1:29" ht="20.100000000000001" customHeight="1">
      <c r="A96" s="390" t="s">
        <v>2027</v>
      </c>
      <c r="B96" s="391" t="s">
        <v>2028</v>
      </c>
      <c r="C96" s="400">
        <f>COUNTIF('Chem Props'!$B$6:$B$851,'Parameters Summary'!A96)</f>
        <v>1</v>
      </c>
      <c r="D96" s="400">
        <f>COUNTIF('Tox Summary'!$N$3:$N$792, 'Parameters Summary'!A96)</f>
        <v>1</v>
      </c>
      <c r="E96" s="434">
        <v>134.22</v>
      </c>
      <c r="F96" s="435" t="s">
        <v>1620</v>
      </c>
      <c r="G96" s="436">
        <v>0.71954209999999996</v>
      </c>
      <c r="H96" s="436">
        <v>1.7600000000000001E-2</v>
      </c>
      <c r="I96" s="437" t="s">
        <v>553</v>
      </c>
      <c r="J96" s="436">
        <v>1.752</v>
      </c>
      <c r="K96" s="437" t="s">
        <v>1620</v>
      </c>
      <c r="L96" s="453">
        <v>-82.7</v>
      </c>
      <c r="M96" s="454" t="s">
        <v>1620</v>
      </c>
      <c r="N96" s="455">
        <v>0.86080000000000001</v>
      </c>
      <c r="O96" s="456" t="s">
        <v>1619</v>
      </c>
      <c r="P96" s="471">
        <v>5.2792800000000001E-2</v>
      </c>
      <c r="Q96" s="471">
        <v>7.3370999999999996E-6</v>
      </c>
      <c r="R96" s="472" t="s">
        <v>2435</v>
      </c>
      <c r="S96" s="473" t="s">
        <v>1531</v>
      </c>
      <c r="T96" s="474" t="s">
        <v>1413</v>
      </c>
      <c r="U96" s="484">
        <v>1331</v>
      </c>
      <c r="V96" s="484" t="s">
        <v>553</v>
      </c>
      <c r="W96" s="495">
        <v>4.57</v>
      </c>
      <c r="X96" s="496" t="s">
        <v>1620</v>
      </c>
      <c r="Y96" s="486">
        <v>17.600000000000001</v>
      </c>
      <c r="Z96" s="487" t="s">
        <v>1620</v>
      </c>
      <c r="AA96" s="394">
        <v>0.30099999999999999</v>
      </c>
      <c r="AB96" s="395" t="s">
        <v>553</v>
      </c>
      <c r="AC96" s="369"/>
    </row>
    <row r="97" spans="1:29" ht="20.100000000000001" customHeight="1">
      <c r="A97" s="390" t="s">
        <v>2029</v>
      </c>
      <c r="B97" s="391" t="s">
        <v>2030</v>
      </c>
      <c r="C97" s="400">
        <f>COUNTIF('Chem Props'!$B$6:$B$851,'Parameters Summary'!A97)</f>
        <v>1</v>
      </c>
      <c r="D97" s="400">
        <f>COUNTIF('Tox Summary'!$N$3:$N$792, 'Parameters Summary'!A97)</f>
        <v>1</v>
      </c>
      <c r="E97" s="434">
        <v>134.22</v>
      </c>
      <c r="F97" s="435" t="s">
        <v>1620</v>
      </c>
      <c r="G97" s="436">
        <v>0.53965660000000004</v>
      </c>
      <c r="H97" s="436">
        <v>1.32E-2</v>
      </c>
      <c r="I97" s="437" t="s">
        <v>553</v>
      </c>
      <c r="J97" s="436">
        <v>2.2044000000000001</v>
      </c>
      <c r="K97" s="437" t="s">
        <v>1620</v>
      </c>
      <c r="L97" s="453">
        <v>-57.8</v>
      </c>
      <c r="M97" s="454" t="s">
        <v>1620</v>
      </c>
      <c r="N97" s="455">
        <v>0.86650000000000005</v>
      </c>
      <c r="O97" s="456" t="s">
        <v>1618</v>
      </c>
      <c r="P97" s="471">
        <v>5.29525E-2</v>
      </c>
      <c r="Q97" s="471">
        <v>7.3661999999999999E-6</v>
      </c>
      <c r="R97" s="472" t="s">
        <v>2435</v>
      </c>
      <c r="S97" s="473" t="s">
        <v>1531</v>
      </c>
      <c r="T97" s="474" t="s">
        <v>1413</v>
      </c>
      <c r="U97" s="484">
        <v>1001</v>
      </c>
      <c r="V97" s="484" t="s">
        <v>553</v>
      </c>
      <c r="W97" s="495">
        <v>4.1100000000000003</v>
      </c>
      <c r="X97" s="496" t="s">
        <v>1620</v>
      </c>
      <c r="Y97" s="486">
        <v>29.5</v>
      </c>
      <c r="Z97" s="487" t="s">
        <v>1620</v>
      </c>
      <c r="AA97" s="394">
        <v>0.14899999999999999</v>
      </c>
      <c r="AB97" s="395" t="s">
        <v>553</v>
      </c>
      <c r="AC97" s="369"/>
    </row>
    <row r="98" spans="1:29" ht="20.100000000000001" customHeight="1" thickBot="1">
      <c r="A98" s="392" t="s">
        <v>1020</v>
      </c>
      <c r="B98" s="393" t="s">
        <v>720</v>
      </c>
      <c r="C98" s="400">
        <f>COUNTIF('Chem Props'!$B$6:$B$851,'Parameters Summary'!A98)</f>
        <v>1</v>
      </c>
      <c r="D98" s="400">
        <f>COUNTIF('Tox Summary'!$N$3:$N$792, 'Parameters Summary'!A98)</f>
        <v>1</v>
      </c>
      <c r="E98" s="438">
        <v>138</v>
      </c>
      <c r="F98" s="439" t="s">
        <v>1620</v>
      </c>
      <c r="G98" s="440">
        <v>7.3590000000000002E-13</v>
      </c>
      <c r="H98" s="440">
        <v>1.7999999999999999E-14</v>
      </c>
      <c r="I98" s="441" t="s">
        <v>1620</v>
      </c>
      <c r="J98" s="440">
        <v>9.9999999999999995E-8</v>
      </c>
      <c r="K98" s="441" t="s">
        <v>1620</v>
      </c>
      <c r="L98" s="457">
        <v>195</v>
      </c>
      <c r="M98" s="458" t="s">
        <v>1620</v>
      </c>
      <c r="N98" s="463" t="s">
        <v>1531</v>
      </c>
      <c r="O98" s="464" t="s">
        <v>1413</v>
      </c>
      <c r="P98" s="475">
        <v>7.1148799999999998E-2</v>
      </c>
      <c r="Q98" s="475">
        <v>8.3132000000000003E-6</v>
      </c>
      <c r="R98" s="476" t="s">
        <v>2435</v>
      </c>
      <c r="S98" s="477" t="s">
        <v>1531</v>
      </c>
      <c r="T98" s="478" t="s">
        <v>1413</v>
      </c>
      <c r="U98" s="481">
        <v>43.89</v>
      </c>
      <c r="V98" s="481" t="s">
        <v>553</v>
      </c>
      <c r="W98" s="497">
        <v>0.36</v>
      </c>
      <c r="X98" s="498" t="s">
        <v>1620</v>
      </c>
      <c r="Y98" s="488">
        <v>2000000</v>
      </c>
      <c r="Z98" s="489" t="s">
        <v>1620</v>
      </c>
      <c r="AA98" s="396">
        <v>4.6000000000000001E-4</v>
      </c>
      <c r="AB98" s="397" t="s">
        <v>553</v>
      </c>
      <c r="AC98" s="369"/>
    </row>
    <row r="99" spans="1:29" ht="20.100000000000001" customHeight="1">
      <c r="A99" s="390" t="s">
        <v>554</v>
      </c>
      <c r="B99" s="391" t="s">
        <v>721</v>
      </c>
      <c r="C99" s="400">
        <f>COUNTIF('Chem Props'!$B$6:$B$851,'Parameters Summary'!A99)</f>
        <v>2</v>
      </c>
      <c r="D99" s="400">
        <f>COUNTIF('Tox Summary'!$N$3:$N$792, 'Parameters Summary'!A99)</f>
        <v>1</v>
      </c>
      <c r="E99" s="434">
        <v>112.4</v>
      </c>
      <c r="F99" s="435" t="s">
        <v>1620</v>
      </c>
      <c r="G99" s="444" t="s">
        <v>1531</v>
      </c>
      <c r="H99" s="444" t="s">
        <v>1531</v>
      </c>
      <c r="I99" s="445" t="s">
        <v>1413</v>
      </c>
      <c r="J99" s="436">
        <v>0</v>
      </c>
      <c r="K99" s="437" t="s">
        <v>2204</v>
      </c>
      <c r="L99" s="453">
        <v>321</v>
      </c>
      <c r="M99" s="454" t="s">
        <v>1620</v>
      </c>
      <c r="N99" s="455">
        <v>8.69</v>
      </c>
      <c r="O99" s="456" t="s">
        <v>1618</v>
      </c>
      <c r="P99" s="482" t="s">
        <v>1531</v>
      </c>
      <c r="Q99" s="482" t="s">
        <v>1531</v>
      </c>
      <c r="R99" s="483" t="s">
        <v>1413</v>
      </c>
      <c r="S99" s="484">
        <v>75</v>
      </c>
      <c r="T99" s="484" t="s">
        <v>557</v>
      </c>
      <c r="U99" s="473" t="s">
        <v>1531</v>
      </c>
      <c r="V99" s="474" t="s">
        <v>1413</v>
      </c>
      <c r="W99" s="501" t="s">
        <v>1531</v>
      </c>
      <c r="X99" s="502" t="s">
        <v>1413</v>
      </c>
      <c r="Y99" s="492" t="s">
        <v>1531</v>
      </c>
      <c r="Z99" s="493" t="s">
        <v>1413</v>
      </c>
      <c r="AA99" s="394">
        <v>1E-3</v>
      </c>
      <c r="AB99" s="395" t="s">
        <v>1668</v>
      </c>
      <c r="AC99" s="369"/>
    </row>
    <row r="100" spans="1:29" ht="20.100000000000001" customHeight="1">
      <c r="A100" s="390" t="s">
        <v>1021</v>
      </c>
      <c r="B100" s="391" t="s">
        <v>721</v>
      </c>
      <c r="C100" s="400">
        <f>COUNTIF('Chem Props'!$B$6:$B$851,'Parameters Summary'!A100)</f>
        <v>1</v>
      </c>
      <c r="D100" s="400">
        <f>COUNTIF('Tox Summary'!$N$3:$N$792, 'Parameters Summary'!A100)</f>
        <v>1</v>
      </c>
      <c r="E100" s="434">
        <v>112.4</v>
      </c>
      <c r="F100" s="435" t="s">
        <v>1620</v>
      </c>
      <c r="G100" s="444" t="s">
        <v>1531</v>
      </c>
      <c r="H100" s="444" t="s">
        <v>1531</v>
      </c>
      <c r="I100" s="445" t="s">
        <v>1413</v>
      </c>
      <c r="J100" s="436">
        <v>0</v>
      </c>
      <c r="K100" s="437" t="s">
        <v>2204</v>
      </c>
      <c r="L100" s="453">
        <v>321</v>
      </c>
      <c r="M100" s="454" t="s">
        <v>1620</v>
      </c>
      <c r="N100" s="455">
        <v>8.69</v>
      </c>
      <c r="O100" s="456" t="s">
        <v>1618</v>
      </c>
      <c r="P100" s="482" t="s">
        <v>1531</v>
      </c>
      <c r="Q100" s="482" t="s">
        <v>1531</v>
      </c>
      <c r="R100" s="483" t="s">
        <v>1413</v>
      </c>
      <c r="S100" s="484">
        <v>75</v>
      </c>
      <c r="T100" s="484" t="s">
        <v>557</v>
      </c>
      <c r="U100" s="473" t="s">
        <v>1531</v>
      </c>
      <c r="V100" s="474" t="s">
        <v>1413</v>
      </c>
      <c r="W100" s="501" t="s">
        <v>1531</v>
      </c>
      <c r="X100" s="502" t="s">
        <v>1413</v>
      </c>
      <c r="Y100" s="492" t="s">
        <v>1531</v>
      </c>
      <c r="Z100" s="493" t="s">
        <v>1413</v>
      </c>
      <c r="AA100" s="394">
        <v>1E-3</v>
      </c>
      <c r="AB100" s="395" t="s">
        <v>1668</v>
      </c>
      <c r="AC100" s="369"/>
    </row>
    <row r="101" spans="1:29" ht="20.100000000000001" customHeight="1" thickBot="1">
      <c r="A101" s="392" t="s">
        <v>1022</v>
      </c>
      <c r="B101" s="393" t="s">
        <v>722</v>
      </c>
      <c r="C101" s="400">
        <f>COUNTIF('Chem Props'!$B$6:$B$851,'Parameters Summary'!A101)</f>
        <v>1</v>
      </c>
      <c r="D101" s="400">
        <f>COUNTIF('Tox Summary'!$N$3:$N$792, 'Parameters Summary'!A101)</f>
        <v>1</v>
      </c>
      <c r="E101" s="438">
        <v>113.16</v>
      </c>
      <c r="F101" s="439" t="s">
        <v>1620</v>
      </c>
      <c r="G101" s="440">
        <v>1.0343E-6</v>
      </c>
      <c r="H101" s="440">
        <v>2.5300000000000002E-8</v>
      </c>
      <c r="I101" s="441" t="s">
        <v>1620</v>
      </c>
      <c r="J101" s="440">
        <v>1.6000000000000001E-3</v>
      </c>
      <c r="K101" s="441" t="s">
        <v>553</v>
      </c>
      <c r="L101" s="457">
        <v>69.3</v>
      </c>
      <c r="M101" s="458" t="s">
        <v>1620</v>
      </c>
      <c r="N101" s="459">
        <v>1.02</v>
      </c>
      <c r="O101" s="460" t="s">
        <v>1619</v>
      </c>
      <c r="P101" s="475">
        <v>6.9242200000000004E-2</v>
      </c>
      <c r="Q101" s="475">
        <v>8.9995000000000008E-6</v>
      </c>
      <c r="R101" s="476" t="s">
        <v>2435</v>
      </c>
      <c r="S101" s="477" t="s">
        <v>1531</v>
      </c>
      <c r="T101" s="478" t="s">
        <v>1413</v>
      </c>
      <c r="U101" s="481">
        <v>24.5</v>
      </c>
      <c r="V101" s="481" t="s">
        <v>553</v>
      </c>
      <c r="W101" s="497">
        <v>-0.19</v>
      </c>
      <c r="X101" s="498" t="s">
        <v>1622</v>
      </c>
      <c r="Y101" s="488">
        <v>772000</v>
      </c>
      <c r="Z101" s="489" t="s">
        <v>1620</v>
      </c>
      <c r="AA101" s="396">
        <v>1E-3</v>
      </c>
      <c r="AB101" s="397" t="s">
        <v>553</v>
      </c>
      <c r="AC101" s="369"/>
    </row>
    <row r="102" spans="1:29" ht="20.100000000000001" customHeight="1">
      <c r="A102" s="390" t="s">
        <v>1400</v>
      </c>
      <c r="B102" s="391" t="s">
        <v>723</v>
      </c>
      <c r="C102" s="400">
        <f>COUNTIF('Chem Props'!$B$6:$B$851,'Parameters Summary'!A102)</f>
        <v>1</v>
      </c>
      <c r="D102" s="400">
        <f>COUNTIF('Tox Summary'!$N$3:$N$792, 'Parameters Summary'!A102)</f>
        <v>1</v>
      </c>
      <c r="E102" s="434">
        <v>349.06</v>
      </c>
      <c r="F102" s="435" t="s">
        <v>1620</v>
      </c>
      <c r="G102" s="436">
        <v>2.0114000000000001E-7</v>
      </c>
      <c r="H102" s="436">
        <v>4.9200000000000004E-9</v>
      </c>
      <c r="I102" s="437" t="s">
        <v>553</v>
      </c>
      <c r="J102" s="436">
        <v>1.4999999999999999E-8</v>
      </c>
      <c r="K102" s="437" t="s">
        <v>553</v>
      </c>
      <c r="L102" s="453">
        <v>160</v>
      </c>
      <c r="M102" s="454" t="s">
        <v>1620</v>
      </c>
      <c r="N102" s="461" t="s">
        <v>1531</v>
      </c>
      <c r="O102" s="462" t="s">
        <v>1413</v>
      </c>
      <c r="P102" s="471">
        <v>3.8325400000000003E-2</v>
      </c>
      <c r="Q102" s="471">
        <v>4.4780000000000002E-6</v>
      </c>
      <c r="R102" s="472" t="s">
        <v>2435</v>
      </c>
      <c r="S102" s="473" t="s">
        <v>1531</v>
      </c>
      <c r="T102" s="474" t="s">
        <v>1413</v>
      </c>
      <c r="U102" s="484">
        <v>782.7</v>
      </c>
      <c r="V102" s="484" t="s">
        <v>553</v>
      </c>
      <c r="W102" s="495">
        <v>3.8</v>
      </c>
      <c r="X102" s="496" t="s">
        <v>1620</v>
      </c>
      <c r="Y102" s="486">
        <v>1.4</v>
      </c>
      <c r="Z102" s="487" t="s">
        <v>1620</v>
      </c>
      <c r="AA102" s="394">
        <v>5.77E-3</v>
      </c>
      <c r="AB102" s="395" t="s">
        <v>553</v>
      </c>
      <c r="AC102" s="369"/>
    </row>
    <row r="103" spans="1:29" ht="20.100000000000001" customHeight="1">
      <c r="A103" s="390" t="s">
        <v>1401</v>
      </c>
      <c r="B103" s="391" t="s">
        <v>724</v>
      </c>
      <c r="C103" s="400">
        <f>COUNTIF('Chem Props'!$B$6:$B$851,'Parameters Summary'!A103)</f>
        <v>1</v>
      </c>
      <c r="D103" s="400">
        <f>COUNTIF('Tox Summary'!$N$3:$N$792, 'Parameters Summary'!A103)</f>
        <v>1</v>
      </c>
      <c r="E103" s="434">
        <v>300.58999999999997</v>
      </c>
      <c r="F103" s="435" t="s">
        <v>1620</v>
      </c>
      <c r="G103" s="436">
        <v>2.8617999999999999E-7</v>
      </c>
      <c r="H103" s="436">
        <v>6.9999999999999998E-9</v>
      </c>
      <c r="I103" s="437" t="s">
        <v>553</v>
      </c>
      <c r="J103" s="436">
        <v>8.9999999999999999E-8</v>
      </c>
      <c r="K103" s="437" t="s">
        <v>1620</v>
      </c>
      <c r="L103" s="453">
        <v>178</v>
      </c>
      <c r="M103" s="454" t="s">
        <v>1620</v>
      </c>
      <c r="N103" s="455">
        <v>1.74</v>
      </c>
      <c r="O103" s="456" t="s">
        <v>1618</v>
      </c>
      <c r="P103" s="471">
        <v>2.6194100000000001E-2</v>
      </c>
      <c r="Q103" s="471">
        <v>6.8994999999999998E-6</v>
      </c>
      <c r="R103" s="472" t="s">
        <v>2435</v>
      </c>
      <c r="S103" s="473" t="s">
        <v>1531</v>
      </c>
      <c r="T103" s="474" t="s">
        <v>1413</v>
      </c>
      <c r="U103" s="484">
        <v>252.2</v>
      </c>
      <c r="V103" s="484" t="s">
        <v>553</v>
      </c>
      <c r="W103" s="495">
        <v>2.8</v>
      </c>
      <c r="X103" s="496" t="s">
        <v>1620</v>
      </c>
      <c r="Y103" s="486">
        <v>5.0999999999999996</v>
      </c>
      <c r="Z103" s="487" t="s">
        <v>1620</v>
      </c>
      <c r="AA103" s="394">
        <v>2.3400000000000001E-3</v>
      </c>
      <c r="AB103" s="395" t="s">
        <v>553</v>
      </c>
      <c r="AC103" s="369"/>
    </row>
    <row r="104" spans="1:29" ht="20.100000000000001" customHeight="1" thickBot="1">
      <c r="A104" s="392" t="s">
        <v>1023</v>
      </c>
      <c r="B104" s="393" t="s">
        <v>725</v>
      </c>
      <c r="C104" s="400">
        <f>COUNTIF('Chem Props'!$B$6:$B$851,'Parameters Summary'!A104)</f>
        <v>1</v>
      </c>
      <c r="D104" s="400">
        <f>COUNTIF('Tox Summary'!$N$3:$N$792, 'Parameters Summary'!A104)</f>
        <v>1</v>
      </c>
      <c r="E104" s="438">
        <v>201.23</v>
      </c>
      <c r="F104" s="439" t="s">
        <v>1620</v>
      </c>
      <c r="G104" s="440">
        <v>1.3369E-7</v>
      </c>
      <c r="H104" s="440">
        <v>3.2700000000000001E-9</v>
      </c>
      <c r="I104" s="441" t="s">
        <v>553</v>
      </c>
      <c r="J104" s="440">
        <v>1.3599999999999999E-6</v>
      </c>
      <c r="K104" s="441" t="s">
        <v>1620</v>
      </c>
      <c r="L104" s="457">
        <v>145</v>
      </c>
      <c r="M104" s="458" t="s">
        <v>1620</v>
      </c>
      <c r="N104" s="459">
        <v>1.228</v>
      </c>
      <c r="O104" s="460" t="s">
        <v>1618</v>
      </c>
      <c r="P104" s="475">
        <v>2.7424400000000002E-2</v>
      </c>
      <c r="Q104" s="475">
        <v>7.1215999999999997E-6</v>
      </c>
      <c r="R104" s="476" t="s">
        <v>2435</v>
      </c>
      <c r="S104" s="477" t="s">
        <v>1531</v>
      </c>
      <c r="T104" s="478" t="s">
        <v>1413</v>
      </c>
      <c r="U104" s="481">
        <v>354.8</v>
      </c>
      <c r="V104" s="481" t="s">
        <v>553</v>
      </c>
      <c r="W104" s="497">
        <v>2.36</v>
      </c>
      <c r="X104" s="498" t="s">
        <v>1620</v>
      </c>
      <c r="Y104" s="488">
        <v>110</v>
      </c>
      <c r="Z104" s="489" t="s">
        <v>1620</v>
      </c>
      <c r="AA104" s="396">
        <v>4.3099999999999996E-3</v>
      </c>
      <c r="AB104" s="397" t="s">
        <v>553</v>
      </c>
      <c r="AC104" s="369"/>
    </row>
    <row r="105" spans="1:29" ht="20.100000000000001" customHeight="1">
      <c r="A105" s="390" t="s">
        <v>1024</v>
      </c>
      <c r="B105" s="391" t="s">
        <v>726</v>
      </c>
      <c r="C105" s="400">
        <f>COUNTIF('Chem Props'!$B$6:$B$851,'Parameters Summary'!A105)</f>
        <v>1</v>
      </c>
      <c r="D105" s="400">
        <f>COUNTIF('Tox Summary'!$N$3:$N$792, 'Parameters Summary'!A105)</f>
        <v>1</v>
      </c>
      <c r="E105" s="434">
        <v>221.26</v>
      </c>
      <c r="F105" s="435" t="s">
        <v>1620</v>
      </c>
      <c r="G105" s="436">
        <v>1.2632999999999999E-7</v>
      </c>
      <c r="H105" s="436">
        <v>3.0899999999999999E-9</v>
      </c>
      <c r="I105" s="437" t="s">
        <v>553</v>
      </c>
      <c r="J105" s="436">
        <v>4.8500000000000002E-6</v>
      </c>
      <c r="K105" s="437" t="s">
        <v>1620</v>
      </c>
      <c r="L105" s="453">
        <v>151</v>
      </c>
      <c r="M105" s="454" t="s">
        <v>1620</v>
      </c>
      <c r="N105" s="455">
        <v>1.18</v>
      </c>
      <c r="O105" s="456" t="s">
        <v>1618</v>
      </c>
      <c r="P105" s="471">
        <v>2.5614899999999999E-2</v>
      </c>
      <c r="Q105" s="471">
        <v>6.5683999999999997E-6</v>
      </c>
      <c r="R105" s="472" t="s">
        <v>2435</v>
      </c>
      <c r="S105" s="473" t="s">
        <v>1531</v>
      </c>
      <c r="T105" s="474" t="s">
        <v>1413</v>
      </c>
      <c r="U105" s="484">
        <v>95.25</v>
      </c>
      <c r="V105" s="484" t="s">
        <v>553</v>
      </c>
      <c r="W105" s="495">
        <v>2.3199999999999998</v>
      </c>
      <c r="X105" s="496" t="s">
        <v>1620</v>
      </c>
      <c r="Y105" s="486">
        <v>320</v>
      </c>
      <c r="Z105" s="487" t="s">
        <v>1620</v>
      </c>
      <c r="AA105" s="394">
        <v>3.13E-3</v>
      </c>
      <c r="AB105" s="395" t="s">
        <v>553</v>
      </c>
      <c r="AC105" s="369"/>
    </row>
    <row r="106" spans="1:29" ht="20.100000000000001" customHeight="1">
      <c r="A106" s="390" t="s">
        <v>1025</v>
      </c>
      <c r="B106" s="391" t="s">
        <v>727</v>
      </c>
      <c r="C106" s="400">
        <f>COUNTIF('Chem Props'!$B$6:$B$851,'Parameters Summary'!A106)</f>
        <v>1</v>
      </c>
      <c r="D106" s="400">
        <f>COUNTIF('Tox Summary'!$N$3:$N$792, 'Parameters Summary'!A106)</f>
        <v>1</v>
      </c>
      <c r="E106" s="434">
        <v>76.138999999999996</v>
      </c>
      <c r="F106" s="435" t="s">
        <v>1620</v>
      </c>
      <c r="G106" s="436">
        <v>0.58871629999999997</v>
      </c>
      <c r="H106" s="436">
        <v>1.44E-2</v>
      </c>
      <c r="I106" s="437" t="s">
        <v>1620</v>
      </c>
      <c r="J106" s="436">
        <v>359</v>
      </c>
      <c r="K106" s="437" t="s">
        <v>1620</v>
      </c>
      <c r="L106" s="453">
        <v>-111.5</v>
      </c>
      <c r="M106" s="454" t="s">
        <v>1620</v>
      </c>
      <c r="N106" s="455">
        <v>1.2632000000000001</v>
      </c>
      <c r="O106" s="456" t="s">
        <v>1618</v>
      </c>
      <c r="P106" s="471">
        <v>0.1064373</v>
      </c>
      <c r="Q106" s="471">
        <v>1.2999999999999999E-5</v>
      </c>
      <c r="R106" s="472" t="s">
        <v>2435</v>
      </c>
      <c r="S106" s="473" t="s">
        <v>1531</v>
      </c>
      <c r="T106" s="474" t="s">
        <v>1413</v>
      </c>
      <c r="U106" s="484">
        <v>21.73</v>
      </c>
      <c r="V106" s="484" t="s">
        <v>553</v>
      </c>
      <c r="W106" s="495">
        <v>1.94</v>
      </c>
      <c r="X106" s="496" t="s">
        <v>1620</v>
      </c>
      <c r="Y106" s="486">
        <v>2160</v>
      </c>
      <c r="Z106" s="487" t="s">
        <v>1620</v>
      </c>
      <c r="AA106" s="394">
        <v>1.14E-2</v>
      </c>
      <c r="AB106" s="395" t="s">
        <v>553</v>
      </c>
      <c r="AC106" s="369"/>
    </row>
    <row r="107" spans="1:29" ht="20.100000000000001" customHeight="1" thickBot="1">
      <c r="A107" s="392" t="s">
        <v>1026</v>
      </c>
      <c r="B107" s="393" t="s">
        <v>728</v>
      </c>
      <c r="C107" s="400">
        <f>COUNTIF('Chem Props'!$B$6:$B$851,'Parameters Summary'!A107)</f>
        <v>1</v>
      </c>
      <c r="D107" s="400">
        <f>COUNTIF('Tox Summary'!$N$3:$N$792, 'Parameters Summary'!A107)</f>
        <v>1</v>
      </c>
      <c r="E107" s="438">
        <v>153.82</v>
      </c>
      <c r="F107" s="439" t="s">
        <v>1620</v>
      </c>
      <c r="G107" s="440">
        <v>1.1283729</v>
      </c>
      <c r="H107" s="440">
        <v>2.76E-2</v>
      </c>
      <c r="I107" s="441" t="s">
        <v>1620</v>
      </c>
      <c r="J107" s="440">
        <v>115</v>
      </c>
      <c r="K107" s="441" t="s">
        <v>1620</v>
      </c>
      <c r="L107" s="457">
        <v>-23</v>
      </c>
      <c r="M107" s="458" t="s">
        <v>1620</v>
      </c>
      <c r="N107" s="459">
        <v>1.5940000000000001</v>
      </c>
      <c r="O107" s="460" t="s">
        <v>1618</v>
      </c>
      <c r="P107" s="475">
        <v>5.71435E-2</v>
      </c>
      <c r="Q107" s="475">
        <v>9.7849000000000001E-6</v>
      </c>
      <c r="R107" s="476" t="s">
        <v>2435</v>
      </c>
      <c r="S107" s="477" t="s">
        <v>1531</v>
      </c>
      <c r="T107" s="478" t="s">
        <v>1413</v>
      </c>
      <c r="U107" s="481">
        <v>43.89</v>
      </c>
      <c r="V107" s="481" t="s">
        <v>553</v>
      </c>
      <c r="W107" s="497">
        <v>2.83</v>
      </c>
      <c r="X107" s="498" t="s">
        <v>1620</v>
      </c>
      <c r="Y107" s="488">
        <v>793</v>
      </c>
      <c r="Z107" s="489" t="s">
        <v>1620</v>
      </c>
      <c r="AA107" s="396">
        <v>1.6299999999999999E-2</v>
      </c>
      <c r="AB107" s="397" t="s">
        <v>553</v>
      </c>
      <c r="AC107" s="369"/>
    </row>
    <row r="108" spans="1:29" ht="20.100000000000001" customHeight="1">
      <c r="A108" s="390" t="s">
        <v>2281</v>
      </c>
      <c r="B108" s="391" t="s">
        <v>2280</v>
      </c>
      <c r="C108" s="400">
        <f>COUNTIF('Chem Props'!$B$6:$B$851,'Parameters Summary'!A108)</f>
        <v>1</v>
      </c>
      <c r="D108" s="400">
        <f>COUNTIF('Tox Summary'!$N$3:$N$792, 'Parameters Summary'!A108)</f>
        <v>1</v>
      </c>
      <c r="E108" s="434">
        <v>60.075000000000003</v>
      </c>
      <c r="F108" s="435" t="s">
        <v>1620</v>
      </c>
      <c r="G108" s="436">
        <v>24.94</v>
      </c>
      <c r="H108" s="436">
        <v>0.61</v>
      </c>
      <c r="I108" s="437" t="s">
        <v>553</v>
      </c>
      <c r="J108" s="436">
        <v>9412</v>
      </c>
      <c r="K108" s="437" t="s">
        <v>1620</v>
      </c>
      <c r="L108" s="453">
        <v>-138.80000000000001</v>
      </c>
      <c r="M108" s="454" t="s">
        <v>1620</v>
      </c>
      <c r="N108" s="455">
        <v>1.028</v>
      </c>
      <c r="O108" s="456" t="s">
        <v>1618</v>
      </c>
      <c r="P108" s="471">
        <v>0.1157542</v>
      </c>
      <c r="Q108" s="471">
        <v>1.3200000000000001E-5</v>
      </c>
      <c r="R108" s="472" t="s">
        <v>2435</v>
      </c>
      <c r="S108" s="473" t="s">
        <v>1531</v>
      </c>
      <c r="T108" s="474" t="s">
        <v>1413</v>
      </c>
      <c r="U108" s="484">
        <v>1</v>
      </c>
      <c r="V108" s="484" t="s">
        <v>553</v>
      </c>
      <c r="W108" s="495">
        <v>-1.33</v>
      </c>
      <c r="X108" s="496" t="s">
        <v>1620</v>
      </c>
      <c r="Y108" s="486">
        <v>1220</v>
      </c>
      <c r="Z108" s="487" t="s">
        <v>1620</v>
      </c>
      <c r="AA108" s="394">
        <v>9.4199999999999999E-5</v>
      </c>
      <c r="AB108" s="395" t="s">
        <v>553</v>
      </c>
      <c r="AC108" s="369"/>
    </row>
    <row r="109" spans="1:29" ht="20.100000000000001" customHeight="1">
      <c r="A109" s="390" t="s">
        <v>1027</v>
      </c>
      <c r="B109" s="391" t="s">
        <v>729</v>
      </c>
      <c r="C109" s="400">
        <f>COUNTIF('Chem Props'!$B$6:$B$851,'Parameters Summary'!A109)</f>
        <v>1</v>
      </c>
      <c r="D109" s="400">
        <f>COUNTIF('Tox Summary'!$N$3:$N$792, 'Parameters Summary'!A109)</f>
        <v>1</v>
      </c>
      <c r="E109" s="434">
        <v>380.55</v>
      </c>
      <c r="F109" s="435" t="s">
        <v>1620</v>
      </c>
      <c r="G109" s="436">
        <v>2.09E-5</v>
      </c>
      <c r="H109" s="436">
        <v>5.1200000000000003E-7</v>
      </c>
      <c r="I109" s="437" t="s">
        <v>553</v>
      </c>
      <c r="J109" s="436">
        <v>3.0699999999999998E-7</v>
      </c>
      <c r="K109" s="437" t="s">
        <v>1620</v>
      </c>
      <c r="L109" s="453">
        <v>25</v>
      </c>
      <c r="M109" s="454" t="s">
        <v>1620</v>
      </c>
      <c r="N109" s="455">
        <v>1.056</v>
      </c>
      <c r="O109" s="456" t="s">
        <v>1618</v>
      </c>
      <c r="P109" s="471">
        <v>1.8238799999999999E-2</v>
      </c>
      <c r="Q109" s="471">
        <v>4.4383999999999997E-6</v>
      </c>
      <c r="R109" s="472" t="s">
        <v>2435</v>
      </c>
      <c r="S109" s="473" t="s">
        <v>1531</v>
      </c>
      <c r="T109" s="474" t="s">
        <v>1413</v>
      </c>
      <c r="U109" s="484">
        <v>11960</v>
      </c>
      <c r="V109" s="484" t="s">
        <v>553</v>
      </c>
      <c r="W109" s="495">
        <v>5.57</v>
      </c>
      <c r="X109" s="496" t="s">
        <v>1620</v>
      </c>
      <c r="Y109" s="486">
        <v>0.3</v>
      </c>
      <c r="Z109" s="487" t="s">
        <v>1620</v>
      </c>
      <c r="AA109" s="394">
        <v>5.79E-2</v>
      </c>
      <c r="AB109" s="395" t="s">
        <v>553</v>
      </c>
      <c r="AC109" s="369"/>
    </row>
    <row r="110" spans="1:29" ht="20.100000000000001" customHeight="1" thickBot="1">
      <c r="A110" s="392" t="s">
        <v>1028</v>
      </c>
      <c r="B110" s="393" t="s">
        <v>730</v>
      </c>
      <c r="C110" s="400">
        <f>COUNTIF('Chem Props'!$B$6:$B$851,'Parameters Summary'!A110)</f>
        <v>1</v>
      </c>
      <c r="D110" s="400">
        <f>COUNTIF('Tox Summary'!$N$3:$N$792, 'Parameters Summary'!A110)</f>
        <v>1</v>
      </c>
      <c r="E110" s="438">
        <v>235.31</v>
      </c>
      <c r="F110" s="439" t="s">
        <v>1620</v>
      </c>
      <c r="G110" s="440">
        <v>1.3083E-8</v>
      </c>
      <c r="H110" s="440">
        <v>3.1999999999999998E-10</v>
      </c>
      <c r="I110" s="441" t="s">
        <v>553</v>
      </c>
      <c r="J110" s="440">
        <v>1.4999999999999999E-7</v>
      </c>
      <c r="K110" s="441" t="s">
        <v>1620</v>
      </c>
      <c r="L110" s="457">
        <v>91.5</v>
      </c>
      <c r="M110" s="458" t="s">
        <v>1620</v>
      </c>
      <c r="N110" s="463" t="s">
        <v>1531</v>
      </c>
      <c r="O110" s="464" t="s">
        <v>1413</v>
      </c>
      <c r="P110" s="475">
        <v>4.9849400000000002E-2</v>
      </c>
      <c r="Q110" s="475">
        <v>5.8244999999999999E-6</v>
      </c>
      <c r="R110" s="476" t="s">
        <v>2435</v>
      </c>
      <c r="S110" s="477" t="s">
        <v>1531</v>
      </c>
      <c r="T110" s="478" t="s">
        <v>1413</v>
      </c>
      <c r="U110" s="481">
        <v>169.4</v>
      </c>
      <c r="V110" s="481" t="s">
        <v>553</v>
      </c>
      <c r="W110" s="497">
        <v>2.14</v>
      </c>
      <c r="X110" s="498" t="s">
        <v>1620</v>
      </c>
      <c r="Y110" s="488">
        <v>147</v>
      </c>
      <c r="Z110" s="489" t="s">
        <v>1620</v>
      </c>
      <c r="AA110" s="396">
        <v>1.98E-3</v>
      </c>
      <c r="AB110" s="397" t="s">
        <v>553</v>
      </c>
      <c r="AC110" s="369"/>
    </row>
    <row r="111" spans="1:29" ht="20.100000000000001" customHeight="1">
      <c r="A111" s="390" t="s">
        <v>564</v>
      </c>
      <c r="B111" s="391" t="s">
        <v>731</v>
      </c>
      <c r="C111" s="400">
        <f>COUNTIF('Chem Props'!$B$6:$B$851,'Parameters Summary'!A111)</f>
        <v>1</v>
      </c>
      <c r="D111" s="400">
        <f>COUNTIF('Tox Summary'!$N$3:$N$792, 'Parameters Summary'!A111)</f>
        <v>1</v>
      </c>
      <c r="E111" s="434">
        <v>172.11500000000001</v>
      </c>
      <c r="F111" s="435" t="s">
        <v>1618</v>
      </c>
      <c r="G111" s="444" t="s">
        <v>1531</v>
      </c>
      <c r="H111" s="444" t="s">
        <v>1531</v>
      </c>
      <c r="I111" s="445" t="s">
        <v>1413</v>
      </c>
      <c r="J111" s="444" t="s">
        <v>1531</v>
      </c>
      <c r="K111" s="445" t="s">
        <v>1413</v>
      </c>
      <c r="L111" s="453">
        <v>2480</v>
      </c>
      <c r="M111" s="454" t="s">
        <v>1618</v>
      </c>
      <c r="N111" s="455">
        <v>7.2160000000000002</v>
      </c>
      <c r="O111" s="456" t="s">
        <v>1618</v>
      </c>
      <c r="P111" s="482" t="s">
        <v>1531</v>
      </c>
      <c r="Q111" s="482" t="s">
        <v>1531</v>
      </c>
      <c r="R111" s="483" t="s">
        <v>1413</v>
      </c>
      <c r="S111" s="473" t="s">
        <v>1531</v>
      </c>
      <c r="T111" s="474" t="s">
        <v>1413</v>
      </c>
      <c r="U111" s="473" t="s">
        <v>1531</v>
      </c>
      <c r="V111" s="474" t="s">
        <v>1413</v>
      </c>
      <c r="W111" s="501" t="s">
        <v>1531</v>
      </c>
      <c r="X111" s="502" t="s">
        <v>1413</v>
      </c>
      <c r="Y111" s="492" t="s">
        <v>1531</v>
      </c>
      <c r="Z111" s="493" t="s">
        <v>1413</v>
      </c>
      <c r="AA111" s="394">
        <v>1E-3</v>
      </c>
      <c r="AB111" s="395" t="s">
        <v>1668</v>
      </c>
      <c r="AC111" s="369"/>
    </row>
    <row r="112" spans="1:29" ht="20.100000000000001" customHeight="1">
      <c r="A112" s="390" t="s">
        <v>1029</v>
      </c>
      <c r="B112" s="391" t="s">
        <v>732</v>
      </c>
      <c r="C112" s="400">
        <f>COUNTIF('Chem Props'!$B$6:$B$851,'Parameters Summary'!A112)</f>
        <v>1</v>
      </c>
      <c r="D112" s="400">
        <f>COUNTIF('Tox Summary'!$N$3:$N$792, 'Parameters Summary'!A112)</f>
        <v>1</v>
      </c>
      <c r="E112" s="434">
        <v>165.4</v>
      </c>
      <c r="F112" s="435" t="s">
        <v>1620</v>
      </c>
      <c r="G112" s="436">
        <v>2.3344E-7</v>
      </c>
      <c r="H112" s="436">
        <v>5.7100000000000003E-9</v>
      </c>
      <c r="I112" s="437" t="s">
        <v>1620</v>
      </c>
      <c r="J112" s="436">
        <v>14.999000000000001</v>
      </c>
      <c r="K112" s="437" t="s">
        <v>1620</v>
      </c>
      <c r="L112" s="453">
        <v>57</v>
      </c>
      <c r="M112" s="454" t="s">
        <v>1620</v>
      </c>
      <c r="N112" s="455">
        <v>1.9080999999999999</v>
      </c>
      <c r="O112" s="456" t="s">
        <v>1618</v>
      </c>
      <c r="P112" s="471">
        <v>5.4399099999999999E-2</v>
      </c>
      <c r="Q112" s="471">
        <v>1.04E-5</v>
      </c>
      <c r="R112" s="472" t="s">
        <v>2435</v>
      </c>
      <c r="S112" s="473" t="s">
        <v>1531</v>
      </c>
      <c r="T112" s="474" t="s">
        <v>1413</v>
      </c>
      <c r="U112" s="484">
        <v>1</v>
      </c>
      <c r="V112" s="484" t="s">
        <v>553</v>
      </c>
      <c r="W112" s="495">
        <v>0.99</v>
      </c>
      <c r="X112" s="496" t="s">
        <v>1620</v>
      </c>
      <c r="Y112" s="486">
        <v>793000</v>
      </c>
      <c r="Z112" s="487" t="s">
        <v>1620</v>
      </c>
      <c r="AA112" s="394">
        <v>8.4099999999999995E-4</v>
      </c>
      <c r="AB112" s="395" t="s">
        <v>553</v>
      </c>
      <c r="AC112" s="369"/>
    </row>
    <row r="113" spans="1:29" ht="20.100000000000001" customHeight="1" thickBot="1">
      <c r="A113" s="392" t="s">
        <v>1030</v>
      </c>
      <c r="B113" s="393" t="s">
        <v>733</v>
      </c>
      <c r="C113" s="400">
        <f>COUNTIF('Chem Props'!$B$6:$B$851,'Parameters Summary'!A113)</f>
        <v>1</v>
      </c>
      <c r="D113" s="400">
        <f>COUNTIF('Tox Summary'!$N$3:$N$792, 'Parameters Summary'!A113)</f>
        <v>1</v>
      </c>
      <c r="E113" s="438">
        <v>206.03</v>
      </c>
      <c r="F113" s="439" t="s">
        <v>1620</v>
      </c>
      <c r="G113" s="440">
        <v>1.5822E-9</v>
      </c>
      <c r="H113" s="440">
        <v>3.8699999999999999E-11</v>
      </c>
      <c r="I113" s="441" t="s">
        <v>553</v>
      </c>
      <c r="J113" s="440">
        <v>9.9999999999999995E-8</v>
      </c>
      <c r="K113" s="441" t="s">
        <v>1620</v>
      </c>
      <c r="L113" s="457">
        <v>200</v>
      </c>
      <c r="M113" s="458" t="s">
        <v>1620</v>
      </c>
      <c r="N113" s="463" t="s">
        <v>1531</v>
      </c>
      <c r="O113" s="464" t="s">
        <v>1413</v>
      </c>
      <c r="P113" s="475">
        <v>5.4467000000000002E-2</v>
      </c>
      <c r="Q113" s="475">
        <v>6.3640000000000004E-6</v>
      </c>
      <c r="R113" s="476" t="s">
        <v>2435</v>
      </c>
      <c r="S113" s="477" t="s">
        <v>1531</v>
      </c>
      <c r="T113" s="478" t="s">
        <v>1413</v>
      </c>
      <c r="U113" s="481">
        <v>21.37</v>
      </c>
      <c r="V113" s="481" t="s">
        <v>553</v>
      </c>
      <c r="W113" s="497">
        <v>1.9</v>
      </c>
      <c r="X113" s="498" t="s">
        <v>1620</v>
      </c>
      <c r="Y113" s="488">
        <v>700</v>
      </c>
      <c r="Z113" s="489" t="s">
        <v>1620</v>
      </c>
      <c r="AA113" s="396">
        <v>2.0100000000000001E-3</v>
      </c>
      <c r="AB113" s="397" t="s">
        <v>553</v>
      </c>
      <c r="AC113" s="369"/>
    </row>
    <row r="114" spans="1:29" ht="20.100000000000001" customHeight="1">
      <c r="A114" s="390" t="s">
        <v>1031</v>
      </c>
      <c r="B114" s="391" t="s">
        <v>734</v>
      </c>
      <c r="C114" s="400">
        <f>COUNTIF('Chem Props'!$B$6:$B$851,'Parameters Summary'!A114)</f>
        <v>1</v>
      </c>
      <c r="D114" s="400">
        <f>COUNTIF('Tox Summary'!$N$3:$N$792, 'Parameters Summary'!A114)</f>
        <v>1</v>
      </c>
      <c r="E114" s="434">
        <v>245.88</v>
      </c>
      <c r="F114" s="435" t="s">
        <v>1620</v>
      </c>
      <c r="G114" s="436">
        <v>1.3369E-8</v>
      </c>
      <c r="H114" s="436">
        <v>3.2700000000000001E-10</v>
      </c>
      <c r="I114" s="437" t="s">
        <v>1620</v>
      </c>
      <c r="J114" s="436">
        <v>2.2800000000000002E-6</v>
      </c>
      <c r="K114" s="437" t="s">
        <v>1620</v>
      </c>
      <c r="L114" s="453">
        <v>290</v>
      </c>
      <c r="M114" s="454" t="s">
        <v>1620</v>
      </c>
      <c r="N114" s="461" t="s">
        <v>1531</v>
      </c>
      <c r="O114" s="462" t="s">
        <v>1413</v>
      </c>
      <c r="P114" s="471">
        <v>4.8410300000000003E-2</v>
      </c>
      <c r="Q114" s="471">
        <v>5.6563999999999997E-6</v>
      </c>
      <c r="R114" s="472" t="s">
        <v>2435</v>
      </c>
      <c r="S114" s="473" t="s">
        <v>1531</v>
      </c>
      <c r="T114" s="474" t="s">
        <v>1413</v>
      </c>
      <c r="U114" s="484">
        <v>308.10000000000002</v>
      </c>
      <c r="V114" s="484" t="s">
        <v>553</v>
      </c>
      <c r="W114" s="495">
        <v>2.2200000000000002</v>
      </c>
      <c r="X114" s="496" t="s">
        <v>1620</v>
      </c>
      <c r="Y114" s="486">
        <v>250</v>
      </c>
      <c r="Z114" s="487" t="s">
        <v>1620</v>
      </c>
      <c r="AA114" s="394">
        <v>1.9400000000000001E-3</v>
      </c>
      <c r="AB114" s="395" t="s">
        <v>553</v>
      </c>
      <c r="AC114" s="369"/>
    </row>
    <row r="115" spans="1:29" ht="20.100000000000001" customHeight="1">
      <c r="A115" s="390" t="s">
        <v>431</v>
      </c>
      <c r="B115" s="391" t="s">
        <v>735</v>
      </c>
      <c r="C115" s="400">
        <f>COUNTIF('Chem Props'!$B$6:$B$851,'Parameters Summary'!A115)</f>
        <v>1</v>
      </c>
      <c r="D115" s="400">
        <f>COUNTIF('Tox Summary'!$N$3:$N$792, 'Parameters Summary'!A115)</f>
        <v>1</v>
      </c>
      <c r="E115" s="434">
        <v>409.78</v>
      </c>
      <c r="F115" s="435" t="s">
        <v>1620</v>
      </c>
      <c r="G115" s="436">
        <v>1.9869000000000002E-3</v>
      </c>
      <c r="H115" s="436">
        <v>4.8600000000000002E-5</v>
      </c>
      <c r="I115" s="437" t="s">
        <v>553</v>
      </c>
      <c r="J115" s="436">
        <v>9.9799999999999993E-6</v>
      </c>
      <c r="K115" s="437" t="s">
        <v>1620</v>
      </c>
      <c r="L115" s="453">
        <v>106</v>
      </c>
      <c r="M115" s="454" t="s">
        <v>553</v>
      </c>
      <c r="N115" s="455">
        <v>1.6</v>
      </c>
      <c r="O115" s="456" t="s">
        <v>1618</v>
      </c>
      <c r="P115" s="471">
        <v>2.1493000000000002E-2</v>
      </c>
      <c r="Q115" s="471">
        <v>5.4477000000000004E-6</v>
      </c>
      <c r="R115" s="472" t="s">
        <v>2435</v>
      </c>
      <c r="S115" s="473" t="s">
        <v>1531</v>
      </c>
      <c r="T115" s="474" t="s">
        <v>1413</v>
      </c>
      <c r="U115" s="484">
        <v>67540</v>
      </c>
      <c r="V115" s="484" t="s">
        <v>553</v>
      </c>
      <c r="W115" s="495">
        <v>6.16</v>
      </c>
      <c r="X115" s="496" t="s">
        <v>553</v>
      </c>
      <c r="Y115" s="486">
        <v>5.6000000000000001E-2</v>
      </c>
      <c r="Z115" s="487" t="s">
        <v>553</v>
      </c>
      <c r="AA115" s="394">
        <v>0.107</v>
      </c>
      <c r="AB115" s="395" t="s">
        <v>553</v>
      </c>
      <c r="AC115" s="369"/>
    </row>
    <row r="116" spans="1:29" ht="20.100000000000001" customHeight="1" thickBot="1">
      <c r="A116" s="392" t="s">
        <v>1032</v>
      </c>
      <c r="B116" s="393" t="s">
        <v>736</v>
      </c>
      <c r="C116" s="400">
        <f>COUNTIF('Chem Props'!$B$6:$B$851,'Parameters Summary'!A116)</f>
        <v>1</v>
      </c>
      <c r="D116" s="400">
        <f>COUNTIF('Tox Summary'!$N$3:$N$792, 'Parameters Summary'!A116)</f>
        <v>1</v>
      </c>
      <c r="E116" s="438">
        <v>490.64</v>
      </c>
      <c r="F116" s="439" t="s">
        <v>1620</v>
      </c>
      <c r="G116" s="440">
        <v>2.1994999999999999E-6</v>
      </c>
      <c r="H116" s="440">
        <v>5.3799999999999999E-8</v>
      </c>
      <c r="I116" s="441" t="s">
        <v>553</v>
      </c>
      <c r="J116" s="440">
        <v>2.2499999999999999E-7</v>
      </c>
      <c r="K116" s="441" t="s">
        <v>1620</v>
      </c>
      <c r="L116" s="457">
        <v>350</v>
      </c>
      <c r="M116" s="458" t="s">
        <v>553</v>
      </c>
      <c r="N116" s="459">
        <v>1.61</v>
      </c>
      <c r="O116" s="460" t="s">
        <v>1618</v>
      </c>
      <c r="P116" s="475">
        <v>1.9647000000000001E-2</v>
      </c>
      <c r="Q116" s="475">
        <v>4.9080999999999996E-6</v>
      </c>
      <c r="R116" s="476" t="s">
        <v>2435</v>
      </c>
      <c r="S116" s="477" t="s">
        <v>1531</v>
      </c>
      <c r="T116" s="478" t="s">
        <v>1413</v>
      </c>
      <c r="U116" s="481">
        <v>17500</v>
      </c>
      <c r="V116" s="481" t="s">
        <v>553</v>
      </c>
      <c r="W116" s="497">
        <v>5.41</v>
      </c>
      <c r="X116" s="498" t="s">
        <v>1620</v>
      </c>
      <c r="Y116" s="488">
        <v>2.7</v>
      </c>
      <c r="Z116" s="489" t="s">
        <v>1620</v>
      </c>
      <c r="AA116" s="396">
        <v>1.09E-2</v>
      </c>
      <c r="AB116" s="397" t="s">
        <v>553</v>
      </c>
      <c r="AC116" s="369"/>
    </row>
    <row r="117" spans="1:29" ht="20.100000000000001" customHeight="1">
      <c r="A117" s="390" t="s">
        <v>565</v>
      </c>
      <c r="B117" s="391" t="s">
        <v>737</v>
      </c>
      <c r="C117" s="400">
        <f>COUNTIF('Chem Props'!$B$6:$B$851,'Parameters Summary'!A117)</f>
        <v>1</v>
      </c>
      <c r="D117" s="400">
        <f>COUNTIF('Tox Summary'!$N$3:$N$792, 'Parameters Summary'!A117)</f>
        <v>1</v>
      </c>
      <c r="E117" s="434">
        <v>359.58</v>
      </c>
      <c r="F117" s="435" t="s">
        <v>1620</v>
      </c>
      <c r="G117" s="436">
        <v>1.1815E-6</v>
      </c>
      <c r="H117" s="436">
        <v>2.8900000000000001E-8</v>
      </c>
      <c r="I117" s="437" t="s">
        <v>553</v>
      </c>
      <c r="J117" s="436">
        <v>7.5000000000000002E-6</v>
      </c>
      <c r="K117" s="437" t="s">
        <v>1620</v>
      </c>
      <c r="L117" s="453">
        <v>-20</v>
      </c>
      <c r="M117" s="454" t="s">
        <v>1620</v>
      </c>
      <c r="N117" s="461" t="s">
        <v>1531</v>
      </c>
      <c r="O117" s="462" t="s">
        <v>1413</v>
      </c>
      <c r="P117" s="471">
        <v>3.7574200000000002E-2</v>
      </c>
      <c r="Q117" s="471">
        <v>4.3903000000000001E-6</v>
      </c>
      <c r="R117" s="472" t="s">
        <v>2435</v>
      </c>
      <c r="S117" s="473" t="s">
        <v>1531</v>
      </c>
      <c r="T117" s="474" t="s">
        <v>1413</v>
      </c>
      <c r="U117" s="484">
        <v>1264</v>
      </c>
      <c r="V117" s="484" t="s">
        <v>553</v>
      </c>
      <c r="W117" s="495">
        <v>3.81</v>
      </c>
      <c r="X117" s="496" t="s">
        <v>1620</v>
      </c>
      <c r="Y117" s="486">
        <v>124</v>
      </c>
      <c r="Z117" s="487" t="s">
        <v>1620</v>
      </c>
      <c r="AA117" s="394">
        <v>5.1200000000000004E-3</v>
      </c>
      <c r="AB117" s="395" t="s">
        <v>553</v>
      </c>
      <c r="AC117" s="369"/>
    </row>
    <row r="118" spans="1:29" ht="20.100000000000001" customHeight="1">
      <c r="A118" s="390" t="s">
        <v>1033</v>
      </c>
      <c r="B118" s="391" t="s">
        <v>738</v>
      </c>
      <c r="C118" s="400">
        <f>COUNTIF('Chem Props'!$B$6:$B$851,'Parameters Summary'!A118)</f>
        <v>1</v>
      </c>
      <c r="D118" s="400">
        <f>COUNTIF('Tox Summary'!$N$3:$N$792, 'Parameters Summary'!A118)</f>
        <v>1</v>
      </c>
      <c r="E118" s="434">
        <v>414.83</v>
      </c>
      <c r="F118" s="435" t="s">
        <v>1620</v>
      </c>
      <c r="G118" s="436">
        <v>7.4409999999999995E-14</v>
      </c>
      <c r="H118" s="436">
        <v>1.82E-15</v>
      </c>
      <c r="I118" s="437" t="s">
        <v>553</v>
      </c>
      <c r="J118" s="436">
        <v>3.9999999999999999E-12</v>
      </c>
      <c r="K118" s="437" t="s">
        <v>1620</v>
      </c>
      <c r="L118" s="453">
        <v>181</v>
      </c>
      <c r="M118" s="454" t="s">
        <v>1620</v>
      </c>
      <c r="N118" s="461" t="s">
        <v>1531</v>
      </c>
      <c r="O118" s="462" t="s">
        <v>1413</v>
      </c>
      <c r="P118" s="471">
        <v>3.4159099999999998E-2</v>
      </c>
      <c r="Q118" s="471">
        <v>3.9912E-6</v>
      </c>
      <c r="R118" s="472" t="s">
        <v>2435</v>
      </c>
      <c r="S118" s="473" t="s">
        <v>1531</v>
      </c>
      <c r="T118" s="474" t="s">
        <v>1413</v>
      </c>
      <c r="U118" s="484">
        <v>71.790000000000006</v>
      </c>
      <c r="V118" s="484" t="s">
        <v>553</v>
      </c>
      <c r="W118" s="495">
        <v>2.5</v>
      </c>
      <c r="X118" s="496" t="s">
        <v>1620</v>
      </c>
      <c r="Y118" s="486">
        <v>1200</v>
      </c>
      <c r="Z118" s="487" t="s">
        <v>1620</v>
      </c>
      <c r="AA118" s="394">
        <v>3.3799999999999998E-4</v>
      </c>
      <c r="AB118" s="395" t="s">
        <v>553</v>
      </c>
      <c r="AC118" s="369"/>
    </row>
    <row r="119" spans="1:29" ht="20.100000000000001" customHeight="1" thickBot="1">
      <c r="A119" s="392" t="s">
        <v>1034</v>
      </c>
      <c r="B119" s="393" t="s">
        <v>739</v>
      </c>
      <c r="C119" s="400">
        <f>COUNTIF('Chem Props'!$B$6:$B$851,'Parameters Summary'!A119)</f>
        <v>1</v>
      </c>
      <c r="D119" s="400">
        <f>COUNTIF('Tox Summary'!$N$3:$N$792, 'Parameters Summary'!A119)</f>
        <v>1</v>
      </c>
      <c r="E119" s="438">
        <v>70.906000000000006</v>
      </c>
      <c r="F119" s="439" t="s">
        <v>1620</v>
      </c>
      <c r="G119" s="440">
        <v>0.4783</v>
      </c>
      <c r="H119" s="440">
        <v>1.17E-2</v>
      </c>
      <c r="I119" s="441" t="s">
        <v>1620</v>
      </c>
      <c r="J119" s="440">
        <v>5854</v>
      </c>
      <c r="K119" s="441" t="s">
        <v>1620</v>
      </c>
      <c r="L119" s="457">
        <v>-101</v>
      </c>
      <c r="M119" s="458" t="s">
        <v>1620</v>
      </c>
      <c r="N119" s="459">
        <v>2.8980000000000001</v>
      </c>
      <c r="O119" s="460" t="s">
        <v>1618</v>
      </c>
      <c r="P119" s="475">
        <v>0.15420880000000001</v>
      </c>
      <c r="Q119" s="475">
        <v>2.23E-5</v>
      </c>
      <c r="R119" s="476" t="s">
        <v>2435</v>
      </c>
      <c r="S119" s="481">
        <v>0.25</v>
      </c>
      <c r="T119" s="481" t="s">
        <v>2155</v>
      </c>
      <c r="U119" s="477" t="s">
        <v>1531</v>
      </c>
      <c r="V119" s="478" t="s">
        <v>1413</v>
      </c>
      <c r="W119" s="497">
        <v>0.85</v>
      </c>
      <c r="X119" s="498" t="s">
        <v>1620</v>
      </c>
      <c r="Y119" s="488">
        <v>6300</v>
      </c>
      <c r="Z119" s="489" t="s">
        <v>1620</v>
      </c>
      <c r="AA119" s="396">
        <v>1E-3</v>
      </c>
      <c r="AB119" s="397" t="s">
        <v>1668</v>
      </c>
      <c r="AC119" s="369"/>
    </row>
    <row r="120" spans="1:29" ht="20.100000000000001" customHeight="1">
      <c r="A120" s="390" t="s">
        <v>1035</v>
      </c>
      <c r="B120" s="391" t="s">
        <v>740</v>
      </c>
      <c r="C120" s="400">
        <f>COUNTIF('Chem Props'!$B$6:$B$851,'Parameters Summary'!A120)</f>
        <v>1</v>
      </c>
      <c r="D120" s="400">
        <f>COUNTIF('Tox Summary'!$N$3:$N$792, 'Parameters Summary'!A120)</f>
        <v>1</v>
      </c>
      <c r="E120" s="434">
        <v>67.45</v>
      </c>
      <c r="F120" s="435" t="s">
        <v>553</v>
      </c>
      <c r="G120" s="436">
        <v>1.64</v>
      </c>
      <c r="H120" s="436">
        <v>4.0099999999999997E-2</v>
      </c>
      <c r="I120" s="437" t="s">
        <v>2272</v>
      </c>
      <c r="J120" s="436">
        <v>758</v>
      </c>
      <c r="K120" s="437" t="s">
        <v>2272</v>
      </c>
      <c r="L120" s="453">
        <v>-59</v>
      </c>
      <c r="M120" s="454" t="s">
        <v>1618</v>
      </c>
      <c r="N120" s="455">
        <v>2.7570000000000001</v>
      </c>
      <c r="O120" s="456" t="s">
        <v>1618</v>
      </c>
      <c r="P120" s="471">
        <v>0.156579</v>
      </c>
      <c r="Q120" s="471">
        <v>2.23E-5</v>
      </c>
      <c r="R120" s="472" t="s">
        <v>2435</v>
      </c>
      <c r="S120" s="473" t="s">
        <v>1531</v>
      </c>
      <c r="T120" s="474" t="s">
        <v>1413</v>
      </c>
      <c r="U120" s="473" t="s">
        <v>1531</v>
      </c>
      <c r="V120" s="474" t="s">
        <v>1413</v>
      </c>
      <c r="W120" s="501" t="s">
        <v>1531</v>
      </c>
      <c r="X120" s="502" t="s">
        <v>1413</v>
      </c>
      <c r="Y120" s="492" t="s">
        <v>1531</v>
      </c>
      <c r="Z120" s="493" t="s">
        <v>1413</v>
      </c>
      <c r="AA120" s="394">
        <v>1E-3</v>
      </c>
      <c r="AB120" s="395" t="s">
        <v>1668</v>
      </c>
      <c r="AC120" s="369"/>
    </row>
    <row r="121" spans="1:29" ht="20.100000000000001" customHeight="1">
      <c r="A121" s="390" t="s">
        <v>1036</v>
      </c>
      <c r="B121" s="391" t="s">
        <v>741</v>
      </c>
      <c r="C121" s="400">
        <f>COUNTIF('Chem Props'!$B$6:$B$851,'Parameters Summary'!A121)</f>
        <v>1</v>
      </c>
      <c r="D121" s="400">
        <f>COUNTIF('Tox Summary'!$N$3:$N$792, 'Parameters Summary'!A121)</f>
        <v>1</v>
      </c>
      <c r="E121" s="434">
        <v>90.44</v>
      </c>
      <c r="F121" s="435" t="s">
        <v>553</v>
      </c>
      <c r="G121" s="444" t="s">
        <v>1531</v>
      </c>
      <c r="H121" s="444" t="s">
        <v>1531</v>
      </c>
      <c r="I121" s="445" t="s">
        <v>1413</v>
      </c>
      <c r="J121" s="444" t="s">
        <v>1531</v>
      </c>
      <c r="K121" s="445" t="s">
        <v>1413</v>
      </c>
      <c r="L121" s="453">
        <v>180</v>
      </c>
      <c r="M121" s="454" t="s">
        <v>1618</v>
      </c>
      <c r="N121" s="461" t="s">
        <v>1531</v>
      </c>
      <c r="O121" s="462" t="s">
        <v>1413</v>
      </c>
      <c r="P121" s="482" t="s">
        <v>1531</v>
      </c>
      <c r="Q121" s="482" t="s">
        <v>1531</v>
      </c>
      <c r="R121" s="483" t="s">
        <v>1413</v>
      </c>
      <c r="S121" s="473" t="s">
        <v>1531</v>
      </c>
      <c r="T121" s="474" t="s">
        <v>1413</v>
      </c>
      <c r="U121" s="473" t="s">
        <v>1531</v>
      </c>
      <c r="V121" s="474" t="s">
        <v>1413</v>
      </c>
      <c r="W121" s="501" t="s">
        <v>1531</v>
      </c>
      <c r="X121" s="502" t="s">
        <v>1413</v>
      </c>
      <c r="Y121" s="486">
        <v>640000</v>
      </c>
      <c r="Z121" s="487" t="s">
        <v>1618</v>
      </c>
      <c r="AA121" s="394">
        <v>1E-3</v>
      </c>
      <c r="AB121" s="395" t="s">
        <v>1668</v>
      </c>
      <c r="AC121" s="369"/>
    </row>
    <row r="122" spans="1:29" ht="20.100000000000001" customHeight="1" thickBot="1">
      <c r="A122" s="392" t="s">
        <v>1037</v>
      </c>
      <c r="B122" s="393" t="s">
        <v>742</v>
      </c>
      <c r="C122" s="400">
        <f>COUNTIF('Chem Props'!$B$6:$B$851,'Parameters Summary'!A122)</f>
        <v>1</v>
      </c>
      <c r="D122" s="400">
        <f>COUNTIF('Tox Summary'!$N$3:$N$792, 'Parameters Summary'!A122)</f>
        <v>1</v>
      </c>
      <c r="E122" s="438">
        <v>100.5</v>
      </c>
      <c r="F122" s="439" t="s">
        <v>1620</v>
      </c>
      <c r="G122" s="440">
        <v>2.4039248</v>
      </c>
      <c r="H122" s="440">
        <v>5.8799999999999998E-2</v>
      </c>
      <c r="I122" s="441" t="s">
        <v>1620</v>
      </c>
      <c r="J122" s="440">
        <v>2544</v>
      </c>
      <c r="K122" s="441" t="s">
        <v>1620</v>
      </c>
      <c r="L122" s="457">
        <v>-130.80000000000001</v>
      </c>
      <c r="M122" s="458" t="s">
        <v>1620</v>
      </c>
      <c r="N122" s="459">
        <v>1.107</v>
      </c>
      <c r="O122" s="460" t="s">
        <v>1618</v>
      </c>
      <c r="P122" s="475">
        <v>8.0392500000000006E-2</v>
      </c>
      <c r="Q122" s="475">
        <v>1.01E-5</v>
      </c>
      <c r="R122" s="476" t="s">
        <v>2435</v>
      </c>
      <c r="S122" s="477" t="s">
        <v>1531</v>
      </c>
      <c r="T122" s="478" t="s">
        <v>1413</v>
      </c>
      <c r="U122" s="481">
        <v>43.89</v>
      </c>
      <c r="V122" s="481" t="s">
        <v>553</v>
      </c>
      <c r="W122" s="497">
        <v>2.0499999999999998</v>
      </c>
      <c r="X122" s="498" t="s">
        <v>1620</v>
      </c>
      <c r="Y122" s="488">
        <v>1400</v>
      </c>
      <c r="Z122" s="489" t="s">
        <v>1620</v>
      </c>
      <c r="AA122" s="396">
        <v>9.8899999999999995E-3</v>
      </c>
      <c r="AB122" s="397" t="s">
        <v>553</v>
      </c>
      <c r="AC122" s="369"/>
    </row>
    <row r="123" spans="1:29" ht="20.100000000000001" customHeight="1">
      <c r="A123" s="390" t="s">
        <v>1038</v>
      </c>
      <c r="B123" s="391" t="s">
        <v>743</v>
      </c>
      <c r="C123" s="400">
        <f>COUNTIF('Chem Props'!$B$6:$B$851,'Parameters Summary'!A123)</f>
        <v>1</v>
      </c>
      <c r="D123" s="400">
        <f>COUNTIF('Tox Summary'!$N$3:$N$792, 'Parameters Summary'!A123)</f>
        <v>1</v>
      </c>
      <c r="E123" s="434">
        <v>88.537000000000006</v>
      </c>
      <c r="F123" s="435" t="s">
        <v>1620</v>
      </c>
      <c r="G123" s="436">
        <v>2.2935405000000002</v>
      </c>
      <c r="H123" s="436">
        <v>5.6099999999999997E-2</v>
      </c>
      <c r="I123" s="437" t="s">
        <v>1620</v>
      </c>
      <c r="J123" s="436">
        <v>215.5</v>
      </c>
      <c r="K123" s="437" t="s">
        <v>1620</v>
      </c>
      <c r="L123" s="453">
        <v>-130</v>
      </c>
      <c r="M123" s="454" t="s">
        <v>1620</v>
      </c>
      <c r="N123" s="455">
        <v>0.95599999999999996</v>
      </c>
      <c r="O123" s="456" t="s">
        <v>1618</v>
      </c>
      <c r="P123" s="471">
        <v>8.4148899999999999E-2</v>
      </c>
      <c r="Q123" s="471">
        <v>1.0000000000000001E-5</v>
      </c>
      <c r="R123" s="472" t="s">
        <v>2435</v>
      </c>
      <c r="S123" s="473" t="s">
        <v>1531</v>
      </c>
      <c r="T123" s="474" t="s">
        <v>1413</v>
      </c>
      <c r="U123" s="484">
        <v>60.7</v>
      </c>
      <c r="V123" s="484" t="s">
        <v>553</v>
      </c>
      <c r="W123" s="495">
        <v>2.5299999999999998</v>
      </c>
      <c r="X123" s="496" t="s">
        <v>1620</v>
      </c>
      <c r="Y123" s="486">
        <v>874.9</v>
      </c>
      <c r="Z123" s="487" t="s">
        <v>1620</v>
      </c>
      <c r="AA123" s="394">
        <v>2.3800000000000002E-2</v>
      </c>
      <c r="AB123" s="395" t="s">
        <v>553</v>
      </c>
      <c r="AC123" s="369"/>
    </row>
    <row r="124" spans="1:29" ht="20.100000000000001" customHeight="1">
      <c r="A124" s="390" t="s">
        <v>1039</v>
      </c>
      <c r="B124" s="391" t="s">
        <v>744</v>
      </c>
      <c r="C124" s="400">
        <f>COUNTIF('Chem Props'!$B$6:$B$851,'Parameters Summary'!A124)</f>
        <v>1</v>
      </c>
      <c r="D124" s="400">
        <f>COUNTIF('Tox Summary'!$N$3:$N$792, 'Parameters Summary'!A124)</f>
        <v>1</v>
      </c>
      <c r="E124" s="434">
        <v>178.06</v>
      </c>
      <c r="F124" s="435" t="s">
        <v>1620</v>
      </c>
      <c r="G124" s="436">
        <v>6.3800000000000006E-5</v>
      </c>
      <c r="H124" s="436">
        <v>1.5600000000000001E-6</v>
      </c>
      <c r="I124" s="437" t="s">
        <v>1620</v>
      </c>
      <c r="J124" s="436">
        <v>4.0800000000000003E-2</v>
      </c>
      <c r="K124" s="437" t="s">
        <v>1620</v>
      </c>
      <c r="L124" s="453">
        <v>163.91</v>
      </c>
      <c r="M124" s="454" t="s">
        <v>553</v>
      </c>
      <c r="N124" s="461" t="s">
        <v>1531</v>
      </c>
      <c r="O124" s="462" t="s">
        <v>1413</v>
      </c>
      <c r="P124" s="471">
        <v>6.0031099999999997E-2</v>
      </c>
      <c r="Q124" s="471">
        <v>7.0141999999999997E-6</v>
      </c>
      <c r="R124" s="472" t="s">
        <v>2435</v>
      </c>
      <c r="S124" s="473" t="s">
        <v>1531</v>
      </c>
      <c r="T124" s="474" t="s">
        <v>1413</v>
      </c>
      <c r="U124" s="484">
        <v>351.9</v>
      </c>
      <c r="V124" s="484" t="s">
        <v>553</v>
      </c>
      <c r="W124" s="495">
        <v>2.27</v>
      </c>
      <c r="X124" s="496" t="s">
        <v>1620</v>
      </c>
      <c r="Y124" s="486">
        <v>953.9</v>
      </c>
      <c r="Z124" s="487" t="s">
        <v>1620</v>
      </c>
      <c r="AA124" s="394">
        <v>1.8E-5</v>
      </c>
      <c r="AB124" s="395" t="s">
        <v>553</v>
      </c>
      <c r="AC124" s="369"/>
    </row>
    <row r="125" spans="1:29" ht="20.100000000000001" customHeight="1" thickBot="1">
      <c r="A125" s="392" t="s">
        <v>1565</v>
      </c>
      <c r="B125" s="393" t="s">
        <v>1566</v>
      </c>
      <c r="C125" s="400">
        <f>COUNTIF('Chem Props'!$B$6:$B$851,'Parameters Summary'!A125)</f>
        <v>1</v>
      </c>
      <c r="D125" s="400">
        <f>COUNTIF('Tox Summary'!$N$3:$N$792, 'Parameters Summary'!A125)</f>
        <v>1</v>
      </c>
      <c r="E125" s="438">
        <v>141.6</v>
      </c>
      <c r="F125" s="439" t="s">
        <v>1620</v>
      </c>
      <c r="G125" s="440">
        <v>8.14E-5</v>
      </c>
      <c r="H125" s="440">
        <v>1.99E-6</v>
      </c>
      <c r="I125" s="441" t="s">
        <v>1620</v>
      </c>
      <c r="J125" s="440">
        <v>4.0800000000000003E-2</v>
      </c>
      <c r="K125" s="441" t="s">
        <v>1620</v>
      </c>
      <c r="L125" s="457">
        <v>30.3</v>
      </c>
      <c r="M125" s="458" t="s">
        <v>1620</v>
      </c>
      <c r="N125" s="463" t="s">
        <v>1531</v>
      </c>
      <c r="O125" s="464" t="s">
        <v>1413</v>
      </c>
      <c r="P125" s="475">
        <v>6.9937700000000005E-2</v>
      </c>
      <c r="Q125" s="475">
        <v>8.1717E-6</v>
      </c>
      <c r="R125" s="476" t="s">
        <v>2435</v>
      </c>
      <c r="S125" s="477" t="s">
        <v>1531</v>
      </c>
      <c r="T125" s="478" t="s">
        <v>1413</v>
      </c>
      <c r="U125" s="481">
        <v>184.5</v>
      </c>
      <c r="V125" s="481" t="s">
        <v>553</v>
      </c>
      <c r="W125" s="497">
        <v>2.27</v>
      </c>
      <c r="X125" s="498" t="s">
        <v>1620</v>
      </c>
      <c r="Y125" s="488">
        <v>953.9</v>
      </c>
      <c r="Z125" s="489" t="s">
        <v>1620</v>
      </c>
      <c r="AA125" s="396">
        <v>8.0800000000000004E-3</v>
      </c>
      <c r="AB125" s="397" t="s">
        <v>553</v>
      </c>
      <c r="AC125" s="369"/>
    </row>
    <row r="126" spans="1:29" ht="20.100000000000001" customHeight="1">
      <c r="A126" s="390" t="s">
        <v>745</v>
      </c>
      <c r="B126" s="391" t="s">
        <v>746</v>
      </c>
      <c r="C126" s="400">
        <f>COUNTIF('Chem Props'!$B$6:$B$851,'Parameters Summary'!A126)</f>
        <v>1</v>
      </c>
      <c r="D126" s="400">
        <f>COUNTIF('Tox Summary'!$N$3:$N$792, 'Parameters Summary'!A126)</f>
        <v>1</v>
      </c>
      <c r="E126" s="434">
        <v>78.498999999999995</v>
      </c>
      <c r="F126" s="435" t="s">
        <v>1620</v>
      </c>
      <c r="G126" s="436">
        <v>9.7710000000000006E-4</v>
      </c>
      <c r="H126" s="436">
        <v>2.3900000000000002E-5</v>
      </c>
      <c r="I126" s="437" t="s">
        <v>1620</v>
      </c>
      <c r="J126" s="436">
        <v>64.266000000000005</v>
      </c>
      <c r="K126" s="437" t="s">
        <v>1620</v>
      </c>
      <c r="L126" s="453">
        <v>-16.3</v>
      </c>
      <c r="M126" s="454" t="s">
        <v>1620</v>
      </c>
      <c r="N126" s="455">
        <v>1.19</v>
      </c>
      <c r="O126" s="456" t="s">
        <v>1618</v>
      </c>
      <c r="P126" s="471">
        <v>0.101506</v>
      </c>
      <c r="Q126" s="471">
        <v>1.2300000000000001E-5</v>
      </c>
      <c r="R126" s="472" t="s">
        <v>2435</v>
      </c>
      <c r="S126" s="473" t="s">
        <v>1531</v>
      </c>
      <c r="T126" s="474" t="s">
        <v>1413</v>
      </c>
      <c r="U126" s="484">
        <v>1</v>
      </c>
      <c r="V126" s="484" t="s">
        <v>553</v>
      </c>
      <c r="W126" s="495">
        <v>0.09</v>
      </c>
      <c r="X126" s="496" t="s">
        <v>1620</v>
      </c>
      <c r="Y126" s="486">
        <v>110700</v>
      </c>
      <c r="Z126" s="487" t="s">
        <v>1620</v>
      </c>
      <c r="AA126" s="394">
        <v>6.4999999999999997E-4</v>
      </c>
      <c r="AB126" s="395" t="s">
        <v>553</v>
      </c>
      <c r="AC126" s="369"/>
    </row>
    <row r="127" spans="1:29" ht="20.100000000000001" customHeight="1">
      <c r="A127" s="390" t="s">
        <v>1040</v>
      </c>
      <c r="B127" s="391" t="s">
        <v>747</v>
      </c>
      <c r="C127" s="400">
        <f>COUNTIF('Chem Props'!$B$6:$B$851,'Parameters Summary'!A127)</f>
        <v>1</v>
      </c>
      <c r="D127" s="400">
        <f>COUNTIF('Tox Summary'!$N$3:$N$792, 'Parameters Summary'!A127)</f>
        <v>1</v>
      </c>
      <c r="E127" s="434">
        <v>94.498000000000005</v>
      </c>
      <c r="F127" s="435" t="s">
        <v>1620</v>
      </c>
      <c r="G127" s="436">
        <v>3.7857999999999999E-7</v>
      </c>
      <c r="H127" s="436">
        <v>9.2599999999999999E-9</v>
      </c>
      <c r="I127" s="437" t="s">
        <v>1620</v>
      </c>
      <c r="J127" s="436">
        <v>6.5000000000000002E-2</v>
      </c>
      <c r="K127" s="437" t="s">
        <v>1620</v>
      </c>
      <c r="L127" s="453">
        <v>63</v>
      </c>
      <c r="M127" s="454" t="s">
        <v>1620</v>
      </c>
      <c r="N127" s="455">
        <v>1.4043000000000001</v>
      </c>
      <c r="O127" s="456" t="s">
        <v>1618</v>
      </c>
      <c r="P127" s="471">
        <v>9.3822299999999997E-2</v>
      </c>
      <c r="Q127" s="471">
        <v>1.2099999999999999E-5</v>
      </c>
      <c r="R127" s="472" t="s">
        <v>2435</v>
      </c>
      <c r="S127" s="473" t="s">
        <v>1531</v>
      </c>
      <c r="T127" s="474" t="s">
        <v>1413</v>
      </c>
      <c r="U127" s="484">
        <v>1.44</v>
      </c>
      <c r="V127" s="484" t="s">
        <v>553</v>
      </c>
      <c r="W127" s="495">
        <v>0.22</v>
      </c>
      <c r="X127" s="496" t="s">
        <v>1620</v>
      </c>
      <c r="Y127" s="486">
        <v>858000</v>
      </c>
      <c r="Z127" s="487" t="s">
        <v>1620</v>
      </c>
      <c r="AA127" s="394">
        <v>6.4700000000000001E-4</v>
      </c>
      <c r="AB127" s="395" t="s">
        <v>553</v>
      </c>
      <c r="AC127" s="369"/>
    </row>
    <row r="128" spans="1:29" ht="20.100000000000001" customHeight="1" thickBot="1">
      <c r="A128" s="392" t="s">
        <v>1041</v>
      </c>
      <c r="B128" s="393" t="s">
        <v>748</v>
      </c>
      <c r="C128" s="400">
        <f>COUNTIF('Chem Props'!$B$6:$B$851,'Parameters Summary'!A128)</f>
        <v>1</v>
      </c>
      <c r="D128" s="400">
        <f>COUNTIF('Tox Summary'!$N$3:$N$792, 'Parameters Summary'!A128)</f>
        <v>1</v>
      </c>
      <c r="E128" s="438">
        <v>154.6</v>
      </c>
      <c r="F128" s="439" t="s">
        <v>1620</v>
      </c>
      <c r="G128" s="440">
        <v>1.415E-4</v>
      </c>
      <c r="H128" s="440">
        <v>3.4599999999999999E-6</v>
      </c>
      <c r="I128" s="441" t="s">
        <v>1620</v>
      </c>
      <c r="J128" s="440">
        <v>5.4000000000000003E-3</v>
      </c>
      <c r="K128" s="441" t="s">
        <v>1620</v>
      </c>
      <c r="L128" s="457">
        <v>56.5</v>
      </c>
      <c r="M128" s="458" t="s">
        <v>1620</v>
      </c>
      <c r="N128" s="459">
        <v>1.3240000000000001</v>
      </c>
      <c r="O128" s="460" t="s">
        <v>1618</v>
      </c>
      <c r="P128" s="475">
        <v>5.2239099999999997E-2</v>
      </c>
      <c r="Q128" s="475">
        <v>8.7273000000000003E-6</v>
      </c>
      <c r="R128" s="476" t="s">
        <v>2435</v>
      </c>
      <c r="S128" s="477" t="s">
        <v>1531</v>
      </c>
      <c r="T128" s="478" t="s">
        <v>1413</v>
      </c>
      <c r="U128" s="481">
        <v>98.9</v>
      </c>
      <c r="V128" s="481" t="s">
        <v>553</v>
      </c>
      <c r="W128" s="497">
        <v>1.93</v>
      </c>
      <c r="X128" s="498" t="s">
        <v>1620</v>
      </c>
      <c r="Y128" s="488">
        <v>1100</v>
      </c>
      <c r="Z128" s="489" t="s">
        <v>1621</v>
      </c>
      <c r="AA128" s="396">
        <v>4.0600000000000002E-3</v>
      </c>
      <c r="AB128" s="397" t="s">
        <v>553</v>
      </c>
      <c r="AC128" s="369"/>
    </row>
    <row r="129" spans="1:29" ht="20.100000000000001" customHeight="1">
      <c r="A129" s="390" t="s">
        <v>1042</v>
      </c>
      <c r="B129" s="391" t="s">
        <v>749</v>
      </c>
      <c r="C129" s="400">
        <f>COUNTIF('Chem Props'!$B$6:$B$851,'Parameters Summary'!A129)</f>
        <v>1</v>
      </c>
      <c r="D129" s="400">
        <f>COUNTIF('Tox Summary'!$N$3:$N$792, 'Parameters Summary'!A129)</f>
        <v>1</v>
      </c>
      <c r="E129" s="434">
        <v>127.57</v>
      </c>
      <c r="F129" s="435" t="s">
        <v>1620</v>
      </c>
      <c r="G129" s="436">
        <v>4.74E-5</v>
      </c>
      <c r="H129" s="436">
        <v>1.1599999999999999E-6</v>
      </c>
      <c r="I129" s="437" t="s">
        <v>553</v>
      </c>
      <c r="J129" s="436">
        <v>2.7E-2</v>
      </c>
      <c r="K129" s="437" t="s">
        <v>1620</v>
      </c>
      <c r="L129" s="453">
        <v>72.5</v>
      </c>
      <c r="M129" s="454" t="s">
        <v>1620</v>
      </c>
      <c r="N129" s="455">
        <v>1.429</v>
      </c>
      <c r="O129" s="456" t="s">
        <v>1618</v>
      </c>
      <c r="P129" s="471">
        <v>7.0384699999999994E-2</v>
      </c>
      <c r="Q129" s="471">
        <v>1.03E-5</v>
      </c>
      <c r="R129" s="472" t="s">
        <v>2435</v>
      </c>
      <c r="S129" s="473" t="s">
        <v>1531</v>
      </c>
      <c r="T129" s="474" t="s">
        <v>1413</v>
      </c>
      <c r="U129" s="484">
        <v>112.7</v>
      </c>
      <c r="V129" s="484" t="s">
        <v>553</v>
      </c>
      <c r="W129" s="495">
        <v>1.83</v>
      </c>
      <c r="X129" s="496" t="s">
        <v>1620</v>
      </c>
      <c r="Y129" s="486">
        <v>3900</v>
      </c>
      <c r="Z129" s="487" t="s">
        <v>1620</v>
      </c>
      <c r="AA129" s="394">
        <v>4.96E-3</v>
      </c>
      <c r="AB129" s="395" t="s">
        <v>553</v>
      </c>
      <c r="AC129" s="369"/>
    </row>
    <row r="130" spans="1:29" ht="20.100000000000001" customHeight="1">
      <c r="A130" s="390" t="s">
        <v>432</v>
      </c>
      <c r="B130" s="391" t="s">
        <v>750</v>
      </c>
      <c r="C130" s="400">
        <f>COUNTIF('Chem Props'!$B$6:$B$851,'Parameters Summary'!A130)</f>
        <v>1</v>
      </c>
      <c r="D130" s="400">
        <f>COUNTIF('Tox Summary'!$N$3:$N$792, 'Parameters Summary'!A130)</f>
        <v>1</v>
      </c>
      <c r="E130" s="434">
        <v>112.56</v>
      </c>
      <c r="F130" s="435" t="s">
        <v>1620</v>
      </c>
      <c r="G130" s="436">
        <v>0.12714639999999999</v>
      </c>
      <c r="H130" s="436">
        <v>3.1099999999999999E-3</v>
      </c>
      <c r="I130" s="437" t="s">
        <v>1620</v>
      </c>
      <c r="J130" s="436">
        <v>11.97</v>
      </c>
      <c r="K130" s="437" t="s">
        <v>1620</v>
      </c>
      <c r="L130" s="453">
        <v>-45.31</v>
      </c>
      <c r="M130" s="454" t="s">
        <v>1620</v>
      </c>
      <c r="N130" s="455">
        <v>1.1057999999999999</v>
      </c>
      <c r="O130" s="456" t="s">
        <v>1618</v>
      </c>
      <c r="P130" s="471">
        <v>7.2130600000000003E-2</v>
      </c>
      <c r="Q130" s="471">
        <v>9.4764999999999998E-6</v>
      </c>
      <c r="R130" s="472" t="s">
        <v>2435</v>
      </c>
      <c r="S130" s="473" t="s">
        <v>1531</v>
      </c>
      <c r="T130" s="474" t="s">
        <v>1413</v>
      </c>
      <c r="U130" s="484">
        <v>233.9</v>
      </c>
      <c r="V130" s="484" t="s">
        <v>553</v>
      </c>
      <c r="W130" s="495">
        <v>2.84</v>
      </c>
      <c r="X130" s="496" t="s">
        <v>1620</v>
      </c>
      <c r="Y130" s="486">
        <v>498</v>
      </c>
      <c r="Z130" s="487" t="s">
        <v>1620</v>
      </c>
      <c r="AA130" s="394">
        <v>2.8199999999999999E-2</v>
      </c>
      <c r="AB130" s="395" t="s">
        <v>553</v>
      </c>
      <c r="AC130" s="369"/>
    </row>
    <row r="131" spans="1:29" ht="20.100000000000001" customHeight="1" thickBot="1">
      <c r="A131" s="392" t="s">
        <v>2445</v>
      </c>
      <c r="B131" s="393" t="s">
        <v>2446</v>
      </c>
      <c r="C131" s="400">
        <f>COUNTIF('Chem Props'!$B$6:$B$851,'Parameters Summary'!A131)</f>
        <v>1</v>
      </c>
      <c r="D131" s="400">
        <f>COUNTIF('Tox Summary'!$N$3:$N$792, 'Parameters Summary'!A131)</f>
        <v>1</v>
      </c>
      <c r="E131" s="438">
        <v>192.62</v>
      </c>
      <c r="F131" s="439" t="s">
        <v>1620</v>
      </c>
      <c r="G131" s="440">
        <v>7.6043000000000001E-8</v>
      </c>
      <c r="H131" s="440">
        <v>1.86E-9</v>
      </c>
      <c r="I131" s="441" t="s">
        <v>1620</v>
      </c>
      <c r="J131" s="440">
        <v>4.2799999999999997E-6</v>
      </c>
      <c r="K131" s="441" t="s">
        <v>1620</v>
      </c>
      <c r="L131" s="457">
        <v>67</v>
      </c>
      <c r="M131" s="458" t="s">
        <v>1620</v>
      </c>
      <c r="N131" s="463" t="s">
        <v>1531</v>
      </c>
      <c r="O131" s="464" t="s">
        <v>1413</v>
      </c>
      <c r="P131" s="475">
        <v>5.6966500000000003E-2</v>
      </c>
      <c r="Q131" s="475">
        <v>6.6560999999999997E-6</v>
      </c>
      <c r="R131" s="476" t="s">
        <v>2435</v>
      </c>
      <c r="S131" s="477" t="s">
        <v>1531</v>
      </c>
      <c r="T131" s="478" t="s">
        <v>1413</v>
      </c>
      <c r="U131" s="481">
        <v>16.059999999999999</v>
      </c>
      <c r="V131" s="481" t="s">
        <v>553</v>
      </c>
      <c r="W131" s="497">
        <v>-0.52</v>
      </c>
      <c r="X131" s="498" t="s">
        <v>1620</v>
      </c>
      <c r="Y131" s="488">
        <v>306300</v>
      </c>
      <c r="Z131" s="489" t="s">
        <v>1620</v>
      </c>
      <c r="AA131" s="396">
        <v>5.8600000000000001E-5</v>
      </c>
      <c r="AB131" s="397" t="s">
        <v>553</v>
      </c>
      <c r="AC131" s="369"/>
    </row>
    <row r="132" spans="1:29" ht="20.100000000000001" customHeight="1">
      <c r="A132" s="390" t="s">
        <v>1043</v>
      </c>
      <c r="B132" s="391" t="s">
        <v>751</v>
      </c>
      <c r="C132" s="400">
        <f>COUNTIF('Chem Props'!$B$6:$B$851,'Parameters Summary'!A132)</f>
        <v>1</v>
      </c>
      <c r="D132" s="400">
        <f>COUNTIF('Tox Summary'!$N$3:$N$792, 'Parameters Summary'!A132)</f>
        <v>1</v>
      </c>
      <c r="E132" s="434">
        <v>325.19</v>
      </c>
      <c r="F132" s="435" t="s">
        <v>1620</v>
      </c>
      <c r="G132" s="436">
        <v>2.9598999999999998E-6</v>
      </c>
      <c r="H132" s="436">
        <v>7.24E-8</v>
      </c>
      <c r="I132" s="437" t="s">
        <v>553</v>
      </c>
      <c r="J132" s="436">
        <v>2.2000000000000001E-6</v>
      </c>
      <c r="K132" s="437" t="s">
        <v>1620</v>
      </c>
      <c r="L132" s="453">
        <v>37</v>
      </c>
      <c r="M132" s="454" t="s">
        <v>1620</v>
      </c>
      <c r="N132" s="455">
        <v>1.2816000000000001</v>
      </c>
      <c r="O132" s="456" t="s">
        <v>1618</v>
      </c>
      <c r="P132" s="471">
        <v>2.17767E-2</v>
      </c>
      <c r="Q132" s="471">
        <v>5.4782000000000003E-6</v>
      </c>
      <c r="R132" s="472" t="s">
        <v>2435</v>
      </c>
      <c r="S132" s="473" t="s">
        <v>1531</v>
      </c>
      <c r="T132" s="474" t="s">
        <v>1413</v>
      </c>
      <c r="U132" s="484">
        <v>1539</v>
      </c>
      <c r="V132" s="484" t="s">
        <v>553</v>
      </c>
      <c r="W132" s="495">
        <v>4.74</v>
      </c>
      <c r="X132" s="496" t="s">
        <v>1620</v>
      </c>
      <c r="Y132" s="486">
        <v>13</v>
      </c>
      <c r="Z132" s="487" t="s">
        <v>1620</v>
      </c>
      <c r="AA132" s="394">
        <v>3.3099999999999997E-2</v>
      </c>
      <c r="AB132" s="395" t="s">
        <v>553</v>
      </c>
      <c r="AC132" s="369"/>
    </row>
    <row r="133" spans="1:29" ht="20.100000000000001" customHeight="1">
      <c r="A133" s="390" t="s">
        <v>566</v>
      </c>
      <c r="B133" s="391" t="s">
        <v>752</v>
      </c>
      <c r="C133" s="400">
        <f>COUNTIF('Chem Props'!$B$6:$B$851,'Parameters Summary'!A133)</f>
        <v>1</v>
      </c>
      <c r="D133" s="400">
        <f>COUNTIF('Tox Summary'!$N$3:$N$792, 'Parameters Summary'!A133)</f>
        <v>1</v>
      </c>
      <c r="E133" s="434">
        <v>156.57</v>
      </c>
      <c r="F133" s="435" t="s">
        <v>1620</v>
      </c>
      <c r="G133" s="436">
        <v>3.2828999999999999E-6</v>
      </c>
      <c r="H133" s="436">
        <v>8.0299999999999998E-8</v>
      </c>
      <c r="I133" s="437" t="s">
        <v>1620</v>
      </c>
      <c r="J133" s="436">
        <v>2.33E-3</v>
      </c>
      <c r="K133" s="437" t="s">
        <v>1620</v>
      </c>
      <c r="L133" s="453">
        <v>243</v>
      </c>
      <c r="M133" s="454" t="s">
        <v>1620</v>
      </c>
      <c r="N133" s="455">
        <v>1.5409999999999999</v>
      </c>
      <c r="O133" s="456" t="s">
        <v>1621</v>
      </c>
      <c r="P133" s="471">
        <v>5.4688500000000001E-2</v>
      </c>
      <c r="Q133" s="471">
        <v>9.4870000000000008E-6</v>
      </c>
      <c r="R133" s="472" t="s">
        <v>2435</v>
      </c>
      <c r="S133" s="473" t="s">
        <v>1531</v>
      </c>
      <c r="T133" s="474" t="s">
        <v>1413</v>
      </c>
      <c r="U133" s="484">
        <v>26.56</v>
      </c>
      <c r="V133" s="484" t="s">
        <v>553</v>
      </c>
      <c r="W133" s="495">
        <v>2.65</v>
      </c>
      <c r="X133" s="496" t="s">
        <v>1620</v>
      </c>
      <c r="Y133" s="486">
        <v>72</v>
      </c>
      <c r="Z133" s="487" t="s">
        <v>1620</v>
      </c>
      <c r="AA133" s="394">
        <v>1.2E-2</v>
      </c>
      <c r="AB133" s="395" t="s">
        <v>553</v>
      </c>
      <c r="AC133" s="369"/>
    </row>
    <row r="134" spans="1:29" ht="20.100000000000001" customHeight="1" thickBot="1">
      <c r="A134" s="392" t="s">
        <v>1044</v>
      </c>
      <c r="B134" s="393" t="s">
        <v>753</v>
      </c>
      <c r="C134" s="400">
        <f>COUNTIF('Chem Props'!$B$6:$B$851,'Parameters Summary'!A134)</f>
        <v>1</v>
      </c>
      <c r="D134" s="400">
        <f>COUNTIF('Tox Summary'!$N$3:$N$792, 'Parameters Summary'!A134)</f>
        <v>1</v>
      </c>
      <c r="E134" s="438">
        <v>180.56</v>
      </c>
      <c r="F134" s="439" t="s">
        <v>1620</v>
      </c>
      <c r="G134" s="440">
        <v>1.4186426999999999</v>
      </c>
      <c r="H134" s="440">
        <v>3.4700000000000002E-2</v>
      </c>
      <c r="I134" s="441" t="s">
        <v>1620</v>
      </c>
      <c r="J134" s="440">
        <v>7.63</v>
      </c>
      <c r="K134" s="441" t="s">
        <v>1620</v>
      </c>
      <c r="L134" s="457">
        <v>-33</v>
      </c>
      <c r="M134" s="458" t="s">
        <v>1620</v>
      </c>
      <c r="N134" s="459">
        <v>1.3340000000000001</v>
      </c>
      <c r="O134" s="460" t="s">
        <v>1618</v>
      </c>
      <c r="P134" s="475">
        <v>3.8499499999999999E-2</v>
      </c>
      <c r="Q134" s="475">
        <v>7.9872000000000004E-6</v>
      </c>
      <c r="R134" s="476" t="s">
        <v>2435</v>
      </c>
      <c r="S134" s="477" t="s">
        <v>1531</v>
      </c>
      <c r="T134" s="478" t="s">
        <v>1413</v>
      </c>
      <c r="U134" s="481">
        <v>1606</v>
      </c>
      <c r="V134" s="481" t="s">
        <v>553</v>
      </c>
      <c r="W134" s="497">
        <v>3.6</v>
      </c>
      <c r="X134" s="498" t="s">
        <v>1620</v>
      </c>
      <c r="Y134" s="488">
        <v>29</v>
      </c>
      <c r="Z134" s="489" t="s">
        <v>1620</v>
      </c>
      <c r="AA134" s="396">
        <v>3.7499999999999999E-2</v>
      </c>
      <c r="AB134" s="397" t="s">
        <v>553</v>
      </c>
      <c r="AC134" s="369"/>
    </row>
    <row r="135" spans="1:29" ht="20.100000000000001" customHeight="1">
      <c r="A135" s="390" t="s">
        <v>1045</v>
      </c>
      <c r="B135" s="391" t="s">
        <v>754</v>
      </c>
      <c r="C135" s="400">
        <f>COUNTIF('Chem Props'!$B$6:$B$851,'Parameters Summary'!A135)</f>
        <v>1</v>
      </c>
      <c r="D135" s="400">
        <f>COUNTIF('Tox Summary'!$N$3:$N$792, 'Parameters Summary'!A135)</f>
        <v>1</v>
      </c>
      <c r="E135" s="434">
        <v>92.569000000000003</v>
      </c>
      <c r="F135" s="435" t="s">
        <v>1620</v>
      </c>
      <c r="G135" s="436">
        <v>0.68274729999999995</v>
      </c>
      <c r="H135" s="436">
        <v>1.67E-2</v>
      </c>
      <c r="I135" s="437" t="s">
        <v>1620</v>
      </c>
      <c r="J135" s="436">
        <v>101.3</v>
      </c>
      <c r="K135" s="437" t="s">
        <v>1620</v>
      </c>
      <c r="L135" s="453">
        <v>-123.1</v>
      </c>
      <c r="M135" s="454" t="s">
        <v>1620</v>
      </c>
      <c r="N135" s="455">
        <v>0.88570000000000004</v>
      </c>
      <c r="O135" s="456" t="s">
        <v>1618</v>
      </c>
      <c r="P135" s="471">
        <v>7.8413700000000003E-2</v>
      </c>
      <c r="Q135" s="471">
        <v>9.3275000000000001E-6</v>
      </c>
      <c r="R135" s="472" t="s">
        <v>2435</v>
      </c>
      <c r="S135" s="473" t="s">
        <v>1531</v>
      </c>
      <c r="T135" s="474" t="s">
        <v>1413</v>
      </c>
      <c r="U135" s="484">
        <v>72.17</v>
      </c>
      <c r="V135" s="484" t="s">
        <v>553</v>
      </c>
      <c r="W135" s="495">
        <v>2.64</v>
      </c>
      <c r="X135" s="496" t="s">
        <v>1620</v>
      </c>
      <c r="Y135" s="486">
        <v>1100</v>
      </c>
      <c r="Z135" s="487" t="s">
        <v>1620</v>
      </c>
      <c r="AA135" s="394">
        <v>2.69E-2</v>
      </c>
      <c r="AB135" s="395" t="s">
        <v>553</v>
      </c>
      <c r="AC135" s="369"/>
    </row>
    <row r="136" spans="1:29" ht="20.100000000000001" customHeight="1">
      <c r="A136" s="390" t="s">
        <v>1436</v>
      </c>
      <c r="B136" s="391" t="s">
        <v>755</v>
      </c>
      <c r="C136" s="400">
        <f>COUNTIF('Chem Props'!$B$6:$B$851,'Parameters Summary'!A136)</f>
        <v>1</v>
      </c>
      <c r="D136" s="400">
        <f>COUNTIF('Tox Summary'!$N$3:$N$792, 'Parameters Summary'!A136)</f>
        <v>1</v>
      </c>
      <c r="E136" s="434">
        <v>86.468999999999994</v>
      </c>
      <c r="F136" s="435" t="s">
        <v>1620</v>
      </c>
      <c r="G136" s="436">
        <v>1.6598527999999999</v>
      </c>
      <c r="H136" s="436">
        <v>4.0599999999999997E-2</v>
      </c>
      <c r="I136" s="437" t="s">
        <v>1620</v>
      </c>
      <c r="J136" s="436">
        <v>7252</v>
      </c>
      <c r="K136" s="437" t="s">
        <v>1620</v>
      </c>
      <c r="L136" s="453">
        <v>-157.4</v>
      </c>
      <c r="M136" s="454" t="s">
        <v>1620</v>
      </c>
      <c r="N136" s="455">
        <v>1.4908999999999999</v>
      </c>
      <c r="O136" s="456" t="s">
        <v>1618</v>
      </c>
      <c r="P136" s="471">
        <v>0.10337880000000001</v>
      </c>
      <c r="Q136" s="471">
        <v>1.33E-5</v>
      </c>
      <c r="R136" s="472" t="s">
        <v>2435</v>
      </c>
      <c r="S136" s="473" t="s">
        <v>1531</v>
      </c>
      <c r="T136" s="474" t="s">
        <v>1413</v>
      </c>
      <c r="U136" s="484">
        <v>31.82</v>
      </c>
      <c r="V136" s="484" t="s">
        <v>553</v>
      </c>
      <c r="W136" s="495">
        <v>1.08</v>
      </c>
      <c r="X136" s="496" t="s">
        <v>1620</v>
      </c>
      <c r="Y136" s="486">
        <v>2770</v>
      </c>
      <c r="Z136" s="487" t="s">
        <v>1620</v>
      </c>
      <c r="AA136" s="394">
        <v>2.6800000000000001E-3</v>
      </c>
      <c r="AB136" s="395" t="s">
        <v>553</v>
      </c>
      <c r="AC136" s="369"/>
    </row>
    <row r="137" spans="1:29" ht="20.100000000000001" customHeight="1" thickBot="1">
      <c r="A137" s="392" t="s">
        <v>1998</v>
      </c>
      <c r="B137" s="393" t="s">
        <v>1999</v>
      </c>
      <c r="C137" s="400">
        <f>COUNTIF('Chem Props'!$B$6:$B$851,'Parameters Summary'!A137)</f>
        <v>1</v>
      </c>
      <c r="D137" s="400">
        <f>COUNTIF('Tox Summary'!$N$3:$N$792, 'Parameters Summary'!A137)</f>
        <v>1</v>
      </c>
      <c r="E137" s="438">
        <v>80.515000000000001</v>
      </c>
      <c r="F137" s="439" t="s">
        <v>1620</v>
      </c>
      <c r="G137" s="440">
        <v>3.1099999999999997E-5</v>
      </c>
      <c r="H137" s="440">
        <v>7.61E-7</v>
      </c>
      <c r="I137" s="441" t="s">
        <v>553</v>
      </c>
      <c r="J137" s="440">
        <v>7.18</v>
      </c>
      <c r="K137" s="441" t="s">
        <v>1620</v>
      </c>
      <c r="L137" s="457">
        <v>-67.5</v>
      </c>
      <c r="M137" s="458" t="s">
        <v>1620</v>
      </c>
      <c r="N137" s="459">
        <v>1.2019</v>
      </c>
      <c r="O137" s="460" t="s">
        <v>1618</v>
      </c>
      <c r="P137" s="475">
        <v>9.9981299999999995E-2</v>
      </c>
      <c r="Q137" s="475">
        <v>1.22E-5</v>
      </c>
      <c r="R137" s="476" t="s">
        <v>2435</v>
      </c>
      <c r="S137" s="477" t="s">
        <v>1531</v>
      </c>
      <c r="T137" s="478" t="s">
        <v>1413</v>
      </c>
      <c r="U137" s="481">
        <v>1.9039999999999999</v>
      </c>
      <c r="V137" s="481" t="s">
        <v>553</v>
      </c>
      <c r="W137" s="497">
        <v>0.03</v>
      </c>
      <c r="X137" s="498" t="s">
        <v>1620</v>
      </c>
      <c r="Y137" s="488">
        <v>1000000</v>
      </c>
      <c r="Z137" s="489" t="s">
        <v>1620</v>
      </c>
      <c r="AA137" s="396">
        <v>5.7899999999999998E-4</v>
      </c>
      <c r="AB137" s="397" t="s">
        <v>553</v>
      </c>
      <c r="AC137" s="369"/>
    </row>
    <row r="138" spans="1:29" ht="20.100000000000001" customHeight="1">
      <c r="A138" s="390" t="s">
        <v>434</v>
      </c>
      <c r="B138" s="391" t="s">
        <v>756</v>
      </c>
      <c r="C138" s="400">
        <f>COUNTIF('Chem Props'!$B$6:$B$851,'Parameters Summary'!A138)</f>
        <v>1</v>
      </c>
      <c r="D138" s="400">
        <f>COUNTIF('Tox Summary'!$N$3:$N$792, 'Parameters Summary'!A138)</f>
        <v>1</v>
      </c>
      <c r="E138" s="434">
        <v>119.38</v>
      </c>
      <c r="F138" s="435" t="s">
        <v>1620</v>
      </c>
      <c r="G138" s="436">
        <v>0.1500409</v>
      </c>
      <c r="H138" s="436">
        <v>3.6700000000000001E-3</v>
      </c>
      <c r="I138" s="437" t="s">
        <v>1620</v>
      </c>
      <c r="J138" s="436">
        <v>197</v>
      </c>
      <c r="K138" s="437" t="s">
        <v>1620</v>
      </c>
      <c r="L138" s="453">
        <v>-63.6</v>
      </c>
      <c r="M138" s="454" t="s">
        <v>1620</v>
      </c>
      <c r="N138" s="455">
        <v>1.4787999999999999</v>
      </c>
      <c r="O138" s="456" t="s">
        <v>1618</v>
      </c>
      <c r="P138" s="471">
        <v>7.6919699999999994E-2</v>
      </c>
      <c r="Q138" s="471">
        <v>1.0900000000000001E-5</v>
      </c>
      <c r="R138" s="472" t="s">
        <v>2435</v>
      </c>
      <c r="S138" s="473" t="s">
        <v>1531</v>
      </c>
      <c r="T138" s="474" t="s">
        <v>1413</v>
      </c>
      <c r="U138" s="484">
        <v>31.82</v>
      </c>
      <c r="V138" s="484" t="s">
        <v>553</v>
      </c>
      <c r="W138" s="495">
        <v>1.97</v>
      </c>
      <c r="X138" s="496" t="s">
        <v>1620</v>
      </c>
      <c r="Y138" s="486">
        <v>7950</v>
      </c>
      <c r="Z138" s="487" t="s">
        <v>1620</v>
      </c>
      <c r="AA138" s="394">
        <v>6.8300000000000001E-3</v>
      </c>
      <c r="AB138" s="395" t="s">
        <v>553</v>
      </c>
      <c r="AC138" s="369"/>
    </row>
    <row r="139" spans="1:29" ht="20.100000000000001" customHeight="1">
      <c r="A139" s="390" t="s">
        <v>1046</v>
      </c>
      <c r="B139" s="391" t="s">
        <v>757</v>
      </c>
      <c r="C139" s="400">
        <f>COUNTIF('Chem Props'!$B$6:$B$851,'Parameters Summary'!A139)</f>
        <v>1</v>
      </c>
      <c r="D139" s="400">
        <f>COUNTIF('Tox Summary'!$N$3:$N$792, 'Parameters Summary'!A139)</f>
        <v>1</v>
      </c>
      <c r="E139" s="434">
        <v>50.488</v>
      </c>
      <c r="F139" s="435" t="s">
        <v>1620</v>
      </c>
      <c r="G139" s="436">
        <v>0.36058869999999998</v>
      </c>
      <c r="H139" s="436">
        <v>8.8199999999999997E-3</v>
      </c>
      <c r="I139" s="437" t="s">
        <v>1620</v>
      </c>
      <c r="J139" s="436">
        <v>4300</v>
      </c>
      <c r="K139" s="437" t="s">
        <v>1620</v>
      </c>
      <c r="L139" s="453">
        <v>-97.7</v>
      </c>
      <c r="M139" s="454" t="s">
        <v>1620</v>
      </c>
      <c r="N139" s="455">
        <v>0.91100000000000003</v>
      </c>
      <c r="O139" s="456" t="s">
        <v>1618</v>
      </c>
      <c r="P139" s="471">
        <v>0.12396509999999999</v>
      </c>
      <c r="Q139" s="471">
        <v>1.36E-5</v>
      </c>
      <c r="R139" s="472" t="s">
        <v>2435</v>
      </c>
      <c r="S139" s="473" t="s">
        <v>1531</v>
      </c>
      <c r="T139" s="474" t="s">
        <v>1413</v>
      </c>
      <c r="U139" s="484">
        <v>13.22</v>
      </c>
      <c r="V139" s="484" t="s">
        <v>553</v>
      </c>
      <c r="W139" s="495">
        <v>0.91</v>
      </c>
      <c r="X139" s="496" t="s">
        <v>1620</v>
      </c>
      <c r="Y139" s="486">
        <v>5320</v>
      </c>
      <c r="Z139" s="487" t="s">
        <v>1620</v>
      </c>
      <c r="AA139" s="394">
        <v>3.2799999999999999E-3</v>
      </c>
      <c r="AB139" s="395" t="s">
        <v>553</v>
      </c>
      <c r="AC139" s="369"/>
    </row>
    <row r="140" spans="1:29" ht="20.100000000000001" customHeight="1" thickBot="1">
      <c r="A140" s="392" t="s">
        <v>567</v>
      </c>
      <c r="B140" s="393" t="s">
        <v>758</v>
      </c>
      <c r="C140" s="400">
        <f>COUNTIF('Chem Props'!$B$6:$B$851,'Parameters Summary'!A140)</f>
        <v>1</v>
      </c>
      <c r="D140" s="400">
        <f>COUNTIF('Tox Summary'!$N$3:$N$792, 'Parameters Summary'!A140)</f>
        <v>1</v>
      </c>
      <c r="E140" s="438">
        <v>80.515000000000001</v>
      </c>
      <c r="F140" s="439" t="s">
        <v>1620</v>
      </c>
      <c r="G140" s="440">
        <v>1.24285E-2</v>
      </c>
      <c r="H140" s="440">
        <v>3.0400000000000002E-4</v>
      </c>
      <c r="I140" s="441" t="s">
        <v>1620</v>
      </c>
      <c r="J140" s="440">
        <v>30</v>
      </c>
      <c r="K140" s="441" t="s">
        <v>1620</v>
      </c>
      <c r="L140" s="457">
        <v>-103.5</v>
      </c>
      <c r="M140" s="458" t="s">
        <v>1620</v>
      </c>
      <c r="N140" s="459">
        <v>1.0629999999999999</v>
      </c>
      <c r="O140" s="460" t="s">
        <v>1618</v>
      </c>
      <c r="P140" s="475">
        <v>9.4968300000000005E-2</v>
      </c>
      <c r="Q140" s="475">
        <v>1.13E-5</v>
      </c>
      <c r="R140" s="476" t="s">
        <v>2435</v>
      </c>
      <c r="S140" s="477" t="s">
        <v>1531</v>
      </c>
      <c r="T140" s="478" t="s">
        <v>1413</v>
      </c>
      <c r="U140" s="481">
        <v>5.3220000000000001</v>
      </c>
      <c r="V140" s="481" t="s">
        <v>553</v>
      </c>
      <c r="W140" s="497">
        <v>0.32</v>
      </c>
      <c r="X140" s="498" t="s">
        <v>1620</v>
      </c>
      <c r="Y140" s="488">
        <v>69440</v>
      </c>
      <c r="Z140" s="489" t="s">
        <v>1620</v>
      </c>
      <c r="AA140" s="396">
        <v>9.0499999999999999E-4</v>
      </c>
      <c r="AB140" s="397" t="s">
        <v>553</v>
      </c>
      <c r="AC140" s="369"/>
    </row>
    <row r="141" spans="1:29" ht="20.100000000000001" customHeight="1">
      <c r="A141" s="390" t="s">
        <v>524</v>
      </c>
      <c r="B141" s="391" t="s">
        <v>760</v>
      </c>
      <c r="C141" s="400">
        <f>COUNTIF('Chem Props'!$B$6:$B$851,'Parameters Summary'!A141)</f>
        <v>1</v>
      </c>
      <c r="D141" s="400">
        <f>COUNTIF('Tox Summary'!$N$3:$N$792, 'Parameters Summary'!A141)</f>
        <v>1</v>
      </c>
      <c r="E141" s="434">
        <v>157.56</v>
      </c>
      <c r="F141" s="435" t="s">
        <v>1620</v>
      </c>
      <c r="G141" s="436">
        <v>3.8020000000000003E-4</v>
      </c>
      <c r="H141" s="436">
        <v>9.3000000000000007E-6</v>
      </c>
      <c r="I141" s="437" t="s">
        <v>1620</v>
      </c>
      <c r="J141" s="436">
        <v>1.8200000000000001E-2</v>
      </c>
      <c r="K141" s="437" t="s">
        <v>553</v>
      </c>
      <c r="L141" s="453">
        <v>32.5</v>
      </c>
      <c r="M141" s="454" t="s">
        <v>1620</v>
      </c>
      <c r="N141" s="455">
        <v>1.3680000000000001</v>
      </c>
      <c r="O141" s="456" t="s">
        <v>1618</v>
      </c>
      <c r="P141" s="471">
        <v>5.1345300000000003E-2</v>
      </c>
      <c r="Q141" s="471">
        <v>8.7994999999999994E-6</v>
      </c>
      <c r="R141" s="472" t="s">
        <v>2435</v>
      </c>
      <c r="S141" s="473" t="s">
        <v>1531</v>
      </c>
      <c r="T141" s="474" t="s">
        <v>1413</v>
      </c>
      <c r="U141" s="484">
        <v>370.6</v>
      </c>
      <c r="V141" s="484" t="s">
        <v>553</v>
      </c>
      <c r="W141" s="495">
        <v>2.2400000000000002</v>
      </c>
      <c r="X141" s="496" t="s">
        <v>1620</v>
      </c>
      <c r="Y141" s="486">
        <v>441</v>
      </c>
      <c r="Z141" s="487" t="s">
        <v>1620</v>
      </c>
      <c r="AA141" s="394">
        <v>6.3E-3</v>
      </c>
      <c r="AB141" s="395" t="s">
        <v>553</v>
      </c>
      <c r="AC141" s="369"/>
    </row>
    <row r="142" spans="1:29" ht="20.100000000000001" customHeight="1">
      <c r="A142" s="390" t="s">
        <v>525</v>
      </c>
      <c r="B142" s="391" t="s">
        <v>761</v>
      </c>
      <c r="C142" s="400">
        <f>COUNTIF('Chem Props'!$B$6:$B$851,'Parameters Summary'!A142)</f>
        <v>1</v>
      </c>
      <c r="D142" s="400">
        <f>COUNTIF('Tox Summary'!$N$3:$N$792, 'Parameters Summary'!A142)</f>
        <v>1</v>
      </c>
      <c r="E142" s="434">
        <v>157.56</v>
      </c>
      <c r="F142" s="435" t="s">
        <v>1620</v>
      </c>
      <c r="G142" s="436">
        <v>1.9990000000000001E-4</v>
      </c>
      <c r="H142" s="436">
        <v>4.8899999999999998E-6</v>
      </c>
      <c r="I142" s="437" t="s">
        <v>1620</v>
      </c>
      <c r="J142" s="436">
        <v>2.1899999999999999E-2</v>
      </c>
      <c r="K142" s="437" t="s">
        <v>553</v>
      </c>
      <c r="L142" s="453">
        <v>83.5</v>
      </c>
      <c r="M142" s="454" t="s">
        <v>1620</v>
      </c>
      <c r="N142" s="455">
        <v>1.2979000000000001</v>
      </c>
      <c r="O142" s="456" t="s">
        <v>1618</v>
      </c>
      <c r="P142" s="471">
        <v>5.0158700000000001E-2</v>
      </c>
      <c r="Q142" s="471">
        <v>8.5260999999999996E-6</v>
      </c>
      <c r="R142" s="472" t="s">
        <v>2435</v>
      </c>
      <c r="S142" s="473" t="s">
        <v>1531</v>
      </c>
      <c r="T142" s="474" t="s">
        <v>1413</v>
      </c>
      <c r="U142" s="484">
        <v>363.2</v>
      </c>
      <c r="V142" s="484" t="s">
        <v>553</v>
      </c>
      <c r="W142" s="495">
        <v>2.39</v>
      </c>
      <c r="X142" s="496" t="s">
        <v>1620</v>
      </c>
      <c r="Y142" s="486">
        <v>225</v>
      </c>
      <c r="Z142" s="487" t="s">
        <v>1620</v>
      </c>
      <c r="AA142" s="394">
        <v>7.9299999999999995E-3</v>
      </c>
      <c r="AB142" s="395" t="s">
        <v>553</v>
      </c>
      <c r="AC142" s="369"/>
    </row>
    <row r="143" spans="1:29" ht="20.100000000000001" customHeight="1" thickBot="1">
      <c r="A143" s="392" t="s">
        <v>1047</v>
      </c>
      <c r="B143" s="393" t="s">
        <v>762</v>
      </c>
      <c r="C143" s="400">
        <f>COUNTIF('Chem Props'!$B$6:$B$851,'Parameters Summary'!A143)</f>
        <v>1</v>
      </c>
      <c r="D143" s="400">
        <f>COUNTIF('Tox Summary'!$N$3:$N$792, 'Parameters Summary'!A143)</f>
        <v>1</v>
      </c>
      <c r="E143" s="438">
        <v>128.56</v>
      </c>
      <c r="F143" s="439" t="s">
        <v>1620</v>
      </c>
      <c r="G143" s="440">
        <v>4.5790000000000002E-4</v>
      </c>
      <c r="H143" s="440">
        <v>1.1199999999999999E-5</v>
      </c>
      <c r="I143" s="441" t="s">
        <v>1620</v>
      </c>
      <c r="J143" s="440">
        <v>2.5299999999999998</v>
      </c>
      <c r="K143" s="441" t="s">
        <v>1620</v>
      </c>
      <c r="L143" s="457">
        <v>9.8000000000000007</v>
      </c>
      <c r="M143" s="458" t="s">
        <v>1620</v>
      </c>
      <c r="N143" s="459">
        <v>1.2634000000000001</v>
      </c>
      <c r="O143" s="460" t="s">
        <v>1618</v>
      </c>
      <c r="P143" s="475">
        <v>6.6117499999999996E-2</v>
      </c>
      <c r="Q143" s="475">
        <v>9.4784000000000006E-6</v>
      </c>
      <c r="R143" s="476" t="s">
        <v>2435</v>
      </c>
      <c r="S143" s="477" t="s">
        <v>1531</v>
      </c>
      <c r="T143" s="478" t="s">
        <v>1413</v>
      </c>
      <c r="U143" s="481">
        <v>388</v>
      </c>
      <c r="V143" s="481" t="s">
        <v>557</v>
      </c>
      <c r="W143" s="497">
        <v>2.15</v>
      </c>
      <c r="X143" s="498" t="s">
        <v>1620</v>
      </c>
      <c r="Y143" s="488">
        <v>11300</v>
      </c>
      <c r="Z143" s="489" t="s">
        <v>1620</v>
      </c>
      <c r="AA143" s="396">
        <v>7.9900000000000006E-3</v>
      </c>
      <c r="AB143" s="397" t="s">
        <v>553</v>
      </c>
      <c r="AC143" s="369"/>
    </row>
    <row r="144" spans="1:29" ht="20.100000000000001" customHeight="1">
      <c r="A144" s="390" t="s">
        <v>568</v>
      </c>
      <c r="B144" s="391" t="s">
        <v>763</v>
      </c>
      <c r="C144" s="400">
        <f>COUNTIF('Chem Props'!$B$6:$B$851,'Parameters Summary'!A144)</f>
        <v>1</v>
      </c>
      <c r="D144" s="400">
        <f>COUNTIF('Tox Summary'!$N$3:$N$792, 'Parameters Summary'!A144)</f>
        <v>1</v>
      </c>
      <c r="E144" s="434">
        <v>164.38</v>
      </c>
      <c r="F144" s="435" t="s">
        <v>1620</v>
      </c>
      <c r="G144" s="436">
        <v>8.3810300000000004E-2</v>
      </c>
      <c r="H144" s="436">
        <v>2.0500000000000002E-3</v>
      </c>
      <c r="I144" s="437" t="s">
        <v>1620</v>
      </c>
      <c r="J144" s="436">
        <v>24</v>
      </c>
      <c r="K144" s="437" t="s">
        <v>1620</v>
      </c>
      <c r="L144" s="453">
        <v>-64</v>
      </c>
      <c r="M144" s="454" t="s">
        <v>1620</v>
      </c>
      <c r="N144" s="455">
        <v>1.6557999999999999</v>
      </c>
      <c r="O144" s="456" t="s">
        <v>1618</v>
      </c>
      <c r="P144" s="471">
        <v>5.1763700000000003E-2</v>
      </c>
      <c r="Q144" s="471">
        <v>9.6198000000000006E-6</v>
      </c>
      <c r="R144" s="472" t="s">
        <v>2435</v>
      </c>
      <c r="S144" s="473" t="s">
        <v>1531</v>
      </c>
      <c r="T144" s="474" t="s">
        <v>1413</v>
      </c>
      <c r="U144" s="484">
        <v>44.19</v>
      </c>
      <c r="V144" s="484" t="s">
        <v>553</v>
      </c>
      <c r="W144" s="495">
        <v>2.09</v>
      </c>
      <c r="X144" s="496" t="s">
        <v>1620</v>
      </c>
      <c r="Y144" s="486">
        <v>1620</v>
      </c>
      <c r="Z144" s="487" t="s">
        <v>1620</v>
      </c>
      <c r="AA144" s="394">
        <v>4.5900000000000003E-3</v>
      </c>
      <c r="AB144" s="395" t="s">
        <v>553</v>
      </c>
      <c r="AC144" s="369"/>
    </row>
    <row r="145" spans="1:29" ht="20.100000000000001" customHeight="1">
      <c r="A145" s="390" t="s">
        <v>1402</v>
      </c>
      <c r="B145" s="391" t="s">
        <v>764</v>
      </c>
      <c r="C145" s="400">
        <f>COUNTIF('Chem Props'!$B$6:$B$851,'Parameters Summary'!A145)</f>
        <v>1</v>
      </c>
      <c r="D145" s="400">
        <f>COUNTIF('Tox Summary'!$N$3:$N$792, 'Parameters Summary'!A145)</f>
        <v>1</v>
      </c>
      <c r="E145" s="434">
        <v>265.91000000000003</v>
      </c>
      <c r="F145" s="435" t="s">
        <v>1620</v>
      </c>
      <c r="G145" s="436">
        <v>8.1799999999999996E-5</v>
      </c>
      <c r="H145" s="436">
        <v>1.9999999999999999E-6</v>
      </c>
      <c r="I145" s="437" t="s">
        <v>1620</v>
      </c>
      <c r="J145" s="436">
        <v>5.7000000000000005E-7</v>
      </c>
      <c r="K145" s="437" t="s">
        <v>1620</v>
      </c>
      <c r="L145" s="453">
        <v>250</v>
      </c>
      <c r="M145" s="454" t="s">
        <v>1620</v>
      </c>
      <c r="N145" s="455">
        <v>1.7</v>
      </c>
      <c r="O145" s="456" t="s">
        <v>1618</v>
      </c>
      <c r="P145" s="471">
        <v>2.7578700000000001E-2</v>
      </c>
      <c r="Q145" s="471">
        <v>7.3231999999999996E-6</v>
      </c>
      <c r="R145" s="472" t="s">
        <v>2435</v>
      </c>
      <c r="S145" s="473" t="s">
        <v>1531</v>
      </c>
      <c r="T145" s="474" t="s">
        <v>1413</v>
      </c>
      <c r="U145" s="484">
        <v>1041</v>
      </c>
      <c r="V145" s="484" t="s">
        <v>553</v>
      </c>
      <c r="W145" s="495">
        <v>3.05</v>
      </c>
      <c r="X145" s="496" t="s">
        <v>1620</v>
      </c>
      <c r="Y145" s="486">
        <v>0.81</v>
      </c>
      <c r="Z145" s="487" t="s">
        <v>1620</v>
      </c>
      <c r="AA145" s="394">
        <v>5.3699999999999998E-3</v>
      </c>
      <c r="AB145" s="395" t="s">
        <v>553</v>
      </c>
      <c r="AC145" s="369"/>
    </row>
    <row r="146" spans="1:29" ht="20.100000000000001" customHeight="1" thickBot="1">
      <c r="A146" s="392" t="s">
        <v>1048</v>
      </c>
      <c r="B146" s="393" t="s">
        <v>765</v>
      </c>
      <c r="C146" s="400">
        <f>COUNTIF('Chem Props'!$B$6:$B$851,'Parameters Summary'!A146)</f>
        <v>1</v>
      </c>
      <c r="D146" s="400">
        <f>COUNTIF('Tox Summary'!$N$3:$N$792, 'Parameters Summary'!A146)</f>
        <v>1</v>
      </c>
      <c r="E146" s="438">
        <v>126.59</v>
      </c>
      <c r="F146" s="439" t="s">
        <v>1620</v>
      </c>
      <c r="G146" s="440">
        <v>0.14595259999999999</v>
      </c>
      <c r="H146" s="440">
        <v>3.5699999999999998E-3</v>
      </c>
      <c r="I146" s="441" t="s">
        <v>1620</v>
      </c>
      <c r="J146" s="440">
        <v>3.43</v>
      </c>
      <c r="K146" s="441" t="s">
        <v>1620</v>
      </c>
      <c r="L146" s="457">
        <v>-35.6</v>
      </c>
      <c r="M146" s="458" t="s">
        <v>1620</v>
      </c>
      <c r="N146" s="459">
        <v>1.0825</v>
      </c>
      <c r="O146" s="460" t="s">
        <v>1618</v>
      </c>
      <c r="P146" s="475">
        <v>6.29025E-2</v>
      </c>
      <c r="Q146" s="475">
        <v>8.7193999999999999E-6</v>
      </c>
      <c r="R146" s="476" t="s">
        <v>2435</v>
      </c>
      <c r="S146" s="477" t="s">
        <v>1531</v>
      </c>
      <c r="T146" s="478" t="s">
        <v>1413</v>
      </c>
      <c r="U146" s="481">
        <v>382.9</v>
      </c>
      <c r="V146" s="481" t="s">
        <v>553</v>
      </c>
      <c r="W146" s="497">
        <v>3.42</v>
      </c>
      <c r="X146" s="498" t="s">
        <v>1620</v>
      </c>
      <c r="Y146" s="488">
        <v>374</v>
      </c>
      <c r="Z146" s="489" t="s">
        <v>1620</v>
      </c>
      <c r="AA146" s="396">
        <v>5.7200000000000001E-2</v>
      </c>
      <c r="AB146" s="397" t="s">
        <v>553</v>
      </c>
      <c r="AC146" s="369"/>
    </row>
    <row r="147" spans="1:29" ht="20.100000000000001" customHeight="1">
      <c r="A147" s="390" t="s">
        <v>555</v>
      </c>
      <c r="B147" s="391" t="s">
        <v>766</v>
      </c>
      <c r="C147" s="400">
        <f>COUNTIF('Chem Props'!$B$6:$B$851,'Parameters Summary'!A147)</f>
        <v>1</v>
      </c>
      <c r="D147" s="400">
        <f>COUNTIF('Tox Summary'!$N$3:$N$792, 'Parameters Summary'!A147)</f>
        <v>1</v>
      </c>
      <c r="E147" s="434">
        <v>126.59</v>
      </c>
      <c r="F147" s="435" t="s">
        <v>1620</v>
      </c>
      <c r="G147" s="436">
        <v>0.1790679</v>
      </c>
      <c r="H147" s="436">
        <v>4.3800000000000002E-3</v>
      </c>
      <c r="I147" s="437" t="s">
        <v>553</v>
      </c>
      <c r="J147" s="436">
        <v>2.69</v>
      </c>
      <c r="K147" s="437" t="s">
        <v>1620</v>
      </c>
      <c r="L147" s="453">
        <v>7.5</v>
      </c>
      <c r="M147" s="454" t="s">
        <v>1620</v>
      </c>
      <c r="N147" s="455">
        <v>1.0697000000000001</v>
      </c>
      <c r="O147" s="456" t="s">
        <v>1618</v>
      </c>
      <c r="P147" s="471">
        <v>6.2571000000000002E-2</v>
      </c>
      <c r="Q147" s="471">
        <v>8.6573999999999995E-6</v>
      </c>
      <c r="R147" s="472" t="s">
        <v>2435</v>
      </c>
      <c r="S147" s="473" t="s">
        <v>1531</v>
      </c>
      <c r="T147" s="474" t="s">
        <v>1413</v>
      </c>
      <c r="U147" s="484">
        <v>375.3</v>
      </c>
      <c r="V147" s="484" t="s">
        <v>553</v>
      </c>
      <c r="W147" s="495">
        <v>3.33</v>
      </c>
      <c r="X147" s="496" t="s">
        <v>1620</v>
      </c>
      <c r="Y147" s="486">
        <v>106</v>
      </c>
      <c r="Z147" s="487" t="s">
        <v>1620</v>
      </c>
      <c r="AA147" s="394">
        <v>4.9799999999999997E-2</v>
      </c>
      <c r="AB147" s="395" t="s">
        <v>553</v>
      </c>
      <c r="AC147" s="369"/>
    </row>
    <row r="148" spans="1:29" ht="20.100000000000001" customHeight="1">
      <c r="A148" s="390" t="s">
        <v>569</v>
      </c>
      <c r="B148" s="391" t="s">
        <v>767</v>
      </c>
      <c r="C148" s="400">
        <f>COUNTIF('Chem Props'!$B$6:$B$851,'Parameters Summary'!A148)</f>
        <v>1</v>
      </c>
      <c r="D148" s="400">
        <f>COUNTIF('Tox Summary'!$N$3:$N$792, 'Parameters Summary'!A148)</f>
        <v>1</v>
      </c>
      <c r="E148" s="434">
        <v>265.7</v>
      </c>
      <c r="F148" s="435" t="s">
        <v>1620</v>
      </c>
      <c r="G148" s="436">
        <v>1.5000000000000001E-20</v>
      </c>
      <c r="H148" s="436">
        <v>3.67E-22</v>
      </c>
      <c r="I148" s="437" t="s">
        <v>1620</v>
      </c>
      <c r="J148" s="436">
        <v>3.9799999999999998E-14</v>
      </c>
      <c r="K148" s="437" t="s">
        <v>1620</v>
      </c>
      <c r="L148" s="453">
        <v>147</v>
      </c>
      <c r="M148" s="454" t="s">
        <v>553</v>
      </c>
      <c r="N148" s="461" t="s">
        <v>1531</v>
      </c>
      <c r="O148" s="462" t="s">
        <v>1413</v>
      </c>
      <c r="P148" s="471">
        <v>4.5971900000000003E-2</v>
      </c>
      <c r="Q148" s="471">
        <v>5.3715000000000002E-6</v>
      </c>
      <c r="R148" s="472" t="s">
        <v>2435</v>
      </c>
      <c r="S148" s="473" t="s">
        <v>1531</v>
      </c>
      <c r="T148" s="474" t="s">
        <v>1413</v>
      </c>
      <c r="U148" s="484">
        <v>10</v>
      </c>
      <c r="V148" s="484" t="s">
        <v>553</v>
      </c>
      <c r="W148" s="495">
        <v>-1.02</v>
      </c>
      <c r="X148" s="496" t="s">
        <v>1620</v>
      </c>
      <c r="Y148" s="486">
        <v>1830</v>
      </c>
      <c r="Z148" s="487" t="s">
        <v>1620</v>
      </c>
      <c r="AA148" s="394">
        <v>9.91E-6</v>
      </c>
      <c r="AB148" s="395" t="s">
        <v>553</v>
      </c>
      <c r="AC148" s="369"/>
    </row>
    <row r="149" spans="1:29" ht="20.100000000000001" customHeight="1" thickBot="1">
      <c r="A149" s="392" t="s">
        <v>1049</v>
      </c>
      <c r="B149" s="393" t="s">
        <v>768</v>
      </c>
      <c r="C149" s="400">
        <f>COUNTIF('Chem Props'!$B$6:$B$851,'Parameters Summary'!A149)</f>
        <v>1</v>
      </c>
      <c r="D149" s="400">
        <f>COUNTIF('Tox Summary'!$N$3:$N$792, 'Parameters Summary'!A149)</f>
        <v>1</v>
      </c>
      <c r="E149" s="438">
        <v>213.67</v>
      </c>
      <c r="F149" s="439" t="s">
        <v>1620</v>
      </c>
      <c r="G149" s="440">
        <v>2.3300000000000001E-5</v>
      </c>
      <c r="H149" s="440">
        <v>5.6899999999999997E-7</v>
      </c>
      <c r="I149" s="441" t="s">
        <v>553</v>
      </c>
      <c r="J149" s="440">
        <v>1.8000000000000001E-4</v>
      </c>
      <c r="K149" s="441" t="s">
        <v>1620</v>
      </c>
      <c r="L149" s="457">
        <v>41</v>
      </c>
      <c r="M149" s="458" t="s">
        <v>1620</v>
      </c>
      <c r="N149" s="459">
        <v>1.18</v>
      </c>
      <c r="O149" s="460" t="s">
        <v>1618</v>
      </c>
      <c r="P149" s="475">
        <v>2.6089000000000001E-2</v>
      </c>
      <c r="Q149" s="475">
        <v>6.7074000000000004E-6</v>
      </c>
      <c r="R149" s="476" t="s">
        <v>2435</v>
      </c>
      <c r="S149" s="477" t="s">
        <v>1531</v>
      </c>
      <c r="T149" s="478" t="s">
        <v>1413</v>
      </c>
      <c r="U149" s="481">
        <v>350.7</v>
      </c>
      <c r="V149" s="481" t="s">
        <v>553</v>
      </c>
      <c r="W149" s="497">
        <v>3.51</v>
      </c>
      <c r="X149" s="498" t="s">
        <v>1620</v>
      </c>
      <c r="Y149" s="488">
        <v>89</v>
      </c>
      <c r="Z149" s="489" t="s">
        <v>1620</v>
      </c>
      <c r="AA149" s="396">
        <v>2.1299999999999999E-2</v>
      </c>
      <c r="AB149" s="397" t="s">
        <v>553</v>
      </c>
      <c r="AC149" s="369"/>
    </row>
    <row r="150" spans="1:29" ht="20.100000000000001" customHeight="1">
      <c r="A150" s="390" t="s">
        <v>1050</v>
      </c>
      <c r="B150" s="391" t="s">
        <v>769</v>
      </c>
      <c r="C150" s="400">
        <f>COUNTIF('Chem Props'!$B$6:$B$851,'Parameters Summary'!A150)</f>
        <v>1</v>
      </c>
      <c r="D150" s="400">
        <f>COUNTIF('Tox Summary'!$N$3:$N$792, 'Parameters Summary'!A150)</f>
        <v>1</v>
      </c>
      <c r="E150" s="434">
        <v>350.59</v>
      </c>
      <c r="F150" s="435" t="s">
        <v>1620</v>
      </c>
      <c r="G150" s="436">
        <v>1.198E-4</v>
      </c>
      <c r="H150" s="436">
        <v>2.9299999999999999E-6</v>
      </c>
      <c r="I150" s="437" t="s">
        <v>1620</v>
      </c>
      <c r="J150" s="436">
        <v>2.0299999999999999E-5</v>
      </c>
      <c r="K150" s="437" t="s">
        <v>1620</v>
      </c>
      <c r="L150" s="453">
        <v>42</v>
      </c>
      <c r="M150" s="454" t="s">
        <v>1620</v>
      </c>
      <c r="N150" s="461" t="s">
        <v>1531</v>
      </c>
      <c r="O150" s="462" t="s">
        <v>1413</v>
      </c>
      <c r="P150" s="471">
        <v>3.8213799999999999E-2</v>
      </c>
      <c r="Q150" s="471">
        <v>4.4649999999999996E-6</v>
      </c>
      <c r="R150" s="472" t="s">
        <v>2435</v>
      </c>
      <c r="S150" s="473" t="s">
        <v>1531</v>
      </c>
      <c r="T150" s="474" t="s">
        <v>1413</v>
      </c>
      <c r="U150" s="484">
        <v>7283</v>
      </c>
      <c r="V150" s="484" t="s">
        <v>553</v>
      </c>
      <c r="W150" s="495">
        <v>4.96</v>
      </c>
      <c r="X150" s="496" t="s">
        <v>1620</v>
      </c>
      <c r="Y150" s="486">
        <v>1.1200000000000001</v>
      </c>
      <c r="Z150" s="487" t="s">
        <v>1620</v>
      </c>
      <c r="AA150" s="394">
        <v>3.3399999999999999E-2</v>
      </c>
      <c r="AB150" s="395" t="s">
        <v>553</v>
      </c>
      <c r="AC150" s="369"/>
    </row>
    <row r="151" spans="1:29" ht="20.100000000000001" customHeight="1">
      <c r="A151" s="390" t="s">
        <v>1051</v>
      </c>
      <c r="B151" s="391" t="s">
        <v>770</v>
      </c>
      <c r="C151" s="400">
        <f>COUNTIF('Chem Props'!$B$6:$B$851,'Parameters Summary'!A151)</f>
        <v>1</v>
      </c>
      <c r="D151" s="400">
        <f>COUNTIF('Tox Summary'!$N$3:$N$792, 'Parameters Summary'!A151)</f>
        <v>1</v>
      </c>
      <c r="E151" s="434">
        <v>322.54000000000002</v>
      </c>
      <c r="F151" s="435" t="s">
        <v>1620</v>
      </c>
      <c r="G151" s="436">
        <v>1.5330000000000001E-4</v>
      </c>
      <c r="H151" s="436">
        <v>3.7500000000000001E-6</v>
      </c>
      <c r="I151" s="437" t="s">
        <v>553</v>
      </c>
      <c r="J151" s="436">
        <v>4.1999999999999998E-5</v>
      </c>
      <c r="K151" s="437" t="s">
        <v>1620</v>
      </c>
      <c r="L151" s="453">
        <v>43</v>
      </c>
      <c r="M151" s="454" t="s">
        <v>1620</v>
      </c>
      <c r="N151" s="461" t="s">
        <v>1531</v>
      </c>
      <c r="O151" s="462" t="s">
        <v>1413</v>
      </c>
      <c r="P151" s="471">
        <v>4.0398400000000001E-2</v>
      </c>
      <c r="Q151" s="471">
        <v>4.7202000000000001E-6</v>
      </c>
      <c r="R151" s="472" t="s">
        <v>2435</v>
      </c>
      <c r="S151" s="473" t="s">
        <v>1531</v>
      </c>
      <c r="T151" s="474" t="s">
        <v>1413</v>
      </c>
      <c r="U151" s="484">
        <v>2193</v>
      </c>
      <c r="V151" s="484" t="s">
        <v>553</v>
      </c>
      <c r="W151" s="495">
        <v>4.3099999999999996</v>
      </c>
      <c r="X151" s="496" t="s">
        <v>1620</v>
      </c>
      <c r="Y151" s="486">
        <v>4.76</v>
      </c>
      <c r="Z151" s="487" t="s">
        <v>1620</v>
      </c>
      <c r="AA151" s="394">
        <v>1.78E-2</v>
      </c>
      <c r="AB151" s="395" t="s">
        <v>553</v>
      </c>
      <c r="AC151" s="369"/>
    </row>
    <row r="152" spans="1:29" ht="20.100000000000001" customHeight="1" thickBot="1">
      <c r="A152" s="392" t="s">
        <v>1052</v>
      </c>
      <c r="B152" s="393" t="s">
        <v>771</v>
      </c>
      <c r="C152" s="400">
        <f>COUNTIF('Chem Props'!$B$6:$B$851,'Parameters Summary'!A152)</f>
        <v>1</v>
      </c>
      <c r="D152" s="400">
        <f>COUNTIF('Tox Summary'!$N$3:$N$792, 'Parameters Summary'!A152)</f>
        <v>1</v>
      </c>
      <c r="E152" s="438">
        <v>357.78</v>
      </c>
      <c r="F152" s="439" t="s">
        <v>1620</v>
      </c>
      <c r="G152" s="440">
        <v>1.3980000000000001E-14</v>
      </c>
      <c r="H152" s="440">
        <v>3.4199999999999999E-16</v>
      </c>
      <c r="I152" s="441" t="s">
        <v>553</v>
      </c>
      <c r="J152" s="440">
        <v>2.25E-11</v>
      </c>
      <c r="K152" s="441" t="s">
        <v>1620</v>
      </c>
      <c r="L152" s="457">
        <v>176</v>
      </c>
      <c r="M152" s="458" t="s">
        <v>1620</v>
      </c>
      <c r="N152" s="463" t="s">
        <v>1531</v>
      </c>
      <c r="O152" s="464" t="s">
        <v>1413</v>
      </c>
      <c r="P152" s="475">
        <v>3.77001E-2</v>
      </c>
      <c r="Q152" s="475">
        <v>4.4050000000000002E-6</v>
      </c>
      <c r="R152" s="476" t="s">
        <v>2435</v>
      </c>
      <c r="S152" s="477" t="s">
        <v>1531</v>
      </c>
      <c r="T152" s="478" t="s">
        <v>1413</v>
      </c>
      <c r="U152" s="481">
        <v>322</v>
      </c>
      <c r="V152" s="481" t="s">
        <v>553</v>
      </c>
      <c r="W152" s="497">
        <v>2</v>
      </c>
      <c r="X152" s="498" t="s">
        <v>1620</v>
      </c>
      <c r="Y152" s="488">
        <v>31000</v>
      </c>
      <c r="Z152" s="489" t="s">
        <v>1620</v>
      </c>
      <c r="AA152" s="396">
        <v>3.28E-4</v>
      </c>
      <c r="AB152" s="397" t="s">
        <v>553</v>
      </c>
      <c r="AC152" s="369"/>
    </row>
    <row r="153" spans="1:29" ht="20.100000000000001" customHeight="1">
      <c r="A153" s="390" t="s">
        <v>2303</v>
      </c>
      <c r="B153" s="391" t="s">
        <v>811</v>
      </c>
      <c r="C153" s="400">
        <f>COUNTIF('Chem Props'!$B$6:$B$851,'Parameters Summary'!A153)</f>
        <v>1</v>
      </c>
      <c r="D153" s="400">
        <f>COUNTIF('Tox Summary'!$N$3:$N$792, 'Parameters Summary'!A153)</f>
        <v>1</v>
      </c>
      <c r="E153" s="434">
        <v>331.97</v>
      </c>
      <c r="F153" s="435" t="s">
        <v>1620</v>
      </c>
      <c r="G153" s="436">
        <v>8.9099999999999997E-5</v>
      </c>
      <c r="H153" s="436">
        <v>2.1799999999999999E-6</v>
      </c>
      <c r="I153" s="437" t="s">
        <v>553</v>
      </c>
      <c r="J153" s="436">
        <v>2.5000000000000002E-6</v>
      </c>
      <c r="K153" s="437" t="s">
        <v>1620</v>
      </c>
      <c r="L153" s="453">
        <v>155</v>
      </c>
      <c r="M153" s="454" t="s">
        <v>1620</v>
      </c>
      <c r="N153" s="461" t="s">
        <v>1531</v>
      </c>
      <c r="O153" s="462" t="s">
        <v>1413</v>
      </c>
      <c r="P153" s="471">
        <v>3.9629699999999997E-2</v>
      </c>
      <c r="Q153" s="471">
        <v>4.6303999999999997E-6</v>
      </c>
      <c r="R153" s="472" t="s">
        <v>2435</v>
      </c>
      <c r="S153" s="473" t="s">
        <v>1531</v>
      </c>
      <c r="T153" s="474" t="s">
        <v>1413</v>
      </c>
      <c r="U153" s="484">
        <v>511.1</v>
      </c>
      <c r="V153" s="484" t="s">
        <v>553</v>
      </c>
      <c r="W153" s="495">
        <v>4.28</v>
      </c>
      <c r="X153" s="496" t="s">
        <v>1620</v>
      </c>
      <c r="Y153" s="486">
        <v>0.5</v>
      </c>
      <c r="Z153" s="487" t="s">
        <v>1620</v>
      </c>
      <c r="AA153" s="394">
        <v>1.4999999999999999E-2</v>
      </c>
      <c r="AB153" s="395" t="s">
        <v>553</v>
      </c>
      <c r="AC153" s="369"/>
    </row>
    <row r="154" spans="1:29" ht="20.100000000000001" customHeight="1">
      <c r="A154" s="390" t="s">
        <v>1053</v>
      </c>
      <c r="B154" s="391" t="s">
        <v>772</v>
      </c>
      <c r="C154" s="400">
        <f>COUNTIF('Chem Props'!$B$6:$B$851,'Parameters Summary'!A154)</f>
        <v>1</v>
      </c>
      <c r="D154" s="400">
        <f>COUNTIF('Tox Summary'!$N$3:$N$792, 'Parameters Summary'!A154)</f>
        <v>1</v>
      </c>
      <c r="E154" s="434">
        <v>361.25</v>
      </c>
      <c r="F154" s="435" t="s">
        <v>1620</v>
      </c>
      <c r="G154" s="436">
        <v>4.9100000000000001E-5</v>
      </c>
      <c r="H154" s="436">
        <v>1.1999999999999999E-6</v>
      </c>
      <c r="I154" s="437" t="s">
        <v>1620</v>
      </c>
      <c r="J154" s="436">
        <v>0.39700000000000002</v>
      </c>
      <c r="K154" s="437" t="s">
        <v>1620</v>
      </c>
      <c r="L154" s="453">
        <v>85.96</v>
      </c>
      <c r="M154" s="454" t="s">
        <v>553</v>
      </c>
      <c r="N154" s="461" t="s">
        <v>1531</v>
      </c>
      <c r="O154" s="462" t="s">
        <v>1413</v>
      </c>
      <c r="P154" s="471">
        <v>3.74583E-2</v>
      </c>
      <c r="Q154" s="471">
        <v>4.3767E-6</v>
      </c>
      <c r="R154" s="472" t="s">
        <v>2435</v>
      </c>
      <c r="S154" s="473" t="s">
        <v>1531</v>
      </c>
      <c r="T154" s="474" t="s">
        <v>1413</v>
      </c>
      <c r="U154" s="484">
        <v>12790</v>
      </c>
      <c r="V154" s="484" t="s">
        <v>553</v>
      </c>
      <c r="W154" s="495">
        <v>5.8</v>
      </c>
      <c r="X154" s="496" t="s">
        <v>1620</v>
      </c>
      <c r="Y154" s="486">
        <v>0.3</v>
      </c>
      <c r="Z154" s="487" t="s">
        <v>1620</v>
      </c>
      <c r="AA154" s="394">
        <v>0.106</v>
      </c>
      <c r="AB154" s="395" t="s">
        <v>553</v>
      </c>
      <c r="AC154" s="369"/>
    </row>
    <row r="155" spans="1:29" ht="20.100000000000001" customHeight="1" thickBot="1">
      <c r="A155" s="392" t="s">
        <v>570</v>
      </c>
      <c r="B155" s="393" t="s">
        <v>773</v>
      </c>
      <c r="C155" s="400">
        <f>COUNTIF('Chem Props'!$B$6:$B$851,'Parameters Summary'!A155)</f>
        <v>1</v>
      </c>
      <c r="D155" s="400">
        <f>COUNTIF('Tox Summary'!$N$3:$N$792, 'Parameters Summary'!A155)</f>
        <v>1</v>
      </c>
      <c r="E155" s="438">
        <v>52</v>
      </c>
      <c r="F155" s="439" t="s">
        <v>553</v>
      </c>
      <c r="G155" s="442" t="s">
        <v>1531</v>
      </c>
      <c r="H155" s="442" t="s">
        <v>1531</v>
      </c>
      <c r="I155" s="443" t="s">
        <v>1413</v>
      </c>
      <c r="J155" s="442" t="s">
        <v>1531</v>
      </c>
      <c r="K155" s="443" t="s">
        <v>1413</v>
      </c>
      <c r="L155" s="467" t="s">
        <v>1531</v>
      </c>
      <c r="M155" s="468" t="s">
        <v>1413</v>
      </c>
      <c r="N155" s="459">
        <v>5.22</v>
      </c>
      <c r="O155" s="460" t="s">
        <v>1618</v>
      </c>
      <c r="P155" s="479" t="s">
        <v>1531</v>
      </c>
      <c r="Q155" s="479" t="s">
        <v>1531</v>
      </c>
      <c r="R155" s="480" t="s">
        <v>1413</v>
      </c>
      <c r="S155" s="481">
        <v>1800000</v>
      </c>
      <c r="T155" s="481" t="s">
        <v>557</v>
      </c>
      <c r="U155" s="477" t="s">
        <v>1531</v>
      </c>
      <c r="V155" s="478" t="s">
        <v>1413</v>
      </c>
      <c r="W155" s="499" t="s">
        <v>1531</v>
      </c>
      <c r="X155" s="500" t="s">
        <v>1413</v>
      </c>
      <c r="Y155" s="490" t="s">
        <v>1531</v>
      </c>
      <c r="Z155" s="491" t="s">
        <v>1413</v>
      </c>
      <c r="AA155" s="396">
        <v>1E-3</v>
      </c>
      <c r="AB155" s="397" t="s">
        <v>1668</v>
      </c>
      <c r="AC155" s="369"/>
    </row>
    <row r="156" spans="1:29" ht="20.100000000000001" customHeight="1">
      <c r="A156" s="390" t="s">
        <v>571</v>
      </c>
      <c r="B156" s="391" t="s">
        <v>774</v>
      </c>
      <c r="C156" s="400">
        <f>COUNTIF('Chem Props'!$B$6:$B$851,'Parameters Summary'!A156)</f>
        <v>1</v>
      </c>
      <c r="D156" s="400">
        <f>COUNTIF('Tox Summary'!$N$3:$N$792, 'Parameters Summary'!A156)</f>
        <v>1</v>
      </c>
      <c r="E156" s="434">
        <v>52</v>
      </c>
      <c r="F156" s="435" t="s">
        <v>553</v>
      </c>
      <c r="G156" s="444" t="s">
        <v>1531</v>
      </c>
      <c r="H156" s="444" t="s">
        <v>1531</v>
      </c>
      <c r="I156" s="445" t="s">
        <v>1413</v>
      </c>
      <c r="J156" s="444" t="s">
        <v>1531</v>
      </c>
      <c r="K156" s="445" t="s">
        <v>1413</v>
      </c>
      <c r="L156" s="465" t="s">
        <v>1531</v>
      </c>
      <c r="M156" s="466" t="s">
        <v>1413</v>
      </c>
      <c r="N156" s="461" t="s">
        <v>1531</v>
      </c>
      <c r="O156" s="462" t="s">
        <v>1413</v>
      </c>
      <c r="P156" s="482" t="s">
        <v>1531</v>
      </c>
      <c r="Q156" s="482" t="s">
        <v>1531</v>
      </c>
      <c r="R156" s="483" t="s">
        <v>1413</v>
      </c>
      <c r="S156" s="484">
        <v>19</v>
      </c>
      <c r="T156" s="484" t="s">
        <v>557</v>
      </c>
      <c r="U156" s="473" t="s">
        <v>1531</v>
      </c>
      <c r="V156" s="474" t="s">
        <v>1413</v>
      </c>
      <c r="W156" s="501" t="s">
        <v>1531</v>
      </c>
      <c r="X156" s="502" t="s">
        <v>1413</v>
      </c>
      <c r="Y156" s="486">
        <v>1690000</v>
      </c>
      <c r="Z156" s="487" t="s">
        <v>1618</v>
      </c>
      <c r="AA156" s="394">
        <v>2E-3</v>
      </c>
      <c r="AB156" s="395" t="s">
        <v>1668</v>
      </c>
      <c r="AC156" s="369"/>
    </row>
    <row r="157" spans="1:29" ht="20.100000000000001" customHeight="1">
      <c r="A157" s="390" t="s">
        <v>572</v>
      </c>
      <c r="B157" s="391" t="s">
        <v>775</v>
      </c>
      <c r="C157" s="400">
        <f>COUNTIF('Chem Props'!$B$6:$B$851,'Parameters Summary'!A157)</f>
        <v>1</v>
      </c>
      <c r="D157" s="400">
        <f>COUNTIF('Tox Summary'!$N$3:$N$792, 'Parameters Summary'!A157)</f>
        <v>1</v>
      </c>
      <c r="E157" s="434">
        <v>51.996000000000002</v>
      </c>
      <c r="F157" s="435" t="s">
        <v>1620</v>
      </c>
      <c r="G157" s="444" t="s">
        <v>1531</v>
      </c>
      <c r="H157" s="444" t="s">
        <v>1531</v>
      </c>
      <c r="I157" s="445" t="s">
        <v>1413</v>
      </c>
      <c r="J157" s="444" t="s">
        <v>1531</v>
      </c>
      <c r="K157" s="445" t="s">
        <v>1413</v>
      </c>
      <c r="L157" s="453">
        <v>1900</v>
      </c>
      <c r="M157" s="454" t="s">
        <v>1620</v>
      </c>
      <c r="N157" s="455">
        <v>7.15</v>
      </c>
      <c r="O157" s="456" t="s">
        <v>1618</v>
      </c>
      <c r="P157" s="482" t="s">
        <v>1531</v>
      </c>
      <c r="Q157" s="482" t="s">
        <v>1531</v>
      </c>
      <c r="R157" s="483" t="s">
        <v>1413</v>
      </c>
      <c r="S157" s="484">
        <v>1800000</v>
      </c>
      <c r="T157" s="484" t="s">
        <v>557</v>
      </c>
      <c r="U157" s="473" t="s">
        <v>1531</v>
      </c>
      <c r="V157" s="474" t="s">
        <v>1413</v>
      </c>
      <c r="W157" s="501" t="s">
        <v>1531</v>
      </c>
      <c r="X157" s="502" t="s">
        <v>1413</v>
      </c>
      <c r="Y157" s="492" t="s">
        <v>1531</v>
      </c>
      <c r="Z157" s="493" t="s">
        <v>1413</v>
      </c>
      <c r="AA157" s="394">
        <v>1E-3</v>
      </c>
      <c r="AB157" s="395" t="s">
        <v>1668</v>
      </c>
      <c r="AC157" s="370"/>
    </row>
    <row r="158" spans="1:29" ht="20.100000000000001" customHeight="1" thickBot="1">
      <c r="A158" s="392" t="s">
        <v>2304</v>
      </c>
      <c r="B158" s="393" t="s">
        <v>668</v>
      </c>
      <c r="C158" s="400">
        <f>COUNTIF('Chem Props'!$B$6:$B$851,'Parameters Summary'!A158)</f>
        <v>1</v>
      </c>
      <c r="D158" s="400">
        <f>COUNTIF('Tox Summary'!$N$3:$N$792, 'Parameters Summary'!A158)</f>
        <v>1</v>
      </c>
      <c r="E158" s="438">
        <v>303.14999999999998</v>
      </c>
      <c r="F158" s="439" t="s">
        <v>1620</v>
      </c>
      <c r="G158" s="440">
        <v>1.5944E-8</v>
      </c>
      <c r="H158" s="440">
        <v>3.9E-10</v>
      </c>
      <c r="I158" s="441" t="s">
        <v>553</v>
      </c>
      <c r="J158" s="440">
        <v>9.7500000000000005E-10</v>
      </c>
      <c r="K158" s="441" t="s">
        <v>1620</v>
      </c>
      <c r="L158" s="457">
        <v>182</v>
      </c>
      <c r="M158" s="458" t="s">
        <v>1620</v>
      </c>
      <c r="N158" s="463" t="s">
        <v>1531</v>
      </c>
      <c r="O158" s="464" t="s">
        <v>1413</v>
      </c>
      <c r="P158" s="475">
        <v>4.21032E-2</v>
      </c>
      <c r="Q158" s="475">
        <v>4.9193999999999999E-6</v>
      </c>
      <c r="R158" s="476" t="s">
        <v>2435</v>
      </c>
      <c r="S158" s="477" t="s">
        <v>1531</v>
      </c>
      <c r="T158" s="478" t="s">
        <v>1413</v>
      </c>
      <c r="U158" s="481">
        <v>30210</v>
      </c>
      <c r="V158" s="481" t="s">
        <v>553</v>
      </c>
      <c r="W158" s="497">
        <v>3.1</v>
      </c>
      <c r="X158" s="498" t="s">
        <v>1620</v>
      </c>
      <c r="Y158" s="488">
        <v>1</v>
      </c>
      <c r="Z158" s="489" t="s">
        <v>1620</v>
      </c>
      <c r="AA158" s="396">
        <v>3.5799999999999998E-3</v>
      </c>
      <c r="AB158" s="397" t="s">
        <v>553</v>
      </c>
      <c r="AC158" s="369"/>
    </row>
    <row r="159" spans="1:29" ht="20.100000000000001" customHeight="1">
      <c r="A159" s="390" t="s">
        <v>526</v>
      </c>
      <c r="B159" s="391" t="s">
        <v>776</v>
      </c>
      <c r="C159" s="400">
        <f>COUNTIF('Chem Props'!$B$6:$B$851,'Parameters Summary'!A159)</f>
        <v>1</v>
      </c>
      <c r="D159" s="400">
        <f>COUNTIF('Tox Summary'!$N$3:$N$792, 'Parameters Summary'!A159)</f>
        <v>1</v>
      </c>
      <c r="E159" s="434">
        <v>58.93</v>
      </c>
      <c r="F159" s="435" t="s">
        <v>553</v>
      </c>
      <c r="G159" s="444" t="s">
        <v>1531</v>
      </c>
      <c r="H159" s="444" t="s">
        <v>1531</v>
      </c>
      <c r="I159" s="445" t="s">
        <v>1413</v>
      </c>
      <c r="J159" s="436">
        <v>0</v>
      </c>
      <c r="K159" s="437" t="s">
        <v>2204</v>
      </c>
      <c r="L159" s="453">
        <v>1495</v>
      </c>
      <c r="M159" s="454" t="s">
        <v>1618</v>
      </c>
      <c r="N159" s="455">
        <v>8.86</v>
      </c>
      <c r="O159" s="456" t="s">
        <v>1618</v>
      </c>
      <c r="P159" s="482" t="s">
        <v>1531</v>
      </c>
      <c r="Q159" s="482" t="s">
        <v>1531</v>
      </c>
      <c r="R159" s="483" t="s">
        <v>1413</v>
      </c>
      <c r="S159" s="484">
        <v>45</v>
      </c>
      <c r="T159" s="484" t="s">
        <v>2155</v>
      </c>
      <c r="U159" s="473" t="s">
        <v>1531</v>
      </c>
      <c r="V159" s="474" t="s">
        <v>1413</v>
      </c>
      <c r="W159" s="501" t="s">
        <v>1531</v>
      </c>
      <c r="X159" s="502" t="s">
        <v>1413</v>
      </c>
      <c r="Y159" s="492" t="s">
        <v>1531</v>
      </c>
      <c r="Z159" s="493" t="s">
        <v>1413</v>
      </c>
      <c r="AA159" s="394">
        <v>4.0000000000000002E-4</v>
      </c>
      <c r="AB159" s="395" t="s">
        <v>1668</v>
      </c>
      <c r="AC159" s="369"/>
    </row>
    <row r="160" spans="1:29" ht="20.100000000000001" customHeight="1">
      <c r="A160" s="390" t="s">
        <v>1054</v>
      </c>
      <c r="B160" s="391" t="s">
        <v>777</v>
      </c>
      <c r="C160" s="400">
        <f>COUNTIF('Chem Props'!$B$6:$B$851,'Parameters Summary'!A160)</f>
        <v>1</v>
      </c>
      <c r="D160" s="400">
        <f>COUNTIF('Tox Summary'!$N$3:$N$792, 'Parameters Summary'!A160)</f>
        <v>1</v>
      </c>
      <c r="E160" s="446" t="s">
        <v>1531</v>
      </c>
      <c r="F160" s="447" t="s">
        <v>1413</v>
      </c>
      <c r="G160" s="436">
        <v>0.45</v>
      </c>
      <c r="H160" s="436">
        <v>1.0999999999999999E-2</v>
      </c>
      <c r="I160" s="437" t="s">
        <v>2272</v>
      </c>
      <c r="J160" s="436">
        <v>95</v>
      </c>
      <c r="K160" s="437" t="s">
        <v>2272</v>
      </c>
      <c r="L160" s="465" t="s">
        <v>1531</v>
      </c>
      <c r="M160" s="466" t="s">
        <v>1413</v>
      </c>
      <c r="N160" s="461" t="s">
        <v>1531</v>
      </c>
      <c r="O160" s="462" t="s">
        <v>1413</v>
      </c>
      <c r="P160" s="471">
        <v>0.1039798</v>
      </c>
      <c r="Q160" s="471">
        <v>1.2099999999999999E-5</v>
      </c>
      <c r="R160" s="472" t="s">
        <v>2435</v>
      </c>
      <c r="S160" s="473" t="s">
        <v>1531</v>
      </c>
      <c r="T160" s="474" t="s">
        <v>1413</v>
      </c>
      <c r="U160" s="484">
        <v>16000</v>
      </c>
      <c r="V160" s="474" t="s">
        <v>1413</v>
      </c>
      <c r="W160" s="501" t="s">
        <v>1531</v>
      </c>
      <c r="X160" s="502" t="s">
        <v>1413</v>
      </c>
      <c r="Y160" s="492" t="s">
        <v>1531</v>
      </c>
      <c r="Z160" s="493" t="s">
        <v>1413</v>
      </c>
      <c r="AA160" s="398" t="s">
        <v>1531</v>
      </c>
      <c r="AB160" s="504" t="s">
        <v>1413</v>
      </c>
      <c r="AC160" s="369"/>
    </row>
    <row r="161" spans="1:29" ht="20.100000000000001" customHeight="1" thickBot="1">
      <c r="A161" s="392" t="s">
        <v>1055</v>
      </c>
      <c r="B161" s="393" t="s">
        <v>778</v>
      </c>
      <c r="C161" s="400">
        <f>COUNTIF('Chem Props'!$B$6:$B$851,'Parameters Summary'!A161)</f>
        <v>1</v>
      </c>
      <c r="D161" s="400">
        <f>COUNTIF('Tox Summary'!$N$3:$N$792, 'Parameters Summary'!A161)</f>
        <v>1</v>
      </c>
      <c r="E161" s="438">
        <v>63.545999999999999</v>
      </c>
      <c r="F161" s="439" t="s">
        <v>1620</v>
      </c>
      <c r="G161" s="442" t="s">
        <v>1531</v>
      </c>
      <c r="H161" s="442" t="s">
        <v>1531</v>
      </c>
      <c r="I161" s="443" t="s">
        <v>1413</v>
      </c>
      <c r="J161" s="440">
        <v>0</v>
      </c>
      <c r="K161" s="441" t="s">
        <v>2204</v>
      </c>
      <c r="L161" s="457">
        <v>1083</v>
      </c>
      <c r="M161" s="458" t="s">
        <v>1620</v>
      </c>
      <c r="N161" s="459">
        <v>8.9600000000000009</v>
      </c>
      <c r="O161" s="460" t="s">
        <v>1618</v>
      </c>
      <c r="P161" s="479" t="s">
        <v>1531</v>
      </c>
      <c r="Q161" s="479" t="s">
        <v>1531</v>
      </c>
      <c r="R161" s="480" t="s">
        <v>1413</v>
      </c>
      <c r="S161" s="481">
        <v>35</v>
      </c>
      <c r="T161" s="481" t="s">
        <v>2155</v>
      </c>
      <c r="U161" s="477" t="s">
        <v>1531</v>
      </c>
      <c r="V161" s="478" t="s">
        <v>1413</v>
      </c>
      <c r="W161" s="499" t="s">
        <v>1531</v>
      </c>
      <c r="X161" s="500" t="s">
        <v>1413</v>
      </c>
      <c r="Y161" s="490" t="s">
        <v>1531</v>
      </c>
      <c r="Z161" s="491" t="s">
        <v>1413</v>
      </c>
      <c r="AA161" s="396">
        <v>1E-3</v>
      </c>
      <c r="AB161" s="397" t="s">
        <v>1668</v>
      </c>
      <c r="AC161" s="369"/>
    </row>
    <row r="162" spans="1:29" ht="20.100000000000001" customHeight="1">
      <c r="A162" s="390" t="s">
        <v>1056</v>
      </c>
      <c r="B162" s="391" t="s">
        <v>779</v>
      </c>
      <c r="C162" s="400">
        <f>COUNTIF('Chem Props'!$B$6:$B$851,'Parameters Summary'!A162)</f>
        <v>1</v>
      </c>
      <c r="D162" s="400">
        <f>COUNTIF('Tox Summary'!$N$3:$N$792, 'Parameters Summary'!A162)</f>
        <v>1</v>
      </c>
      <c r="E162" s="434">
        <v>108.14</v>
      </c>
      <c r="F162" s="435" t="s">
        <v>1620</v>
      </c>
      <c r="G162" s="436">
        <v>3.4999999999999997E-5</v>
      </c>
      <c r="H162" s="436">
        <v>8.5600000000000004E-7</v>
      </c>
      <c r="I162" s="437" t="s">
        <v>1620</v>
      </c>
      <c r="J162" s="436">
        <v>0.11</v>
      </c>
      <c r="K162" s="437" t="s">
        <v>1620</v>
      </c>
      <c r="L162" s="453">
        <v>11.8</v>
      </c>
      <c r="M162" s="454" t="s">
        <v>1620</v>
      </c>
      <c r="N162" s="455">
        <v>1.0339</v>
      </c>
      <c r="O162" s="456" t="s">
        <v>1618</v>
      </c>
      <c r="P162" s="471">
        <v>7.2872099999999995E-2</v>
      </c>
      <c r="Q162" s="471">
        <v>9.3232000000000008E-6</v>
      </c>
      <c r="R162" s="472" t="s">
        <v>2435</v>
      </c>
      <c r="S162" s="473" t="s">
        <v>1531</v>
      </c>
      <c r="T162" s="474" t="s">
        <v>1413</v>
      </c>
      <c r="U162" s="484">
        <v>300.39999999999998</v>
      </c>
      <c r="V162" s="484" t="s">
        <v>553</v>
      </c>
      <c r="W162" s="495">
        <v>1.96</v>
      </c>
      <c r="X162" s="496" t="s">
        <v>1620</v>
      </c>
      <c r="Y162" s="486">
        <v>22700</v>
      </c>
      <c r="Z162" s="487" t="s">
        <v>1620</v>
      </c>
      <c r="AA162" s="394">
        <v>7.77E-3</v>
      </c>
      <c r="AB162" s="395" t="s">
        <v>553</v>
      </c>
      <c r="AC162" s="369"/>
    </row>
    <row r="163" spans="1:29" ht="20.100000000000001" customHeight="1">
      <c r="A163" s="390" t="s">
        <v>1057</v>
      </c>
      <c r="B163" s="391" t="s">
        <v>780</v>
      </c>
      <c r="C163" s="400">
        <f>COUNTIF('Chem Props'!$B$6:$B$851,'Parameters Summary'!A163)</f>
        <v>1</v>
      </c>
      <c r="D163" s="400">
        <f>COUNTIF('Tox Summary'!$N$3:$N$792, 'Parameters Summary'!A163)</f>
        <v>1</v>
      </c>
      <c r="E163" s="434">
        <v>108.14</v>
      </c>
      <c r="F163" s="435" t="s">
        <v>1620</v>
      </c>
      <c r="G163" s="436">
        <v>4.9100000000000001E-5</v>
      </c>
      <c r="H163" s="436">
        <v>1.1999999999999999E-6</v>
      </c>
      <c r="I163" s="437" t="s">
        <v>1620</v>
      </c>
      <c r="J163" s="436">
        <v>0.29899999999999999</v>
      </c>
      <c r="K163" s="437" t="s">
        <v>553</v>
      </c>
      <c r="L163" s="453">
        <v>29.8</v>
      </c>
      <c r="M163" s="454" t="s">
        <v>1620</v>
      </c>
      <c r="N163" s="455">
        <v>1.0327</v>
      </c>
      <c r="O163" s="456" t="s">
        <v>1618</v>
      </c>
      <c r="P163" s="471">
        <v>7.2834999999999997E-2</v>
      </c>
      <c r="Q163" s="471">
        <v>9.3168000000000003E-6</v>
      </c>
      <c r="R163" s="472" t="s">
        <v>2435</v>
      </c>
      <c r="S163" s="473" t="s">
        <v>1531</v>
      </c>
      <c r="T163" s="474" t="s">
        <v>1413</v>
      </c>
      <c r="U163" s="484">
        <v>306.5</v>
      </c>
      <c r="V163" s="484" t="s">
        <v>553</v>
      </c>
      <c r="W163" s="495">
        <v>1.95</v>
      </c>
      <c r="X163" s="496" t="s">
        <v>1620</v>
      </c>
      <c r="Y163" s="486">
        <v>25900</v>
      </c>
      <c r="Z163" s="487" t="s">
        <v>1620</v>
      </c>
      <c r="AA163" s="394">
        <v>7.6600000000000001E-3</v>
      </c>
      <c r="AB163" s="395" t="s">
        <v>553</v>
      </c>
      <c r="AC163" s="369"/>
    </row>
    <row r="164" spans="1:29" ht="20.100000000000001" customHeight="1" thickBot="1">
      <c r="A164" s="392" t="s">
        <v>1058</v>
      </c>
      <c r="B164" s="393" t="s">
        <v>781</v>
      </c>
      <c r="C164" s="400">
        <f>COUNTIF('Chem Props'!$B$6:$B$851,'Parameters Summary'!A164)</f>
        <v>1</v>
      </c>
      <c r="D164" s="400">
        <f>COUNTIF('Tox Summary'!$N$3:$N$792, 'Parameters Summary'!A164)</f>
        <v>1</v>
      </c>
      <c r="E164" s="438">
        <v>108.14</v>
      </c>
      <c r="F164" s="439" t="s">
        <v>1620</v>
      </c>
      <c r="G164" s="440">
        <v>4.0899999999999998E-5</v>
      </c>
      <c r="H164" s="440">
        <v>9.9999999999999995E-7</v>
      </c>
      <c r="I164" s="441" t="s">
        <v>1620</v>
      </c>
      <c r="J164" s="440">
        <v>0.11</v>
      </c>
      <c r="K164" s="441" t="s">
        <v>1620</v>
      </c>
      <c r="L164" s="457">
        <v>35.5</v>
      </c>
      <c r="M164" s="458" t="s">
        <v>1620</v>
      </c>
      <c r="N164" s="459">
        <v>1.0185</v>
      </c>
      <c r="O164" s="460" t="s">
        <v>1618</v>
      </c>
      <c r="P164" s="475">
        <v>7.2393799999999994E-2</v>
      </c>
      <c r="Q164" s="475">
        <v>9.2397000000000007E-6</v>
      </c>
      <c r="R164" s="476" t="s">
        <v>2435</v>
      </c>
      <c r="S164" s="477" t="s">
        <v>1531</v>
      </c>
      <c r="T164" s="478" t="s">
        <v>1413</v>
      </c>
      <c r="U164" s="481">
        <v>300.39999999999998</v>
      </c>
      <c r="V164" s="481" t="s">
        <v>553</v>
      </c>
      <c r="W164" s="497">
        <v>1.94</v>
      </c>
      <c r="X164" s="498" t="s">
        <v>1620</v>
      </c>
      <c r="Y164" s="488">
        <v>21500</v>
      </c>
      <c r="Z164" s="489" t="s">
        <v>1620</v>
      </c>
      <c r="AA164" s="396">
        <v>7.5399999999999998E-3</v>
      </c>
      <c r="AB164" s="397" t="s">
        <v>553</v>
      </c>
      <c r="AC164" s="369"/>
    </row>
    <row r="165" spans="1:29" ht="20.100000000000001" customHeight="1">
      <c r="A165" s="390" t="s">
        <v>573</v>
      </c>
      <c r="B165" s="391" t="s">
        <v>782</v>
      </c>
      <c r="C165" s="400">
        <f>COUNTIF('Chem Props'!$B$6:$B$851,'Parameters Summary'!A165)</f>
        <v>1</v>
      </c>
      <c r="D165" s="400">
        <f>COUNTIF('Tox Summary'!$N$3:$N$792, 'Parameters Summary'!A165)</f>
        <v>1</v>
      </c>
      <c r="E165" s="434">
        <v>142.59</v>
      </c>
      <c r="F165" s="435" t="s">
        <v>1620</v>
      </c>
      <c r="G165" s="436">
        <v>1.002E-4</v>
      </c>
      <c r="H165" s="436">
        <v>2.4499999999999998E-6</v>
      </c>
      <c r="I165" s="437" t="s">
        <v>553</v>
      </c>
      <c r="J165" s="436">
        <v>0.05</v>
      </c>
      <c r="K165" s="437" t="s">
        <v>1620</v>
      </c>
      <c r="L165" s="453">
        <v>67</v>
      </c>
      <c r="M165" s="454" t="s">
        <v>1620</v>
      </c>
      <c r="N165" s="461" t="s">
        <v>1531</v>
      </c>
      <c r="O165" s="462" t="s">
        <v>1413</v>
      </c>
      <c r="P165" s="471">
        <v>6.9613599999999998E-2</v>
      </c>
      <c r="Q165" s="471">
        <v>8.1337999999999999E-6</v>
      </c>
      <c r="R165" s="472" t="s">
        <v>2435</v>
      </c>
      <c r="S165" s="473" t="s">
        <v>1531</v>
      </c>
      <c r="T165" s="474" t="s">
        <v>1413</v>
      </c>
      <c r="U165" s="484">
        <v>491.8</v>
      </c>
      <c r="V165" s="484" t="s">
        <v>553</v>
      </c>
      <c r="W165" s="495">
        <v>3.1</v>
      </c>
      <c r="X165" s="496" t="s">
        <v>1620</v>
      </c>
      <c r="Y165" s="486">
        <v>3834</v>
      </c>
      <c r="Z165" s="487" t="s">
        <v>1620</v>
      </c>
      <c r="AA165" s="394">
        <v>2.8500000000000001E-2</v>
      </c>
      <c r="AB165" s="395" t="s">
        <v>553</v>
      </c>
      <c r="AC165" s="369"/>
    </row>
    <row r="166" spans="1:29" ht="20.100000000000001" customHeight="1">
      <c r="A166" s="390" t="s">
        <v>574</v>
      </c>
      <c r="B166" s="391" t="s">
        <v>783</v>
      </c>
      <c r="C166" s="400">
        <f>COUNTIF('Chem Props'!$B$6:$B$851,'Parameters Summary'!A166)</f>
        <v>1</v>
      </c>
      <c r="D166" s="400">
        <f>COUNTIF('Tox Summary'!$N$3:$N$792, 'Parameters Summary'!A166)</f>
        <v>1</v>
      </c>
      <c r="E166" s="434">
        <v>324.42</v>
      </c>
      <c r="F166" s="435" t="s">
        <v>1620</v>
      </c>
      <c r="G166" s="436">
        <v>2.5299999999999998E-5</v>
      </c>
      <c r="H166" s="436">
        <v>6.1900000000000002E-7</v>
      </c>
      <c r="I166" s="437" t="s">
        <v>1620</v>
      </c>
      <c r="J166" s="436">
        <v>0.17</v>
      </c>
      <c r="K166" s="437" t="s">
        <v>1620</v>
      </c>
      <c r="L166" s="453">
        <v>29.8</v>
      </c>
      <c r="M166" s="454" t="s">
        <v>553</v>
      </c>
      <c r="N166" s="461" t="s">
        <v>1531</v>
      </c>
      <c r="O166" s="462" t="s">
        <v>1413</v>
      </c>
      <c r="P166" s="471">
        <v>4.0242199999999999E-2</v>
      </c>
      <c r="Q166" s="471">
        <v>4.702E-6</v>
      </c>
      <c r="R166" s="472" t="s">
        <v>2435</v>
      </c>
      <c r="S166" s="473" t="s">
        <v>1531</v>
      </c>
      <c r="T166" s="474" t="s">
        <v>1413</v>
      </c>
      <c r="U166" s="484">
        <v>306.5</v>
      </c>
      <c r="V166" s="484" t="s">
        <v>553</v>
      </c>
      <c r="W166" s="495">
        <v>1.95</v>
      </c>
      <c r="X166" s="496" t="s">
        <v>1620</v>
      </c>
      <c r="Y166" s="486">
        <v>9066</v>
      </c>
      <c r="Z166" s="487" t="s">
        <v>1620</v>
      </c>
      <c r="AA166" s="394">
        <v>7.6600000000000001E-3</v>
      </c>
      <c r="AB166" s="395" t="s">
        <v>553</v>
      </c>
      <c r="AC166" s="369"/>
    </row>
    <row r="167" spans="1:29" ht="20.100000000000001" customHeight="1" thickBot="1">
      <c r="A167" s="392" t="s">
        <v>1059</v>
      </c>
      <c r="B167" s="393" t="s">
        <v>784</v>
      </c>
      <c r="C167" s="400">
        <f>COUNTIF('Chem Props'!$B$6:$B$851,'Parameters Summary'!A167)</f>
        <v>1</v>
      </c>
      <c r="D167" s="400">
        <f>COUNTIF('Tox Summary'!$N$3:$N$792, 'Parameters Summary'!A167)</f>
        <v>1</v>
      </c>
      <c r="E167" s="438">
        <v>70.091999999999999</v>
      </c>
      <c r="F167" s="439" t="s">
        <v>1620</v>
      </c>
      <c r="G167" s="440">
        <v>7.9310000000000003E-4</v>
      </c>
      <c r="H167" s="440">
        <v>1.9400000000000001E-5</v>
      </c>
      <c r="I167" s="441" t="s">
        <v>1620</v>
      </c>
      <c r="J167" s="440">
        <v>30</v>
      </c>
      <c r="K167" s="441" t="s">
        <v>1620</v>
      </c>
      <c r="L167" s="457">
        <v>-76</v>
      </c>
      <c r="M167" s="458" t="s">
        <v>1620</v>
      </c>
      <c r="N167" s="459">
        <v>0.85160000000000002</v>
      </c>
      <c r="O167" s="460" t="s">
        <v>1618</v>
      </c>
      <c r="P167" s="475">
        <v>9.5923499999999995E-2</v>
      </c>
      <c r="Q167" s="475">
        <v>1.08E-5</v>
      </c>
      <c r="R167" s="476" t="s">
        <v>2435</v>
      </c>
      <c r="S167" s="477" t="s">
        <v>1531</v>
      </c>
      <c r="T167" s="478" t="s">
        <v>1413</v>
      </c>
      <c r="U167" s="481">
        <v>1.7929999999999999</v>
      </c>
      <c r="V167" s="481" t="s">
        <v>553</v>
      </c>
      <c r="W167" s="497">
        <v>0.6</v>
      </c>
      <c r="X167" s="498" t="s">
        <v>1620</v>
      </c>
      <c r="Y167" s="488">
        <v>150000</v>
      </c>
      <c r="Z167" s="489" t="s">
        <v>1620</v>
      </c>
      <c r="AA167" s="396">
        <v>1.5900000000000001E-3</v>
      </c>
      <c r="AB167" s="397" t="s">
        <v>553</v>
      </c>
      <c r="AC167" s="369"/>
    </row>
    <row r="168" spans="1:29" ht="20.100000000000001" customHeight="1">
      <c r="A168" s="390" t="s">
        <v>1437</v>
      </c>
      <c r="B168" s="391" t="s">
        <v>785</v>
      </c>
      <c r="C168" s="400">
        <f>COUNTIF('Chem Props'!$B$6:$B$851,'Parameters Summary'!A168)</f>
        <v>1</v>
      </c>
      <c r="D168" s="400">
        <f>COUNTIF('Tox Summary'!$N$3:$N$792, 'Parameters Summary'!A168)</f>
        <v>1</v>
      </c>
      <c r="E168" s="434">
        <v>120.2</v>
      </c>
      <c r="F168" s="435" t="s">
        <v>1620</v>
      </c>
      <c r="G168" s="436">
        <v>0.4701554</v>
      </c>
      <c r="H168" s="436">
        <v>1.15E-2</v>
      </c>
      <c r="I168" s="437" t="s">
        <v>1620</v>
      </c>
      <c r="J168" s="436">
        <v>4.5</v>
      </c>
      <c r="K168" s="437" t="s">
        <v>1620</v>
      </c>
      <c r="L168" s="453">
        <v>-96</v>
      </c>
      <c r="M168" s="454" t="s">
        <v>1620</v>
      </c>
      <c r="N168" s="455">
        <v>0.86399999999999999</v>
      </c>
      <c r="O168" s="456" t="s">
        <v>1618</v>
      </c>
      <c r="P168" s="471">
        <v>6.0304400000000001E-2</v>
      </c>
      <c r="Q168" s="471">
        <v>7.8566000000000003E-6</v>
      </c>
      <c r="R168" s="472" t="s">
        <v>2435</v>
      </c>
      <c r="S168" s="473" t="s">
        <v>1531</v>
      </c>
      <c r="T168" s="474" t="s">
        <v>1413</v>
      </c>
      <c r="U168" s="484">
        <v>697.8</v>
      </c>
      <c r="V168" s="484" t="s">
        <v>553</v>
      </c>
      <c r="W168" s="495">
        <v>3.66</v>
      </c>
      <c r="X168" s="496" t="s">
        <v>1620</v>
      </c>
      <c r="Y168" s="486">
        <v>61.3</v>
      </c>
      <c r="Z168" s="487" t="s">
        <v>1620</v>
      </c>
      <c r="AA168" s="394">
        <v>8.9700000000000002E-2</v>
      </c>
      <c r="AB168" s="395" t="s">
        <v>553</v>
      </c>
      <c r="AC168" s="370"/>
    </row>
    <row r="169" spans="1:29" ht="20.100000000000001" customHeight="1">
      <c r="A169" s="390" t="s">
        <v>575</v>
      </c>
      <c r="B169" s="391" t="s">
        <v>786</v>
      </c>
      <c r="C169" s="400">
        <f>COUNTIF('Chem Props'!$B$6:$B$851,'Parameters Summary'!A169)</f>
        <v>1</v>
      </c>
      <c r="D169" s="400">
        <f>COUNTIF('Tox Summary'!$N$3:$N$792, 'Parameters Summary'!A169)</f>
        <v>1</v>
      </c>
      <c r="E169" s="434">
        <v>155.16</v>
      </c>
      <c r="F169" s="435" t="s">
        <v>1620</v>
      </c>
      <c r="G169" s="436">
        <v>1.48E-7</v>
      </c>
      <c r="H169" s="436">
        <v>3.6199999999999999E-9</v>
      </c>
      <c r="I169" s="437" t="s">
        <v>1620</v>
      </c>
      <c r="J169" s="436">
        <v>6.2899999999999997E-5</v>
      </c>
      <c r="K169" s="437" t="s">
        <v>1620</v>
      </c>
      <c r="L169" s="453">
        <v>163.5</v>
      </c>
      <c r="M169" s="454" t="s">
        <v>1620</v>
      </c>
      <c r="N169" s="461" t="s">
        <v>1531</v>
      </c>
      <c r="O169" s="462" t="s">
        <v>1413</v>
      </c>
      <c r="P169" s="471">
        <v>6.5801200000000004E-2</v>
      </c>
      <c r="Q169" s="471">
        <v>7.6883000000000006E-6</v>
      </c>
      <c r="R169" s="472" t="s">
        <v>2435</v>
      </c>
      <c r="S169" s="473" t="s">
        <v>1531</v>
      </c>
      <c r="T169" s="474" t="s">
        <v>1413</v>
      </c>
      <c r="U169" s="484">
        <v>762.4</v>
      </c>
      <c r="V169" s="484" t="s">
        <v>553</v>
      </c>
      <c r="W169" s="495">
        <v>-1.73</v>
      </c>
      <c r="X169" s="496" t="s">
        <v>1620</v>
      </c>
      <c r="Y169" s="486">
        <v>608000</v>
      </c>
      <c r="Z169" s="487" t="s">
        <v>1620</v>
      </c>
      <c r="AA169" s="394">
        <v>1.6700000000000001E-6</v>
      </c>
      <c r="AB169" s="395" t="s">
        <v>553</v>
      </c>
      <c r="AC169" s="369"/>
    </row>
    <row r="170" spans="1:29" ht="20.100000000000001" customHeight="1" thickBot="1">
      <c r="A170" s="392" t="s">
        <v>1060</v>
      </c>
      <c r="B170" s="393" t="s">
        <v>787</v>
      </c>
      <c r="C170" s="400">
        <f>COUNTIF('Chem Props'!$B$6:$B$851,'Parameters Summary'!A170)</f>
        <v>1</v>
      </c>
      <c r="D170" s="400">
        <f>COUNTIF('Tox Summary'!$N$3:$N$792, 'Parameters Summary'!A170)</f>
        <v>1</v>
      </c>
      <c r="E170" s="438">
        <v>240.7</v>
      </c>
      <c r="F170" s="439" t="s">
        <v>1620</v>
      </c>
      <c r="G170" s="440">
        <v>1.051E-10</v>
      </c>
      <c r="H170" s="440">
        <v>2.5700000000000002E-12</v>
      </c>
      <c r="I170" s="441" t="s">
        <v>553</v>
      </c>
      <c r="J170" s="440">
        <v>1.3799999999999999E-7</v>
      </c>
      <c r="K170" s="441" t="s">
        <v>1620</v>
      </c>
      <c r="L170" s="457">
        <v>168</v>
      </c>
      <c r="M170" s="458" t="s">
        <v>1620</v>
      </c>
      <c r="N170" s="463" t="s">
        <v>1531</v>
      </c>
      <c r="O170" s="464" t="s">
        <v>1413</v>
      </c>
      <c r="P170" s="475">
        <v>4.9102399999999997E-2</v>
      </c>
      <c r="Q170" s="475">
        <v>5.7371999999999999E-6</v>
      </c>
      <c r="R170" s="476" t="s">
        <v>2435</v>
      </c>
      <c r="S170" s="477" t="s">
        <v>1531</v>
      </c>
      <c r="T170" s="478" t="s">
        <v>1413</v>
      </c>
      <c r="U170" s="481">
        <v>134.1</v>
      </c>
      <c r="V170" s="481" t="s">
        <v>553</v>
      </c>
      <c r="W170" s="497">
        <v>2.2200000000000002</v>
      </c>
      <c r="X170" s="498" t="s">
        <v>1620</v>
      </c>
      <c r="Y170" s="488">
        <v>170</v>
      </c>
      <c r="Z170" s="489" t="s">
        <v>1620</v>
      </c>
      <c r="AA170" s="396">
        <v>2.0899999999999998E-3</v>
      </c>
      <c r="AB170" s="397" t="s">
        <v>553</v>
      </c>
      <c r="AC170" s="369"/>
    </row>
    <row r="171" spans="1:29" ht="20.100000000000001" customHeight="1">
      <c r="A171" s="390" t="s">
        <v>1061</v>
      </c>
      <c r="B171" s="391" t="s">
        <v>1413</v>
      </c>
      <c r="C171" s="400">
        <f>COUNTIF('Chem Props'!$B$6:$B$851,'Parameters Summary'!A171)</f>
        <v>0</v>
      </c>
      <c r="D171" s="400">
        <f>COUNTIF('Tox Summary'!$N$3:$N$792, 'Parameters Summary'!A171)</f>
        <v>1</v>
      </c>
      <c r="E171" s="446" t="s">
        <v>1531</v>
      </c>
      <c r="F171" s="447" t="s">
        <v>1413</v>
      </c>
      <c r="G171" s="444" t="s">
        <v>1531</v>
      </c>
      <c r="H171" s="444" t="s">
        <v>1531</v>
      </c>
      <c r="I171" s="445" t="s">
        <v>1413</v>
      </c>
      <c r="J171" s="444" t="s">
        <v>1531</v>
      </c>
      <c r="K171" s="445" t="s">
        <v>1413</v>
      </c>
      <c r="L171" s="465" t="s">
        <v>1531</v>
      </c>
      <c r="M171" s="466" t="s">
        <v>1413</v>
      </c>
      <c r="N171" s="461" t="s">
        <v>1531</v>
      </c>
      <c r="O171" s="462" t="s">
        <v>1413</v>
      </c>
      <c r="P171" s="482" t="s">
        <v>1531</v>
      </c>
      <c r="Q171" s="482" t="s">
        <v>1531</v>
      </c>
      <c r="R171" s="483" t="s">
        <v>1413</v>
      </c>
      <c r="S171" s="473" t="s">
        <v>1531</v>
      </c>
      <c r="T171" s="474" t="s">
        <v>1413</v>
      </c>
      <c r="U171" s="473" t="s">
        <v>1531</v>
      </c>
      <c r="V171" s="474" t="s">
        <v>1413</v>
      </c>
      <c r="W171" s="501" t="s">
        <v>1531</v>
      </c>
      <c r="X171" s="502" t="s">
        <v>1413</v>
      </c>
      <c r="Y171" s="492" t="s">
        <v>1531</v>
      </c>
      <c r="Z171" s="493" t="s">
        <v>1413</v>
      </c>
      <c r="AA171" s="398" t="s">
        <v>1531</v>
      </c>
      <c r="AB171" s="504" t="s">
        <v>1413</v>
      </c>
      <c r="AC171" s="369"/>
    </row>
    <row r="172" spans="1:29" ht="20.100000000000001" customHeight="1">
      <c r="A172" s="390" t="s">
        <v>2363</v>
      </c>
      <c r="B172" s="391" t="s">
        <v>788</v>
      </c>
      <c r="C172" s="400">
        <f>COUNTIF('Chem Props'!$B$6:$B$851,'Parameters Summary'!A172)</f>
        <v>1</v>
      </c>
      <c r="D172" s="400">
        <f>COUNTIF('Tox Summary'!$N$3:$N$792, 'Parameters Summary'!A172)</f>
        <v>1</v>
      </c>
      <c r="E172" s="434">
        <v>92.116</v>
      </c>
      <c r="F172" s="435" t="s">
        <v>1620</v>
      </c>
      <c r="G172" s="444" t="s">
        <v>1531</v>
      </c>
      <c r="H172" s="444" t="s">
        <v>1531</v>
      </c>
      <c r="I172" s="445" t="s">
        <v>1413</v>
      </c>
      <c r="J172" s="444" t="s">
        <v>1531</v>
      </c>
      <c r="K172" s="445" t="s">
        <v>1413</v>
      </c>
      <c r="L172" s="465" t="s">
        <v>1531</v>
      </c>
      <c r="M172" s="466" t="s">
        <v>1413</v>
      </c>
      <c r="N172" s="461" t="s">
        <v>1531</v>
      </c>
      <c r="O172" s="462" t="s">
        <v>1413</v>
      </c>
      <c r="P172" s="482" t="s">
        <v>1531</v>
      </c>
      <c r="Q172" s="482" t="s">
        <v>1531</v>
      </c>
      <c r="R172" s="483" t="s">
        <v>1413</v>
      </c>
      <c r="S172" s="473" t="s">
        <v>1531</v>
      </c>
      <c r="T172" s="474" t="s">
        <v>1413</v>
      </c>
      <c r="U172" s="473" t="s">
        <v>1531</v>
      </c>
      <c r="V172" s="474" t="s">
        <v>1413</v>
      </c>
      <c r="W172" s="501" t="s">
        <v>1531</v>
      </c>
      <c r="X172" s="502" t="s">
        <v>1413</v>
      </c>
      <c r="Y172" s="492" t="s">
        <v>1531</v>
      </c>
      <c r="Z172" s="493" t="s">
        <v>1413</v>
      </c>
      <c r="AA172" s="394">
        <v>1E-3</v>
      </c>
      <c r="AB172" s="395" t="s">
        <v>1668</v>
      </c>
      <c r="AC172" s="369"/>
    </row>
    <row r="173" spans="1:29" ht="20.100000000000001" customHeight="1" thickBot="1">
      <c r="A173" s="392" t="s">
        <v>2364</v>
      </c>
      <c r="B173" s="393" t="s">
        <v>789</v>
      </c>
      <c r="C173" s="400">
        <f>COUNTIF('Chem Props'!$B$6:$B$851,'Parameters Summary'!A173)</f>
        <v>1</v>
      </c>
      <c r="D173" s="400">
        <f>COUNTIF('Tox Summary'!$N$3:$N$792, 'Parameters Summary'!A173)</f>
        <v>1</v>
      </c>
      <c r="E173" s="438">
        <v>89.563999999999993</v>
      </c>
      <c r="F173" s="439" t="s">
        <v>1620</v>
      </c>
      <c r="G173" s="442" t="s">
        <v>1531</v>
      </c>
      <c r="H173" s="442" t="s">
        <v>1531</v>
      </c>
      <c r="I173" s="443" t="s">
        <v>1413</v>
      </c>
      <c r="J173" s="442" t="s">
        <v>1531</v>
      </c>
      <c r="K173" s="443" t="s">
        <v>1413</v>
      </c>
      <c r="L173" s="457">
        <v>474</v>
      </c>
      <c r="M173" s="458" t="s">
        <v>1620</v>
      </c>
      <c r="N173" s="459">
        <v>2.9</v>
      </c>
      <c r="O173" s="460" t="s">
        <v>1618</v>
      </c>
      <c r="P173" s="479" t="s">
        <v>1531</v>
      </c>
      <c r="Q173" s="479" t="s">
        <v>1531</v>
      </c>
      <c r="R173" s="480" t="s">
        <v>1413</v>
      </c>
      <c r="S173" s="477" t="s">
        <v>1531</v>
      </c>
      <c r="T173" s="478" t="s">
        <v>1413</v>
      </c>
      <c r="U173" s="477" t="s">
        <v>1531</v>
      </c>
      <c r="V173" s="478" t="s">
        <v>1413</v>
      </c>
      <c r="W173" s="499" t="s">
        <v>1531</v>
      </c>
      <c r="X173" s="500" t="s">
        <v>1413</v>
      </c>
      <c r="Y173" s="490" t="s">
        <v>1531</v>
      </c>
      <c r="Z173" s="491" t="s">
        <v>1413</v>
      </c>
      <c r="AA173" s="396">
        <v>1E-3</v>
      </c>
      <c r="AB173" s="397" t="s">
        <v>1668</v>
      </c>
      <c r="AC173" s="369"/>
    </row>
    <row r="174" spans="1:29" ht="20.100000000000001" customHeight="1">
      <c r="A174" s="390" t="s">
        <v>2236</v>
      </c>
      <c r="B174" s="391" t="s">
        <v>790</v>
      </c>
      <c r="C174" s="400">
        <f>COUNTIF('Chem Props'!$B$6:$B$851,'Parameters Summary'!A174)</f>
        <v>1</v>
      </c>
      <c r="D174" s="400">
        <f>COUNTIF('Tox Summary'!$N$3:$N$792, 'Parameters Summary'!A174)</f>
        <v>1</v>
      </c>
      <c r="E174" s="434">
        <v>26.018000000000001</v>
      </c>
      <c r="F174" s="435" t="s">
        <v>1620</v>
      </c>
      <c r="G174" s="436">
        <v>4.15E-3</v>
      </c>
      <c r="H174" s="436">
        <v>1.01E-4</v>
      </c>
      <c r="I174" s="437" t="s">
        <v>2441</v>
      </c>
      <c r="J174" s="436">
        <v>308</v>
      </c>
      <c r="K174" s="437" t="s">
        <v>1620</v>
      </c>
      <c r="L174" s="465" t="s">
        <v>1531</v>
      </c>
      <c r="M174" s="466" t="s">
        <v>1413</v>
      </c>
      <c r="N174" s="455">
        <v>0.69499999999999995</v>
      </c>
      <c r="O174" s="456" t="s">
        <v>2086</v>
      </c>
      <c r="P174" s="471">
        <v>0.2109549</v>
      </c>
      <c r="Q174" s="471">
        <v>2.4600000000000002E-5</v>
      </c>
      <c r="R174" s="472" t="s">
        <v>2435</v>
      </c>
      <c r="S174" s="484">
        <v>9.9</v>
      </c>
      <c r="T174" s="484" t="s">
        <v>557</v>
      </c>
      <c r="U174" s="473" t="s">
        <v>1531</v>
      </c>
      <c r="V174" s="474" t="s">
        <v>1413</v>
      </c>
      <c r="W174" s="501" t="s">
        <v>1531</v>
      </c>
      <c r="X174" s="502" t="s">
        <v>1413</v>
      </c>
      <c r="Y174" s="486">
        <v>95400</v>
      </c>
      <c r="Z174" s="487" t="s">
        <v>1620</v>
      </c>
      <c r="AA174" s="394">
        <v>1E-3</v>
      </c>
      <c r="AB174" s="395" t="s">
        <v>1668</v>
      </c>
      <c r="AC174" s="369"/>
    </row>
    <row r="175" spans="1:29" ht="20.100000000000001" customHeight="1">
      <c r="A175" s="390" t="s">
        <v>2328</v>
      </c>
      <c r="B175" s="391" t="s">
        <v>791</v>
      </c>
      <c r="C175" s="400">
        <f>COUNTIF('Chem Props'!$B$6:$B$851,'Parameters Summary'!A175)</f>
        <v>1</v>
      </c>
      <c r="D175" s="400">
        <f>COUNTIF('Tox Summary'!$N$3:$N$792, 'Parameters Summary'!A175)</f>
        <v>1</v>
      </c>
      <c r="E175" s="434">
        <v>52.036000000000001</v>
      </c>
      <c r="F175" s="435" t="s">
        <v>1620</v>
      </c>
      <c r="G175" s="436">
        <v>0.22076860000000001</v>
      </c>
      <c r="H175" s="436">
        <v>5.4000000000000003E-3</v>
      </c>
      <c r="I175" s="437" t="s">
        <v>553</v>
      </c>
      <c r="J175" s="436">
        <v>4302</v>
      </c>
      <c r="K175" s="437" t="s">
        <v>1620</v>
      </c>
      <c r="L175" s="453">
        <v>-27.9</v>
      </c>
      <c r="M175" s="454" t="s">
        <v>1620</v>
      </c>
      <c r="N175" s="455">
        <v>0.95369999999999999</v>
      </c>
      <c r="O175" s="456" t="s">
        <v>1618</v>
      </c>
      <c r="P175" s="471">
        <v>0.1237533</v>
      </c>
      <c r="Q175" s="471">
        <v>1.38E-5</v>
      </c>
      <c r="R175" s="472" t="s">
        <v>2435</v>
      </c>
      <c r="S175" s="473" t="s">
        <v>1531</v>
      </c>
      <c r="T175" s="474" t="s">
        <v>1413</v>
      </c>
      <c r="U175" s="473" t="s">
        <v>1531</v>
      </c>
      <c r="V175" s="474" t="s">
        <v>1413</v>
      </c>
      <c r="W175" s="495">
        <v>7.0000000000000007E-2</v>
      </c>
      <c r="X175" s="496" t="s">
        <v>1620</v>
      </c>
      <c r="Y175" s="486">
        <v>8000</v>
      </c>
      <c r="Z175" s="487" t="s">
        <v>1618</v>
      </c>
      <c r="AA175" s="394">
        <v>8.8999999999999995E-4</v>
      </c>
      <c r="AB175" s="395" t="s">
        <v>1668</v>
      </c>
      <c r="AC175" s="369"/>
    </row>
    <row r="176" spans="1:29" ht="20.100000000000001" customHeight="1" thickBot="1">
      <c r="A176" s="392" t="s">
        <v>2337</v>
      </c>
      <c r="B176" s="393" t="s">
        <v>792</v>
      </c>
      <c r="C176" s="400">
        <f>COUNTIF('Chem Props'!$B$6:$B$851,'Parameters Summary'!A176)</f>
        <v>1</v>
      </c>
      <c r="D176" s="400">
        <f>COUNTIF('Tox Summary'!$N$3:$N$792, 'Parameters Summary'!A176)</f>
        <v>1</v>
      </c>
      <c r="E176" s="438">
        <v>105.93</v>
      </c>
      <c r="F176" s="439" t="s">
        <v>1620</v>
      </c>
      <c r="G176" s="440">
        <v>1</v>
      </c>
      <c r="H176" s="440">
        <v>2.4500000000000001E-2</v>
      </c>
      <c r="I176" s="441" t="s">
        <v>553</v>
      </c>
      <c r="J176" s="440">
        <v>121.56</v>
      </c>
      <c r="K176" s="441" t="s">
        <v>1620</v>
      </c>
      <c r="L176" s="457">
        <v>52</v>
      </c>
      <c r="M176" s="458" t="s">
        <v>1620</v>
      </c>
      <c r="N176" s="459">
        <v>2.0150000000000001</v>
      </c>
      <c r="O176" s="460" t="s">
        <v>1618</v>
      </c>
      <c r="P176" s="475">
        <v>9.8406499999999994E-2</v>
      </c>
      <c r="Q176" s="475">
        <v>1.4100000000000001E-5</v>
      </c>
      <c r="R176" s="476" t="s">
        <v>2435</v>
      </c>
      <c r="S176" s="477" t="s">
        <v>1531</v>
      </c>
      <c r="T176" s="478" t="s">
        <v>1413</v>
      </c>
      <c r="U176" s="477" t="s">
        <v>1531</v>
      </c>
      <c r="V176" s="478" t="s">
        <v>1413</v>
      </c>
      <c r="W176" s="499" t="s">
        <v>1531</v>
      </c>
      <c r="X176" s="500" t="s">
        <v>1413</v>
      </c>
      <c r="Y176" s="490" t="s">
        <v>1531</v>
      </c>
      <c r="Z176" s="491" t="s">
        <v>1413</v>
      </c>
      <c r="AA176" s="396">
        <v>2.5500000000000002E-4</v>
      </c>
      <c r="AB176" s="397" t="s">
        <v>1668</v>
      </c>
      <c r="AC176" s="369"/>
    </row>
    <row r="177" spans="1:29" ht="20.100000000000001" customHeight="1">
      <c r="A177" s="390" t="s">
        <v>2329</v>
      </c>
      <c r="B177" s="391" t="s">
        <v>793</v>
      </c>
      <c r="C177" s="400">
        <f>COUNTIF('Chem Props'!$B$6:$B$851,'Parameters Summary'!A177)</f>
        <v>1</v>
      </c>
      <c r="D177" s="400">
        <f>COUNTIF('Tox Summary'!$N$3:$N$792, 'Parameters Summary'!A177)</f>
        <v>1</v>
      </c>
      <c r="E177" s="434">
        <v>61.470999999999997</v>
      </c>
      <c r="F177" s="435" t="s">
        <v>1620</v>
      </c>
      <c r="G177" s="436">
        <v>7.87186E-2</v>
      </c>
      <c r="H177" s="436">
        <v>1.9411999999999999E-3</v>
      </c>
      <c r="I177" s="437" t="s">
        <v>1622</v>
      </c>
      <c r="J177" s="436">
        <v>1225</v>
      </c>
      <c r="K177" s="437" t="s">
        <v>1620</v>
      </c>
      <c r="L177" s="453">
        <v>-6.55</v>
      </c>
      <c r="M177" s="454" t="s">
        <v>1620</v>
      </c>
      <c r="N177" s="455">
        <v>1.1859999999999999</v>
      </c>
      <c r="O177" s="456" t="s">
        <v>1618</v>
      </c>
      <c r="P177" s="471">
        <v>0.1207454</v>
      </c>
      <c r="Q177" s="471">
        <v>1.42E-5</v>
      </c>
      <c r="R177" s="472" t="s">
        <v>2435</v>
      </c>
      <c r="S177" s="473" t="s">
        <v>1531</v>
      </c>
      <c r="T177" s="474" t="s">
        <v>1413</v>
      </c>
      <c r="U177" s="473" t="s">
        <v>1531</v>
      </c>
      <c r="V177" s="474" t="s">
        <v>1413</v>
      </c>
      <c r="W177" s="501" t="s">
        <v>1531</v>
      </c>
      <c r="X177" s="502" t="s">
        <v>1413</v>
      </c>
      <c r="Y177" s="486">
        <v>60000</v>
      </c>
      <c r="Z177" s="487" t="s">
        <v>1620</v>
      </c>
      <c r="AA177" s="394">
        <v>3.9399999999999998E-4</v>
      </c>
      <c r="AB177" s="395" t="s">
        <v>1668</v>
      </c>
      <c r="AC177" s="369"/>
    </row>
    <row r="178" spans="1:29" ht="20.100000000000001" customHeight="1">
      <c r="A178" s="390" t="s">
        <v>2242</v>
      </c>
      <c r="B178" s="391" t="s">
        <v>794</v>
      </c>
      <c r="C178" s="400">
        <f>COUNTIF('Chem Props'!$B$6:$B$851,'Parameters Summary'!A178)</f>
        <v>1</v>
      </c>
      <c r="D178" s="400">
        <f>COUNTIF('Tox Summary'!$N$3:$N$792, 'Parameters Summary'!A178)</f>
        <v>1</v>
      </c>
      <c r="E178" s="434">
        <v>27.026</v>
      </c>
      <c r="F178" s="435" t="s">
        <v>1620</v>
      </c>
      <c r="G178" s="436">
        <v>5.4374000000000002E-3</v>
      </c>
      <c r="H178" s="436">
        <v>1.3300000000000001E-4</v>
      </c>
      <c r="I178" s="437" t="s">
        <v>1620</v>
      </c>
      <c r="J178" s="436">
        <v>741.9</v>
      </c>
      <c r="K178" s="437" t="s">
        <v>1620</v>
      </c>
      <c r="L178" s="453">
        <v>-13.4</v>
      </c>
      <c r="M178" s="454" t="s">
        <v>1620</v>
      </c>
      <c r="N178" s="455">
        <v>0.68759999999999999</v>
      </c>
      <c r="O178" s="456" t="s">
        <v>1618</v>
      </c>
      <c r="P178" s="471">
        <v>0.1678036</v>
      </c>
      <c r="Q178" s="471">
        <v>1.6799999999999998E-5</v>
      </c>
      <c r="R178" s="472" t="s">
        <v>2435</v>
      </c>
      <c r="S178" s="484">
        <v>9.9</v>
      </c>
      <c r="T178" s="484" t="s">
        <v>557</v>
      </c>
      <c r="U178" s="473" t="s">
        <v>1531</v>
      </c>
      <c r="V178" s="474" t="s">
        <v>1413</v>
      </c>
      <c r="W178" s="495">
        <v>-0.25</v>
      </c>
      <c r="X178" s="496" t="s">
        <v>1620</v>
      </c>
      <c r="Y178" s="486">
        <v>1000000</v>
      </c>
      <c r="Z178" s="487" t="s">
        <v>1620</v>
      </c>
      <c r="AA178" s="394">
        <v>1E-3</v>
      </c>
      <c r="AB178" s="395" t="s">
        <v>1668</v>
      </c>
      <c r="AC178" s="369"/>
    </row>
    <row r="179" spans="1:29" ht="20.100000000000001" customHeight="1" thickBot="1">
      <c r="A179" s="392" t="s">
        <v>2365</v>
      </c>
      <c r="B179" s="393" t="s">
        <v>795</v>
      </c>
      <c r="C179" s="400">
        <f>COUNTIF('Chem Props'!$B$6:$B$851,'Parameters Summary'!A179)</f>
        <v>1</v>
      </c>
      <c r="D179" s="400">
        <f>COUNTIF('Tox Summary'!$N$3:$N$792, 'Parameters Summary'!A179)</f>
        <v>1</v>
      </c>
      <c r="E179" s="438">
        <v>65.12</v>
      </c>
      <c r="F179" s="439" t="s">
        <v>1620</v>
      </c>
      <c r="G179" s="442" t="s">
        <v>1531</v>
      </c>
      <c r="H179" s="442" t="s">
        <v>1531</v>
      </c>
      <c r="I179" s="443" t="s">
        <v>1413</v>
      </c>
      <c r="J179" s="440">
        <v>0</v>
      </c>
      <c r="K179" s="441" t="s">
        <v>2204</v>
      </c>
      <c r="L179" s="457">
        <v>634</v>
      </c>
      <c r="M179" s="458" t="s">
        <v>1620</v>
      </c>
      <c r="N179" s="459">
        <v>1.55</v>
      </c>
      <c r="O179" s="460" t="s">
        <v>1618</v>
      </c>
      <c r="P179" s="479" t="s">
        <v>1531</v>
      </c>
      <c r="Q179" s="479" t="s">
        <v>1531</v>
      </c>
      <c r="R179" s="480" t="s">
        <v>1413</v>
      </c>
      <c r="S179" s="477" t="s">
        <v>1531</v>
      </c>
      <c r="T179" s="478" t="s">
        <v>1413</v>
      </c>
      <c r="U179" s="477" t="s">
        <v>1531</v>
      </c>
      <c r="V179" s="478" t="s">
        <v>1413</v>
      </c>
      <c r="W179" s="499" t="s">
        <v>1531</v>
      </c>
      <c r="X179" s="500" t="s">
        <v>1413</v>
      </c>
      <c r="Y179" s="488">
        <v>720000</v>
      </c>
      <c r="Z179" s="489" t="s">
        <v>1620</v>
      </c>
      <c r="AA179" s="396">
        <v>2E-3</v>
      </c>
      <c r="AB179" s="397" t="s">
        <v>1668</v>
      </c>
      <c r="AC179" s="369"/>
    </row>
    <row r="180" spans="1:29" ht="20.100000000000001" customHeight="1">
      <c r="A180" s="390" t="s">
        <v>2366</v>
      </c>
      <c r="B180" s="391" t="s">
        <v>796</v>
      </c>
      <c r="C180" s="400">
        <f>COUNTIF('Chem Props'!$B$6:$B$851,'Parameters Summary'!A180)</f>
        <v>1</v>
      </c>
      <c r="D180" s="400">
        <f>COUNTIF('Tox Summary'!$N$3:$N$792, 'Parameters Summary'!A180)</f>
        <v>1</v>
      </c>
      <c r="E180" s="434">
        <v>199.01</v>
      </c>
      <c r="F180" s="435" t="s">
        <v>1620</v>
      </c>
      <c r="G180" s="444" t="s">
        <v>1531</v>
      </c>
      <c r="H180" s="444" t="s">
        <v>1531</v>
      </c>
      <c r="I180" s="445" t="s">
        <v>1413</v>
      </c>
      <c r="J180" s="444" t="s">
        <v>1531</v>
      </c>
      <c r="K180" s="445" t="s">
        <v>1413</v>
      </c>
      <c r="L180" s="465" t="s">
        <v>1531</v>
      </c>
      <c r="M180" s="466" t="s">
        <v>1413</v>
      </c>
      <c r="N180" s="461" t="s">
        <v>1531</v>
      </c>
      <c r="O180" s="462" t="s">
        <v>1413</v>
      </c>
      <c r="P180" s="482" t="s">
        <v>1531</v>
      </c>
      <c r="Q180" s="482" t="s">
        <v>1531</v>
      </c>
      <c r="R180" s="483" t="s">
        <v>1413</v>
      </c>
      <c r="S180" s="473" t="s">
        <v>1531</v>
      </c>
      <c r="T180" s="474" t="s">
        <v>1413</v>
      </c>
      <c r="U180" s="473" t="s">
        <v>1531</v>
      </c>
      <c r="V180" s="474" t="s">
        <v>1413</v>
      </c>
      <c r="W180" s="501" t="s">
        <v>1531</v>
      </c>
      <c r="X180" s="502" t="s">
        <v>1413</v>
      </c>
      <c r="Y180" s="492" t="s">
        <v>1531</v>
      </c>
      <c r="Z180" s="493" t="s">
        <v>1413</v>
      </c>
      <c r="AA180" s="394">
        <v>2E-3</v>
      </c>
      <c r="AB180" s="395" t="s">
        <v>1668</v>
      </c>
      <c r="AC180" s="369"/>
    </row>
    <row r="181" spans="1:29" ht="20.100000000000001" customHeight="1">
      <c r="A181" s="390" t="s">
        <v>2367</v>
      </c>
      <c r="B181" s="391" t="s">
        <v>797</v>
      </c>
      <c r="C181" s="400">
        <f>COUNTIF('Chem Props'!$B$6:$B$851,'Parameters Summary'!A181)</f>
        <v>1</v>
      </c>
      <c r="D181" s="400">
        <f>COUNTIF('Tox Summary'!$N$3:$N$792, 'Parameters Summary'!A181)</f>
        <v>1</v>
      </c>
      <c r="E181" s="434">
        <v>133.88999999999999</v>
      </c>
      <c r="F181" s="435" t="s">
        <v>1620</v>
      </c>
      <c r="G181" s="444" t="s">
        <v>1531</v>
      </c>
      <c r="H181" s="444" t="s">
        <v>1531</v>
      </c>
      <c r="I181" s="445" t="s">
        <v>1413</v>
      </c>
      <c r="J181" s="444" t="s">
        <v>1531</v>
      </c>
      <c r="K181" s="445" t="s">
        <v>1413</v>
      </c>
      <c r="L181" s="453">
        <v>320</v>
      </c>
      <c r="M181" s="454" t="s">
        <v>1620</v>
      </c>
      <c r="N181" s="455">
        <v>3.95</v>
      </c>
      <c r="O181" s="456" t="s">
        <v>1618</v>
      </c>
      <c r="P181" s="482" t="s">
        <v>1531</v>
      </c>
      <c r="Q181" s="482" t="s">
        <v>1531</v>
      </c>
      <c r="R181" s="483" t="s">
        <v>1413</v>
      </c>
      <c r="S181" s="473" t="s">
        <v>1531</v>
      </c>
      <c r="T181" s="474" t="s">
        <v>1413</v>
      </c>
      <c r="U181" s="473" t="s">
        <v>1531</v>
      </c>
      <c r="V181" s="474" t="s">
        <v>1413</v>
      </c>
      <c r="W181" s="501" t="s">
        <v>1531</v>
      </c>
      <c r="X181" s="502" t="s">
        <v>1413</v>
      </c>
      <c r="Y181" s="486">
        <v>23</v>
      </c>
      <c r="Z181" s="487" t="s">
        <v>1620</v>
      </c>
      <c r="AA181" s="394">
        <v>1E-3</v>
      </c>
      <c r="AB181" s="395" t="s">
        <v>1668</v>
      </c>
      <c r="AC181" s="369"/>
    </row>
    <row r="182" spans="1:29" ht="20.100000000000001" customHeight="1" thickBot="1">
      <c r="A182" s="392" t="s">
        <v>2368</v>
      </c>
      <c r="B182" s="393" t="s">
        <v>798</v>
      </c>
      <c r="C182" s="400">
        <f>COUNTIF('Chem Props'!$B$6:$B$851,'Parameters Summary'!A182)</f>
        <v>1</v>
      </c>
      <c r="D182" s="400">
        <f>COUNTIF('Tox Summary'!$N$3:$N$792, 'Parameters Summary'!A182)</f>
        <v>1</v>
      </c>
      <c r="E182" s="438">
        <v>49.008000000000003</v>
      </c>
      <c r="F182" s="439" t="s">
        <v>1620</v>
      </c>
      <c r="G182" s="442" t="s">
        <v>1531</v>
      </c>
      <c r="H182" s="442" t="s">
        <v>1531</v>
      </c>
      <c r="I182" s="443" t="s">
        <v>1413</v>
      </c>
      <c r="J182" s="440">
        <v>0</v>
      </c>
      <c r="K182" s="441" t="s">
        <v>2204</v>
      </c>
      <c r="L182" s="457">
        <v>563</v>
      </c>
      <c r="M182" s="458" t="s">
        <v>1620</v>
      </c>
      <c r="N182" s="459">
        <v>1.6</v>
      </c>
      <c r="O182" s="460" t="s">
        <v>1618</v>
      </c>
      <c r="P182" s="479" t="s">
        <v>1531</v>
      </c>
      <c r="Q182" s="479" t="s">
        <v>1531</v>
      </c>
      <c r="R182" s="480" t="s">
        <v>1413</v>
      </c>
      <c r="S182" s="477" t="s">
        <v>1531</v>
      </c>
      <c r="T182" s="478" t="s">
        <v>1413</v>
      </c>
      <c r="U182" s="477" t="s">
        <v>1531</v>
      </c>
      <c r="V182" s="478" t="s">
        <v>1413</v>
      </c>
      <c r="W182" s="499" t="s">
        <v>1531</v>
      </c>
      <c r="X182" s="500" t="s">
        <v>1413</v>
      </c>
      <c r="Y182" s="488">
        <v>582000</v>
      </c>
      <c r="Z182" s="489" t="s">
        <v>1618</v>
      </c>
      <c r="AA182" s="396">
        <v>1E-3</v>
      </c>
      <c r="AB182" s="397" t="s">
        <v>1668</v>
      </c>
      <c r="AC182" s="369"/>
    </row>
    <row r="183" spans="1:29" ht="20.100000000000001" customHeight="1">
      <c r="A183" s="390" t="s">
        <v>1079</v>
      </c>
      <c r="B183" s="96" t="s">
        <v>2168</v>
      </c>
      <c r="C183" s="400">
        <f>COUNTIF('Chem Props'!$B$6:$B$851,'Parameters Summary'!A212)</f>
        <v>1</v>
      </c>
      <c r="D183" s="400">
        <f>COUNTIF('Tox Summary'!$N$3:$N$792, 'Parameters Summary'!A212)</f>
        <v>1</v>
      </c>
      <c r="E183" s="446" t="s">
        <v>1531</v>
      </c>
      <c r="F183" s="447" t="s">
        <v>1413</v>
      </c>
      <c r="G183" s="444" t="s">
        <v>1531</v>
      </c>
      <c r="H183" s="444" t="s">
        <v>1531</v>
      </c>
      <c r="I183" s="445" t="s">
        <v>1413</v>
      </c>
      <c r="J183" s="444" t="s">
        <v>1531</v>
      </c>
      <c r="K183" s="445" t="s">
        <v>1413</v>
      </c>
      <c r="L183" s="465" t="s">
        <v>1531</v>
      </c>
      <c r="M183" s="466" t="s">
        <v>1413</v>
      </c>
      <c r="N183" s="461" t="s">
        <v>1531</v>
      </c>
      <c r="O183" s="462" t="s">
        <v>1413</v>
      </c>
      <c r="P183" s="482" t="s">
        <v>1531</v>
      </c>
      <c r="Q183" s="482" t="s">
        <v>1531</v>
      </c>
      <c r="R183" s="483" t="s">
        <v>1413</v>
      </c>
      <c r="S183" s="473" t="s">
        <v>1531</v>
      </c>
      <c r="T183" s="474" t="s">
        <v>1413</v>
      </c>
      <c r="U183" s="473" t="s">
        <v>1531</v>
      </c>
      <c r="V183" s="474" t="s">
        <v>1413</v>
      </c>
      <c r="W183" s="501" t="s">
        <v>1531</v>
      </c>
      <c r="X183" s="502" t="s">
        <v>1413</v>
      </c>
      <c r="Y183" s="492" t="s">
        <v>1531</v>
      </c>
      <c r="Z183" s="493" t="s">
        <v>1413</v>
      </c>
      <c r="AA183" s="398" t="s">
        <v>1531</v>
      </c>
      <c r="AB183" s="504" t="s">
        <v>1413</v>
      </c>
      <c r="AC183" s="369"/>
    </row>
    <row r="184" spans="1:29" ht="20.100000000000001" customHeight="1">
      <c r="A184" s="390" t="s">
        <v>2369</v>
      </c>
      <c r="B184" s="391" t="s">
        <v>799</v>
      </c>
      <c r="C184" s="400">
        <f>COUNTIF('Chem Props'!$B$6:$B$851,'Parameters Summary'!A184)</f>
        <v>1</v>
      </c>
      <c r="D184" s="400">
        <f>COUNTIF('Tox Summary'!$N$3:$N$792, 'Parameters Summary'!A184)</f>
        <v>1</v>
      </c>
      <c r="E184" s="434">
        <v>59.09</v>
      </c>
      <c r="F184" s="435" t="s">
        <v>1620</v>
      </c>
      <c r="G184" s="444" t="s">
        <v>1531</v>
      </c>
      <c r="H184" s="444" t="s">
        <v>1531</v>
      </c>
      <c r="I184" s="445" t="s">
        <v>1413</v>
      </c>
      <c r="J184" s="436">
        <v>4.7300000000000004</v>
      </c>
      <c r="K184" s="437" t="s">
        <v>2037</v>
      </c>
      <c r="L184" s="453">
        <v>5</v>
      </c>
      <c r="M184" s="454" t="s">
        <v>2037</v>
      </c>
      <c r="N184" s="455">
        <v>1.1259999999999999</v>
      </c>
      <c r="O184" s="456" t="s">
        <v>2037</v>
      </c>
      <c r="P184" s="471">
        <v>0.1214751</v>
      </c>
      <c r="Q184" s="471">
        <v>1.4100000000000001E-5</v>
      </c>
      <c r="R184" s="472" t="s">
        <v>2435</v>
      </c>
      <c r="S184" s="473" t="s">
        <v>1531</v>
      </c>
      <c r="T184" s="474" t="s">
        <v>1413</v>
      </c>
      <c r="U184" s="473" t="s">
        <v>1531</v>
      </c>
      <c r="V184" s="474" t="s">
        <v>1413</v>
      </c>
      <c r="W184" s="495">
        <v>0.57999999999999996</v>
      </c>
      <c r="X184" s="496" t="s">
        <v>2199</v>
      </c>
      <c r="Y184" s="492" t="s">
        <v>1531</v>
      </c>
      <c r="Z184" s="493" t="s">
        <v>1413</v>
      </c>
      <c r="AA184" s="394">
        <v>1E-3</v>
      </c>
      <c r="AB184" s="395" t="s">
        <v>1668</v>
      </c>
      <c r="AC184" s="369"/>
    </row>
    <row r="185" spans="1:29" ht="20.100000000000001" customHeight="1" thickBot="1">
      <c r="A185" s="392" t="s">
        <v>2370</v>
      </c>
      <c r="B185" s="393" t="s">
        <v>800</v>
      </c>
      <c r="C185" s="400">
        <f>COUNTIF('Chem Props'!$B$6:$B$851,'Parameters Summary'!A185)</f>
        <v>1</v>
      </c>
      <c r="D185" s="400">
        <f>COUNTIF('Tox Summary'!$N$3:$N$792, 'Parameters Summary'!A185)</f>
        <v>0</v>
      </c>
      <c r="E185" s="438">
        <v>117.41</v>
      </c>
      <c r="F185" s="439" t="s">
        <v>1620</v>
      </c>
      <c r="G185" s="442" t="s">
        <v>1531</v>
      </c>
      <c r="H185" s="442" t="s">
        <v>1531</v>
      </c>
      <c r="I185" s="443" t="s">
        <v>1413</v>
      </c>
      <c r="J185" s="442" t="s">
        <v>1531</v>
      </c>
      <c r="K185" s="443" t="s">
        <v>1413</v>
      </c>
      <c r="L185" s="457">
        <v>80</v>
      </c>
      <c r="M185" s="458" t="s">
        <v>1621</v>
      </c>
      <c r="N185" s="459">
        <v>1.8520000000000001</v>
      </c>
      <c r="O185" s="460" t="s">
        <v>1618</v>
      </c>
      <c r="P185" s="479" t="s">
        <v>1531</v>
      </c>
      <c r="Q185" s="479" t="s">
        <v>1531</v>
      </c>
      <c r="R185" s="480" t="s">
        <v>1413</v>
      </c>
      <c r="S185" s="477" t="s">
        <v>1531</v>
      </c>
      <c r="T185" s="478" t="s">
        <v>1413</v>
      </c>
      <c r="U185" s="477" t="s">
        <v>1531</v>
      </c>
      <c r="V185" s="478" t="s">
        <v>1413</v>
      </c>
      <c r="W185" s="499" t="s">
        <v>1531</v>
      </c>
      <c r="X185" s="500" t="s">
        <v>1413</v>
      </c>
      <c r="Y185" s="488">
        <v>4.7</v>
      </c>
      <c r="Z185" s="489" t="s">
        <v>1618</v>
      </c>
      <c r="AA185" s="396">
        <v>5.9999999999999995E-4</v>
      </c>
      <c r="AB185" s="397" t="s">
        <v>1668</v>
      </c>
      <c r="AC185" s="369"/>
    </row>
    <row r="186" spans="1:29" ht="20.100000000000001" customHeight="1">
      <c r="A186" s="390" t="s">
        <v>1062</v>
      </c>
      <c r="B186" s="391" t="s">
        <v>801</v>
      </c>
      <c r="C186" s="400">
        <f>COUNTIF('Chem Props'!$B$6:$B$851,'Parameters Summary'!A186)</f>
        <v>1</v>
      </c>
      <c r="D186" s="400">
        <f>COUNTIF('Tox Summary'!$N$3:$N$792, 'Parameters Summary'!A186)</f>
        <v>1</v>
      </c>
      <c r="E186" s="434">
        <v>84.162999999999997</v>
      </c>
      <c r="F186" s="435" t="s">
        <v>1620</v>
      </c>
      <c r="G186" s="436">
        <v>6.1324611999999998</v>
      </c>
      <c r="H186" s="436">
        <v>0.15</v>
      </c>
      <c r="I186" s="437" t="s">
        <v>1620</v>
      </c>
      <c r="J186" s="436">
        <v>96.86</v>
      </c>
      <c r="K186" s="437" t="s">
        <v>1620</v>
      </c>
      <c r="L186" s="453">
        <v>6.6</v>
      </c>
      <c r="M186" s="454" t="s">
        <v>1620</v>
      </c>
      <c r="N186" s="455">
        <v>0.77390000000000003</v>
      </c>
      <c r="O186" s="456" t="s">
        <v>1618</v>
      </c>
      <c r="P186" s="471">
        <v>7.99729E-2</v>
      </c>
      <c r="Q186" s="471">
        <v>9.1076999999999992E-6</v>
      </c>
      <c r="R186" s="472" t="s">
        <v>2435</v>
      </c>
      <c r="S186" s="473" t="s">
        <v>1531</v>
      </c>
      <c r="T186" s="474" t="s">
        <v>1413</v>
      </c>
      <c r="U186" s="484">
        <v>145.80000000000001</v>
      </c>
      <c r="V186" s="484" t="s">
        <v>553</v>
      </c>
      <c r="W186" s="495">
        <v>3.44</v>
      </c>
      <c r="X186" s="496" t="s">
        <v>1620</v>
      </c>
      <c r="Y186" s="486">
        <v>55</v>
      </c>
      <c r="Z186" s="487" t="s">
        <v>1620</v>
      </c>
      <c r="AA186" s="394">
        <v>0.10199999999999999</v>
      </c>
      <c r="AB186" s="395" t="s">
        <v>553</v>
      </c>
      <c r="AC186" s="369"/>
    </row>
    <row r="187" spans="1:29" ht="20.100000000000001" customHeight="1">
      <c r="A187" s="390" t="s">
        <v>1063</v>
      </c>
      <c r="B187" s="391" t="s">
        <v>802</v>
      </c>
      <c r="C187" s="400">
        <f>COUNTIF('Chem Props'!$B$6:$B$851,'Parameters Summary'!A187)</f>
        <v>1</v>
      </c>
      <c r="D187" s="400">
        <f>COUNTIF('Tox Summary'!$N$3:$N$792, 'Parameters Summary'!A187)</f>
        <v>1</v>
      </c>
      <c r="E187" s="434">
        <v>513.09</v>
      </c>
      <c r="F187" s="435" t="s">
        <v>1620</v>
      </c>
      <c r="G187" s="436">
        <v>3.9199999999999997E-5</v>
      </c>
      <c r="H187" s="436">
        <v>9.5900000000000005E-7</v>
      </c>
      <c r="I187" s="437" t="s">
        <v>1620</v>
      </c>
      <c r="J187" s="436">
        <v>3.4599999999999999E-6</v>
      </c>
      <c r="K187" s="437" t="s">
        <v>1620</v>
      </c>
      <c r="L187" s="453">
        <v>204</v>
      </c>
      <c r="M187" s="454" t="s">
        <v>1618</v>
      </c>
      <c r="N187" s="461" t="s">
        <v>1531</v>
      </c>
      <c r="O187" s="462" t="s">
        <v>1413</v>
      </c>
      <c r="P187" s="471">
        <v>2.9645399999999999E-2</v>
      </c>
      <c r="Q187" s="471">
        <v>3.4638000000000002E-6</v>
      </c>
      <c r="R187" s="472" t="s">
        <v>2435</v>
      </c>
      <c r="S187" s="473" t="s">
        <v>1531</v>
      </c>
      <c r="T187" s="474" t="s">
        <v>1413</v>
      </c>
      <c r="U187" s="484">
        <v>2807</v>
      </c>
      <c r="V187" s="484" t="s">
        <v>553</v>
      </c>
      <c r="W187" s="495">
        <v>4.72</v>
      </c>
      <c r="X187" s="496" t="s">
        <v>1620</v>
      </c>
      <c r="Y187" s="486">
        <v>5.4960000000000002E-2</v>
      </c>
      <c r="Z187" s="487" t="s">
        <v>1620</v>
      </c>
      <c r="AA187" s="394">
        <v>2.8300000000000001E-3</v>
      </c>
      <c r="AB187" s="395" t="s">
        <v>553</v>
      </c>
      <c r="AC187" s="369"/>
    </row>
    <row r="188" spans="1:29" ht="20.100000000000001" customHeight="1" thickBot="1">
      <c r="A188" s="392" t="s">
        <v>1064</v>
      </c>
      <c r="B188" s="393" t="s">
        <v>803</v>
      </c>
      <c r="C188" s="400">
        <f>COUNTIF('Chem Props'!$B$6:$B$851,'Parameters Summary'!A188)</f>
        <v>1</v>
      </c>
      <c r="D188" s="400">
        <f>COUNTIF('Tox Summary'!$N$3:$N$792, 'Parameters Summary'!A188)</f>
        <v>1</v>
      </c>
      <c r="E188" s="438">
        <v>98.146000000000001</v>
      </c>
      <c r="F188" s="439" t="s">
        <v>1620</v>
      </c>
      <c r="G188" s="440">
        <v>3.679E-4</v>
      </c>
      <c r="H188" s="440">
        <v>9.0000000000000002E-6</v>
      </c>
      <c r="I188" s="441" t="s">
        <v>1620</v>
      </c>
      <c r="J188" s="440">
        <v>4.33</v>
      </c>
      <c r="K188" s="441" t="s">
        <v>1620</v>
      </c>
      <c r="L188" s="457">
        <v>-31</v>
      </c>
      <c r="M188" s="458" t="s">
        <v>1620</v>
      </c>
      <c r="N188" s="459">
        <v>0.94779999999999998</v>
      </c>
      <c r="O188" s="460" t="s">
        <v>1618</v>
      </c>
      <c r="P188" s="475">
        <v>7.6759900000000006E-2</v>
      </c>
      <c r="Q188" s="475">
        <v>9.3795000000000006E-6</v>
      </c>
      <c r="R188" s="476" t="s">
        <v>2435</v>
      </c>
      <c r="S188" s="477" t="s">
        <v>1531</v>
      </c>
      <c r="T188" s="478" t="s">
        <v>1413</v>
      </c>
      <c r="U188" s="481">
        <v>17.38</v>
      </c>
      <c r="V188" s="481" t="s">
        <v>553</v>
      </c>
      <c r="W188" s="497">
        <v>0.81</v>
      </c>
      <c r="X188" s="498" t="s">
        <v>1620</v>
      </c>
      <c r="Y188" s="488">
        <v>25000</v>
      </c>
      <c r="Z188" s="489" t="s">
        <v>1620</v>
      </c>
      <c r="AA188" s="396">
        <v>1.5200000000000001E-3</v>
      </c>
      <c r="AB188" s="397" t="s">
        <v>553</v>
      </c>
      <c r="AC188" s="369"/>
    </row>
    <row r="189" spans="1:29" ht="20.100000000000001" customHeight="1">
      <c r="A189" s="390" t="s">
        <v>1990</v>
      </c>
      <c r="B189" s="391" t="s">
        <v>1991</v>
      </c>
      <c r="C189" s="400">
        <f>COUNTIF('Chem Props'!$B$6:$B$851,'Parameters Summary'!A189)</f>
        <v>1</v>
      </c>
      <c r="D189" s="400">
        <f>COUNTIF('Tox Summary'!$N$3:$N$792, 'Parameters Summary'!A189)</f>
        <v>1</v>
      </c>
      <c r="E189" s="434">
        <v>82.147000000000006</v>
      </c>
      <c r="F189" s="435" t="s">
        <v>1620</v>
      </c>
      <c r="G189" s="436">
        <v>1.8601799000000001</v>
      </c>
      <c r="H189" s="436">
        <v>4.5499999999999999E-2</v>
      </c>
      <c r="I189" s="437" t="s">
        <v>1620</v>
      </c>
      <c r="J189" s="436">
        <v>89</v>
      </c>
      <c r="K189" s="437" t="s">
        <v>1620</v>
      </c>
      <c r="L189" s="453">
        <v>-103.5</v>
      </c>
      <c r="M189" s="454" t="s">
        <v>1620</v>
      </c>
      <c r="N189" s="455">
        <v>0.81</v>
      </c>
      <c r="O189" s="456" t="s">
        <v>2204</v>
      </c>
      <c r="P189" s="471">
        <v>8.31876E-2</v>
      </c>
      <c r="Q189" s="471">
        <v>9.4975000000000001E-6</v>
      </c>
      <c r="R189" s="472" t="s">
        <v>2435</v>
      </c>
      <c r="S189" s="473" t="s">
        <v>1531</v>
      </c>
      <c r="T189" s="474" t="s">
        <v>1413</v>
      </c>
      <c r="U189" s="484">
        <v>145.80000000000001</v>
      </c>
      <c r="V189" s="484" t="s">
        <v>553</v>
      </c>
      <c r="W189" s="495">
        <v>2.86</v>
      </c>
      <c r="X189" s="496" t="s">
        <v>1620</v>
      </c>
      <c r="Y189" s="486">
        <v>213</v>
      </c>
      <c r="Z189" s="487" t="s">
        <v>1620</v>
      </c>
      <c r="AA189" s="394">
        <v>4.3099999999999999E-2</v>
      </c>
      <c r="AB189" s="395" t="s">
        <v>553</v>
      </c>
      <c r="AC189" s="369"/>
    </row>
    <row r="190" spans="1:29" ht="20.100000000000001" customHeight="1">
      <c r="A190" s="390" t="s">
        <v>1065</v>
      </c>
      <c r="B190" s="391" t="s">
        <v>804</v>
      </c>
      <c r="C190" s="400">
        <f>COUNTIF('Chem Props'!$B$6:$B$851,'Parameters Summary'!A190)</f>
        <v>1</v>
      </c>
      <c r="D190" s="400">
        <f>COUNTIF('Tox Summary'!$N$3:$N$792, 'Parameters Summary'!A190)</f>
        <v>1</v>
      </c>
      <c r="E190" s="434">
        <v>99.177000000000007</v>
      </c>
      <c r="F190" s="435" t="s">
        <v>1620</v>
      </c>
      <c r="G190" s="436">
        <v>1.7009999999999999E-4</v>
      </c>
      <c r="H190" s="436">
        <v>4.16E-6</v>
      </c>
      <c r="I190" s="437" t="s">
        <v>1620</v>
      </c>
      <c r="J190" s="436">
        <v>10.1</v>
      </c>
      <c r="K190" s="437" t="s">
        <v>1620</v>
      </c>
      <c r="L190" s="453">
        <v>-17.7</v>
      </c>
      <c r="M190" s="454" t="s">
        <v>1620</v>
      </c>
      <c r="N190" s="455">
        <v>0.81910000000000005</v>
      </c>
      <c r="O190" s="456" t="s">
        <v>1618</v>
      </c>
      <c r="P190" s="471">
        <v>7.1294499999999997E-2</v>
      </c>
      <c r="Q190" s="471">
        <v>8.5393999999999999E-6</v>
      </c>
      <c r="R190" s="472" t="s">
        <v>2435</v>
      </c>
      <c r="S190" s="473" t="s">
        <v>1531</v>
      </c>
      <c r="T190" s="474" t="s">
        <v>1413</v>
      </c>
      <c r="U190" s="484">
        <v>32.17</v>
      </c>
      <c r="V190" s="484" t="s">
        <v>553</v>
      </c>
      <c r="W190" s="495">
        <v>1.49</v>
      </c>
      <c r="X190" s="496" t="s">
        <v>1620</v>
      </c>
      <c r="Y190" s="486">
        <v>1000000</v>
      </c>
      <c r="Z190" s="487" t="s">
        <v>1620</v>
      </c>
      <c r="AA190" s="394">
        <v>4.2500000000000003E-3</v>
      </c>
      <c r="AB190" s="395" t="s">
        <v>553</v>
      </c>
      <c r="AC190" s="369"/>
    </row>
    <row r="191" spans="1:29" ht="20.100000000000001" customHeight="1" thickBot="1">
      <c r="A191" s="392" t="s">
        <v>2305</v>
      </c>
      <c r="B191" s="393" t="s">
        <v>681</v>
      </c>
      <c r="C191" s="400">
        <f>COUNTIF('Chem Props'!$B$6:$B$851,'Parameters Summary'!A191)</f>
        <v>1</v>
      </c>
      <c r="D191" s="400">
        <f>COUNTIF('Tox Summary'!$N$3:$N$792, 'Parameters Summary'!A191)</f>
        <v>1</v>
      </c>
      <c r="E191" s="438">
        <v>434.3</v>
      </c>
      <c r="F191" s="439" t="s">
        <v>1620</v>
      </c>
      <c r="G191" s="440">
        <v>1.1855999999999999E-6</v>
      </c>
      <c r="H191" s="440">
        <v>2.9000000000000002E-8</v>
      </c>
      <c r="I191" s="441" t="s">
        <v>553</v>
      </c>
      <c r="J191" s="440">
        <v>1.5E-10</v>
      </c>
      <c r="K191" s="441" t="s">
        <v>1620</v>
      </c>
      <c r="L191" s="457">
        <v>60</v>
      </c>
      <c r="M191" s="458" t="s">
        <v>1620</v>
      </c>
      <c r="N191" s="463" t="s">
        <v>1531</v>
      </c>
      <c r="O191" s="464" t="s">
        <v>1413</v>
      </c>
      <c r="P191" s="475">
        <v>3.3130399999999997E-2</v>
      </c>
      <c r="Q191" s="475">
        <v>3.8709999999999999E-6</v>
      </c>
      <c r="R191" s="476" t="s">
        <v>2435</v>
      </c>
      <c r="S191" s="477" t="s">
        <v>1531</v>
      </c>
      <c r="T191" s="478" t="s">
        <v>1413</v>
      </c>
      <c r="U191" s="481">
        <v>130600</v>
      </c>
      <c r="V191" s="481" t="s">
        <v>553</v>
      </c>
      <c r="W191" s="497">
        <v>5.95</v>
      </c>
      <c r="X191" s="498" t="s">
        <v>1620</v>
      </c>
      <c r="Y191" s="488">
        <v>3.0000000000000001E-3</v>
      </c>
      <c r="Z191" s="489" t="s">
        <v>1620</v>
      </c>
      <c r="AA191" s="396">
        <v>5.1499999999999997E-2</v>
      </c>
      <c r="AB191" s="397" t="s">
        <v>553</v>
      </c>
      <c r="AC191" s="369"/>
    </row>
    <row r="192" spans="1:29" ht="20.100000000000001" customHeight="1">
      <c r="A192" s="390" t="s">
        <v>2306</v>
      </c>
      <c r="B192" s="391" t="s">
        <v>805</v>
      </c>
      <c r="C192" s="400">
        <f>COUNTIF('Chem Props'!$B$6:$B$851,'Parameters Summary'!A192)</f>
        <v>1</v>
      </c>
      <c r="D192" s="400">
        <f>COUNTIF('Tox Summary'!$N$3:$N$792, 'Parameters Summary'!A192)</f>
        <v>1</v>
      </c>
      <c r="E192" s="434">
        <v>449.86</v>
      </c>
      <c r="F192" s="435" t="s">
        <v>1620</v>
      </c>
      <c r="G192" s="436">
        <v>6.05E-5</v>
      </c>
      <c r="H192" s="436">
        <v>1.48E-6</v>
      </c>
      <c r="I192" s="437" t="s">
        <v>553</v>
      </c>
      <c r="J192" s="436">
        <v>1.5E-9</v>
      </c>
      <c r="K192" s="437" t="s">
        <v>1620</v>
      </c>
      <c r="L192" s="453">
        <v>49.2</v>
      </c>
      <c r="M192" s="454" t="s">
        <v>1620</v>
      </c>
      <c r="N192" s="461" t="s">
        <v>1531</v>
      </c>
      <c r="O192" s="462" t="s">
        <v>1413</v>
      </c>
      <c r="P192" s="471">
        <v>3.2362000000000002E-2</v>
      </c>
      <c r="Q192" s="471">
        <v>3.7811999999999999E-6</v>
      </c>
      <c r="R192" s="472" t="s">
        <v>2435</v>
      </c>
      <c r="S192" s="473" t="s">
        <v>1531</v>
      </c>
      <c r="T192" s="474" t="s">
        <v>1413</v>
      </c>
      <c r="U192" s="484">
        <v>341300</v>
      </c>
      <c r="V192" s="484" t="s">
        <v>553</v>
      </c>
      <c r="W192" s="495">
        <v>6.9</v>
      </c>
      <c r="X192" s="496" t="s">
        <v>1620</v>
      </c>
      <c r="Y192" s="486">
        <v>5.0000000000000001E-3</v>
      </c>
      <c r="Z192" s="487" t="s">
        <v>1620</v>
      </c>
      <c r="AA192" s="394">
        <v>0.21</v>
      </c>
      <c r="AB192" s="395" t="s">
        <v>553</v>
      </c>
      <c r="AC192" s="369"/>
    </row>
    <row r="193" spans="1:29" ht="20.100000000000001" customHeight="1">
      <c r="A193" s="390" t="s">
        <v>1066</v>
      </c>
      <c r="B193" s="391" t="s">
        <v>806</v>
      </c>
      <c r="C193" s="400">
        <f>COUNTIF('Chem Props'!$B$6:$B$851,'Parameters Summary'!A193)</f>
        <v>1</v>
      </c>
      <c r="D193" s="400">
        <f>COUNTIF('Tox Summary'!$N$3:$N$792, 'Parameters Summary'!A193)</f>
        <v>1</v>
      </c>
      <c r="E193" s="434">
        <v>416.31</v>
      </c>
      <c r="F193" s="435" t="s">
        <v>1620</v>
      </c>
      <c r="G193" s="436">
        <v>1.7200000000000001E-5</v>
      </c>
      <c r="H193" s="436">
        <v>4.2E-7</v>
      </c>
      <c r="I193" s="437" t="s">
        <v>553</v>
      </c>
      <c r="J193" s="436">
        <v>3.0699999999999999E-9</v>
      </c>
      <c r="K193" s="437" t="s">
        <v>1620</v>
      </c>
      <c r="L193" s="453">
        <v>80.5</v>
      </c>
      <c r="M193" s="454" t="s">
        <v>1620</v>
      </c>
      <c r="N193" s="455">
        <v>1.25</v>
      </c>
      <c r="O193" s="456" t="s">
        <v>1618</v>
      </c>
      <c r="P193" s="471">
        <v>1.8904600000000001E-2</v>
      </c>
      <c r="Q193" s="471">
        <v>4.6534000000000002E-6</v>
      </c>
      <c r="R193" s="472" t="s">
        <v>2435</v>
      </c>
      <c r="S193" s="473" t="s">
        <v>1531</v>
      </c>
      <c r="T193" s="474" t="s">
        <v>1413</v>
      </c>
      <c r="U193" s="484">
        <v>79750</v>
      </c>
      <c r="V193" s="484" t="s">
        <v>553</v>
      </c>
      <c r="W193" s="495">
        <v>6.6</v>
      </c>
      <c r="X193" s="496" t="s">
        <v>1620</v>
      </c>
      <c r="Y193" s="486">
        <v>4.0000000000000001E-3</v>
      </c>
      <c r="Z193" s="487" t="s">
        <v>1620</v>
      </c>
      <c r="AA193" s="394">
        <v>7.6899999999999996E-2</v>
      </c>
      <c r="AB193" s="395" t="s">
        <v>553</v>
      </c>
      <c r="AC193" s="369"/>
    </row>
    <row r="194" spans="1:29" ht="20.100000000000001" customHeight="1" thickBot="1">
      <c r="A194" s="392" t="s">
        <v>1067</v>
      </c>
      <c r="B194" s="393" t="s">
        <v>807</v>
      </c>
      <c r="C194" s="400">
        <f>COUNTIF('Chem Props'!$B$6:$B$851,'Parameters Summary'!A194)</f>
        <v>1</v>
      </c>
      <c r="D194" s="400">
        <f>COUNTIF('Tox Summary'!$N$3:$N$792, 'Parameters Summary'!A194)</f>
        <v>1</v>
      </c>
      <c r="E194" s="438">
        <v>166.19</v>
      </c>
      <c r="F194" s="439" t="s">
        <v>1620</v>
      </c>
      <c r="G194" s="440">
        <v>2.3100000000000001E-12</v>
      </c>
      <c r="H194" s="440">
        <v>5.6499999999999999E-14</v>
      </c>
      <c r="I194" s="441" t="s">
        <v>553</v>
      </c>
      <c r="J194" s="440">
        <v>3.36E-9</v>
      </c>
      <c r="K194" s="441" t="s">
        <v>1620</v>
      </c>
      <c r="L194" s="457">
        <v>224.9</v>
      </c>
      <c r="M194" s="458" t="s">
        <v>1620</v>
      </c>
      <c r="N194" s="463" t="s">
        <v>1531</v>
      </c>
      <c r="O194" s="464" t="s">
        <v>1413</v>
      </c>
      <c r="P194" s="475">
        <v>6.2856499999999996E-2</v>
      </c>
      <c r="Q194" s="475">
        <v>7.3443000000000001E-6</v>
      </c>
      <c r="R194" s="476" t="s">
        <v>2435</v>
      </c>
      <c r="S194" s="477" t="s">
        <v>1531</v>
      </c>
      <c r="T194" s="478" t="s">
        <v>1413</v>
      </c>
      <c r="U194" s="481">
        <v>28.73</v>
      </c>
      <c r="V194" s="481" t="s">
        <v>553</v>
      </c>
      <c r="W194" s="497">
        <v>-6.0999999999999999E-2</v>
      </c>
      <c r="X194" s="498" t="s">
        <v>1620</v>
      </c>
      <c r="Y194" s="488">
        <v>13000</v>
      </c>
      <c r="Z194" s="489" t="s">
        <v>1620</v>
      </c>
      <c r="AA194" s="396">
        <v>7.9699999999999997E-4</v>
      </c>
      <c r="AB194" s="397" t="s">
        <v>553</v>
      </c>
      <c r="AC194" s="369"/>
    </row>
    <row r="195" spans="1:29" ht="20.100000000000001" customHeight="1">
      <c r="A195" s="390" t="s">
        <v>2497</v>
      </c>
      <c r="B195" s="391" t="s">
        <v>808</v>
      </c>
      <c r="C195" s="400">
        <f>COUNTIF('Chem Props'!$B$6:$B$851,'Parameters Summary'!A195)</f>
        <v>0</v>
      </c>
      <c r="D195" s="400">
        <f>COUNTIF('Tox Summary'!$N$3:$N$792, 'Parameters Summary'!A195)</f>
        <v>1</v>
      </c>
      <c r="E195" s="434">
        <v>320.05</v>
      </c>
      <c r="F195" s="435" t="s">
        <v>1620</v>
      </c>
      <c r="G195" s="436">
        <v>2.698E-4</v>
      </c>
      <c r="H195" s="436">
        <v>6.6000000000000003E-6</v>
      </c>
      <c r="I195" s="437" t="s">
        <v>1620</v>
      </c>
      <c r="J195" s="436">
        <v>1.35E-6</v>
      </c>
      <c r="K195" s="437" t="s">
        <v>1620</v>
      </c>
      <c r="L195" s="453">
        <v>109.5</v>
      </c>
      <c r="M195" s="454" t="s">
        <v>1620</v>
      </c>
      <c r="N195" s="461" t="s">
        <v>1531</v>
      </c>
      <c r="O195" s="462" t="s">
        <v>1413</v>
      </c>
      <c r="P195" s="471">
        <v>4.0607699999999997E-2</v>
      </c>
      <c r="Q195" s="471">
        <v>4.7446999999999997E-6</v>
      </c>
      <c r="R195" s="472" t="s">
        <v>2435</v>
      </c>
      <c r="S195" s="473" t="s">
        <v>1531</v>
      </c>
      <c r="T195" s="474" t="s">
        <v>1413</v>
      </c>
      <c r="U195" s="484">
        <v>117500</v>
      </c>
      <c r="V195" s="484" t="s">
        <v>553</v>
      </c>
      <c r="W195" s="495">
        <v>6.02</v>
      </c>
      <c r="X195" s="496" t="s">
        <v>1620</v>
      </c>
      <c r="Y195" s="486">
        <v>0.09</v>
      </c>
      <c r="Z195" s="487" t="s">
        <v>1620</v>
      </c>
      <c r="AA195" s="394">
        <v>0.251</v>
      </c>
      <c r="AB195" s="395" t="s">
        <v>553</v>
      </c>
      <c r="AC195" s="369"/>
    </row>
    <row r="196" spans="1:29" ht="20.100000000000001" customHeight="1">
      <c r="A196" s="390" t="s">
        <v>1069</v>
      </c>
      <c r="B196" s="391" t="s">
        <v>809</v>
      </c>
      <c r="C196" s="400">
        <f>COUNTIF('Chem Props'!$B$6:$B$851,'Parameters Summary'!A196)</f>
        <v>1</v>
      </c>
      <c r="D196" s="400">
        <f>COUNTIF('Tox Summary'!$N$3:$N$792, 'Parameters Summary'!A196)</f>
        <v>1</v>
      </c>
      <c r="E196" s="434">
        <v>318.02999999999997</v>
      </c>
      <c r="F196" s="435" t="s">
        <v>1620</v>
      </c>
      <c r="G196" s="436">
        <v>1.7007000000000001E-3</v>
      </c>
      <c r="H196" s="436">
        <v>4.1600000000000002E-5</v>
      </c>
      <c r="I196" s="437" t="s">
        <v>1620</v>
      </c>
      <c r="J196" s="436">
        <v>6.0000000000000002E-6</v>
      </c>
      <c r="K196" s="437" t="s">
        <v>553</v>
      </c>
      <c r="L196" s="453">
        <v>89</v>
      </c>
      <c r="M196" s="454" t="s">
        <v>1620</v>
      </c>
      <c r="N196" s="455">
        <v>1.4019999999999999</v>
      </c>
      <c r="O196" s="456" t="s">
        <v>2206</v>
      </c>
      <c r="P196" s="471">
        <v>2.29959E-2</v>
      </c>
      <c r="Q196" s="471">
        <v>5.8591999999999997E-6</v>
      </c>
      <c r="R196" s="472" t="s">
        <v>2435</v>
      </c>
      <c r="S196" s="473" t="s">
        <v>1531</v>
      </c>
      <c r="T196" s="474" t="s">
        <v>1413</v>
      </c>
      <c r="U196" s="484">
        <v>117500</v>
      </c>
      <c r="V196" s="484" t="s">
        <v>553</v>
      </c>
      <c r="W196" s="495">
        <v>6.51</v>
      </c>
      <c r="X196" s="496" t="s">
        <v>1620</v>
      </c>
      <c r="Y196" s="486">
        <v>0.04</v>
      </c>
      <c r="Z196" s="487" t="s">
        <v>1620</v>
      </c>
      <c r="AA196" s="394">
        <v>0.54500000000000004</v>
      </c>
      <c r="AB196" s="395" t="s">
        <v>553</v>
      </c>
      <c r="AC196" s="369"/>
    </row>
    <row r="197" spans="1:29" ht="20.100000000000001" customHeight="1" thickBot="1">
      <c r="A197" s="392" t="s">
        <v>436</v>
      </c>
      <c r="B197" s="393" t="s">
        <v>810</v>
      </c>
      <c r="C197" s="400">
        <f>COUNTIF('Chem Props'!$B$6:$B$851,'Parameters Summary'!A197)</f>
        <v>1</v>
      </c>
      <c r="D197" s="400">
        <f>COUNTIF('Tox Summary'!$N$3:$N$792, 'Parameters Summary'!A197)</f>
        <v>1</v>
      </c>
      <c r="E197" s="438">
        <v>354.49</v>
      </c>
      <c r="F197" s="439" t="s">
        <v>1620</v>
      </c>
      <c r="G197" s="440">
        <v>3.4010000000000003E-4</v>
      </c>
      <c r="H197" s="440">
        <v>8.32E-6</v>
      </c>
      <c r="I197" s="441" t="s">
        <v>1620</v>
      </c>
      <c r="J197" s="440">
        <v>1.6E-7</v>
      </c>
      <c r="K197" s="441" t="s">
        <v>1620</v>
      </c>
      <c r="L197" s="457">
        <v>108.5</v>
      </c>
      <c r="M197" s="458" t="s">
        <v>1620</v>
      </c>
      <c r="N197" s="463" t="s">
        <v>1531</v>
      </c>
      <c r="O197" s="464" t="s">
        <v>1413</v>
      </c>
      <c r="P197" s="475">
        <v>3.7933000000000001E-2</v>
      </c>
      <c r="Q197" s="475">
        <v>4.4321999999999997E-6</v>
      </c>
      <c r="R197" s="476" t="s">
        <v>2435</v>
      </c>
      <c r="S197" s="477" t="s">
        <v>1531</v>
      </c>
      <c r="T197" s="478" t="s">
        <v>1413</v>
      </c>
      <c r="U197" s="481">
        <v>168600</v>
      </c>
      <c r="V197" s="481" t="s">
        <v>553</v>
      </c>
      <c r="W197" s="497">
        <v>6.91</v>
      </c>
      <c r="X197" s="498" t="s">
        <v>1620</v>
      </c>
      <c r="Y197" s="488">
        <v>5.4999999999999997E-3</v>
      </c>
      <c r="Z197" s="489" t="s">
        <v>1620</v>
      </c>
      <c r="AA197" s="396">
        <v>0.628</v>
      </c>
      <c r="AB197" s="397" t="s">
        <v>553</v>
      </c>
      <c r="AC197" s="369"/>
    </row>
    <row r="198" spans="1:29" ht="20.100000000000001" customHeight="1">
      <c r="A198" s="390" t="s">
        <v>1068</v>
      </c>
      <c r="B198" s="391" t="s">
        <v>812</v>
      </c>
      <c r="C198" s="400">
        <f>COUNTIF('Chem Props'!$B$6:$B$851,'Parameters Summary'!A198)</f>
        <v>1</v>
      </c>
      <c r="D198" s="400">
        <f>COUNTIF('Tox Summary'!$N$3:$N$792, 'Parameters Summary'!A198)</f>
        <v>1</v>
      </c>
      <c r="E198" s="434">
        <v>142.97</v>
      </c>
      <c r="F198" s="435" t="s">
        <v>1620</v>
      </c>
      <c r="G198" s="436">
        <v>2.3140000000000002E-6</v>
      </c>
      <c r="H198" s="436">
        <v>5.6599999999999997E-8</v>
      </c>
      <c r="I198" s="437" t="s">
        <v>553</v>
      </c>
      <c r="J198" s="436">
        <v>0.151</v>
      </c>
      <c r="K198" s="437" t="s">
        <v>553</v>
      </c>
      <c r="L198" s="453">
        <v>-5</v>
      </c>
      <c r="M198" s="454" t="s">
        <v>1620</v>
      </c>
      <c r="N198" s="455">
        <v>1.389</v>
      </c>
      <c r="O198" s="456" t="s">
        <v>1618</v>
      </c>
      <c r="P198" s="471">
        <v>6.0081299999999997E-2</v>
      </c>
      <c r="Q198" s="471">
        <v>9.4134000000000004E-6</v>
      </c>
      <c r="R198" s="472" t="s">
        <v>2435</v>
      </c>
      <c r="S198" s="473" t="s">
        <v>1531</v>
      </c>
      <c r="T198" s="474" t="s">
        <v>1413</v>
      </c>
      <c r="U198" s="484">
        <v>3.2309999999999999</v>
      </c>
      <c r="V198" s="484" t="s">
        <v>553</v>
      </c>
      <c r="W198" s="495">
        <v>0.78</v>
      </c>
      <c r="X198" s="496" t="s">
        <v>1620</v>
      </c>
      <c r="Y198" s="486">
        <v>502000</v>
      </c>
      <c r="Z198" s="487" t="s">
        <v>1620</v>
      </c>
      <c r="AA198" s="394">
        <v>8.1499999999999997E-4</v>
      </c>
      <c r="AB198" s="395" t="s">
        <v>553</v>
      </c>
      <c r="AC198" s="369"/>
    </row>
    <row r="199" spans="1:29" ht="20.100000000000001" customHeight="1">
      <c r="A199" s="390" t="s">
        <v>2307</v>
      </c>
      <c r="B199" s="391" t="s">
        <v>631</v>
      </c>
      <c r="C199" s="400">
        <f>COUNTIF('Chem Props'!$B$6:$B$851,'Parameters Summary'!A199)</f>
        <v>1</v>
      </c>
      <c r="D199" s="400">
        <f>COUNTIF('Tox Summary'!$N$3:$N$792, 'Parameters Summary'!A199)</f>
        <v>1</v>
      </c>
      <c r="E199" s="434">
        <v>160.16999999999999</v>
      </c>
      <c r="F199" s="435" t="s">
        <v>1620</v>
      </c>
      <c r="G199" s="436">
        <v>1.7293999999999999E-8</v>
      </c>
      <c r="H199" s="436">
        <v>4.2299999999999999E-10</v>
      </c>
      <c r="I199" s="437" t="s">
        <v>553</v>
      </c>
      <c r="J199" s="436">
        <v>2.0000000000000001E-4</v>
      </c>
      <c r="K199" s="437" t="s">
        <v>1620</v>
      </c>
      <c r="L199" s="453">
        <v>154.5</v>
      </c>
      <c r="M199" s="454" t="s">
        <v>1620</v>
      </c>
      <c r="N199" s="461" t="s">
        <v>1531</v>
      </c>
      <c r="O199" s="462" t="s">
        <v>1413</v>
      </c>
      <c r="P199" s="471">
        <v>6.4421800000000001E-2</v>
      </c>
      <c r="Q199" s="471">
        <v>7.5271999999999997E-6</v>
      </c>
      <c r="R199" s="472" t="s">
        <v>2435</v>
      </c>
      <c r="S199" s="473" t="s">
        <v>1531</v>
      </c>
      <c r="T199" s="474" t="s">
        <v>1413</v>
      </c>
      <c r="U199" s="484">
        <v>10</v>
      </c>
      <c r="V199" s="484" t="s">
        <v>553</v>
      </c>
      <c r="W199" s="495">
        <v>-1.5</v>
      </c>
      <c r="X199" s="496" t="s">
        <v>1620</v>
      </c>
      <c r="Y199" s="486">
        <v>100000</v>
      </c>
      <c r="Z199" s="487" t="s">
        <v>1620</v>
      </c>
      <c r="AA199" s="394">
        <v>1.9899999999999999E-5</v>
      </c>
      <c r="AB199" s="395" t="s">
        <v>553</v>
      </c>
      <c r="AC199" s="369"/>
    </row>
    <row r="200" spans="1:29" ht="20.100000000000001" customHeight="1" thickBot="1">
      <c r="A200" s="392" t="s">
        <v>527</v>
      </c>
      <c r="B200" s="393" t="s">
        <v>813</v>
      </c>
      <c r="C200" s="400">
        <f>COUNTIF('Chem Props'!$B$6:$B$851,'Parameters Summary'!A200)</f>
        <v>1</v>
      </c>
      <c r="D200" s="400">
        <f>COUNTIF('Tox Summary'!$N$3:$N$792, 'Parameters Summary'!A200)</f>
        <v>1</v>
      </c>
      <c r="E200" s="438">
        <v>959.17</v>
      </c>
      <c r="F200" s="439" t="s">
        <v>1620</v>
      </c>
      <c r="G200" s="440">
        <v>4.8650999999999998E-7</v>
      </c>
      <c r="H200" s="440">
        <v>1.1900000000000001E-8</v>
      </c>
      <c r="I200" s="441" t="s">
        <v>1620</v>
      </c>
      <c r="J200" s="440">
        <v>4.6700000000000001E-12</v>
      </c>
      <c r="K200" s="441" t="s">
        <v>1620</v>
      </c>
      <c r="L200" s="457">
        <v>305</v>
      </c>
      <c r="M200" s="458" t="s">
        <v>1620</v>
      </c>
      <c r="N200" s="459">
        <v>3</v>
      </c>
      <c r="O200" s="460" t="s">
        <v>2437</v>
      </c>
      <c r="P200" s="475">
        <v>1.8924099999999999E-2</v>
      </c>
      <c r="Q200" s="475">
        <v>4.7688E-6</v>
      </c>
      <c r="R200" s="476" t="s">
        <v>2435</v>
      </c>
      <c r="S200" s="477" t="s">
        <v>1531</v>
      </c>
      <c r="T200" s="478" t="s">
        <v>1413</v>
      </c>
      <c r="U200" s="481">
        <v>276200</v>
      </c>
      <c r="V200" s="481" t="s">
        <v>553</v>
      </c>
      <c r="W200" s="497">
        <v>12.11</v>
      </c>
      <c r="X200" s="498" t="s">
        <v>1620</v>
      </c>
      <c r="Y200" s="488">
        <v>1E-4</v>
      </c>
      <c r="Z200" s="489" t="s">
        <v>1620</v>
      </c>
      <c r="AA200" s="396">
        <v>0.72499999999999998</v>
      </c>
      <c r="AB200" s="397" t="s">
        <v>553</v>
      </c>
      <c r="AC200" s="369"/>
    </row>
    <row r="201" spans="1:29" ht="20.100000000000001" customHeight="1">
      <c r="A201" s="390" t="s">
        <v>1070</v>
      </c>
      <c r="B201" s="391" t="s">
        <v>814</v>
      </c>
      <c r="C201" s="400">
        <f>COUNTIF('Chem Props'!$B$6:$B$851,'Parameters Summary'!A201)</f>
        <v>1</v>
      </c>
      <c r="D201" s="400">
        <f>COUNTIF('Tox Summary'!$N$3:$N$792, 'Parameters Summary'!A201)</f>
        <v>1</v>
      </c>
      <c r="E201" s="434">
        <v>516.67999999999995</v>
      </c>
      <c r="F201" s="435" t="s">
        <v>1620</v>
      </c>
      <c r="G201" s="436">
        <v>1.562E-4</v>
      </c>
      <c r="H201" s="436">
        <v>3.8199999999999998E-6</v>
      </c>
      <c r="I201" s="437" t="s">
        <v>1620</v>
      </c>
      <c r="J201" s="436">
        <v>3.4000000000000002E-4</v>
      </c>
      <c r="K201" s="437" t="s">
        <v>1620</v>
      </c>
      <c r="L201" s="465" t="s">
        <v>1531</v>
      </c>
      <c r="M201" s="466" t="s">
        <v>1413</v>
      </c>
      <c r="N201" s="455">
        <v>1.1200000000000001</v>
      </c>
      <c r="O201" s="456" t="s">
        <v>2199</v>
      </c>
      <c r="P201" s="471">
        <v>1.5964200000000001E-2</v>
      </c>
      <c r="Q201" s="471">
        <v>3.8271000000000002E-6</v>
      </c>
      <c r="R201" s="472" t="s">
        <v>2435</v>
      </c>
      <c r="S201" s="473" t="s">
        <v>1531</v>
      </c>
      <c r="T201" s="474" t="s">
        <v>1413</v>
      </c>
      <c r="U201" s="473" t="s">
        <v>1531</v>
      </c>
      <c r="V201" s="474" t="s">
        <v>1413</v>
      </c>
      <c r="W201" s="495">
        <v>3.21</v>
      </c>
      <c r="X201" s="496" t="s">
        <v>1620</v>
      </c>
      <c r="Y201" s="486">
        <v>666</v>
      </c>
      <c r="Z201" s="487" t="s">
        <v>1620</v>
      </c>
      <c r="AA201" s="394">
        <v>7.5598000000000002E-3</v>
      </c>
      <c r="AB201" s="395" t="s">
        <v>1668</v>
      </c>
      <c r="AC201" s="369"/>
    </row>
    <row r="202" spans="1:29" ht="20.100000000000001" customHeight="1">
      <c r="A202" s="390" t="s">
        <v>1071</v>
      </c>
      <c r="B202" s="391" t="s">
        <v>815</v>
      </c>
      <c r="C202" s="400">
        <f>COUNTIF('Chem Props'!$B$6:$B$851,'Parameters Summary'!A202)</f>
        <v>1</v>
      </c>
      <c r="D202" s="400">
        <f>COUNTIF('Tox Summary'!$N$3:$N$792, 'Parameters Summary'!A202)</f>
        <v>1</v>
      </c>
      <c r="E202" s="434">
        <v>370.58</v>
      </c>
      <c r="F202" s="435" t="s">
        <v>1620</v>
      </c>
      <c r="G202" s="436">
        <v>1.77E-5</v>
      </c>
      <c r="H202" s="436">
        <v>4.34E-7</v>
      </c>
      <c r="I202" s="437" t="s">
        <v>1620</v>
      </c>
      <c r="J202" s="436">
        <v>8.5000000000000001E-7</v>
      </c>
      <c r="K202" s="437" t="s">
        <v>1620</v>
      </c>
      <c r="L202" s="453">
        <v>-67.8</v>
      </c>
      <c r="M202" s="454" t="s">
        <v>1620</v>
      </c>
      <c r="N202" s="455">
        <v>0.92200000000000004</v>
      </c>
      <c r="O202" s="456" t="s">
        <v>1618</v>
      </c>
      <c r="P202" s="471">
        <v>1.7290799999999999E-2</v>
      </c>
      <c r="Q202" s="471">
        <v>4.1570000000000002E-6</v>
      </c>
      <c r="R202" s="472" t="s">
        <v>2435</v>
      </c>
      <c r="S202" s="473" t="s">
        <v>1531</v>
      </c>
      <c r="T202" s="474" t="s">
        <v>1413</v>
      </c>
      <c r="U202" s="484">
        <v>36000</v>
      </c>
      <c r="V202" s="484" t="s">
        <v>553</v>
      </c>
      <c r="W202" s="495">
        <v>6.11</v>
      </c>
      <c r="X202" s="496" t="s">
        <v>1620</v>
      </c>
      <c r="Y202" s="486">
        <v>0.78</v>
      </c>
      <c r="Z202" s="487" t="s">
        <v>1620</v>
      </c>
      <c r="AA202" s="394">
        <v>3.23</v>
      </c>
      <c r="AB202" s="395" t="s">
        <v>553</v>
      </c>
      <c r="AC202" s="369"/>
    </row>
    <row r="203" spans="1:29" ht="20.100000000000001" customHeight="1" thickBot="1">
      <c r="A203" s="392" t="s">
        <v>1072</v>
      </c>
      <c r="B203" s="393" t="s">
        <v>816</v>
      </c>
      <c r="C203" s="400">
        <f>COUNTIF('Chem Props'!$B$6:$B$851,'Parameters Summary'!A203)</f>
        <v>1</v>
      </c>
      <c r="D203" s="400">
        <f>COUNTIF('Tox Summary'!$N$3:$N$792, 'Parameters Summary'!A203)</f>
        <v>1</v>
      </c>
      <c r="E203" s="438">
        <v>270.22000000000003</v>
      </c>
      <c r="F203" s="439" t="s">
        <v>1620</v>
      </c>
      <c r="G203" s="440">
        <v>1.5540000000000001E-4</v>
      </c>
      <c r="H203" s="440">
        <v>3.8E-6</v>
      </c>
      <c r="I203" s="441" t="s">
        <v>553</v>
      </c>
      <c r="J203" s="440">
        <v>1.4999999999999999E-4</v>
      </c>
      <c r="K203" s="441" t="s">
        <v>1620</v>
      </c>
      <c r="L203" s="457">
        <v>25</v>
      </c>
      <c r="M203" s="458" t="s">
        <v>1620</v>
      </c>
      <c r="N203" s="463" t="s">
        <v>1531</v>
      </c>
      <c r="O203" s="464" t="s">
        <v>1413</v>
      </c>
      <c r="P203" s="475">
        <v>4.54578E-2</v>
      </c>
      <c r="Q203" s="475">
        <v>5.3113999999999997E-6</v>
      </c>
      <c r="R203" s="476" t="s">
        <v>2435</v>
      </c>
      <c r="S203" s="477" t="s">
        <v>1531</v>
      </c>
      <c r="T203" s="478" t="s">
        <v>1413</v>
      </c>
      <c r="U203" s="481">
        <v>644.29999999999995</v>
      </c>
      <c r="V203" s="481" t="s">
        <v>553</v>
      </c>
      <c r="W203" s="497">
        <v>4.49</v>
      </c>
      <c r="X203" s="498" t="s">
        <v>1620</v>
      </c>
      <c r="Y203" s="488">
        <v>14</v>
      </c>
      <c r="Z203" s="489" t="s">
        <v>1620</v>
      </c>
      <c r="AA203" s="396">
        <v>4.5999999999999999E-2</v>
      </c>
      <c r="AB203" s="397" t="s">
        <v>553</v>
      </c>
      <c r="AC203" s="369"/>
    </row>
    <row r="204" spans="1:29" ht="20.100000000000001" customHeight="1">
      <c r="A204" s="390" t="s">
        <v>1073</v>
      </c>
      <c r="B204" s="391" t="s">
        <v>817</v>
      </c>
      <c r="C204" s="400">
        <f>COUNTIF('Chem Props'!$B$6:$B$851,'Parameters Summary'!A204)</f>
        <v>1</v>
      </c>
      <c r="D204" s="400">
        <f>COUNTIF('Tox Summary'!$N$3:$N$792, 'Parameters Summary'!A204)</f>
        <v>1</v>
      </c>
      <c r="E204" s="434">
        <v>304.35000000000002</v>
      </c>
      <c r="F204" s="435" t="s">
        <v>1620</v>
      </c>
      <c r="G204" s="436">
        <v>4.6198000000000002E-6</v>
      </c>
      <c r="H204" s="436">
        <v>1.1300000000000001E-7</v>
      </c>
      <c r="I204" s="437" t="s">
        <v>1620</v>
      </c>
      <c r="J204" s="436">
        <v>9.0099999999999995E-5</v>
      </c>
      <c r="K204" s="437" t="s">
        <v>1620</v>
      </c>
      <c r="L204" s="453">
        <v>87.58</v>
      </c>
      <c r="M204" s="454" t="s">
        <v>553</v>
      </c>
      <c r="N204" s="455">
        <v>1.1088</v>
      </c>
      <c r="O204" s="456" t="s">
        <v>1618</v>
      </c>
      <c r="P204" s="471">
        <v>2.1026400000000001E-2</v>
      </c>
      <c r="Q204" s="471">
        <v>5.2259000000000002E-6</v>
      </c>
      <c r="R204" s="472" t="s">
        <v>2435</v>
      </c>
      <c r="S204" s="473" t="s">
        <v>1531</v>
      </c>
      <c r="T204" s="474" t="s">
        <v>1413</v>
      </c>
      <c r="U204" s="484">
        <v>3034</v>
      </c>
      <c r="V204" s="484" t="s">
        <v>553</v>
      </c>
      <c r="W204" s="495">
        <v>3.81</v>
      </c>
      <c r="X204" s="496" t="s">
        <v>1620</v>
      </c>
      <c r="Y204" s="486">
        <v>40</v>
      </c>
      <c r="Z204" s="487" t="s">
        <v>1620</v>
      </c>
      <c r="AA204" s="394">
        <v>1.04E-2</v>
      </c>
      <c r="AB204" s="395" t="s">
        <v>553</v>
      </c>
      <c r="AC204" s="369"/>
    </row>
    <row r="205" spans="1:29" ht="20.100000000000001" customHeight="1">
      <c r="A205" s="390" t="s">
        <v>2044</v>
      </c>
      <c r="B205" s="391" t="s">
        <v>2045</v>
      </c>
      <c r="C205" s="400">
        <f>COUNTIF('Chem Props'!$B$6:$B$851,'Parameters Summary'!A205)</f>
        <v>1</v>
      </c>
      <c r="D205" s="400">
        <f>COUNTIF('Tox Summary'!$N$3:$N$792, 'Parameters Summary'!A205)</f>
        <v>1</v>
      </c>
      <c r="E205" s="434">
        <v>184.26</v>
      </c>
      <c r="F205" s="435" t="s">
        <v>1620</v>
      </c>
      <c r="G205" s="436">
        <v>1.3818000000000001E-3</v>
      </c>
      <c r="H205" s="436">
        <v>3.3800000000000002E-5</v>
      </c>
      <c r="I205" s="437" t="s">
        <v>553</v>
      </c>
      <c r="J205" s="436">
        <v>2.05E-4</v>
      </c>
      <c r="K205" s="437" t="s">
        <v>553</v>
      </c>
      <c r="L205" s="453">
        <v>97</v>
      </c>
      <c r="M205" s="454" t="s">
        <v>1620</v>
      </c>
      <c r="N205" s="455">
        <v>1.252</v>
      </c>
      <c r="O205" s="456" t="s">
        <v>2205</v>
      </c>
      <c r="P205" s="471">
        <v>3.5547500000000003E-2</v>
      </c>
      <c r="Q205" s="471">
        <v>7.5958000000000002E-6</v>
      </c>
      <c r="R205" s="472" t="s">
        <v>2435</v>
      </c>
      <c r="S205" s="473" t="s">
        <v>1531</v>
      </c>
      <c r="T205" s="474" t="s">
        <v>1413</v>
      </c>
      <c r="U205" s="484">
        <v>9161</v>
      </c>
      <c r="V205" s="484" t="s">
        <v>553</v>
      </c>
      <c r="W205" s="495">
        <v>4.38</v>
      </c>
      <c r="X205" s="496" t="s">
        <v>1620</v>
      </c>
      <c r="Y205" s="486">
        <v>1.47</v>
      </c>
      <c r="Z205" s="487" t="s">
        <v>1620</v>
      </c>
      <c r="AA205" s="394">
        <v>0.11799999999999999</v>
      </c>
      <c r="AB205" s="395" t="s">
        <v>553</v>
      </c>
      <c r="AC205" s="369"/>
    </row>
    <row r="206" spans="1:29" ht="20.100000000000001" customHeight="1" thickBot="1">
      <c r="A206" s="392" t="s">
        <v>1074</v>
      </c>
      <c r="B206" s="393" t="s">
        <v>818</v>
      </c>
      <c r="C206" s="400">
        <f>COUNTIF('Chem Props'!$B$6:$B$851,'Parameters Summary'!A206)</f>
        <v>1</v>
      </c>
      <c r="D206" s="400">
        <f>COUNTIF('Tox Summary'!$N$3:$N$792, 'Parameters Summary'!A206)</f>
        <v>1</v>
      </c>
      <c r="E206" s="438">
        <v>236.33</v>
      </c>
      <c r="F206" s="439" t="s">
        <v>1620</v>
      </c>
      <c r="G206" s="440">
        <v>6.0098E-3</v>
      </c>
      <c r="H206" s="440">
        <v>1.47E-4</v>
      </c>
      <c r="I206" s="441" t="s">
        <v>553</v>
      </c>
      <c r="J206" s="440">
        <v>0.57999999999999996</v>
      </c>
      <c r="K206" s="441" t="s">
        <v>1620</v>
      </c>
      <c r="L206" s="457">
        <v>6</v>
      </c>
      <c r="M206" s="458" t="s">
        <v>1620</v>
      </c>
      <c r="N206" s="459">
        <v>2.093</v>
      </c>
      <c r="O206" s="460" t="s">
        <v>1618</v>
      </c>
      <c r="P206" s="475">
        <v>3.21351E-2</v>
      </c>
      <c r="Q206" s="475">
        <v>8.9047999999999999E-6</v>
      </c>
      <c r="R206" s="476" t="s">
        <v>2435</v>
      </c>
      <c r="S206" s="477" t="s">
        <v>1531</v>
      </c>
      <c r="T206" s="478" t="s">
        <v>1413</v>
      </c>
      <c r="U206" s="481">
        <v>115.8</v>
      </c>
      <c r="V206" s="481" t="s">
        <v>553</v>
      </c>
      <c r="W206" s="497">
        <v>2.96</v>
      </c>
      <c r="X206" s="498" t="s">
        <v>1620</v>
      </c>
      <c r="Y206" s="488">
        <v>1230</v>
      </c>
      <c r="Z206" s="489" t="s">
        <v>1620</v>
      </c>
      <c r="AA206" s="396">
        <v>6.8500000000000002E-3</v>
      </c>
      <c r="AB206" s="397" t="s">
        <v>553</v>
      </c>
      <c r="AC206" s="369"/>
    </row>
    <row r="207" spans="1:29" ht="20.100000000000001" customHeight="1">
      <c r="A207" s="390" t="s">
        <v>2114</v>
      </c>
      <c r="B207" s="391" t="s">
        <v>2115</v>
      </c>
      <c r="C207" s="400">
        <f>COUNTIF('Chem Props'!$B$6:$B$851,'Parameters Summary'!A207)</f>
        <v>1</v>
      </c>
      <c r="D207" s="400">
        <f>COUNTIF('Tox Summary'!$N$3:$N$792, 'Parameters Summary'!A207)</f>
        <v>1</v>
      </c>
      <c r="E207" s="434">
        <v>235.91</v>
      </c>
      <c r="F207" s="435" t="s">
        <v>1620</v>
      </c>
      <c r="G207" s="436">
        <v>5.0700000000000002E-2</v>
      </c>
      <c r="H207" s="436">
        <v>1.24E-3</v>
      </c>
      <c r="I207" s="437" t="s">
        <v>553</v>
      </c>
      <c r="J207" s="436">
        <v>0.26860000000000001</v>
      </c>
      <c r="K207" s="437" t="s">
        <v>1620</v>
      </c>
      <c r="L207" s="453">
        <v>-7</v>
      </c>
      <c r="M207" s="454" t="s">
        <v>1620</v>
      </c>
      <c r="N207" s="455">
        <v>1.9523200000000001</v>
      </c>
      <c r="O207" s="456" t="s">
        <v>1618</v>
      </c>
      <c r="P207" s="471">
        <v>3.1185399999999999E-2</v>
      </c>
      <c r="Q207" s="471">
        <v>8.5498000000000007E-6</v>
      </c>
      <c r="R207" s="472" t="s">
        <v>2435</v>
      </c>
      <c r="S207" s="473" t="s">
        <v>1531</v>
      </c>
      <c r="T207" s="474" t="s">
        <v>1413</v>
      </c>
      <c r="U207" s="484">
        <v>375.3</v>
      </c>
      <c r="V207" s="484" t="s">
        <v>553</v>
      </c>
      <c r="W207" s="495">
        <v>3.75</v>
      </c>
      <c r="X207" s="496" t="s">
        <v>1620</v>
      </c>
      <c r="Y207" s="486">
        <v>67.5</v>
      </c>
      <c r="Z207" s="487" t="s">
        <v>1620</v>
      </c>
      <c r="AA207" s="394">
        <v>2.3099999999999999E-2</v>
      </c>
      <c r="AB207" s="395" t="s">
        <v>553</v>
      </c>
      <c r="AC207" s="369"/>
    </row>
    <row r="208" spans="1:29" ht="20.100000000000001" customHeight="1">
      <c r="A208" s="390" t="s">
        <v>1075</v>
      </c>
      <c r="B208" s="391" t="s">
        <v>819</v>
      </c>
      <c r="C208" s="400">
        <f>COUNTIF('Chem Props'!$B$6:$B$851,'Parameters Summary'!A208)</f>
        <v>1</v>
      </c>
      <c r="D208" s="400">
        <f>COUNTIF('Tox Summary'!$N$3:$N$792, 'Parameters Summary'!A208)</f>
        <v>1</v>
      </c>
      <c r="E208" s="434">
        <v>235.91</v>
      </c>
      <c r="F208" s="435" t="s">
        <v>1620</v>
      </c>
      <c r="G208" s="436">
        <v>3.6508600000000002E-2</v>
      </c>
      <c r="H208" s="436">
        <v>8.9300000000000002E-4</v>
      </c>
      <c r="I208" s="437" t="s">
        <v>553</v>
      </c>
      <c r="J208" s="436">
        <v>5.7500000000000002E-2</v>
      </c>
      <c r="K208" s="437" t="s">
        <v>1620</v>
      </c>
      <c r="L208" s="453">
        <v>87.3</v>
      </c>
      <c r="M208" s="454" t="s">
        <v>1620</v>
      </c>
      <c r="N208" s="455">
        <v>2.2610000000000001</v>
      </c>
      <c r="O208" s="456" t="s">
        <v>1618</v>
      </c>
      <c r="P208" s="471">
        <v>3.32755E-2</v>
      </c>
      <c r="Q208" s="471">
        <v>9.3369000000000003E-6</v>
      </c>
      <c r="R208" s="472" t="s">
        <v>2435</v>
      </c>
      <c r="S208" s="473" t="s">
        <v>1531</v>
      </c>
      <c r="T208" s="474" t="s">
        <v>1413</v>
      </c>
      <c r="U208" s="484">
        <v>375.3</v>
      </c>
      <c r="V208" s="484" t="s">
        <v>553</v>
      </c>
      <c r="W208" s="495">
        <v>3.79</v>
      </c>
      <c r="X208" s="496" t="s">
        <v>1620</v>
      </c>
      <c r="Y208" s="486">
        <v>20</v>
      </c>
      <c r="Z208" s="487" t="s">
        <v>1620</v>
      </c>
      <c r="AA208" s="394">
        <v>2.4500000000000001E-2</v>
      </c>
      <c r="AB208" s="395" t="s">
        <v>553</v>
      </c>
      <c r="AC208" s="370"/>
    </row>
    <row r="209" spans="1:29" ht="20.100000000000001" customHeight="1" thickBot="1">
      <c r="A209" s="392" t="s">
        <v>1076</v>
      </c>
      <c r="B209" s="393" t="s">
        <v>820</v>
      </c>
      <c r="C209" s="400">
        <f>COUNTIF('Chem Props'!$B$6:$B$851,'Parameters Summary'!A209)</f>
        <v>1</v>
      </c>
      <c r="D209" s="400">
        <f>COUNTIF('Tox Summary'!$N$3:$N$792, 'Parameters Summary'!A209)</f>
        <v>1</v>
      </c>
      <c r="E209" s="438">
        <v>208.28</v>
      </c>
      <c r="F209" s="439" t="s">
        <v>1620</v>
      </c>
      <c r="G209" s="440">
        <v>3.2011400000000002E-2</v>
      </c>
      <c r="H209" s="440">
        <v>7.8299999999999995E-4</v>
      </c>
      <c r="I209" s="441" t="s">
        <v>1620</v>
      </c>
      <c r="J209" s="440">
        <v>5.54</v>
      </c>
      <c r="K209" s="441" t="s">
        <v>1620</v>
      </c>
      <c r="L209" s="457">
        <v>-20</v>
      </c>
      <c r="M209" s="458" t="s">
        <v>1620</v>
      </c>
      <c r="N209" s="459">
        <v>2.4510000000000001</v>
      </c>
      <c r="O209" s="460" t="s">
        <v>1618</v>
      </c>
      <c r="P209" s="475">
        <v>3.6635599999999997E-2</v>
      </c>
      <c r="Q209" s="475">
        <v>1.06E-5</v>
      </c>
      <c r="R209" s="476" t="s">
        <v>2435</v>
      </c>
      <c r="S209" s="477" t="s">
        <v>1531</v>
      </c>
      <c r="T209" s="478" t="s">
        <v>1413</v>
      </c>
      <c r="U209" s="481">
        <v>31.82</v>
      </c>
      <c r="V209" s="481" t="s">
        <v>553</v>
      </c>
      <c r="W209" s="497">
        <v>2.16</v>
      </c>
      <c r="X209" s="498" t="s">
        <v>1620</v>
      </c>
      <c r="Y209" s="488">
        <v>2700</v>
      </c>
      <c r="Z209" s="489" t="s">
        <v>1620</v>
      </c>
      <c r="AA209" s="396">
        <v>2.8900000000000002E-3</v>
      </c>
      <c r="AB209" s="397" t="s">
        <v>553</v>
      </c>
      <c r="AC209" s="369"/>
    </row>
    <row r="210" spans="1:29" ht="20.100000000000001" customHeight="1">
      <c r="A210" s="390" t="s">
        <v>1077</v>
      </c>
      <c r="B210" s="391" t="s">
        <v>821</v>
      </c>
      <c r="C210" s="400">
        <f>COUNTIF('Chem Props'!$B$6:$B$851,'Parameters Summary'!A210)</f>
        <v>1</v>
      </c>
      <c r="D210" s="400">
        <f>COUNTIF('Tox Summary'!$N$3:$N$792, 'Parameters Summary'!A210)</f>
        <v>1</v>
      </c>
      <c r="E210" s="434">
        <v>187.86</v>
      </c>
      <c r="F210" s="435" t="s">
        <v>1620</v>
      </c>
      <c r="G210" s="436">
        <v>2.6574E-2</v>
      </c>
      <c r="H210" s="436">
        <v>6.4999999999999997E-4</v>
      </c>
      <c r="I210" s="437" t="s">
        <v>1620</v>
      </c>
      <c r="J210" s="436">
        <v>11.2</v>
      </c>
      <c r="K210" s="437" t="s">
        <v>1620</v>
      </c>
      <c r="L210" s="453">
        <v>9.9</v>
      </c>
      <c r="M210" s="454" t="s">
        <v>1620</v>
      </c>
      <c r="N210" s="455">
        <v>2.1682999999999999</v>
      </c>
      <c r="O210" s="456" t="s">
        <v>1618</v>
      </c>
      <c r="P210" s="471">
        <v>4.3034799999999998E-2</v>
      </c>
      <c r="Q210" s="471">
        <v>1.04E-5</v>
      </c>
      <c r="R210" s="472" t="s">
        <v>2435</v>
      </c>
      <c r="S210" s="473" t="s">
        <v>1531</v>
      </c>
      <c r="T210" s="474" t="s">
        <v>1413</v>
      </c>
      <c r="U210" s="484">
        <v>39.6</v>
      </c>
      <c r="V210" s="484" t="s">
        <v>553</v>
      </c>
      <c r="W210" s="495">
        <v>1.96</v>
      </c>
      <c r="X210" s="496" t="s">
        <v>1620</v>
      </c>
      <c r="Y210" s="486">
        <v>3910</v>
      </c>
      <c r="Z210" s="487" t="s">
        <v>1620</v>
      </c>
      <c r="AA210" s="394">
        <v>2.7799999999999999E-3</v>
      </c>
      <c r="AB210" s="395" t="s">
        <v>553</v>
      </c>
      <c r="AC210" s="369"/>
    </row>
    <row r="211" spans="1:29" ht="20.100000000000001" customHeight="1">
      <c r="A211" s="390" t="s">
        <v>1078</v>
      </c>
      <c r="B211" s="391" t="s">
        <v>822</v>
      </c>
      <c r="C211" s="400">
        <f>COUNTIF('Chem Props'!$B$6:$B$851,'Parameters Summary'!A211)</f>
        <v>1</v>
      </c>
      <c r="D211" s="400">
        <f>COUNTIF('Tox Summary'!$N$3:$N$792, 'Parameters Summary'!A211)</f>
        <v>1</v>
      </c>
      <c r="E211" s="434">
        <v>173.84</v>
      </c>
      <c r="F211" s="435" t="s">
        <v>1620</v>
      </c>
      <c r="G211" s="436">
        <v>3.3605900000000001E-2</v>
      </c>
      <c r="H211" s="436">
        <v>8.2200000000000003E-4</v>
      </c>
      <c r="I211" s="437" t="s">
        <v>1620</v>
      </c>
      <c r="J211" s="436">
        <v>44.4</v>
      </c>
      <c r="K211" s="437" t="s">
        <v>1620</v>
      </c>
      <c r="L211" s="453">
        <v>-52.5</v>
      </c>
      <c r="M211" s="454" t="s">
        <v>1620</v>
      </c>
      <c r="N211" s="455">
        <v>2.4969000000000001</v>
      </c>
      <c r="O211" s="456" t="s">
        <v>1618</v>
      </c>
      <c r="P211" s="471">
        <v>5.51373E-2</v>
      </c>
      <c r="Q211" s="471">
        <v>1.19E-5</v>
      </c>
      <c r="R211" s="472" t="s">
        <v>2435</v>
      </c>
      <c r="S211" s="473" t="s">
        <v>1531</v>
      </c>
      <c r="T211" s="474" t="s">
        <v>1413</v>
      </c>
      <c r="U211" s="484">
        <v>21.73</v>
      </c>
      <c r="V211" s="484" t="s">
        <v>553</v>
      </c>
      <c r="W211" s="495">
        <v>1.7</v>
      </c>
      <c r="X211" s="496" t="s">
        <v>1620</v>
      </c>
      <c r="Y211" s="486">
        <v>11900</v>
      </c>
      <c r="Z211" s="487" t="s">
        <v>1620</v>
      </c>
      <c r="AA211" s="394">
        <v>2.2300000000000002E-3</v>
      </c>
      <c r="AB211" s="395" t="s">
        <v>553</v>
      </c>
      <c r="AC211" s="369"/>
    </row>
    <row r="212" spans="1:29" ht="20.100000000000001" customHeight="1" thickBot="1">
      <c r="A212" s="392" t="s">
        <v>1096</v>
      </c>
      <c r="B212" s="96" t="s">
        <v>2169</v>
      </c>
      <c r="C212" s="400">
        <f>COUNTIF('Chem Props'!$B$6:$B$851,'Parameters Summary'!A238)</f>
        <v>1</v>
      </c>
      <c r="D212" s="400">
        <f>COUNTIF('Tox Summary'!$N$3:$N$792, 'Parameters Summary'!A238)</f>
        <v>1</v>
      </c>
      <c r="E212" s="448" t="s">
        <v>1531</v>
      </c>
      <c r="F212" s="449" t="s">
        <v>1413</v>
      </c>
      <c r="G212" s="442" t="s">
        <v>1531</v>
      </c>
      <c r="H212" s="442" t="s">
        <v>1531</v>
      </c>
      <c r="I212" s="443" t="s">
        <v>1413</v>
      </c>
      <c r="J212" s="442" t="s">
        <v>1531</v>
      </c>
      <c r="K212" s="443" t="s">
        <v>1413</v>
      </c>
      <c r="L212" s="467" t="s">
        <v>1531</v>
      </c>
      <c r="M212" s="468" t="s">
        <v>1413</v>
      </c>
      <c r="N212" s="463" t="s">
        <v>1531</v>
      </c>
      <c r="O212" s="464" t="s">
        <v>1413</v>
      </c>
      <c r="P212" s="479" t="s">
        <v>1531</v>
      </c>
      <c r="Q212" s="479" t="s">
        <v>1531</v>
      </c>
      <c r="R212" s="480" t="s">
        <v>1413</v>
      </c>
      <c r="S212" s="477" t="s">
        <v>1531</v>
      </c>
      <c r="T212" s="478" t="s">
        <v>1413</v>
      </c>
      <c r="U212" s="477" t="s">
        <v>1531</v>
      </c>
      <c r="V212" s="478" t="s">
        <v>1413</v>
      </c>
      <c r="W212" s="499" t="s">
        <v>1531</v>
      </c>
      <c r="X212" s="500" t="s">
        <v>1413</v>
      </c>
      <c r="Y212" s="490" t="s">
        <v>1531</v>
      </c>
      <c r="Z212" s="491" t="s">
        <v>1413</v>
      </c>
      <c r="AA212" s="399" t="s">
        <v>1531</v>
      </c>
      <c r="AB212" s="505" t="s">
        <v>1413</v>
      </c>
      <c r="AC212" s="369"/>
    </row>
    <row r="213" spans="1:29" ht="20.100000000000001" customHeight="1">
      <c r="A213" s="390" t="s">
        <v>1080</v>
      </c>
      <c r="B213" s="391" t="s">
        <v>824</v>
      </c>
      <c r="C213" s="400">
        <f>COUNTIF('Chem Props'!$B$6:$B$851,'Parameters Summary'!A213)</f>
        <v>1</v>
      </c>
      <c r="D213" s="400">
        <f>COUNTIF('Tox Summary'!$N$3:$N$792, 'Parameters Summary'!A213)</f>
        <v>1</v>
      </c>
      <c r="E213" s="434">
        <v>221.04</v>
      </c>
      <c r="F213" s="435" t="s">
        <v>1620</v>
      </c>
      <c r="G213" s="436">
        <v>8.9124999999999999E-8</v>
      </c>
      <c r="H213" s="436">
        <v>2.1799999999999999E-9</v>
      </c>
      <c r="I213" s="437" t="s">
        <v>553</v>
      </c>
      <c r="J213" s="436">
        <v>1.2500000000000001E-5</v>
      </c>
      <c r="K213" s="437" t="s">
        <v>1620</v>
      </c>
      <c r="L213" s="453">
        <v>115</v>
      </c>
      <c r="M213" s="454" t="s">
        <v>1620</v>
      </c>
      <c r="N213" s="455">
        <v>1.57</v>
      </c>
      <c r="O213" s="456" t="s">
        <v>1618</v>
      </c>
      <c r="P213" s="471">
        <v>2.9224300000000002E-2</v>
      </c>
      <c r="Q213" s="471">
        <v>7.8005999999999995E-6</v>
      </c>
      <c r="R213" s="472" t="s">
        <v>2435</v>
      </c>
      <c r="S213" s="473" t="s">
        <v>1531</v>
      </c>
      <c r="T213" s="474" t="s">
        <v>1413</v>
      </c>
      <c r="U213" s="484">
        <v>29.01</v>
      </c>
      <c r="V213" s="484" t="s">
        <v>553</v>
      </c>
      <c r="W213" s="495">
        <v>2.21</v>
      </c>
      <c r="X213" s="496" t="s">
        <v>1620</v>
      </c>
      <c r="Y213" s="486">
        <v>8310</v>
      </c>
      <c r="Z213" s="487" t="s">
        <v>1620</v>
      </c>
      <c r="AA213" s="394">
        <v>2.65E-3</v>
      </c>
      <c r="AB213" s="395" t="s">
        <v>553</v>
      </c>
      <c r="AC213" s="369"/>
    </row>
    <row r="214" spans="1:29" ht="20.100000000000001" customHeight="1">
      <c r="A214" s="390" t="s">
        <v>1081</v>
      </c>
      <c r="B214" s="391" t="s">
        <v>825</v>
      </c>
      <c r="C214" s="400">
        <f>COUNTIF('Chem Props'!$B$6:$B$851,'Parameters Summary'!A214)</f>
        <v>1</v>
      </c>
      <c r="D214" s="400">
        <f>COUNTIF('Tox Summary'!$N$3:$N$792, 'Parameters Summary'!A214)</f>
        <v>1</v>
      </c>
      <c r="E214" s="434">
        <v>125</v>
      </c>
      <c r="F214" s="435" t="s">
        <v>1620</v>
      </c>
      <c r="G214" s="436">
        <v>0.34791499999999997</v>
      </c>
      <c r="H214" s="436">
        <v>8.5100000000000002E-3</v>
      </c>
      <c r="I214" s="437" t="s">
        <v>1620</v>
      </c>
      <c r="J214" s="436">
        <v>3</v>
      </c>
      <c r="K214" s="437" t="s">
        <v>553</v>
      </c>
      <c r="L214" s="453">
        <v>3.5</v>
      </c>
      <c r="M214" s="454" t="s">
        <v>1620</v>
      </c>
      <c r="N214" s="455">
        <v>1.1879999999999999</v>
      </c>
      <c r="O214" s="456" t="s">
        <v>1619</v>
      </c>
      <c r="P214" s="471">
        <v>6.65047E-2</v>
      </c>
      <c r="Q214" s="471">
        <v>9.2900000000000008E-6</v>
      </c>
      <c r="R214" s="472" t="s">
        <v>2435</v>
      </c>
      <c r="S214" s="473" t="s">
        <v>1531</v>
      </c>
      <c r="T214" s="474" t="s">
        <v>1413</v>
      </c>
      <c r="U214" s="484">
        <v>131.5</v>
      </c>
      <c r="V214" s="484" t="s">
        <v>553</v>
      </c>
      <c r="W214" s="495">
        <v>2.6</v>
      </c>
      <c r="X214" s="496" t="s">
        <v>1620</v>
      </c>
      <c r="Y214" s="486">
        <v>580</v>
      </c>
      <c r="Z214" s="487" t="s">
        <v>1620</v>
      </c>
      <c r="AA214" s="394">
        <v>1.66E-2</v>
      </c>
      <c r="AB214" s="395" t="s">
        <v>553</v>
      </c>
      <c r="AC214" s="369"/>
    </row>
    <row r="215" spans="1:29" ht="20.100000000000001" customHeight="1" thickBot="1">
      <c r="A215" s="392" t="s">
        <v>576</v>
      </c>
      <c r="B215" s="393" t="s">
        <v>826</v>
      </c>
      <c r="C215" s="400">
        <f>COUNTIF('Chem Props'!$B$6:$B$851,'Parameters Summary'!A215)</f>
        <v>1</v>
      </c>
      <c r="D215" s="400">
        <f>COUNTIF('Tox Summary'!$N$3:$N$792, 'Parameters Summary'!A215)</f>
        <v>1</v>
      </c>
      <c r="E215" s="438">
        <v>125</v>
      </c>
      <c r="F215" s="439" t="s">
        <v>1620</v>
      </c>
      <c r="G215" s="440">
        <v>2.7146400000000001E-2</v>
      </c>
      <c r="H215" s="440">
        <v>6.6399999999999999E-4</v>
      </c>
      <c r="I215" s="441" t="s">
        <v>553</v>
      </c>
      <c r="J215" s="440">
        <v>4.0940000000000003</v>
      </c>
      <c r="K215" s="441" t="s">
        <v>1620</v>
      </c>
      <c r="L215" s="457">
        <v>-48</v>
      </c>
      <c r="M215" s="458" t="s">
        <v>1620</v>
      </c>
      <c r="N215" s="459">
        <v>1.1879999999999999</v>
      </c>
      <c r="O215" s="460" t="s">
        <v>1618</v>
      </c>
      <c r="P215" s="475">
        <v>6.65047E-2</v>
      </c>
      <c r="Q215" s="475">
        <v>9.2900000000000008E-6</v>
      </c>
      <c r="R215" s="476" t="s">
        <v>2435</v>
      </c>
      <c r="S215" s="477" t="s">
        <v>1531</v>
      </c>
      <c r="T215" s="478" t="s">
        <v>1413</v>
      </c>
      <c r="U215" s="481">
        <v>131.5</v>
      </c>
      <c r="V215" s="481" t="s">
        <v>553</v>
      </c>
      <c r="W215" s="497">
        <v>2.6</v>
      </c>
      <c r="X215" s="498" t="s">
        <v>1620</v>
      </c>
      <c r="Y215" s="488">
        <v>580.20000000000005</v>
      </c>
      <c r="Z215" s="489" t="s">
        <v>1620</v>
      </c>
      <c r="AA215" s="396">
        <v>1.66E-2</v>
      </c>
      <c r="AB215" s="397" t="s">
        <v>553</v>
      </c>
      <c r="AC215" s="369"/>
    </row>
    <row r="216" spans="1:29" ht="20.100000000000001" customHeight="1">
      <c r="A216" s="390" t="s">
        <v>577</v>
      </c>
      <c r="B216" s="391" t="s">
        <v>827</v>
      </c>
      <c r="C216" s="400">
        <f>COUNTIF('Chem Props'!$B$6:$B$851,'Parameters Summary'!A216)</f>
        <v>1</v>
      </c>
      <c r="D216" s="400">
        <f>COUNTIF('Tox Summary'!$N$3:$N$792, 'Parameters Summary'!A216)</f>
        <v>1</v>
      </c>
      <c r="E216" s="434">
        <v>125</v>
      </c>
      <c r="F216" s="435" t="s">
        <v>1620</v>
      </c>
      <c r="G216" s="436">
        <v>2.7146400000000001E-2</v>
      </c>
      <c r="H216" s="436">
        <v>6.6399999999999999E-4</v>
      </c>
      <c r="I216" s="437" t="s">
        <v>553</v>
      </c>
      <c r="J216" s="436">
        <v>3.43</v>
      </c>
      <c r="K216" s="437" t="s">
        <v>1620</v>
      </c>
      <c r="L216" s="453">
        <v>2</v>
      </c>
      <c r="M216" s="454" t="s">
        <v>1620</v>
      </c>
      <c r="N216" s="455">
        <v>1.1830000000000001</v>
      </c>
      <c r="O216" s="456" t="s">
        <v>1618</v>
      </c>
      <c r="P216" s="471">
        <v>6.6381800000000005E-2</v>
      </c>
      <c r="Q216" s="471">
        <v>9.2665000000000001E-6</v>
      </c>
      <c r="R216" s="472" t="s">
        <v>2435</v>
      </c>
      <c r="S216" s="473" t="s">
        <v>1531</v>
      </c>
      <c r="T216" s="474" t="s">
        <v>1413</v>
      </c>
      <c r="U216" s="484">
        <v>131.5</v>
      </c>
      <c r="V216" s="484" t="s">
        <v>553</v>
      </c>
      <c r="W216" s="495">
        <v>2.6</v>
      </c>
      <c r="X216" s="496" t="s">
        <v>1620</v>
      </c>
      <c r="Y216" s="486">
        <v>850</v>
      </c>
      <c r="Z216" s="487" t="s">
        <v>1620</v>
      </c>
      <c r="AA216" s="394">
        <v>1.66E-2</v>
      </c>
      <c r="AB216" s="395" t="s">
        <v>553</v>
      </c>
      <c r="AC216" s="369"/>
    </row>
    <row r="217" spans="1:29" ht="20.100000000000001" customHeight="1">
      <c r="A217" s="390" t="s">
        <v>1082</v>
      </c>
      <c r="B217" s="391" t="s">
        <v>828</v>
      </c>
      <c r="C217" s="400">
        <f>COUNTIF('Chem Props'!$B$6:$B$851,'Parameters Summary'!A217)</f>
        <v>1</v>
      </c>
      <c r="D217" s="400">
        <f>COUNTIF('Tox Summary'!$N$3:$N$792, 'Parameters Summary'!A217)</f>
        <v>1</v>
      </c>
      <c r="E217" s="434">
        <v>128.94</v>
      </c>
      <c r="F217" s="435" t="s">
        <v>1620</v>
      </c>
      <c r="G217" s="436">
        <v>3.4260000000000001E-7</v>
      </c>
      <c r="H217" s="436">
        <v>8.3799999999999996E-9</v>
      </c>
      <c r="I217" s="437" t="s">
        <v>1620</v>
      </c>
      <c r="J217" s="436">
        <v>0.1787</v>
      </c>
      <c r="K217" s="437" t="s">
        <v>1620</v>
      </c>
      <c r="L217" s="453">
        <v>13.5</v>
      </c>
      <c r="M217" s="454" t="s">
        <v>1620</v>
      </c>
      <c r="N217" s="455">
        <v>1.5633999999999999</v>
      </c>
      <c r="O217" s="456" t="s">
        <v>1618</v>
      </c>
      <c r="P217" s="471">
        <v>7.2234300000000001E-2</v>
      </c>
      <c r="Q217" s="471">
        <v>1.08E-5</v>
      </c>
      <c r="R217" s="472" t="s">
        <v>2435</v>
      </c>
      <c r="S217" s="473" t="s">
        <v>1531</v>
      </c>
      <c r="T217" s="474" t="s">
        <v>1413</v>
      </c>
      <c r="U217" s="484">
        <v>2.2519999999999998</v>
      </c>
      <c r="V217" s="484" t="s">
        <v>553</v>
      </c>
      <c r="W217" s="495">
        <v>0.92</v>
      </c>
      <c r="X217" s="496" t="s">
        <v>1620</v>
      </c>
      <c r="Y217" s="486">
        <v>1000000</v>
      </c>
      <c r="Z217" s="487" t="s">
        <v>1620</v>
      </c>
      <c r="AA217" s="394">
        <v>1.2099999999999999E-3</v>
      </c>
      <c r="AB217" s="395" t="s">
        <v>553</v>
      </c>
      <c r="AC217" s="369"/>
    </row>
    <row r="218" spans="1:29" ht="20.100000000000001" customHeight="1" thickBot="1">
      <c r="A218" s="392" t="s">
        <v>1083</v>
      </c>
      <c r="B218" s="393" t="s">
        <v>829</v>
      </c>
      <c r="C218" s="400">
        <f>COUNTIF('Chem Props'!$B$6:$B$851,'Parameters Summary'!A218)</f>
        <v>1</v>
      </c>
      <c r="D218" s="400">
        <f>COUNTIF('Tox Summary'!$N$3:$N$792, 'Parameters Summary'!A218)</f>
        <v>1</v>
      </c>
      <c r="E218" s="438">
        <v>147</v>
      </c>
      <c r="F218" s="439" t="s">
        <v>1620</v>
      </c>
      <c r="G218" s="440">
        <v>7.8495499999999996E-2</v>
      </c>
      <c r="H218" s="440">
        <v>1.92E-3</v>
      </c>
      <c r="I218" s="441" t="s">
        <v>1620</v>
      </c>
      <c r="J218" s="440">
        <v>1.36</v>
      </c>
      <c r="K218" s="441" t="s">
        <v>1620</v>
      </c>
      <c r="L218" s="457">
        <v>-16.7</v>
      </c>
      <c r="M218" s="458" t="s">
        <v>1620</v>
      </c>
      <c r="N218" s="459">
        <v>1.3059000000000001</v>
      </c>
      <c r="O218" s="460" t="s">
        <v>1618</v>
      </c>
      <c r="P218" s="475">
        <v>5.6170299999999999E-2</v>
      </c>
      <c r="Q218" s="475">
        <v>8.9213000000000005E-6</v>
      </c>
      <c r="R218" s="476" t="s">
        <v>2435</v>
      </c>
      <c r="S218" s="477" t="s">
        <v>1531</v>
      </c>
      <c r="T218" s="478" t="s">
        <v>1413</v>
      </c>
      <c r="U218" s="481">
        <v>382.9</v>
      </c>
      <c r="V218" s="481" t="s">
        <v>553</v>
      </c>
      <c r="W218" s="497">
        <v>3.43</v>
      </c>
      <c r="X218" s="498" t="s">
        <v>1620</v>
      </c>
      <c r="Y218" s="488">
        <v>156</v>
      </c>
      <c r="Z218" s="489" t="s">
        <v>1620</v>
      </c>
      <c r="AA218" s="396">
        <v>4.4600000000000001E-2</v>
      </c>
      <c r="AB218" s="397" t="s">
        <v>553</v>
      </c>
      <c r="AC218" s="369"/>
    </row>
    <row r="219" spans="1:29" ht="20.100000000000001" customHeight="1">
      <c r="A219" s="390" t="s">
        <v>1084</v>
      </c>
      <c r="B219" s="391" t="s">
        <v>830</v>
      </c>
      <c r="C219" s="400">
        <f>COUNTIF('Chem Props'!$B$6:$B$851,'Parameters Summary'!A219)</f>
        <v>1</v>
      </c>
      <c r="D219" s="400">
        <f>COUNTIF('Tox Summary'!$N$3:$N$792, 'Parameters Summary'!A219)</f>
        <v>1</v>
      </c>
      <c r="E219" s="434">
        <v>147</v>
      </c>
      <c r="F219" s="435" t="s">
        <v>1620</v>
      </c>
      <c r="G219" s="436">
        <v>9.8528199999999996E-2</v>
      </c>
      <c r="H219" s="436">
        <v>2.4099999999999998E-3</v>
      </c>
      <c r="I219" s="437" t="s">
        <v>1620</v>
      </c>
      <c r="J219" s="436">
        <v>1.74</v>
      </c>
      <c r="K219" s="437" t="s">
        <v>1620</v>
      </c>
      <c r="L219" s="453">
        <v>52.09</v>
      </c>
      <c r="M219" s="454" t="s">
        <v>1620</v>
      </c>
      <c r="N219" s="455">
        <v>1.2475000000000001</v>
      </c>
      <c r="O219" s="456" t="s">
        <v>1618</v>
      </c>
      <c r="P219" s="471">
        <v>5.5042899999999999E-2</v>
      </c>
      <c r="Q219" s="471">
        <v>8.6796999999999992E-6</v>
      </c>
      <c r="R219" s="472" t="s">
        <v>2435</v>
      </c>
      <c r="S219" s="473" t="s">
        <v>1531</v>
      </c>
      <c r="T219" s="474" t="s">
        <v>1413</v>
      </c>
      <c r="U219" s="484">
        <v>375.3</v>
      </c>
      <c r="V219" s="484" t="s">
        <v>553</v>
      </c>
      <c r="W219" s="495">
        <v>3.44</v>
      </c>
      <c r="X219" s="496" t="s">
        <v>1620</v>
      </c>
      <c r="Y219" s="486">
        <v>81.3</v>
      </c>
      <c r="Z219" s="487" t="s">
        <v>1620</v>
      </c>
      <c r="AA219" s="394">
        <v>4.53E-2</v>
      </c>
      <c r="AB219" s="395" t="s">
        <v>553</v>
      </c>
      <c r="AC219" s="369"/>
    </row>
    <row r="220" spans="1:29" ht="20.100000000000001" customHeight="1">
      <c r="A220" s="390" t="s">
        <v>1085</v>
      </c>
      <c r="B220" s="391" t="s">
        <v>831</v>
      </c>
      <c r="C220" s="400">
        <f>COUNTIF('Chem Props'!$B$6:$B$851,'Parameters Summary'!A220)</f>
        <v>1</v>
      </c>
      <c r="D220" s="400">
        <f>COUNTIF('Tox Summary'!$N$3:$N$792, 'Parameters Summary'!A220)</f>
        <v>1</v>
      </c>
      <c r="E220" s="434">
        <v>253.13</v>
      </c>
      <c r="F220" s="435" t="s">
        <v>1620</v>
      </c>
      <c r="G220" s="436">
        <v>1.1611000000000001E-9</v>
      </c>
      <c r="H220" s="436">
        <v>2.84E-11</v>
      </c>
      <c r="I220" s="437" t="s">
        <v>1620</v>
      </c>
      <c r="J220" s="436">
        <v>2.5600000000000002E-7</v>
      </c>
      <c r="K220" s="437" t="s">
        <v>1620</v>
      </c>
      <c r="L220" s="453">
        <v>132</v>
      </c>
      <c r="M220" s="454" t="s">
        <v>1620</v>
      </c>
      <c r="N220" s="461" t="s">
        <v>1531</v>
      </c>
      <c r="O220" s="462" t="s">
        <v>1413</v>
      </c>
      <c r="P220" s="471">
        <v>4.7481500000000003E-2</v>
      </c>
      <c r="Q220" s="471">
        <v>5.5477999999999996E-6</v>
      </c>
      <c r="R220" s="472" t="s">
        <v>2435</v>
      </c>
      <c r="S220" s="473" t="s">
        <v>1531</v>
      </c>
      <c r="T220" s="474" t="s">
        <v>1413</v>
      </c>
      <c r="U220" s="484">
        <v>3190</v>
      </c>
      <c r="V220" s="484" t="s">
        <v>553</v>
      </c>
      <c r="W220" s="495">
        <v>3.51</v>
      </c>
      <c r="X220" s="496" t="s">
        <v>1620</v>
      </c>
      <c r="Y220" s="486">
        <v>3.1</v>
      </c>
      <c r="Z220" s="487" t="s">
        <v>1620</v>
      </c>
      <c r="AA220" s="394">
        <v>1.2800000000000001E-2</v>
      </c>
      <c r="AB220" s="395" t="s">
        <v>553</v>
      </c>
      <c r="AC220" s="369"/>
    </row>
    <row r="221" spans="1:29" ht="20.100000000000001" customHeight="1" thickBot="1">
      <c r="A221" s="392" t="s">
        <v>578</v>
      </c>
      <c r="B221" s="393" t="s">
        <v>832</v>
      </c>
      <c r="C221" s="400">
        <f>COUNTIF('Chem Props'!$B$6:$B$851,'Parameters Summary'!A221)</f>
        <v>1</v>
      </c>
      <c r="D221" s="400">
        <f>COUNTIF('Tox Summary'!$N$3:$N$792, 'Parameters Summary'!A221)</f>
        <v>1</v>
      </c>
      <c r="E221" s="438">
        <v>251.11</v>
      </c>
      <c r="F221" s="439" t="s">
        <v>1620</v>
      </c>
      <c r="G221" s="440">
        <v>4.3699999999999998E-5</v>
      </c>
      <c r="H221" s="440">
        <v>1.0699999999999999E-6</v>
      </c>
      <c r="I221" s="441" t="s">
        <v>1620</v>
      </c>
      <c r="J221" s="440">
        <v>6.3899999999999998E-6</v>
      </c>
      <c r="K221" s="441" t="s">
        <v>1620</v>
      </c>
      <c r="L221" s="457">
        <v>147.5</v>
      </c>
      <c r="M221" s="458" t="s">
        <v>1620</v>
      </c>
      <c r="N221" s="459">
        <v>1.45</v>
      </c>
      <c r="O221" s="460" t="s">
        <v>1618</v>
      </c>
      <c r="P221" s="475">
        <v>2.63929E-2</v>
      </c>
      <c r="Q221" s="475">
        <v>6.8893000000000003E-6</v>
      </c>
      <c r="R221" s="476" t="s">
        <v>2435</v>
      </c>
      <c r="S221" s="477" t="s">
        <v>1531</v>
      </c>
      <c r="T221" s="478" t="s">
        <v>1413</v>
      </c>
      <c r="U221" s="481">
        <v>2927</v>
      </c>
      <c r="V221" s="481" t="s">
        <v>553</v>
      </c>
      <c r="W221" s="497">
        <v>4.4400000000000004</v>
      </c>
      <c r="X221" s="498" t="s">
        <v>1620</v>
      </c>
      <c r="Y221" s="488">
        <v>0.82930000000000004</v>
      </c>
      <c r="Z221" s="489" t="s">
        <v>1620</v>
      </c>
      <c r="AA221" s="396">
        <v>5.4199999999999998E-2</v>
      </c>
      <c r="AB221" s="397" t="s">
        <v>553</v>
      </c>
      <c r="AC221" s="369"/>
    </row>
    <row r="222" spans="1:29" ht="20.100000000000001" customHeight="1">
      <c r="A222" s="390" t="s">
        <v>1438</v>
      </c>
      <c r="B222" s="391" t="s">
        <v>833</v>
      </c>
      <c r="C222" s="400">
        <f>COUNTIF('Chem Props'!$B$6:$B$851,'Parameters Summary'!A222)</f>
        <v>1</v>
      </c>
      <c r="D222" s="400">
        <f>COUNTIF('Tox Summary'!$N$3:$N$792, 'Parameters Summary'!A222)</f>
        <v>1</v>
      </c>
      <c r="E222" s="434">
        <v>120.91</v>
      </c>
      <c r="F222" s="435" t="s">
        <v>1620</v>
      </c>
      <c r="G222" s="436">
        <v>14.022895</v>
      </c>
      <c r="H222" s="436">
        <v>0.34300000000000003</v>
      </c>
      <c r="I222" s="437" t="s">
        <v>1620</v>
      </c>
      <c r="J222" s="436">
        <v>4848</v>
      </c>
      <c r="K222" s="437" t="s">
        <v>1620</v>
      </c>
      <c r="L222" s="453">
        <v>-158</v>
      </c>
      <c r="M222" s="454" t="s">
        <v>1620</v>
      </c>
      <c r="N222" s="455">
        <v>1.486</v>
      </c>
      <c r="O222" s="456" t="s">
        <v>1621</v>
      </c>
      <c r="P222" s="471">
        <v>7.6029299999999994E-2</v>
      </c>
      <c r="Q222" s="471">
        <v>1.08E-5</v>
      </c>
      <c r="R222" s="472" t="s">
        <v>2435</v>
      </c>
      <c r="S222" s="473" t="s">
        <v>1531</v>
      </c>
      <c r="T222" s="474" t="s">
        <v>1413</v>
      </c>
      <c r="U222" s="484">
        <v>43.89</v>
      </c>
      <c r="V222" s="484" t="s">
        <v>553</v>
      </c>
      <c r="W222" s="495">
        <v>2.16</v>
      </c>
      <c r="X222" s="496" t="s">
        <v>1620</v>
      </c>
      <c r="Y222" s="486">
        <v>280</v>
      </c>
      <c r="Z222" s="487" t="s">
        <v>1620</v>
      </c>
      <c r="AA222" s="394">
        <v>8.9499999999999996E-3</v>
      </c>
      <c r="AB222" s="395" t="s">
        <v>553</v>
      </c>
      <c r="AC222" s="369"/>
    </row>
    <row r="223" spans="1:29" ht="20.100000000000001" customHeight="1">
      <c r="A223" s="390" t="s">
        <v>1086</v>
      </c>
      <c r="B223" s="391" t="s">
        <v>834</v>
      </c>
      <c r="C223" s="400">
        <f>COUNTIF('Chem Props'!$B$6:$B$851,'Parameters Summary'!A223)</f>
        <v>1</v>
      </c>
      <c r="D223" s="400">
        <f>COUNTIF('Tox Summary'!$N$3:$N$792, 'Parameters Summary'!A223)</f>
        <v>1</v>
      </c>
      <c r="E223" s="434">
        <v>98.96</v>
      </c>
      <c r="F223" s="435" t="s">
        <v>1620</v>
      </c>
      <c r="G223" s="436">
        <v>0.22976289999999999</v>
      </c>
      <c r="H223" s="436">
        <v>5.62E-3</v>
      </c>
      <c r="I223" s="437" t="s">
        <v>1620</v>
      </c>
      <c r="J223" s="436">
        <v>227.3</v>
      </c>
      <c r="K223" s="437" t="s">
        <v>1620</v>
      </c>
      <c r="L223" s="453">
        <v>-96.9</v>
      </c>
      <c r="M223" s="454" t="s">
        <v>1620</v>
      </c>
      <c r="N223" s="455">
        <v>1.1757</v>
      </c>
      <c r="O223" s="456" t="s">
        <v>1618</v>
      </c>
      <c r="P223" s="471">
        <v>8.36446E-2</v>
      </c>
      <c r="Q223" s="471">
        <v>1.06E-5</v>
      </c>
      <c r="R223" s="472" t="s">
        <v>2435</v>
      </c>
      <c r="S223" s="473" t="s">
        <v>1531</v>
      </c>
      <c r="T223" s="474" t="s">
        <v>1413</v>
      </c>
      <c r="U223" s="484">
        <v>31.82</v>
      </c>
      <c r="V223" s="484" t="s">
        <v>553</v>
      </c>
      <c r="W223" s="495">
        <v>1.79</v>
      </c>
      <c r="X223" s="496" t="s">
        <v>1620</v>
      </c>
      <c r="Y223" s="486">
        <v>5040</v>
      </c>
      <c r="Z223" s="487" t="s">
        <v>1620</v>
      </c>
      <c r="AA223" s="394">
        <v>6.7499999999999999E-3</v>
      </c>
      <c r="AB223" s="395" t="s">
        <v>553</v>
      </c>
      <c r="AC223" s="369"/>
    </row>
    <row r="224" spans="1:29" ht="20.100000000000001" customHeight="1" thickBot="1">
      <c r="A224" s="392" t="s">
        <v>1087</v>
      </c>
      <c r="B224" s="393" t="s">
        <v>835</v>
      </c>
      <c r="C224" s="400">
        <f>COUNTIF('Chem Props'!$B$6:$B$851,'Parameters Summary'!A224)</f>
        <v>1</v>
      </c>
      <c r="D224" s="400">
        <f>COUNTIF('Tox Summary'!$N$3:$N$792, 'Parameters Summary'!A224)</f>
        <v>1</v>
      </c>
      <c r="E224" s="438">
        <v>98.96</v>
      </c>
      <c r="F224" s="439" t="s">
        <v>1620</v>
      </c>
      <c r="G224" s="440">
        <v>4.8242E-2</v>
      </c>
      <c r="H224" s="440">
        <v>1.1800000000000001E-3</v>
      </c>
      <c r="I224" s="441" t="s">
        <v>1620</v>
      </c>
      <c r="J224" s="440">
        <v>78.900000000000006</v>
      </c>
      <c r="K224" s="441" t="s">
        <v>1620</v>
      </c>
      <c r="L224" s="457">
        <v>-35.5</v>
      </c>
      <c r="M224" s="458" t="s">
        <v>1620</v>
      </c>
      <c r="N224" s="459">
        <v>1.2454000000000001</v>
      </c>
      <c r="O224" s="460" t="s">
        <v>1618</v>
      </c>
      <c r="P224" s="475">
        <v>8.5722099999999996E-2</v>
      </c>
      <c r="Q224" s="475">
        <v>1.1E-5</v>
      </c>
      <c r="R224" s="476" t="s">
        <v>2435</v>
      </c>
      <c r="S224" s="477" t="s">
        <v>1531</v>
      </c>
      <c r="T224" s="478" t="s">
        <v>1413</v>
      </c>
      <c r="U224" s="481">
        <v>39.6</v>
      </c>
      <c r="V224" s="481" t="s">
        <v>553</v>
      </c>
      <c r="W224" s="497">
        <v>1.48</v>
      </c>
      <c r="X224" s="498" t="s">
        <v>1620</v>
      </c>
      <c r="Y224" s="488">
        <v>8600</v>
      </c>
      <c r="Z224" s="489" t="s">
        <v>1620</v>
      </c>
      <c r="AA224" s="396">
        <v>4.1999999999999997E-3</v>
      </c>
      <c r="AB224" s="397" t="s">
        <v>553</v>
      </c>
      <c r="AC224" s="369"/>
    </row>
    <row r="225" spans="1:29" ht="20.100000000000001" customHeight="1">
      <c r="A225" s="390" t="s">
        <v>444</v>
      </c>
      <c r="B225" s="391" t="s">
        <v>836</v>
      </c>
      <c r="C225" s="400">
        <f>COUNTIF('Chem Props'!$B$6:$B$851,'Parameters Summary'!A225)</f>
        <v>1</v>
      </c>
      <c r="D225" s="400">
        <f>COUNTIF('Tox Summary'!$N$3:$N$792, 'Parameters Summary'!A225)</f>
        <v>1</v>
      </c>
      <c r="E225" s="434">
        <v>96.944000000000003</v>
      </c>
      <c r="F225" s="435" t="s">
        <v>1620</v>
      </c>
      <c r="G225" s="436">
        <v>1.0670481999999999</v>
      </c>
      <c r="H225" s="436">
        <v>2.6100000000000002E-2</v>
      </c>
      <c r="I225" s="437" t="s">
        <v>1620</v>
      </c>
      <c r="J225" s="436">
        <v>600</v>
      </c>
      <c r="K225" s="437" t="s">
        <v>1620</v>
      </c>
      <c r="L225" s="453">
        <v>-122.5</v>
      </c>
      <c r="M225" s="454" t="s">
        <v>1620</v>
      </c>
      <c r="N225" s="455">
        <v>1.2130000000000001</v>
      </c>
      <c r="O225" s="456" t="s">
        <v>1618</v>
      </c>
      <c r="P225" s="471">
        <v>8.6310700000000004E-2</v>
      </c>
      <c r="Q225" s="471">
        <v>1.1E-5</v>
      </c>
      <c r="R225" s="472" t="s">
        <v>2435</v>
      </c>
      <c r="S225" s="473" t="s">
        <v>1531</v>
      </c>
      <c r="T225" s="474" t="s">
        <v>1413</v>
      </c>
      <c r="U225" s="484">
        <v>31.82</v>
      </c>
      <c r="V225" s="484" t="s">
        <v>553</v>
      </c>
      <c r="W225" s="495">
        <v>2.13</v>
      </c>
      <c r="X225" s="496" t="s">
        <v>1620</v>
      </c>
      <c r="Y225" s="486">
        <v>2420</v>
      </c>
      <c r="Z225" s="487" t="s">
        <v>1620</v>
      </c>
      <c r="AA225" s="394">
        <v>1.17E-2</v>
      </c>
      <c r="AB225" s="395" t="s">
        <v>553</v>
      </c>
      <c r="AC225" s="369"/>
    </row>
    <row r="226" spans="1:29" ht="20.100000000000001" customHeight="1">
      <c r="A226" s="390" t="s">
        <v>1088</v>
      </c>
      <c r="B226" s="391" t="s">
        <v>837</v>
      </c>
      <c r="C226" s="400">
        <f>COUNTIF('Chem Props'!$B$6:$B$851,'Parameters Summary'!A226)</f>
        <v>1</v>
      </c>
      <c r="D226" s="400">
        <f>COUNTIF('Tox Summary'!$N$3:$N$792, 'Parameters Summary'!A226)</f>
        <v>1</v>
      </c>
      <c r="E226" s="434">
        <v>96.944000000000003</v>
      </c>
      <c r="F226" s="435" t="s">
        <v>1620</v>
      </c>
      <c r="G226" s="436">
        <v>0.1668029</v>
      </c>
      <c r="H226" s="436">
        <v>4.0800000000000003E-3</v>
      </c>
      <c r="I226" s="437" t="s">
        <v>1620</v>
      </c>
      <c r="J226" s="436">
        <v>200</v>
      </c>
      <c r="K226" s="437" t="s">
        <v>1620</v>
      </c>
      <c r="L226" s="453">
        <v>-80</v>
      </c>
      <c r="M226" s="454" t="s">
        <v>1620</v>
      </c>
      <c r="N226" s="455">
        <v>1.2837000000000001</v>
      </c>
      <c r="O226" s="456" t="s">
        <v>1618</v>
      </c>
      <c r="P226" s="471">
        <v>8.8405600000000001E-2</v>
      </c>
      <c r="Q226" s="471">
        <v>1.13E-5</v>
      </c>
      <c r="R226" s="472" t="s">
        <v>2435</v>
      </c>
      <c r="S226" s="473" t="s">
        <v>1531</v>
      </c>
      <c r="T226" s="474" t="s">
        <v>1413</v>
      </c>
      <c r="U226" s="484">
        <v>39.6</v>
      </c>
      <c r="V226" s="484" t="s">
        <v>553</v>
      </c>
      <c r="W226" s="495">
        <v>1.86</v>
      </c>
      <c r="X226" s="496" t="s">
        <v>1620</v>
      </c>
      <c r="Y226" s="486">
        <v>6410</v>
      </c>
      <c r="Z226" s="487" t="s">
        <v>1620</v>
      </c>
      <c r="AA226" s="394">
        <v>1.0999999999999999E-2</v>
      </c>
      <c r="AB226" s="395" t="s">
        <v>553</v>
      </c>
      <c r="AC226" s="369"/>
    </row>
    <row r="227" spans="1:29" ht="20.100000000000001" customHeight="1" thickBot="1">
      <c r="A227" s="392" t="s">
        <v>1089</v>
      </c>
      <c r="B227" s="393" t="s">
        <v>838</v>
      </c>
      <c r="C227" s="400">
        <f>COUNTIF('Chem Props'!$B$6:$B$851,'Parameters Summary'!A227)</f>
        <v>1</v>
      </c>
      <c r="D227" s="400">
        <f>COUNTIF('Tox Summary'!$N$3:$N$792, 'Parameters Summary'!A227)</f>
        <v>1</v>
      </c>
      <c r="E227" s="438">
        <v>96.944000000000003</v>
      </c>
      <c r="F227" s="439" t="s">
        <v>1620</v>
      </c>
      <c r="G227" s="440">
        <v>0.38348320000000002</v>
      </c>
      <c r="H227" s="440">
        <v>9.3799999999999994E-3</v>
      </c>
      <c r="I227" s="441" t="s">
        <v>1620</v>
      </c>
      <c r="J227" s="440">
        <v>331</v>
      </c>
      <c r="K227" s="441" t="s">
        <v>553</v>
      </c>
      <c r="L227" s="457">
        <v>-49.8</v>
      </c>
      <c r="M227" s="458" t="s">
        <v>1620</v>
      </c>
      <c r="N227" s="459">
        <v>1.2565</v>
      </c>
      <c r="O227" s="460" t="s">
        <v>1618</v>
      </c>
      <c r="P227" s="475">
        <v>8.7609400000000004E-2</v>
      </c>
      <c r="Q227" s="475">
        <v>1.1199999999999999E-5</v>
      </c>
      <c r="R227" s="476" t="s">
        <v>2435</v>
      </c>
      <c r="S227" s="477" t="s">
        <v>1531</v>
      </c>
      <c r="T227" s="478" t="s">
        <v>1413</v>
      </c>
      <c r="U227" s="481">
        <v>39.6</v>
      </c>
      <c r="V227" s="481" t="s">
        <v>553</v>
      </c>
      <c r="W227" s="497">
        <v>2.09</v>
      </c>
      <c r="X227" s="498" t="s">
        <v>1620</v>
      </c>
      <c r="Y227" s="488">
        <v>4520</v>
      </c>
      <c r="Z227" s="489" t="s">
        <v>1620</v>
      </c>
      <c r="AA227" s="396">
        <v>1.0999999999999999E-2</v>
      </c>
      <c r="AB227" s="397" t="s">
        <v>553</v>
      </c>
      <c r="AC227" s="369"/>
    </row>
    <row r="228" spans="1:29" ht="20.100000000000001" customHeight="1">
      <c r="A228" s="390" t="s">
        <v>1090</v>
      </c>
      <c r="B228" s="391" t="s">
        <v>839</v>
      </c>
      <c r="C228" s="400">
        <f>COUNTIF('Chem Props'!$B$6:$B$851,'Parameters Summary'!A228)</f>
        <v>1</v>
      </c>
      <c r="D228" s="400">
        <f>COUNTIF('Tox Summary'!$N$3:$N$792, 'Parameters Summary'!A228)</f>
        <v>1</v>
      </c>
      <c r="E228" s="434">
        <v>163</v>
      </c>
      <c r="F228" s="435" t="s">
        <v>1620</v>
      </c>
      <c r="G228" s="436">
        <v>1.7540000000000001E-4</v>
      </c>
      <c r="H228" s="436">
        <v>4.2899999999999996E-6</v>
      </c>
      <c r="I228" s="437" t="s">
        <v>553</v>
      </c>
      <c r="J228" s="436">
        <v>0.09</v>
      </c>
      <c r="K228" s="437" t="s">
        <v>1620</v>
      </c>
      <c r="L228" s="453">
        <v>45</v>
      </c>
      <c r="M228" s="454" t="s">
        <v>1620</v>
      </c>
      <c r="N228" s="455">
        <v>1.383</v>
      </c>
      <c r="O228" s="456" t="s">
        <v>1621</v>
      </c>
      <c r="P228" s="471">
        <v>4.8576800000000003E-2</v>
      </c>
      <c r="Q228" s="471">
        <v>8.6787000000000004E-6</v>
      </c>
      <c r="R228" s="472" t="s">
        <v>2435</v>
      </c>
      <c r="S228" s="473" t="s">
        <v>1531</v>
      </c>
      <c r="T228" s="474" t="s">
        <v>1413</v>
      </c>
      <c r="U228" s="484">
        <v>147</v>
      </c>
      <c r="V228" s="484" t="s">
        <v>557</v>
      </c>
      <c r="W228" s="495">
        <v>3.06</v>
      </c>
      <c r="X228" s="496" t="s">
        <v>1620</v>
      </c>
      <c r="Y228" s="486">
        <v>5550</v>
      </c>
      <c r="Z228" s="487" t="s">
        <v>1620</v>
      </c>
      <c r="AA228" s="394">
        <v>2.06E-2</v>
      </c>
      <c r="AB228" s="395" t="s">
        <v>553</v>
      </c>
      <c r="AC228" s="369"/>
    </row>
    <row r="229" spans="1:29" ht="20.100000000000001" customHeight="1">
      <c r="A229" s="390" t="s">
        <v>1091</v>
      </c>
      <c r="B229" s="391" t="s">
        <v>840</v>
      </c>
      <c r="C229" s="400">
        <f>COUNTIF('Chem Props'!$B$6:$B$851,'Parameters Summary'!A229)</f>
        <v>1</v>
      </c>
      <c r="D229" s="400">
        <f>COUNTIF('Tox Summary'!$N$3:$N$792, 'Parameters Summary'!A229)</f>
        <v>1</v>
      </c>
      <c r="E229" s="434">
        <v>221.04</v>
      </c>
      <c r="F229" s="435" t="s">
        <v>1620</v>
      </c>
      <c r="G229" s="436">
        <v>1.4473000000000001E-6</v>
      </c>
      <c r="H229" s="436">
        <v>3.5399999999999999E-8</v>
      </c>
      <c r="I229" s="437" t="s">
        <v>553</v>
      </c>
      <c r="J229" s="436">
        <v>8.25E-5</v>
      </c>
      <c r="K229" s="437" t="s">
        <v>1620</v>
      </c>
      <c r="L229" s="453">
        <v>140.5</v>
      </c>
      <c r="M229" s="454" t="s">
        <v>1620</v>
      </c>
      <c r="N229" s="455">
        <v>1.42</v>
      </c>
      <c r="O229" s="456" t="s">
        <v>2199</v>
      </c>
      <c r="P229" s="471">
        <v>2.7917899999999999E-2</v>
      </c>
      <c r="Q229" s="471">
        <v>7.3444999999999997E-6</v>
      </c>
      <c r="R229" s="472" t="s">
        <v>2435</v>
      </c>
      <c r="S229" s="473" t="s">
        <v>1531</v>
      </c>
      <c r="T229" s="474" t="s">
        <v>1413</v>
      </c>
      <c r="U229" s="484">
        <v>29.63</v>
      </c>
      <c r="V229" s="484" t="s">
        <v>553</v>
      </c>
      <c r="W229" s="495">
        <v>2.81</v>
      </c>
      <c r="X229" s="496" t="s">
        <v>1620</v>
      </c>
      <c r="Y229" s="486">
        <v>677</v>
      </c>
      <c r="Z229" s="487" t="s">
        <v>1620</v>
      </c>
      <c r="AA229" s="394">
        <v>6.6400000000000001E-3</v>
      </c>
      <c r="AB229" s="395" t="s">
        <v>553</v>
      </c>
      <c r="AC229" s="369"/>
    </row>
    <row r="230" spans="1:29" ht="20.100000000000001" customHeight="1" thickBot="1">
      <c r="A230" s="392" t="s">
        <v>445</v>
      </c>
      <c r="B230" s="393" t="s">
        <v>842</v>
      </c>
      <c r="C230" s="400">
        <f>COUNTIF('Chem Props'!$B$6:$B$851,'Parameters Summary'!A230)</f>
        <v>1</v>
      </c>
      <c r="D230" s="400">
        <f>COUNTIF('Tox Summary'!$N$3:$N$792, 'Parameters Summary'!A230)</f>
        <v>1</v>
      </c>
      <c r="E230" s="438">
        <v>112.99</v>
      </c>
      <c r="F230" s="439" t="s">
        <v>1620</v>
      </c>
      <c r="G230" s="440">
        <v>0.1152903</v>
      </c>
      <c r="H230" s="440">
        <v>2.82E-3</v>
      </c>
      <c r="I230" s="441" t="s">
        <v>1620</v>
      </c>
      <c r="J230" s="440">
        <v>53.3</v>
      </c>
      <c r="K230" s="441" t="s">
        <v>1620</v>
      </c>
      <c r="L230" s="457">
        <v>-100</v>
      </c>
      <c r="M230" s="458" t="s">
        <v>1620</v>
      </c>
      <c r="N230" s="459">
        <v>1.159</v>
      </c>
      <c r="O230" s="460" t="s">
        <v>1621</v>
      </c>
      <c r="P230" s="475">
        <v>7.3340199999999994E-2</v>
      </c>
      <c r="Q230" s="475">
        <v>9.7251999999999997E-6</v>
      </c>
      <c r="R230" s="476" t="s">
        <v>2435</v>
      </c>
      <c r="S230" s="477" t="s">
        <v>1531</v>
      </c>
      <c r="T230" s="478" t="s">
        <v>1413</v>
      </c>
      <c r="U230" s="481">
        <v>60.7</v>
      </c>
      <c r="V230" s="481" t="s">
        <v>553</v>
      </c>
      <c r="W230" s="497">
        <v>1.98</v>
      </c>
      <c r="X230" s="498" t="s">
        <v>1620</v>
      </c>
      <c r="Y230" s="488">
        <v>2800</v>
      </c>
      <c r="Z230" s="489" t="s">
        <v>1620</v>
      </c>
      <c r="AA230" s="396">
        <v>7.5300000000000002E-3</v>
      </c>
      <c r="AB230" s="397" t="s">
        <v>553</v>
      </c>
      <c r="AC230" s="369"/>
    </row>
    <row r="231" spans="1:29" ht="20.100000000000001" customHeight="1">
      <c r="A231" s="390" t="s">
        <v>1092</v>
      </c>
      <c r="B231" s="391" t="s">
        <v>843</v>
      </c>
      <c r="C231" s="400">
        <f>COUNTIF('Chem Props'!$B$6:$B$851,'Parameters Summary'!A231)</f>
        <v>1</v>
      </c>
      <c r="D231" s="400">
        <f>COUNTIF('Tox Summary'!$N$3:$N$792, 'Parameters Summary'!A231)</f>
        <v>1</v>
      </c>
      <c r="E231" s="434">
        <v>112.99</v>
      </c>
      <c r="F231" s="435" t="s">
        <v>1620</v>
      </c>
      <c r="G231" s="436">
        <v>3.9901899999999997E-2</v>
      </c>
      <c r="H231" s="436">
        <v>9.7599999999999998E-4</v>
      </c>
      <c r="I231" s="437" t="s">
        <v>1620</v>
      </c>
      <c r="J231" s="436">
        <v>18.16</v>
      </c>
      <c r="K231" s="437" t="s">
        <v>1620</v>
      </c>
      <c r="L231" s="453">
        <v>-99.5</v>
      </c>
      <c r="M231" s="454" t="s">
        <v>1620</v>
      </c>
      <c r="N231" s="455">
        <v>1.1785000000000001</v>
      </c>
      <c r="O231" s="456" t="s">
        <v>1618</v>
      </c>
      <c r="P231" s="471">
        <v>7.3873800000000003E-2</v>
      </c>
      <c r="Q231" s="471">
        <v>9.8230000000000006E-6</v>
      </c>
      <c r="R231" s="472" t="s">
        <v>2435</v>
      </c>
      <c r="S231" s="473" t="s">
        <v>1531</v>
      </c>
      <c r="T231" s="474" t="s">
        <v>1413</v>
      </c>
      <c r="U231" s="484">
        <v>72.17</v>
      </c>
      <c r="V231" s="484" t="s">
        <v>553</v>
      </c>
      <c r="W231" s="495">
        <v>2</v>
      </c>
      <c r="X231" s="496" t="s">
        <v>1620</v>
      </c>
      <c r="Y231" s="486">
        <v>2750</v>
      </c>
      <c r="Z231" s="487" t="s">
        <v>1620</v>
      </c>
      <c r="AA231" s="394">
        <v>7.7600000000000004E-3</v>
      </c>
      <c r="AB231" s="395" t="s">
        <v>553</v>
      </c>
      <c r="AC231" s="369"/>
    </row>
    <row r="232" spans="1:29" ht="20.100000000000001" customHeight="1">
      <c r="A232" s="390" t="s">
        <v>1093</v>
      </c>
      <c r="B232" s="391" t="s">
        <v>844</v>
      </c>
      <c r="C232" s="400">
        <f>COUNTIF('Chem Props'!$B$6:$B$851,'Parameters Summary'!A232)</f>
        <v>1</v>
      </c>
      <c r="D232" s="400">
        <f>COUNTIF('Tox Summary'!$N$3:$N$792, 'Parameters Summary'!A232)</f>
        <v>1</v>
      </c>
      <c r="E232" s="434">
        <v>128.99</v>
      </c>
      <c r="F232" s="435" t="s">
        <v>1620</v>
      </c>
      <c r="G232" s="436">
        <v>1.4718E-7</v>
      </c>
      <c r="H232" s="436">
        <v>3.6E-9</v>
      </c>
      <c r="I232" s="437" t="s">
        <v>1620</v>
      </c>
      <c r="J232" s="436">
        <v>0.184</v>
      </c>
      <c r="K232" s="437" t="s">
        <v>1620</v>
      </c>
      <c r="L232" s="453">
        <v>-24.89</v>
      </c>
      <c r="M232" s="454" t="s">
        <v>553</v>
      </c>
      <c r="N232" s="455">
        <v>1.3607</v>
      </c>
      <c r="O232" s="456" t="s">
        <v>1618</v>
      </c>
      <c r="P232" s="471">
        <v>6.8016599999999997E-2</v>
      </c>
      <c r="Q232" s="471">
        <v>9.8900000000000002E-6</v>
      </c>
      <c r="R232" s="472" t="s">
        <v>2435</v>
      </c>
      <c r="S232" s="473" t="s">
        <v>1531</v>
      </c>
      <c r="T232" s="474" t="s">
        <v>1413</v>
      </c>
      <c r="U232" s="484">
        <v>5.5679999999999996</v>
      </c>
      <c r="V232" s="484" t="s">
        <v>553</v>
      </c>
      <c r="W232" s="495">
        <v>0.78</v>
      </c>
      <c r="X232" s="496" t="s">
        <v>1620</v>
      </c>
      <c r="Y232" s="486">
        <v>64220</v>
      </c>
      <c r="Z232" s="487" t="s">
        <v>1620</v>
      </c>
      <c r="AA232" s="394">
        <v>9.8299999999999993E-4</v>
      </c>
      <c r="AB232" s="395" t="s">
        <v>553</v>
      </c>
      <c r="AC232" s="369"/>
    </row>
    <row r="233" spans="1:29" ht="20.100000000000001" customHeight="1" thickBot="1">
      <c r="A233" s="392" t="s">
        <v>1094</v>
      </c>
      <c r="B233" s="393" t="s">
        <v>845</v>
      </c>
      <c r="C233" s="400">
        <f>COUNTIF('Chem Props'!$B$6:$B$851,'Parameters Summary'!A233)</f>
        <v>1</v>
      </c>
      <c r="D233" s="400">
        <f>COUNTIF('Tox Summary'!$N$3:$N$792, 'Parameters Summary'!A233)</f>
        <v>1</v>
      </c>
      <c r="E233" s="438">
        <v>110.97</v>
      </c>
      <c r="F233" s="439" t="s">
        <v>1620</v>
      </c>
      <c r="G233" s="440">
        <v>0.14513490000000001</v>
      </c>
      <c r="H233" s="440">
        <v>3.5500000000000002E-3</v>
      </c>
      <c r="I233" s="441" t="s">
        <v>1620</v>
      </c>
      <c r="J233" s="440">
        <v>34</v>
      </c>
      <c r="K233" s="441" t="s">
        <v>1620</v>
      </c>
      <c r="L233" s="457">
        <v>-50</v>
      </c>
      <c r="M233" s="458" t="s">
        <v>1620</v>
      </c>
      <c r="N233" s="459">
        <v>1.2170000000000001</v>
      </c>
      <c r="O233" s="460" t="s">
        <v>1619</v>
      </c>
      <c r="P233" s="475">
        <v>7.6272499999999993E-2</v>
      </c>
      <c r="Q233" s="475">
        <v>1.01E-5</v>
      </c>
      <c r="R233" s="476" t="s">
        <v>2435</v>
      </c>
      <c r="S233" s="477" t="s">
        <v>1531</v>
      </c>
      <c r="T233" s="478" t="s">
        <v>1413</v>
      </c>
      <c r="U233" s="481">
        <v>72.17</v>
      </c>
      <c r="V233" s="481" t="s">
        <v>553</v>
      </c>
      <c r="W233" s="497">
        <v>2.04</v>
      </c>
      <c r="X233" s="498" t="s">
        <v>1620</v>
      </c>
      <c r="Y233" s="488">
        <v>2800</v>
      </c>
      <c r="Z233" s="489" t="s">
        <v>1620</v>
      </c>
      <c r="AA233" s="396">
        <v>8.3400000000000002E-3</v>
      </c>
      <c r="AB233" s="397" t="s">
        <v>553</v>
      </c>
      <c r="AC233" s="369"/>
    </row>
    <row r="234" spans="1:29" ht="20.100000000000001" customHeight="1">
      <c r="A234" s="390" t="s">
        <v>1403</v>
      </c>
      <c r="B234" s="391" t="s">
        <v>846</v>
      </c>
      <c r="C234" s="400">
        <f>COUNTIF('Chem Props'!$B$6:$B$851,'Parameters Summary'!A234)</f>
        <v>1</v>
      </c>
      <c r="D234" s="400">
        <f>COUNTIF('Tox Summary'!$N$3:$N$792, 'Parameters Summary'!A234)</f>
        <v>1</v>
      </c>
      <c r="E234" s="434">
        <v>220.98</v>
      </c>
      <c r="F234" s="435" t="s">
        <v>1620</v>
      </c>
      <c r="G234" s="436">
        <v>2.3499999999999999E-5</v>
      </c>
      <c r="H234" s="436">
        <v>5.7400000000000003E-7</v>
      </c>
      <c r="I234" s="437" t="s">
        <v>553</v>
      </c>
      <c r="J234" s="436">
        <v>1.575E-2</v>
      </c>
      <c r="K234" s="437" t="s">
        <v>1620</v>
      </c>
      <c r="L234" s="453">
        <v>-60</v>
      </c>
      <c r="M234" s="454" t="s">
        <v>1620</v>
      </c>
      <c r="N234" s="455">
        <v>1.415</v>
      </c>
      <c r="O234" s="456" t="s">
        <v>1618</v>
      </c>
      <c r="P234" s="471">
        <v>2.78768E-2</v>
      </c>
      <c r="Q234" s="471">
        <v>7.3301999999999997E-6</v>
      </c>
      <c r="R234" s="472" t="s">
        <v>2435</v>
      </c>
      <c r="S234" s="473" t="s">
        <v>1531</v>
      </c>
      <c r="T234" s="474" t="s">
        <v>1413</v>
      </c>
      <c r="U234" s="484">
        <v>53.96</v>
      </c>
      <c r="V234" s="484" t="s">
        <v>553</v>
      </c>
      <c r="W234" s="495">
        <v>1.43</v>
      </c>
      <c r="X234" s="496" t="s">
        <v>1620</v>
      </c>
      <c r="Y234" s="486">
        <v>8000</v>
      </c>
      <c r="Z234" s="487" t="s">
        <v>1620</v>
      </c>
      <c r="AA234" s="394">
        <v>8.0400000000000003E-4</v>
      </c>
      <c r="AB234" s="395" t="s">
        <v>553</v>
      </c>
      <c r="AC234" s="369"/>
    </row>
    <row r="235" spans="1:29" ht="20.100000000000001" customHeight="1">
      <c r="A235" s="390" t="s">
        <v>2308</v>
      </c>
      <c r="B235" s="391" t="s">
        <v>694</v>
      </c>
      <c r="C235" s="400">
        <f>COUNTIF('Chem Props'!$B$6:$B$851,'Parameters Summary'!A235)</f>
        <v>1</v>
      </c>
      <c r="D235" s="400">
        <f>COUNTIF('Tox Summary'!$N$3:$N$792, 'Parameters Summary'!A235)</f>
        <v>1</v>
      </c>
      <c r="E235" s="434">
        <v>237.19</v>
      </c>
      <c r="F235" s="435" t="s">
        <v>1620</v>
      </c>
      <c r="G235" s="436">
        <v>2.0564000000000001E-9</v>
      </c>
      <c r="H235" s="436">
        <v>5.0299999999999997E-11</v>
      </c>
      <c r="I235" s="437" t="s">
        <v>1620</v>
      </c>
      <c r="J235" s="436">
        <v>1.6000000000000001E-4</v>
      </c>
      <c r="K235" s="437" t="s">
        <v>1620</v>
      </c>
      <c r="L235" s="453">
        <v>79.209999999999994</v>
      </c>
      <c r="M235" s="454" t="s">
        <v>553</v>
      </c>
      <c r="N235" s="455">
        <v>1.216</v>
      </c>
      <c r="O235" s="456" t="s">
        <v>1618</v>
      </c>
      <c r="P235" s="471">
        <v>2.5047400000000001E-2</v>
      </c>
      <c r="Q235" s="471">
        <v>6.4146999999999998E-6</v>
      </c>
      <c r="R235" s="472" t="s">
        <v>2435</v>
      </c>
      <c r="S235" s="473" t="s">
        <v>1531</v>
      </c>
      <c r="T235" s="474" t="s">
        <v>1413</v>
      </c>
      <c r="U235" s="484">
        <v>16.579999999999998</v>
      </c>
      <c r="V235" s="484" t="s">
        <v>553</v>
      </c>
      <c r="W235" s="495">
        <v>0</v>
      </c>
      <c r="X235" s="496" t="s">
        <v>1620</v>
      </c>
      <c r="Y235" s="486">
        <v>1000000</v>
      </c>
      <c r="Z235" s="487" t="s">
        <v>1620</v>
      </c>
      <c r="AA235" s="394">
        <v>7.3100000000000001E-5</v>
      </c>
      <c r="AB235" s="395" t="s">
        <v>553</v>
      </c>
      <c r="AC235" s="370"/>
    </row>
    <row r="236" spans="1:29" ht="20.100000000000001" customHeight="1" thickBot="1">
      <c r="A236" s="392" t="s">
        <v>1095</v>
      </c>
      <c r="B236" s="393" t="s">
        <v>847</v>
      </c>
      <c r="C236" s="400">
        <f>COUNTIF('Chem Props'!$B$6:$B$851,'Parameters Summary'!A236)</f>
        <v>1</v>
      </c>
      <c r="D236" s="400">
        <f>COUNTIF('Tox Summary'!$N$3:$N$792, 'Parameters Summary'!A236)</f>
        <v>1</v>
      </c>
      <c r="E236" s="438">
        <v>132.21</v>
      </c>
      <c r="F236" s="439" t="s">
        <v>1620</v>
      </c>
      <c r="G236" s="440">
        <v>2.5551922</v>
      </c>
      <c r="H236" s="440">
        <v>6.25E-2</v>
      </c>
      <c r="I236" s="441" t="s">
        <v>1620</v>
      </c>
      <c r="J236" s="440">
        <v>2.29</v>
      </c>
      <c r="K236" s="441" t="s">
        <v>553</v>
      </c>
      <c r="L236" s="457">
        <v>-1</v>
      </c>
      <c r="M236" s="458" t="s">
        <v>1620</v>
      </c>
      <c r="N236" s="459">
        <v>0.93</v>
      </c>
      <c r="O236" s="460" t="s">
        <v>1619</v>
      </c>
      <c r="P236" s="475">
        <v>5.5745500000000003E-2</v>
      </c>
      <c r="Q236" s="475">
        <v>7.7554000000000003E-6</v>
      </c>
      <c r="R236" s="476" t="s">
        <v>2435</v>
      </c>
      <c r="S236" s="477" t="s">
        <v>1531</v>
      </c>
      <c r="T236" s="478" t="s">
        <v>1413</v>
      </c>
      <c r="U236" s="481">
        <v>1513</v>
      </c>
      <c r="V236" s="481" t="s">
        <v>553</v>
      </c>
      <c r="W236" s="497">
        <v>3.16</v>
      </c>
      <c r="X236" s="498" t="s">
        <v>1620</v>
      </c>
      <c r="Y236" s="488">
        <v>26.47</v>
      </c>
      <c r="Z236" s="489" t="s">
        <v>1620</v>
      </c>
      <c r="AA236" s="396">
        <v>3.5999999999999997E-2</v>
      </c>
      <c r="AB236" s="397" t="s">
        <v>553</v>
      </c>
      <c r="AC236" s="369"/>
    </row>
    <row r="237" spans="1:29" ht="20.100000000000001" customHeight="1">
      <c r="A237" s="390" t="s">
        <v>437</v>
      </c>
      <c r="B237" s="391" t="s">
        <v>848</v>
      </c>
      <c r="C237" s="400">
        <f>COUNTIF('Chem Props'!$B$6:$B$851,'Parameters Summary'!A237)</f>
        <v>1</v>
      </c>
      <c r="D237" s="400">
        <f>COUNTIF('Tox Summary'!$N$3:$N$792, 'Parameters Summary'!A237)</f>
        <v>1</v>
      </c>
      <c r="E237" s="434">
        <v>380.91</v>
      </c>
      <c r="F237" s="435" t="s">
        <v>1620</v>
      </c>
      <c r="G237" s="436">
        <v>4.0880000000000002E-4</v>
      </c>
      <c r="H237" s="436">
        <v>1.0000000000000001E-5</v>
      </c>
      <c r="I237" s="437" t="s">
        <v>1620</v>
      </c>
      <c r="J237" s="436">
        <v>5.8900000000000004E-6</v>
      </c>
      <c r="K237" s="437" t="s">
        <v>1620</v>
      </c>
      <c r="L237" s="453">
        <v>175.5</v>
      </c>
      <c r="M237" s="454" t="s">
        <v>1620</v>
      </c>
      <c r="N237" s="455">
        <v>1.75</v>
      </c>
      <c r="O237" s="456" t="s">
        <v>1618</v>
      </c>
      <c r="P237" s="471">
        <v>2.3286500000000002E-2</v>
      </c>
      <c r="Q237" s="471">
        <v>6.0062000000000002E-6</v>
      </c>
      <c r="R237" s="472" t="s">
        <v>2435</v>
      </c>
      <c r="S237" s="473" t="s">
        <v>1531</v>
      </c>
      <c r="T237" s="474" t="s">
        <v>1413</v>
      </c>
      <c r="U237" s="484">
        <v>20090</v>
      </c>
      <c r="V237" s="484" t="s">
        <v>553</v>
      </c>
      <c r="W237" s="495">
        <v>5.4</v>
      </c>
      <c r="X237" s="496" t="s">
        <v>1620</v>
      </c>
      <c r="Y237" s="486">
        <v>0.19500000000000001</v>
      </c>
      <c r="Z237" s="487" t="s">
        <v>1620</v>
      </c>
      <c r="AA237" s="394">
        <v>3.2599999999999997E-2</v>
      </c>
      <c r="AB237" s="395" t="s">
        <v>553</v>
      </c>
      <c r="AC237" s="369"/>
    </row>
    <row r="238" spans="1:29" ht="20.100000000000001" customHeight="1">
      <c r="A238" s="390" t="s">
        <v>1118</v>
      </c>
      <c r="B238" s="96" t="s">
        <v>2170</v>
      </c>
      <c r="C238" s="400">
        <f>COUNTIF('Chem Props'!$B$6:$B$851,'Parameters Summary'!A273)</f>
        <v>0</v>
      </c>
      <c r="D238" s="400">
        <f>COUNTIF('Tox Summary'!$N$3:$N$792, 'Parameters Summary'!A273)</f>
        <v>1</v>
      </c>
      <c r="E238" s="434">
        <v>182.14</v>
      </c>
      <c r="F238" s="435" t="s">
        <v>553</v>
      </c>
      <c r="G238" s="436">
        <v>1.6200000000000001E-5</v>
      </c>
      <c r="H238" s="436">
        <v>3.9700000000000002E-7</v>
      </c>
      <c r="I238" s="437" t="s">
        <v>553</v>
      </c>
      <c r="J238" s="436">
        <v>2.15E-3</v>
      </c>
      <c r="K238" s="437" t="s">
        <v>553</v>
      </c>
      <c r="L238" s="453">
        <v>60</v>
      </c>
      <c r="M238" s="454" t="s">
        <v>553</v>
      </c>
      <c r="N238" s="461" t="s">
        <v>1531</v>
      </c>
      <c r="O238" s="462" t="s">
        <v>1413</v>
      </c>
      <c r="P238" s="471">
        <v>5.9131200000000002E-2</v>
      </c>
      <c r="Q238" s="471">
        <v>6.9090000000000003E-6</v>
      </c>
      <c r="R238" s="472" t="s">
        <v>2435</v>
      </c>
      <c r="S238" s="473" t="s">
        <v>1531</v>
      </c>
      <c r="T238" s="474" t="s">
        <v>1413</v>
      </c>
      <c r="U238" s="484">
        <v>587.4</v>
      </c>
      <c r="V238" s="484" t="s">
        <v>553</v>
      </c>
      <c r="W238" s="495">
        <v>2.1800000000000002</v>
      </c>
      <c r="X238" s="496" t="s">
        <v>553</v>
      </c>
      <c r="Y238" s="486">
        <v>270</v>
      </c>
      <c r="Z238" s="487" t="s">
        <v>553</v>
      </c>
      <c r="AA238" s="394">
        <v>4.1599999999999996E-3</v>
      </c>
      <c r="AB238" s="395" t="s">
        <v>553</v>
      </c>
      <c r="AC238" s="369"/>
    </row>
    <row r="239" spans="1:29" ht="20.100000000000001" customHeight="1" thickBot="1">
      <c r="A239" s="392" t="s">
        <v>579</v>
      </c>
      <c r="B239" s="393" t="s">
        <v>849</v>
      </c>
      <c r="C239" s="400">
        <f>COUNTIF('Chem Props'!$B$6:$B$851,'Parameters Summary'!A239)</f>
        <v>1</v>
      </c>
      <c r="D239" s="400">
        <f>COUNTIF('Tox Summary'!$N$3:$N$792, 'Parameters Summary'!A239)</f>
        <v>1</v>
      </c>
      <c r="E239" s="438">
        <v>105.14</v>
      </c>
      <c r="F239" s="439" t="s">
        <v>1620</v>
      </c>
      <c r="G239" s="440">
        <v>1.5822E-9</v>
      </c>
      <c r="H239" s="440">
        <v>3.8699999999999999E-11</v>
      </c>
      <c r="I239" s="441" t="s">
        <v>553</v>
      </c>
      <c r="J239" s="440">
        <v>2.7999999999999998E-4</v>
      </c>
      <c r="K239" s="441" t="s">
        <v>1620</v>
      </c>
      <c r="L239" s="457">
        <v>28</v>
      </c>
      <c r="M239" s="458" t="s">
        <v>1620</v>
      </c>
      <c r="N239" s="459">
        <v>1.0966</v>
      </c>
      <c r="O239" s="460" t="s">
        <v>1618</v>
      </c>
      <c r="P239" s="475">
        <v>7.6805399999999996E-2</v>
      </c>
      <c r="Q239" s="475">
        <v>9.8229000000000004E-6</v>
      </c>
      <c r="R239" s="476" t="s">
        <v>2435</v>
      </c>
      <c r="S239" s="477" t="s">
        <v>1531</v>
      </c>
      <c r="T239" s="478" t="s">
        <v>1413</v>
      </c>
      <c r="U239" s="481">
        <v>1</v>
      </c>
      <c r="V239" s="481" t="s">
        <v>553</v>
      </c>
      <c r="W239" s="497">
        <v>-1.43</v>
      </c>
      <c r="X239" s="498" t="s">
        <v>1620</v>
      </c>
      <c r="Y239" s="488">
        <v>1000000</v>
      </c>
      <c r="Z239" s="489" t="s">
        <v>1620</v>
      </c>
      <c r="AA239" s="396">
        <v>4.5099999999999998E-5</v>
      </c>
      <c r="AB239" s="397" t="s">
        <v>553</v>
      </c>
      <c r="AC239" s="369"/>
    </row>
    <row r="240" spans="1:29" ht="20.100000000000001" customHeight="1">
      <c r="A240" s="390" t="s">
        <v>528</v>
      </c>
      <c r="B240" s="391" t="s">
        <v>851</v>
      </c>
      <c r="C240" s="400">
        <f>COUNTIF('Chem Props'!$B$6:$B$851,'Parameters Summary'!A240)</f>
        <v>1</v>
      </c>
      <c r="D240" s="400">
        <f>COUNTIF('Tox Summary'!$N$3:$N$792, 'Parameters Summary'!A240)</f>
        <v>1</v>
      </c>
      <c r="E240" s="434">
        <v>162.22999999999999</v>
      </c>
      <c r="F240" s="435" t="s">
        <v>1620</v>
      </c>
      <c r="G240" s="436">
        <v>2.9436E-7</v>
      </c>
      <c r="H240" s="436">
        <v>7.2E-9</v>
      </c>
      <c r="I240" s="437" t="s">
        <v>1620</v>
      </c>
      <c r="J240" s="436">
        <v>2.1899999999999999E-2</v>
      </c>
      <c r="K240" s="437" t="s">
        <v>1620</v>
      </c>
      <c r="L240" s="453">
        <v>-68</v>
      </c>
      <c r="M240" s="454" t="s">
        <v>1620</v>
      </c>
      <c r="N240" s="455">
        <v>0.95530000000000004</v>
      </c>
      <c r="O240" s="456" t="s">
        <v>1618</v>
      </c>
      <c r="P240" s="471">
        <v>4.14384E-2</v>
      </c>
      <c r="Q240" s="471">
        <v>6.9707E-6</v>
      </c>
      <c r="R240" s="472" t="s">
        <v>2435</v>
      </c>
      <c r="S240" s="473" t="s">
        <v>1531</v>
      </c>
      <c r="T240" s="474" t="s">
        <v>1413</v>
      </c>
      <c r="U240" s="484">
        <v>10</v>
      </c>
      <c r="V240" s="484" t="s">
        <v>553</v>
      </c>
      <c r="W240" s="495">
        <v>0.56000000000000005</v>
      </c>
      <c r="X240" s="496" t="s">
        <v>1620</v>
      </c>
      <c r="Y240" s="486">
        <v>1000000</v>
      </c>
      <c r="Z240" s="487" t="s">
        <v>1620</v>
      </c>
      <c r="AA240" s="394">
        <v>4.5399999999999998E-4</v>
      </c>
      <c r="AB240" s="395" t="s">
        <v>553</v>
      </c>
      <c r="AC240" s="369"/>
    </row>
    <row r="241" spans="1:29" ht="20.100000000000001" customHeight="1">
      <c r="A241" s="390" t="s">
        <v>529</v>
      </c>
      <c r="B241" s="391" t="s">
        <v>852</v>
      </c>
      <c r="C241" s="400">
        <f>COUNTIF('Chem Props'!$B$6:$B$851,'Parameters Summary'!A241)</f>
        <v>1</v>
      </c>
      <c r="D241" s="400">
        <f>COUNTIF('Tox Summary'!$N$3:$N$792, 'Parameters Summary'!A241)</f>
        <v>1</v>
      </c>
      <c r="E241" s="434">
        <v>134.18</v>
      </c>
      <c r="F241" s="435" t="s">
        <v>1620</v>
      </c>
      <c r="G241" s="436">
        <v>9.1169000000000003E-7</v>
      </c>
      <c r="H241" s="436">
        <v>2.2300000000000001E-8</v>
      </c>
      <c r="I241" s="437" t="s">
        <v>553</v>
      </c>
      <c r="J241" s="436">
        <v>0.126</v>
      </c>
      <c r="K241" s="437" t="s">
        <v>1620</v>
      </c>
      <c r="L241" s="453">
        <v>-76</v>
      </c>
      <c r="M241" s="454" t="s">
        <v>1620</v>
      </c>
      <c r="N241" s="455">
        <v>0.98850000000000005</v>
      </c>
      <c r="O241" s="456" t="s">
        <v>1618</v>
      </c>
      <c r="P241" s="471">
        <v>5.6240499999999999E-2</v>
      </c>
      <c r="Q241" s="471">
        <v>7.9734000000000006E-6</v>
      </c>
      <c r="R241" s="472" t="s">
        <v>2435</v>
      </c>
      <c r="S241" s="473" t="s">
        <v>1531</v>
      </c>
      <c r="T241" s="474" t="s">
        <v>1413</v>
      </c>
      <c r="U241" s="484">
        <v>1</v>
      </c>
      <c r="V241" s="484" t="s">
        <v>553</v>
      </c>
      <c r="W241" s="495">
        <v>-0.54</v>
      </c>
      <c r="X241" s="496" t="s">
        <v>1620</v>
      </c>
      <c r="Y241" s="486">
        <v>1000000</v>
      </c>
      <c r="Z241" s="487" t="s">
        <v>1620</v>
      </c>
      <c r="AA241" s="394">
        <v>1.21E-4</v>
      </c>
      <c r="AB241" s="395" t="s">
        <v>553</v>
      </c>
      <c r="AC241" s="369"/>
    </row>
    <row r="242" spans="1:29" ht="20.100000000000001" customHeight="1" thickBot="1">
      <c r="A242" s="392" t="s">
        <v>1097</v>
      </c>
      <c r="B242" s="393" t="s">
        <v>853</v>
      </c>
      <c r="C242" s="400">
        <f>COUNTIF('Chem Props'!$B$6:$B$851,'Parameters Summary'!A242)</f>
        <v>1</v>
      </c>
      <c r="D242" s="400">
        <f>COUNTIF('Tox Summary'!$N$3:$N$792, 'Parameters Summary'!A242)</f>
        <v>1</v>
      </c>
      <c r="E242" s="438">
        <v>101.15</v>
      </c>
      <c r="F242" s="439" t="s">
        <v>1620</v>
      </c>
      <c r="G242" s="440">
        <v>5.3148000000000003E-6</v>
      </c>
      <c r="H242" s="440">
        <v>1.3E-7</v>
      </c>
      <c r="I242" s="441" t="s">
        <v>1620</v>
      </c>
      <c r="J242" s="440">
        <v>1.21</v>
      </c>
      <c r="K242" s="441" t="s">
        <v>553</v>
      </c>
      <c r="L242" s="457">
        <v>-7.6</v>
      </c>
      <c r="M242" s="458" t="s">
        <v>553</v>
      </c>
      <c r="N242" s="459">
        <v>0.90800000000000003</v>
      </c>
      <c r="O242" s="460" t="s">
        <v>1618</v>
      </c>
      <c r="P242" s="475">
        <v>7.3301000000000005E-2</v>
      </c>
      <c r="Q242" s="475">
        <v>8.9772999999999996E-6</v>
      </c>
      <c r="R242" s="476" t="s">
        <v>2435</v>
      </c>
      <c r="S242" s="477" t="s">
        <v>1531</v>
      </c>
      <c r="T242" s="478" t="s">
        <v>1413</v>
      </c>
      <c r="U242" s="481">
        <v>2.06</v>
      </c>
      <c r="V242" s="481" t="s">
        <v>553</v>
      </c>
      <c r="W242" s="497">
        <v>0.05</v>
      </c>
      <c r="X242" s="498" t="s">
        <v>1620</v>
      </c>
      <c r="Y242" s="488">
        <v>1000000</v>
      </c>
      <c r="Z242" s="489" t="s">
        <v>1620</v>
      </c>
      <c r="AA242" s="396">
        <v>4.57E-4</v>
      </c>
      <c r="AB242" s="397" t="s">
        <v>553</v>
      </c>
      <c r="AC242" s="369"/>
    </row>
    <row r="243" spans="1:29" ht="20.100000000000001" customHeight="1">
      <c r="A243" s="390" t="s">
        <v>1404</v>
      </c>
      <c r="B243" s="391" t="s">
        <v>854</v>
      </c>
      <c r="C243" s="400">
        <f>COUNTIF('Chem Props'!$B$6:$B$851,'Parameters Summary'!A243)</f>
        <v>1</v>
      </c>
      <c r="D243" s="400">
        <f>COUNTIF('Tox Summary'!$N$3:$N$792, 'Parameters Summary'!A243)</f>
        <v>1</v>
      </c>
      <c r="E243" s="434">
        <v>268.36</v>
      </c>
      <c r="F243" s="435" t="s">
        <v>1620</v>
      </c>
      <c r="G243" s="436">
        <v>2.3709999999999999E-10</v>
      </c>
      <c r="H243" s="436">
        <v>5.8000000000000003E-12</v>
      </c>
      <c r="I243" s="437" t="s">
        <v>1620</v>
      </c>
      <c r="J243" s="436">
        <v>1.4100000000000001E-8</v>
      </c>
      <c r="K243" s="437" t="s">
        <v>1620</v>
      </c>
      <c r="L243" s="453">
        <v>170.5</v>
      </c>
      <c r="M243" s="454" t="s">
        <v>1620</v>
      </c>
      <c r="N243" s="461" t="s">
        <v>1531</v>
      </c>
      <c r="O243" s="462" t="s">
        <v>1413</v>
      </c>
      <c r="P243" s="471">
        <v>4.5667600000000003E-2</v>
      </c>
      <c r="Q243" s="471">
        <v>5.3359E-6</v>
      </c>
      <c r="R243" s="472" t="s">
        <v>2435</v>
      </c>
      <c r="S243" s="473" t="s">
        <v>1531</v>
      </c>
      <c r="T243" s="474" t="s">
        <v>1413</v>
      </c>
      <c r="U243" s="484">
        <v>274100</v>
      </c>
      <c r="V243" s="484" t="s">
        <v>553</v>
      </c>
      <c r="W243" s="495">
        <v>5.07</v>
      </c>
      <c r="X243" s="496" t="s">
        <v>1620</v>
      </c>
      <c r="Y243" s="486">
        <v>12</v>
      </c>
      <c r="Z243" s="487" t="s">
        <v>1620</v>
      </c>
      <c r="AA243" s="394">
        <v>0.114</v>
      </c>
      <c r="AB243" s="395" t="s">
        <v>553</v>
      </c>
      <c r="AC243" s="369"/>
    </row>
    <row r="244" spans="1:29" ht="20.100000000000001" customHeight="1">
      <c r="A244" s="390" t="s">
        <v>1098</v>
      </c>
      <c r="B244" s="391" t="s">
        <v>855</v>
      </c>
      <c r="C244" s="400">
        <f>COUNTIF('Chem Props'!$B$6:$B$851,'Parameters Summary'!A244)</f>
        <v>1</v>
      </c>
      <c r="D244" s="400">
        <f>COUNTIF('Tox Summary'!$N$3:$N$792, 'Parameters Summary'!A244)</f>
        <v>1</v>
      </c>
      <c r="E244" s="434">
        <v>360.44</v>
      </c>
      <c r="F244" s="435" t="s">
        <v>1620</v>
      </c>
      <c r="G244" s="444" t="s">
        <v>1531</v>
      </c>
      <c r="H244" s="444" t="s">
        <v>1531</v>
      </c>
      <c r="I244" s="445" t="s">
        <v>1413</v>
      </c>
      <c r="J244" s="436">
        <v>4.0899999999999997E-12</v>
      </c>
      <c r="K244" s="437" t="s">
        <v>1620</v>
      </c>
      <c r="L244" s="453">
        <v>157</v>
      </c>
      <c r="M244" s="454" t="s">
        <v>1620</v>
      </c>
      <c r="N244" s="461" t="s">
        <v>1531</v>
      </c>
      <c r="O244" s="462" t="s">
        <v>1413</v>
      </c>
      <c r="P244" s="471">
        <v>3.7514400000000003E-2</v>
      </c>
      <c r="Q244" s="471">
        <v>4.3833E-6</v>
      </c>
      <c r="R244" s="472" t="s">
        <v>2435</v>
      </c>
      <c r="S244" s="473" t="s">
        <v>1531</v>
      </c>
      <c r="T244" s="474" t="s">
        <v>1413</v>
      </c>
      <c r="U244" s="484">
        <v>78380</v>
      </c>
      <c r="V244" s="484" t="s">
        <v>553</v>
      </c>
      <c r="W244" s="495">
        <v>0.65</v>
      </c>
      <c r="X244" s="496" t="s">
        <v>1620</v>
      </c>
      <c r="Y244" s="486">
        <v>817000</v>
      </c>
      <c r="Z244" s="487" t="s">
        <v>1620</v>
      </c>
      <c r="AA244" s="394">
        <v>4.0200000000000001E-5</v>
      </c>
      <c r="AB244" s="395" t="s">
        <v>553</v>
      </c>
      <c r="AC244" s="369"/>
    </row>
    <row r="245" spans="1:29" ht="20.100000000000001" customHeight="1" thickBot="1">
      <c r="A245" s="392" t="s">
        <v>1099</v>
      </c>
      <c r="B245" s="393" t="s">
        <v>856</v>
      </c>
      <c r="C245" s="400">
        <f>COUNTIF('Chem Props'!$B$6:$B$851,'Parameters Summary'!A245)</f>
        <v>1</v>
      </c>
      <c r="D245" s="400">
        <f>COUNTIF('Tox Summary'!$N$3:$N$792, 'Parameters Summary'!A245)</f>
        <v>1</v>
      </c>
      <c r="E245" s="438">
        <v>310.69</v>
      </c>
      <c r="F245" s="439" t="s">
        <v>1620</v>
      </c>
      <c r="G245" s="440">
        <v>1.8806E-7</v>
      </c>
      <c r="H245" s="440">
        <v>4.5999999999999998E-9</v>
      </c>
      <c r="I245" s="441" t="s">
        <v>553</v>
      </c>
      <c r="J245" s="440">
        <v>8.9999999999999999E-10</v>
      </c>
      <c r="K245" s="441" t="s">
        <v>1620</v>
      </c>
      <c r="L245" s="457">
        <v>239</v>
      </c>
      <c r="M245" s="458" t="s">
        <v>1620</v>
      </c>
      <c r="N245" s="463" t="s">
        <v>1531</v>
      </c>
      <c r="O245" s="464" t="s">
        <v>1413</v>
      </c>
      <c r="P245" s="475">
        <v>4.1419200000000003E-2</v>
      </c>
      <c r="Q245" s="475">
        <v>4.8395E-6</v>
      </c>
      <c r="R245" s="476" t="s">
        <v>2435</v>
      </c>
      <c r="S245" s="477" t="s">
        <v>1531</v>
      </c>
      <c r="T245" s="478" t="s">
        <v>1413</v>
      </c>
      <c r="U245" s="481">
        <v>463.2</v>
      </c>
      <c r="V245" s="481" t="s">
        <v>553</v>
      </c>
      <c r="W245" s="497">
        <v>3.88</v>
      </c>
      <c r="X245" s="498" t="s">
        <v>1620</v>
      </c>
      <c r="Y245" s="488">
        <v>0.08</v>
      </c>
      <c r="Z245" s="489" t="s">
        <v>1620</v>
      </c>
      <c r="AA245" s="396">
        <v>1.0699999999999999E-2</v>
      </c>
      <c r="AB245" s="397" t="s">
        <v>553</v>
      </c>
      <c r="AC245" s="369"/>
    </row>
    <row r="246" spans="1:29" ht="20.100000000000001" customHeight="1">
      <c r="A246" s="390" t="s">
        <v>1100</v>
      </c>
      <c r="B246" s="391" t="s">
        <v>857</v>
      </c>
      <c r="C246" s="400">
        <f>COUNTIF('Chem Props'!$B$6:$B$851,'Parameters Summary'!A246)</f>
        <v>1</v>
      </c>
      <c r="D246" s="400">
        <f>COUNTIF('Tox Summary'!$N$3:$N$792, 'Parameters Summary'!A246)</f>
        <v>1</v>
      </c>
      <c r="E246" s="434">
        <v>66.051000000000002</v>
      </c>
      <c r="F246" s="435" t="s">
        <v>1620</v>
      </c>
      <c r="G246" s="436">
        <v>0.82992639999999995</v>
      </c>
      <c r="H246" s="436">
        <v>2.0299999999999999E-2</v>
      </c>
      <c r="I246" s="437" t="s">
        <v>1620</v>
      </c>
      <c r="J246" s="436">
        <v>4550</v>
      </c>
      <c r="K246" s="437" t="s">
        <v>1620</v>
      </c>
      <c r="L246" s="453">
        <v>-117</v>
      </c>
      <c r="M246" s="454" t="s">
        <v>1620</v>
      </c>
      <c r="N246" s="455">
        <v>0.89600000000000002</v>
      </c>
      <c r="O246" s="456" t="s">
        <v>1618</v>
      </c>
      <c r="P246" s="471">
        <v>0.1023145</v>
      </c>
      <c r="Q246" s="471">
        <v>1.15E-5</v>
      </c>
      <c r="R246" s="472" t="s">
        <v>2435</v>
      </c>
      <c r="S246" s="473" t="s">
        <v>1531</v>
      </c>
      <c r="T246" s="474" t="s">
        <v>1413</v>
      </c>
      <c r="U246" s="484">
        <v>31.82</v>
      </c>
      <c r="V246" s="484" t="s">
        <v>553</v>
      </c>
      <c r="W246" s="495">
        <v>0.75</v>
      </c>
      <c r="X246" s="496" t="s">
        <v>1620</v>
      </c>
      <c r="Y246" s="486">
        <v>3200</v>
      </c>
      <c r="Z246" s="487" t="s">
        <v>1620</v>
      </c>
      <c r="AA246" s="394">
        <v>2.0999999999999999E-3</v>
      </c>
      <c r="AB246" s="395" t="s">
        <v>553</v>
      </c>
      <c r="AC246" s="369"/>
    </row>
    <row r="247" spans="1:29" ht="20.100000000000001" customHeight="1">
      <c r="A247" s="390" t="s">
        <v>2498</v>
      </c>
      <c r="B247" s="391" t="s">
        <v>2499</v>
      </c>
      <c r="C247" s="400">
        <f>COUNTIF('Chem Props'!$B$6:$B$851,'Parameters Summary'!A247)</f>
        <v>1</v>
      </c>
      <c r="D247" s="400">
        <f>COUNTIF('Tox Summary'!$N$3:$N$792, 'Parameters Summary'!A247)</f>
        <v>1</v>
      </c>
      <c r="E247" s="434">
        <v>80.078000000000003</v>
      </c>
      <c r="F247" s="435" t="s">
        <v>1620</v>
      </c>
      <c r="G247" s="436">
        <v>21.0139</v>
      </c>
      <c r="H247" s="436">
        <v>0.51400000000000001</v>
      </c>
      <c r="I247" s="437" t="s">
        <v>1620</v>
      </c>
      <c r="J247" s="436">
        <v>1800</v>
      </c>
      <c r="K247" s="437" t="s">
        <v>1620</v>
      </c>
      <c r="L247" s="453">
        <v>-104.8</v>
      </c>
      <c r="M247" s="454" t="s">
        <v>1620</v>
      </c>
      <c r="N247" s="455">
        <v>0.92049999999999998</v>
      </c>
      <c r="O247" s="456" t="s">
        <v>1618</v>
      </c>
      <c r="P247" s="471">
        <v>8.9702400000000002E-2</v>
      </c>
      <c r="Q247" s="471">
        <v>1.04E-5</v>
      </c>
      <c r="R247" s="472" t="s">
        <v>2435</v>
      </c>
      <c r="S247" s="473" t="s">
        <v>1531</v>
      </c>
      <c r="T247" s="474" t="s">
        <v>1413</v>
      </c>
      <c r="U247" s="484">
        <v>43.89</v>
      </c>
      <c r="V247" s="484" t="s">
        <v>553</v>
      </c>
      <c r="W247" s="495">
        <v>2.29</v>
      </c>
      <c r="X247" s="496" t="s">
        <v>1620</v>
      </c>
      <c r="Y247" s="486">
        <v>159.19999999999999</v>
      </c>
      <c r="Z247" s="487" t="s">
        <v>1620</v>
      </c>
      <c r="AA247" s="394">
        <v>1.8499999999999999E-2</v>
      </c>
      <c r="AB247" s="395" t="s">
        <v>553</v>
      </c>
      <c r="AC247" s="369"/>
    </row>
    <row r="248" spans="1:29" ht="20.100000000000001" customHeight="1" thickBot="1">
      <c r="A248" s="392" t="s">
        <v>580</v>
      </c>
      <c r="B248" s="393" t="s">
        <v>858</v>
      </c>
      <c r="C248" s="400">
        <f>COUNTIF('Chem Props'!$B$6:$B$851,'Parameters Summary'!A248)</f>
        <v>1</v>
      </c>
      <c r="D248" s="400">
        <f>COUNTIF('Tox Summary'!$N$3:$N$792, 'Parameters Summary'!A248)</f>
        <v>1</v>
      </c>
      <c r="E248" s="438">
        <v>164.21</v>
      </c>
      <c r="F248" s="439" t="s">
        <v>1620</v>
      </c>
      <c r="G248" s="440">
        <v>4.9879999999999998E-4</v>
      </c>
      <c r="H248" s="440">
        <v>1.22E-5</v>
      </c>
      <c r="I248" s="441" t="s">
        <v>1620</v>
      </c>
      <c r="J248" s="440">
        <v>5.6000000000000001E-2</v>
      </c>
      <c r="K248" s="441" t="s">
        <v>1620</v>
      </c>
      <c r="L248" s="457">
        <v>43.51</v>
      </c>
      <c r="M248" s="458" t="s">
        <v>553</v>
      </c>
      <c r="N248" s="459">
        <v>1.0649999999999999</v>
      </c>
      <c r="O248" s="460" t="s">
        <v>2199</v>
      </c>
      <c r="P248" s="475">
        <v>4.25858E-2</v>
      </c>
      <c r="Q248" s="475">
        <v>7.3865999999999997E-6</v>
      </c>
      <c r="R248" s="476" t="s">
        <v>2435</v>
      </c>
      <c r="S248" s="477" t="s">
        <v>1531</v>
      </c>
      <c r="T248" s="478" t="s">
        <v>1413</v>
      </c>
      <c r="U248" s="481">
        <v>207.2</v>
      </c>
      <c r="V248" s="481" t="s">
        <v>553</v>
      </c>
      <c r="W248" s="497">
        <v>3.58</v>
      </c>
      <c r="X248" s="498" t="s">
        <v>1620</v>
      </c>
      <c r="Y248" s="488">
        <v>56.87</v>
      </c>
      <c r="Z248" s="489" t="s">
        <v>1620</v>
      </c>
      <c r="AA248" s="396">
        <v>4.5199999999999997E-2</v>
      </c>
      <c r="AB248" s="397" t="s">
        <v>553</v>
      </c>
      <c r="AC248" s="369"/>
    </row>
    <row r="249" spans="1:29" ht="20.100000000000001" customHeight="1">
      <c r="A249" s="390" t="s">
        <v>530</v>
      </c>
      <c r="B249" s="391" t="s">
        <v>859</v>
      </c>
      <c r="C249" s="400">
        <f>COUNTIF('Chem Props'!$B$6:$B$851,'Parameters Summary'!A249)</f>
        <v>1</v>
      </c>
      <c r="D249" s="400">
        <f>COUNTIF('Tox Summary'!$N$3:$N$792, 'Parameters Summary'!A249)</f>
        <v>1</v>
      </c>
      <c r="E249" s="434">
        <v>102.18</v>
      </c>
      <c r="F249" s="435" t="s">
        <v>1620</v>
      </c>
      <c r="G249" s="436">
        <v>0.1046607</v>
      </c>
      <c r="H249" s="436">
        <v>2.5600000000000002E-3</v>
      </c>
      <c r="I249" s="437" t="s">
        <v>1620</v>
      </c>
      <c r="J249" s="436">
        <v>149</v>
      </c>
      <c r="K249" s="437" t="s">
        <v>1620</v>
      </c>
      <c r="L249" s="453">
        <v>-86.8</v>
      </c>
      <c r="M249" s="454" t="s">
        <v>1620</v>
      </c>
      <c r="N249" s="455">
        <v>0.71919999999999995</v>
      </c>
      <c r="O249" s="456" t="s">
        <v>1618</v>
      </c>
      <c r="P249" s="471">
        <v>6.5422599999999997E-2</v>
      </c>
      <c r="Q249" s="471">
        <v>7.7581999999999997E-6</v>
      </c>
      <c r="R249" s="472" t="s">
        <v>2435</v>
      </c>
      <c r="S249" s="473" t="s">
        <v>1531</v>
      </c>
      <c r="T249" s="474" t="s">
        <v>1413</v>
      </c>
      <c r="U249" s="484">
        <v>22.79</v>
      </c>
      <c r="V249" s="484" t="s">
        <v>553</v>
      </c>
      <c r="W249" s="495">
        <v>1.52</v>
      </c>
      <c r="X249" s="496" t="s">
        <v>1620</v>
      </c>
      <c r="Y249" s="486">
        <v>8800</v>
      </c>
      <c r="Z249" s="487" t="s">
        <v>1620</v>
      </c>
      <c r="AA249" s="394">
        <v>4.28E-3</v>
      </c>
      <c r="AB249" s="395" t="s">
        <v>553</v>
      </c>
      <c r="AC249" s="369"/>
    </row>
    <row r="250" spans="1:29" ht="20.100000000000001" customHeight="1">
      <c r="A250" s="390" t="s">
        <v>1101</v>
      </c>
      <c r="B250" s="391" t="s">
        <v>860</v>
      </c>
      <c r="C250" s="400">
        <f>COUNTIF('Chem Props'!$B$6:$B$851,'Parameters Summary'!A250)</f>
        <v>1</v>
      </c>
      <c r="D250" s="400">
        <f>COUNTIF('Tox Summary'!$N$3:$N$792, 'Parameters Summary'!A250)</f>
        <v>1</v>
      </c>
      <c r="E250" s="434">
        <v>180.19</v>
      </c>
      <c r="F250" s="435" t="s">
        <v>1620</v>
      </c>
      <c r="G250" s="436">
        <v>1.7907000000000001E-3</v>
      </c>
      <c r="H250" s="436">
        <v>4.3800000000000001E-5</v>
      </c>
      <c r="I250" s="437" t="s">
        <v>553</v>
      </c>
      <c r="J250" s="436">
        <v>0.22800000000000001</v>
      </c>
      <c r="K250" s="437" t="s">
        <v>1620</v>
      </c>
      <c r="L250" s="453">
        <v>-23.8</v>
      </c>
      <c r="M250" s="454" t="s">
        <v>553</v>
      </c>
      <c r="N250" s="455">
        <v>0.97599999999999998</v>
      </c>
      <c r="O250" s="456" t="s">
        <v>2273</v>
      </c>
      <c r="P250" s="471">
        <v>3.3527500000000002E-2</v>
      </c>
      <c r="Q250" s="471">
        <v>6.6297999999999996E-6</v>
      </c>
      <c r="R250" s="472" t="s">
        <v>2435</v>
      </c>
      <c r="S250" s="473" t="s">
        <v>1531</v>
      </c>
      <c r="T250" s="474" t="s">
        <v>1413</v>
      </c>
      <c r="U250" s="484">
        <v>42.2</v>
      </c>
      <c r="V250" s="484" t="s">
        <v>553</v>
      </c>
      <c r="W250" s="495">
        <v>1.03</v>
      </c>
      <c r="X250" s="496" t="s">
        <v>1620</v>
      </c>
      <c r="Y250" s="486">
        <v>1500</v>
      </c>
      <c r="Z250" s="487" t="s">
        <v>1620</v>
      </c>
      <c r="AA250" s="394">
        <v>7.3800000000000005E-4</v>
      </c>
      <c r="AB250" s="395" t="s">
        <v>553</v>
      </c>
      <c r="AC250" s="369"/>
    </row>
    <row r="251" spans="1:29" ht="20.100000000000001" customHeight="1" thickBot="1">
      <c r="A251" s="392" t="s">
        <v>1102</v>
      </c>
      <c r="B251" s="393" t="s">
        <v>861</v>
      </c>
      <c r="C251" s="400">
        <f>COUNTIF('Chem Props'!$B$6:$B$851,'Parameters Summary'!A251)</f>
        <v>1</v>
      </c>
      <c r="D251" s="400">
        <f>COUNTIF('Tox Summary'!$N$3:$N$792, 'Parameters Summary'!A251)</f>
        <v>1</v>
      </c>
      <c r="E251" s="438">
        <v>210.27</v>
      </c>
      <c r="F251" s="439" t="s">
        <v>1620</v>
      </c>
      <c r="G251" s="440">
        <v>9.4029999999999995E-10</v>
      </c>
      <c r="H251" s="440">
        <v>2.3000000000000001E-11</v>
      </c>
      <c r="I251" s="441" t="s">
        <v>553</v>
      </c>
      <c r="J251" s="440">
        <v>3.8299999999999998E-7</v>
      </c>
      <c r="K251" s="441" t="s">
        <v>1620</v>
      </c>
      <c r="L251" s="457">
        <v>165</v>
      </c>
      <c r="M251" s="458" t="s">
        <v>1620</v>
      </c>
      <c r="N251" s="463" t="s">
        <v>1531</v>
      </c>
      <c r="O251" s="464" t="s">
        <v>1413</v>
      </c>
      <c r="P251" s="475">
        <v>5.3732299999999997E-2</v>
      </c>
      <c r="Q251" s="475">
        <v>6.2782000000000003E-6</v>
      </c>
      <c r="R251" s="476" t="s">
        <v>2435</v>
      </c>
      <c r="S251" s="477" t="s">
        <v>1531</v>
      </c>
      <c r="T251" s="478" t="s">
        <v>1413</v>
      </c>
      <c r="U251" s="481">
        <v>10</v>
      </c>
      <c r="V251" s="481" t="s">
        <v>553</v>
      </c>
      <c r="W251" s="497">
        <v>-0.17</v>
      </c>
      <c r="X251" s="498" t="s">
        <v>1620</v>
      </c>
      <c r="Y251" s="488">
        <v>4600</v>
      </c>
      <c r="Z251" s="489" t="s">
        <v>1620</v>
      </c>
      <c r="AA251" s="396">
        <v>7.9800000000000002E-5</v>
      </c>
      <c r="AB251" s="397" t="s">
        <v>553</v>
      </c>
      <c r="AC251" s="369"/>
    </row>
    <row r="252" spans="1:29" ht="20.100000000000001" customHeight="1">
      <c r="A252" s="390" t="s">
        <v>1103</v>
      </c>
      <c r="B252" s="391" t="s">
        <v>862</v>
      </c>
      <c r="C252" s="400">
        <f>COUNTIF('Chem Props'!$B$6:$B$851,'Parameters Summary'!A252)</f>
        <v>1</v>
      </c>
      <c r="D252" s="400">
        <f>COUNTIF('Tox Summary'!$N$3:$N$792, 'Parameters Summary'!A252)</f>
        <v>1</v>
      </c>
      <c r="E252" s="434">
        <v>229.26</v>
      </c>
      <c r="F252" s="435" t="s">
        <v>1620</v>
      </c>
      <c r="G252" s="436">
        <v>9.9345999999999992E-9</v>
      </c>
      <c r="H252" s="436">
        <v>2.4299999999999999E-10</v>
      </c>
      <c r="I252" s="437" t="s">
        <v>553</v>
      </c>
      <c r="J252" s="436">
        <v>1.88E-5</v>
      </c>
      <c r="K252" s="437" t="s">
        <v>1620</v>
      </c>
      <c r="L252" s="453">
        <v>52</v>
      </c>
      <c r="M252" s="454" t="s">
        <v>1620</v>
      </c>
      <c r="N252" s="455">
        <v>1.2769999999999999</v>
      </c>
      <c r="O252" s="456" t="s">
        <v>1618</v>
      </c>
      <c r="P252" s="471">
        <v>2.6085199999999999E-2</v>
      </c>
      <c r="Q252" s="471">
        <v>6.742E-6</v>
      </c>
      <c r="R252" s="472" t="s">
        <v>2435</v>
      </c>
      <c r="S252" s="473" t="s">
        <v>1531</v>
      </c>
      <c r="T252" s="474" t="s">
        <v>1413</v>
      </c>
      <c r="U252" s="484">
        <v>12.77</v>
      </c>
      <c r="V252" s="484" t="s">
        <v>553</v>
      </c>
      <c r="W252" s="495">
        <v>0.78</v>
      </c>
      <c r="X252" s="496" t="s">
        <v>1620</v>
      </c>
      <c r="Y252" s="486">
        <v>23300</v>
      </c>
      <c r="Z252" s="487" t="s">
        <v>1620</v>
      </c>
      <c r="AA252" s="394">
        <v>2.6699999999999998E-4</v>
      </c>
      <c r="AB252" s="395" t="s">
        <v>553</v>
      </c>
      <c r="AC252" s="369"/>
    </row>
    <row r="253" spans="1:29" ht="20.100000000000001" customHeight="1">
      <c r="A253" s="390" t="s">
        <v>1104</v>
      </c>
      <c r="B253" s="391" t="s">
        <v>863</v>
      </c>
      <c r="C253" s="400">
        <f>COUNTIF('Chem Props'!$B$6:$B$851,'Parameters Summary'!A253)</f>
        <v>1</v>
      </c>
      <c r="D253" s="400">
        <f>COUNTIF('Tox Summary'!$N$3:$N$792, 'Parameters Summary'!A253)</f>
        <v>1</v>
      </c>
      <c r="E253" s="434">
        <v>244.3</v>
      </c>
      <c r="F253" s="435" t="s">
        <v>1620</v>
      </c>
      <c r="G253" s="436">
        <v>1.9215E-9</v>
      </c>
      <c r="H253" s="436">
        <v>4.6999999999999999E-11</v>
      </c>
      <c r="I253" s="437" t="s">
        <v>1620</v>
      </c>
      <c r="J253" s="436">
        <v>1.2499999999999999E-7</v>
      </c>
      <c r="K253" s="437" t="s">
        <v>1620</v>
      </c>
      <c r="L253" s="453">
        <v>137</v>
      </c>
      <c r="M253" s="454" t="s">
        <v>1620</v>
      </c>
      <c r="N253" s="461" t="s">
        <v>1531</v>
      </c>
      <c r="O253" s="462" t="s">
        <v>1413</v>
      </c>
      <c r="P253" s="471">
        <v>4.8618799999999997E-2</v>
      </c>
      <c r="Q253" s="471">
        <v>5.6806999999999997E-6</v>
      </c>
      <c r="R253" s="472" t="s">
        <v>2435</v>
      </c>
      <c r="S253" s="473" t="s">
        <v>1531</v>
      </c>
      <c r="T253" s="474" t="s">
        <v>1413</v>
      </c>
      <c r="U253" s="484">
        <v>508.8</v>
      </c>
      <c r="V253" s="484" t="s">
        <v>553</v>
      </c>
      <c r="W253" s="495">
        <v>1.81</v>
      </c>
      <c r="X253" s="496" t="s">
        <v>1620</v>
      </c>
      <c r="Y253" s="486">
        <v>60</v>
      </c>
      <c r="Z253" s="487" t="s">
        <v>1620</v>
      </c>
      <c r="AA253" s="394">
        <v>1.06E-3</v>
      </c>
      <c r="AB253" s="395" t="s">
        <v>553</v>
      </c>
      <c r="AC253" s="369"/>
    </row>
    <row r="254" spans="1:29" ht="20.100000000000001" customHeight="1" thickBot="1">
      <c r="A254" s="392" t="s">
        <v>1105</v>
      </c>
      <c r="B254" s="393" t="s">
        <v>864</v>
      </c>
      <c r="C254" s="400">
        <f>COUNTIF('Chem Props'!$B$6:$B$851,'Parameters Summary'!A254)</f>
        <v>1</v>
      </c>
      <c r="D254" s="400">
        <f>COUNTIF('Tox Summary'!$N$3:$N$792, 'Parameters Summary'!A254)</f>
        <v>1</v>
      </c>
      <c r="E254" s="438">
        <v>124.08</v>
      </c>
      <c r="F254" s="439" t="s">
        <v>1620</v>
      </c>
      <c r="G254" s="440">
        <v>5.5601000000000003E-6</v>
      </c>
      <c r="H254" s="440">
        <v>1.36E-7</v>
      </c>
      <c r="I254" s="441" t="s">
        <v>1620</v>
      </c>
      <c r="J254" s="440">
        <v>0.83299999999999996</v>
      </c>
      <c r="K254" s="441" t="s">
        <v>1620</v>
      </c>
      <c r="L254" s="457">
        <v>-48.25</v>
      </c>
      <c r="M254" s="458" t="s">
        <v>553</v>
      </c>
      <c r="N254" s="459">
        <v>1.1684000000000001</v>
      </c>
      <c r="O254" s="460" t="s">
        <v>1618</v>
      </c>
      <c r="P254" s="475">
        <v>6.6579600000000003E-2</v>
      </c>
      <c r="Q254" s="475">
        <v>9.2385999999999999E-6</v>
      </c>
      <c r="R254" s="476" t="s">
        <v>2435</v>
      </c>
      <c r="S254" s="477" t="s">
        <v>1531</v>
      </c>
      <c r="T254" s="478" t="s">
        <v>1413</v>
      </c>
      <c r="U254" s="481">
        <v>5.407</v>
      </c>
      <c r="V254" s="481" t="s">
        <v>553</v>
      </c>
      <c r="W254" s="497">
        <v>-0.61</v>
      </c>
      <c r="X254" s="498" t="s">
        <v>1620</v>
      </c>
      <c r="Y254" s="488">
        <v>1000000</v>
      </c>
      <c r="Z254" s="489" t="s">
        <v>1620</v>
      </c>
      <c r="AA254" s="396">
        <v>1.2400000000000001E-4</v>
      </c>
      <c r="AB254" s="397" t="s">
        <v>553</v>
      </c>
      <c r="AC254" s="369"/>
    </row>
    <row r="255" spans="1:29" ht="20.100000000000001" customHeight="1">
      <c r="A255" s="390" t="s">
        <v>581</v>
      </c>
      <c r="B255" s="391" t="s">
        <v>865</v>
      </c>
      <c r="C255" s="400">
        <f>COUNTIF('Chem Props'!$B$6:$B$851,'Parameters Summary'!A255)</f>
        <v>1</v>
      </c>
      <c r="D255" s="400">
        <f>COUNTIF('Tox Summary'!$N$3:$N$792, 'Parameters Summary'!A255)</f>
        <v>1</v>
      </c>
      <c r="E255" s="434">
        <v>225.3</v>
      </c>
      <c r="F255" s="435" t="s">
        <v>1620</v>
      </c>
      <c r="G255" s="436">
        <v>1.6353000000000001E-8</v>
      </c>
      <c r="H255" s="436">
        <v>4.0000000000000001E-10</v>
      </c>
      <c r="I255" s="437" t="s">
        <v>1620</v>
      </c>
      <c r="J255" s="436">
        <v>7.0000000000000005E-8</v>
      </c>
      <c r="K255" s="437" t="s">
        <v>553</v>
      </c>
      <c r="L255" s="453">
        <v>117</v>
      </c>
      <c r="M255" s="454" t="s">
        <v>1620</v>
      </c>
      <c r="N255" s="461" t="s">
        <v>1531</v>
      </c>
      <c r="O255" s="462" t="s">
        <v>1413</v>
      </c>
      <c r="P255" s="471">
        <v>5.1315199999999998E-2</v>
      </c>
      <c r="Q255" s="471">
        <v>5.9958000000000003E-6</v>
      </c>
      <c r="R255" s="472" t="s">
        <v>2435</v>
      </c>
      <c r="S255" s="473" t="s">
        <v>1531</v>
      </c>
      <c r="T255" s="474" t="s">
        <v>1413</v>
      </c>
      <c r="U255" s="484">
        <v>2028</v>
      </c>
      <c r="V255" s="484" t="s">
        <v>553</v>
      </c>
      <c r="W255" s="495">
        <v>4.58</v>
      </c>
      <c r="X255" s="496" t="s">
        <v>1620</v>
      </c>
      <c r="Y255" s="486">
        <v>0.23</v>
      </c>
      <c r="Z255" s="487" t="s">
        <v>1620</v>
      </c>
      <c r="AA255" s="394">
        <v>9.4299999999999995E-2</v>
      </c>
      <c r="AB255" s="395" t="s">
        <v>553</v>
      </c>
      <c r="AC255" s="369"/>
    </row>
    <row r="256" spans="1:29" ht="20.100000000000001" customHeight="1">
      <c r="A256" s="390" t="s">
        <v>1106</v>
      </c>
      <c r="B256" s="391" t="s">
        <v>866</v>
      </c>
      <c r="C256" s="400">
        <f>COUNTIF('Chem Props'!$B$6:$B$851,'Parameters Summary'!A256)</f>
        <v>1</v>
      </c>
      <c r="D256" s="400">
        <f>COUNTIF('Tox Summary'!$N$3:$N$792, 'Parameters Summary'!A256)</f>
        <v>1</v>
      </c>
      <c r="E256" s="434">
        <v>121.18</v>
      </c>
      <c r="F256" s="435" t="s">
        <v>1620</v>
      </c>
      <c r="G256" s="436">
        <v>9.48E-5</v>
      </c>
      <c r="H256" s="436">
        <v>2.3199999999999998E-6</v>
      </c>
      <c r="I256" s="437" t="s">
        <v>1620</v>
      </c>
      <c r="J256" s="436">
        <v>0.17799999999999999</v>
      </c>
      <c r="K256" s="437" t="s">
        <v>1620</v>
      </c>
      <c r="L256" s="453">
        <v>156.87</v>
      </c>
      <c r="M256" s="454" t="s">
        <v>553</v>
      </c>
      <c r="N256" s="461" t="s">
        <v>1531</v>
      </c>
      <c r="O256" s="462" t="s">
        <v>1413</v>
      </c>
      <c r="P256" s="471">
        <v>7.7588900000000002E-2</v>
      </c>
      <c r="Q256" s="471">
        <v>9.0657000000000003E-6</v>
      </c>
      <c r="R256" s="472" t="s">
        <v>2435</v>
      </c>
      <c r="S256" s="473" t="s">
        <v>1531</v>
      </c>
      <c r="T256" s="474" t="s">
        <v>1413</v>
      </c>
      <c r="U256" s="484">
        <v>351.9</v>
      </c>
      <c r="V256" s="484" t="s">
        <v>553</v>
      </c>
      <c r="W256" s="495">
        <v>2.17</v>
      </c>
      <c r="X256" s="496" t="s">
        <v>1620</v>
      </c>
      <c r="Y256" s="486">
        <v>3650</v>
      </c>
      <c r="Z256" s="487" t="s">
        <v>1620</v>
      </c>
      <c r="AA256" s="394">
        <v>2.02E-5</v>
      </c>
      <c r="AB256" s="395" t="s">
        <v>553</v>
      </c>
      <c r="AC256" s="369"/>
    </row>
    <row r="257" spans="1:29" ht="20.100000000000001" customHeight="1" thickBot="1">
      <c r="A257" s="392" t="s">
        <v>1107</v>
      </c>
      <c r="B257" s="393" t="s">
        <v>867</v>
      </c>
      <c r="C257" s="400">
        <f>COUNTIF('Chem Props'!$B$6:$B$851,'Parameters Summary'!A257)</f>
        <v>1</v>
      </c>
      <c r="D257" s="400">
        <f>COUNTIF('Tox Summary'!$N$3:$N$792, 'Parameters Summary'!A257)</f>
        <v>1</v>
      </c>
      <c r="E257" s="438">
        <v>121.18</v>
      </c>
      <c r="F257" s="439" t="s">
        <v>1620</v>
      </c>
      <c r="G257" s="440">
        <v>1.022E-4</v>
      </c>
      <c r="H257" s="440">
        <v>2.5000000000000002E-6</v>
      </c>
      <c r="I257" s="441" t="s">
        <v>1620</v>
      </c>
      <c r="J257" s="440">
        <v>0.1331</v>
      </c>
      <c r="K257" s="441" t="s">
        <v>1620</v>
      </c>
      <c r="L257" s="457">
        <v>-14.3</v>
      </c>
      <c r="M257" s="458" t="s">
        <v>1620</v>
      </c>
      <c r="N257" s="459">
        <v>0.97230000000000005</v>
      </c>
      <c r="O257" s="460" t="s">
        <v>1618</v>
      </c>
      <c r="P257" s="475">
        <v>6.3024899999999995E-2</v>
      </c>
      <c r="Q257" s="475">
        <v>8.3924999999999997E-6</v>
      </c>
      <c r="R257" s="476" t="s">
        <v>2435</v>
      </c>
      <c r="S257" s="477" t="s">
        <v>1531</v>
      </c>
      <c r="T257" s="478" t="s">
        <v>1413</v>
      </c>
      <c r="U257" s="481">
        <v>184.5</v>
      </c>
      <c r="V257" s="481" t="s">
        <v>553</v>
      </c>
      <c r="W257" s="497">
        <v>1.68</v>
      </c>
      <c r="X257" s="498" t="s">
        <v>1620</v>
      </c>
      <c r="Y257" s="488">
        <v>6069</v>
      </c>
      <c r="Z257" s="489" t="s">
        <v>1620</v>
      </c>
      <c r="AA257" s="396">
        <v>4.28E-3</v>
      </c>
      <c r="AB257" s="397" t="s">
        <v>553</v>
      </c>
      <c r="AC257" s="369"/>
    </row>
    <row r="258" spans="1:29" ht="20.100000000000001" customHeight="1">
      <c r="A258" s="390" t="s">
        <v>1108</v>
      </c>
      <c r="B258" s="391" t="s">
        <v>868</v>
      </c>
      <c r="C258" s="400">
        <f>COUNTIF('Chem Props'!$B$6:$B$851,'Parameters Summary'!A258)</f>
        <v>1</v>
      </c>
      <c r="D258" s="400">
        <f>COUNTIF('Tox Summary'!$N$3:$N$792, 'Parameters Summary'!A258)</f>
        <v>1</v>
      </c>
      <c r="E258" s="434">
        <v>121.18</v>
      </c>
      <c r="F258" s="435" t="s">
        <v>1620</v>
      </c>
      <c r="G258" s="436">
        <v>2.3222E-3</v>
      </c>
      <c r="H258" s="436">
        <v>5.6799999999999998E-5</v>
      </c>
      <c r="I258" s="437" t="s">
        <v>553</v>
      </c>
      <c r="J258" s="436">
        <v>0.7</v>
      </c>
      <c r="K258" s="437" t="s">
        <v>1620</v>
      </c>
      <c r="L258" s="453">
        <v>2.5</v>
      </c>
      <c r="M258" s="454" t="s">
        <v>1620</v>
      </c>
      <c r="N258" s="455">
        <v>0.95569999999999999</v>
      </c>
      <c r="O258" s="456" t="s">
        <v>1618</v>
      </c>
      <c r="P258" s="471">
        <v>6.2541100000000002E-2</v>
      </c>
      <c r="Q258" s="471">
        <v>8.3063000000000004E-6</v>
      </c>
      <c r="R258" s="472" t="s">
        <v>2435</v>
      </c>
      <c r="S258" s="473" t="s">
        <v>1531</v>
      </c>
      <c r="T258" s="474" t="s">
        <v>1413</v>
      </c>
      <c r="U258" s="484">
        <v>78.67</v>
      </c>
      <c r="V258" s="484" t="s">
        <v>553</v>
      </c>
      <c r="W258" s="495">
        <v>2.31</v>
      </c>
      <c r="X258" s="496" t="s">
        <v>1620</v>
      </c>
      <c r="Y258" s="486">
        <v>1450</v>
      </c>
      <c r="Z258" s="487" t="s">
        <v>1620</v>
      </c>
      <c r="AA258" s="394">
        <v>1.12E-2</v>
      </c>
      <c r="AB258" s="395" t="s">
        <v>553</v>
      </c>
      <c r="AC258" s="369"/>
    </row>
    <row r="259" spans="1:29" ht="20.100000000000001" customHeight="1">
      <c r="A259" s="390" t="s">
        <v>531</v>
      </c>
      <c r="B259" s="391" t="s">
        <v>869</v>
      </c>
      <c r="C259" s="400">
        <f>COUNTIF('Chem Props'!$B$6:$B$851,'Parameters Summary'!A259)</f>
        <v>1</v>
      </c>
      <c r="D259" s="400">
        <f>COUNTIF('Tox Summary'!$N$3:$N$792, 'Parameters Summary'!A259)</f>
        <v>1</v>
      </c>
      <c r="E259" s="434">
        <v>212.3</v>
      </c>
      <c r="F259" s="435" t="s">
        <v>1620</v>
      </c>
      <c r="G259" s="436">
        <v>2.5715000000000001E-9</v>
      </c>
      <c r="H259" s="436">
        <v>6.2899999999999997E-11</v>
      </c>
      <c r="I259" s="437" t="s">
        <v>1620</v>
      </c>
      <c r="J259" s="436">
        <v>6.92E-7</v>
      </c>
      <c r="K259" s="437" t="s">
        <v>1620</v>
      </c>
      <c r="L259" s="453">
        <v>131.5</v>
      </c>
      <c r="M259" s="454" t="s">
        <v>1620</v>
      </c>
      <c r="N259" s="461" t="s">
        <v>1531</v>
      </c>
      <c r="O259" s="462" t="s">
        <v>1413</v>
      </c>
      <c r="P259" s="471">
        <v>5.3389199999999998E-2</v>
      </c>
      <c r="Q259" s="471">
        <v>6.2380999999999996E-6</v>
      </c>
      <c r="R259" s="472" t="s">
        <v>2435</v>
      </c>
      <c r="S259" s="473" t="s">
        <v>1531</v>
      </c>
      <c r="T259" s="474" t="s">
        <v>1413</v>
      </c>
      <c r="U259" s="484">
        <v>3190</v>
      </c>
      <c r="V259" s="484" t="s">
        <v>553</v>
      </c>
      <c r="W259" s="495">
        <v>2.34</v>
      </c>
      <c r="X259" s="496" t="s">
        <v>1620</v>
      </c>
      <c r="Y259" s="486">
        <v>1300</v>
      </c>
      <c r="Z259" s="487" t="s">
        <v>1620</v>
      </c>
      <c r="AA259" s="394">
        <v>3.62E-3</v>
      </c>
      <c r="AB259" s="395" t="s">
        <v>553</v>
      </c>
      <c r="AC259" s="369"/>
    </row>
    <row r="260" spans="1:29" ht="20.100000000000001" customHeight="1" thickBot="1">
      <c r="A260" s="392" t="s">
        <v>1109</v>
      </c>
      <c r="B260" s="393" t="s">
        <v>870</v>
      </c>
      <c r="C260" s="400">
        <f>COUNTIF('Chem Props'!$B$6:$B$851,'Parameters Summary'!A260)</f>
        <v>1</v>
      </c>
      <c r="D260" s="400">
        <f>COUNTIF('Tox Summary'!$N$3:$N$792, 'Parameters Summary'!A260)</f>
        <v>1</v>
      </c>
      <c r="E260" s="438">
        <v>73.094999999999999</v>
      </c>
      <c r="F260" s="439" t="s">
        <v>1620</v>
      </c>
      <c r="G260" s="440">
        <v>3.0213000000000002E-6</v>
      </c>
      <c r="H260" s="440">
        <v>7.3900000000000007E-8</v>
      </c>
      <c r="I260" s="441" t="s">
        <v>1620</v>
      </c>
      <c r="J260" s="440">
        <v>3.87</v>
      </c>
      <c r="K260" s="441" t="s">
        <v>1620</v>
      </c>
      <c r="L260" s="457">
        <v>-60.4</v>
      </c>
      <c r="M260" s="458" t="s">
        <v>1620</v>
      </c>
      <c r="N260" s="459">
        <v>0.94450000000000001</v>
      </c>
      <c r="O260" s="460" t="s">
        <v>1618</v>
      </c>
      <c r="P260" s="475">
        <v>9.7184599999999996E-2</v>
      </c>
      <c r="Q260" s="475">
        <v>1.1199999999999999E-5</v>
      </c>
      <c r="R260" s="476" t="s">
        <v>2435</v>
      </c>
      <c r="S260" s="477" t="s">
        <v>1531</v>
      </c>
      <c r="T260" s="478" t="s">
        <v>1413</v>
      </c>
      <c r="U260" s="481">
        <v>1</v>
      </c>
      <c r="V260" s="481" t="s">
        <v>553</v>
      </c>
      <c r="W260" s="497">
        <v>-1.01</v>
      </c>
      <c r="X260" s="498" t="s">
        <v>1620</v>
      </c>
      <c r="Y260" s="488">
        <v>1000000</v>
      </c>
      <c r="Z260" s="489" t="s">
        <v>1620</v>
      </c>
      <c r="AA260" s="396">
        <v>1.2999999999999999E-4</v>
      </c>
      <c r="AB260" s="397" t="s">
        <v>553</v>
      </c>
      <c r="AC260" s="369"/>
    </row>
    <row r="261" spans="1:29" ht="20.100000000000001" customHeight="1">
      <c r="A261" s="390" t="s">
        <v>582</v>
      </c>
      <c r="B261" s="391" t="s">
        <v>871</v>
      </c>
      <c r="C261" s="400">
        <f>COUNTIF('Chem Props'!$B$6:$B$851,'Parameters Summary'!A261)</f>
        <v>1</v>
      </c>
      <c r="D261" s="400">
        <f>COUNTIF('Tox Summary'!$N$3:$N$792, 'Parameters Summary'!A261)</f>
        <v>1</v>
      </c>
      <c r="E261" s="434">
        <v>60.098999999999997</v>
      </c>
      <c r="F261" s="435" t="s">
        <v>1620</v>
      </c>
      <c r="G261" s="436">
        <v>5.2740000000000003E-4</v>
      </c>
      <c r="H261" s="436">
        <v>1.29E-5</v>
      </c>
      <c r="I261" s="437" t="s">
        <v>1620</v>
      </c>
      <c r="J261" s="436">
        <v>163</v>
      </c>
      <c r="K261" s="437" t="s">
        <v>1620</v>
      </c>
      <c r="L261" s="453">
        <v>-58</v>
      </c>
      <c r="M261" s="454" t="s">
        <v>1620</v>
      </c>
      <c r="N261" s="455">
        <v>0.79100000000000004</v>
      </c>
      <c r="O261" s="456" t="s">
        <v>1618</v>
      </c>
      <c r="P261" s="471">
        <v>0.10378569999999999</v>
      </c>
      <c r="Q261" s="471">
        <v>1.13E-5</v>
      </c>
      <c r="R261" s="472" t="s">
        <v>2435</v>
      </c>
      <c r="S261" s="473" t="s">
        <v>1531</v>
      </c>
      <c r="T261" s="474" t="s">
        <v>1413</v>
      </c>
      <c r="U261" s="484">
        <v>11.95</v>
      </c>
      <c r="V261" s="484" t="s">
        <v>553</v>
      </c>
      <c r="W261" s="495">
        <v>-1.19</v>
      </c>
      <c r="X261" s="496" t="s">
        <v>1620</v>
      </c>
      <c r="Y261" s="486">
        <v>1000000</v>
      </c>
      <c r="Z261" s="487" t="s">
        <v>1620</v>
      </c>
      <c r="AA261" s="394">
        <v>7.2700000000000005E-5</v>
      </c>
      <c r="AB261" s="395" t="s">
        <v>1668</v>
      </c>
      <c r="AC261" s="369"/>
    </row>
    <row r="262" spans="1:29" ht="20.100000000000001" customHeight="1">
      <c r="A262" s="390" t="s">
        <v>583</v>
      </c>
      <c r="B262" s="391" t="s">
        <v>872</v>
      </c>
      <c r="C262" s="400">
        <f>COUNTIF('Chem Props'!$B$6:$B$851,'Parameters Summary'!A262)</f>
        <v>1</v>
      </c>
      <c r="D262" s="400">
        <f>COUNTIF('Tox Summary'!$N$3:$N$792, 'Parameters Summary'!A262)</f>
        <v>1</v>
      </c>
      <c r="E262" s="434">
        <v>60.098999999999997</v>
      </c>
      <c r="F262" s="435" t="s">
        <v>1620</v>
      </c>
      <c r="G262" s="436">
        <v>2.8414E-6</v>
      </c>
      <c r="H262" s="436">
        <v>6.9499999999999994E-8</v>
      </c>
      <c r="I262" s="437" t="s">
        <v>1620</v>
      </c>
      <c r="J262" s="436">
        <v>69.900000000000006</v>
      </c>
      <c r="K262" s="437" t="s">
        <v>1620</v>
      </c>
      <c r="L262" s="453">
        <v>-9</v>
      </c>
      <c r="M262" s="454" t="s">
        <v>1620</v>
      </c>
      <c r="N262" s="455">
        <v>0.82740000000000002</v>
      </c>
      <c r="O262" s="456" t="s">
        <v>1618</v>
      </c>
      <c r="P262" s="471">
        <v>0.1057704</v>
      </c>
      <c r="Q262" s="471">
        <v>1.1600000000000001E-5</v>
      </c>
      <c r="R262" s="472" t="s">
        <v>2435</v>
      </c>
      <c r="S262" s="473" t="s">
        <v>1531</v>
      </c>
      <c r="T262" s="474" t="s">
        <v>1413</v>
      </c>
      <c r="U262" s="484">
        <v>14.87</v>
      </c>
      <c r="V262" s="484" t="s">
        <v>553</v>
      </c>
      <c r="W262" s="495">
        <v>-0.54</v>
      </c>
      <c r="X262" s="496" t="s">
        <v>1620</v>
      </c>
      <c r="Y262" s="486">
        <v>1000000</v>
      </c>
      <c r="Z262" s="487" t="s">
        <v>1620</v>
      </c>
      <c r="AA262" s="394">
        <v>3.1700000000000001E-4</v>
      </c>
      <c r="AB262" s="395" t="s">
        <v>553</v>
      </c>
      <c r="AC262" s="369"/>
    </row>
    <row r="263" spans="1:29" ht="20.100000000000001" customHeight="1" thickBot="1">
      <c r="A263" s="392" t="s">
        <v>1110</v>
      </c>
      <c r="B263" s="393" t="s">
        <v>873</v>
      </c>
      <c r="C263" s="400">
        <f>COUNTIF('Chem Props'!$B$6:$B$851,'Parameters Summary'!A263)</f>
        <v>1</v>
      </c>
      <c r="D263" s="400">
        <f>COUNTIF('Tox Summary'!$N$3:$N$792, 'Parameters Summary'!A263)</f>
        <v>1</v>
      </c>
      <c r="E263" s="438">
        <v>122.17</v>
      </c>
      <c r="F263" s="439" t="s">
        <v>1620</v>
      </c>
      <c r="G263" s="440">
        <v>3.8899999999999997E-5</v>
      </c>
      <c r="H263" s="440">
        <v>9.5099999999999998E-7</v>
      </c>
      <c r="I263" s="441" t="s">
        <v>1620</v>
      </c>
      <c r="J263" s="440">
        <v>0.10199999999999999</v>
      </c>
      <c r="K263" s="441" t="s">
        <v>1620</v>
      </c>
      <c r="L263" s="457">
        <v>24.5</v>
      </c>
      <c r="M263" s="458" t="s">
        <v>1620</v>
      </c>
      <c r="N263" s="459">
        <v>0.96499999999999997</v>
      </c>
      <c r="O263" s="460" t="s">
        <v>1618</v>
      </c>
      <c r="P263" s="475">
        <v>6.2245099999999998E-2</v>
      </c>
      <c r="Q263" s="475">
        <v>8.3140000000000004E-6</v>
      </c>
      <c r="R263" s="476" t="s">
        <v>2435</v>
      </c>
      <c r="S263" s="477" t="s">
        <v>1531</v>
      </c>
      <c r="T263" s="478" t="s">
        <v>1413</v>
      </c>
      <c r="U263" s="481">
        <v>491.8</v>
      </c>
      <c r="V263" s="481" t="s">
        <v>553</v>
      </c>
      <c r="W263" s="497">
        <v>2.2999999999999998</v>
      </c>
      <c r="X263" s="498" t="s">
        <v>1620</v>
      </c>
      <c r="Y263" s="488">
        <v>7870</v>
      </c>
      <c r="Z263" s="489" t="s">
        <v>1620</v>
      </c>
      <c r="AA263" s="396">
        <v>1.09E-2</v>
      </c>
      <c r="AB263" s="397" t="s">
        <v>553</v>
      </c>
      <c r="AC263" s="369"/>
    </row>
    <row r="264" spans="1:29" ht="20.100000000000001" customHeight="1">
      <c r="A264" s="390" t="s">
        <v>1111</v>
      </c>
      <c r="B264" s="391" t="s">
        <v>874</v>
      </c>
      <c r="C264" s="400">
        <f>COUNTIF('Chem Props'!$B$6:$B$851,'Parameters Summary'!A264)</f>
        <v>1</v>
      </c>
      <c r="D264" s="400">
        <f>COUNTIF('Tox Summary'!$N$3:$N$792, 'Parameters Summary'!A264)</f>
        <v>1</v>
      </c>
      <c r="E264" s="434">
        <v>122.17</v>
      </c>
      <c r="F264" s="435" t="s">
        <v>1620</v>
      </c>
      <c r="G264" s="436">
        <v>2.719E-4</v>
      </c>
      <c r="H264" s="436">
        <v>6.6499999999999999E-6</v>
      </c>
      <c r="I264" s="437" t="s">
        <v>1620</v>
      </c>
      <c r="J264" s="436">
        <v>0.17100000000000001</v>
      </c>
      <c r="K264" s="437" t="s">
        <v>553</v>
      </c>
      <c r="L264" s="453">
        <v>45.7</v>
      </c>
      <c r="M264" s="454" t="s">
        <v>1620</v>
      </c>
      <c r="N264" s="461" t="s">
        <v>1531</v>
      </c>
      <c r="O264" s="462" t="s">
        <v>1413</v>
      </c>
      <c r="P264" s="471">
        <v>7.7169199999999993E-2</v>
      </c>
      <c r="Q264" s="471">
        <v>9.0165999999999994E-6</v>
      </c>
      <c r="R264" s="472" t="s">
        <v>2435</v>
      </c>
      <c r="S264" s="473" t="s">
        <v>1531</v>
      </c>
      <c r="T264" s="474" t="s">
        <v>1413</v>
      </c>
      <c r="U264" s="484">
        <v>501.9</v>
      </c>
      <c r="V264" s="484" t="s">
        <v>553</v>
      </c>
      <c r="W264" s="495">
        <v>2.36</v>
      </c>
      <c r="X264" s="496" t="s">
        <v>1620</v>
      </c>
      <c r="Y264" s="486">
        <v>6050</v>
      </c>
      <c r="Z264" s="487" t="s">
        <v>1620</v>
      </c>
      <c r="AA264" s="394">
        <v>1.2E-2</v>
      </c>
      <c r="AB264" s="395" t="s">
        <v>553</v>
      </c>
      <c r="AC264" s="369"/>
    </row>
    <row r="265" spans="1:29" ht="20.100000000000001" customHeight="1">
      <c r="A265" s="390" t="s">
        <v>1112</v>
      </c>
      <c r="B265" s="391" t="s">
        <v>875</v>
      </c>
      <c r="C265" s="400">
        <f>COUNTIF('Chem Props'!$B$6:$B$851,'Parameters Summary'!A265)</f>
        <v>1</v>
      </c>
      <c r="D265" s="400">
        <f>COUNTIF('Tox Summary'!$N$3:$N$792, 'Parameters Summary'!A265)</f>
        <v>1</v>
      </c>
      <c r="E265" s="434">
        <v>122.17</v>
      </c>
      <c r="F265" s="435" t="s">
        <v>1620</v>
      </c>
      <c r="G265" s="436">
        <v>1.7E-5</v>
      </c>
      <c r="H265" s="436">
        <v>4.15E-7</v>
      </c>
      <c r="I265" s="437" t="s">
        <v>1620</v>
      </c>
      <c r="J265" s="436">
        <v>3.56E-2</v>
      </c>
      <c r="K265" s="437" t="s">
        <v>553</v>
      </c>
      <c r="L265" s="453">
        <v>60.8</v>
      </c>
      <c r="M265" s="454" t="s">
        <v>1620</v>
      </c>
      <c r="N265" s="455">
        <v>0.98299999999999998</v>
      </c>
      <c r="O265" s="456" t="s">
        <v>1618</v>
      </c>
      <c r="P265" s="471">
        <v>6.2761800000000006E-2</v>
      </c>
      <c r="Q265" s="471">
        <v>8.4067000000000003E-6</v>
      </c>
      <c r="R265" s="472" t="s">
        <v>2435</v>
      </c>
      <c r="S265" s="473" t="s">
        <v>1531</v>
      </c>
      <c r="T265" s="474" t="s">
        <v>1413</v>
      </c>
      <c r="U265" s="484">
        <v>491.8</v>
      </c>
      <c r="V265" s="484" t="s">
        <v>553</v>
      </c>
      <c r="W265" s="495">
        <v>2.23</v>
      </c>
      <c r="X265" s="496" t="s">
        <v>1620</v>
      </c>
      <c r="Y265" s="486">
        <v>4760</v>
      </c>
      <c r="Z265" s="487" t="s">
        <v>1620</v>
      </c>
      <c r="AA265" s="394">
        <v>9.7999999999999997E-3</v>
      </c>
      <c r="AB265" s="395" t="s">
        <v>553</v>
      </c>
      <c r="AC265" s="369"/>
    </row>
    <row r="266" spans="1:29" ht="20.100000000000001" customHeight="1" thickBot="1">
      <c r="A266" s="392" t="s">
        <v>584</v>
      </c>
      <c r="B266" s="393" t="s">
        <v>877</v>
      </c>
      <c r="C266" s="400">
        <f>COUNTIF('Chem Props'!$B$6:$B$851,'Parameters Summary'!A266)</f>
        <v>1</v>
      </c>
      <c r="D266" s="400">
        <f>COUNTIF('Tox Summary'!$N$3:$N$792, 'Parameters Summary'!A266)</f>
        <v>1</v>
      </c>
      <c r="E266" s="438">
        <v>90.552999999999997</v>
      </c>
      <c r="F266" s="439" t="s">
        <v>1620</v>
      </c>
      <c r="G266" s="440">
        <v>4.8417000000000002E-2</v>
      </c>
      <c r="H266" s="440">
        <v>1.1842999999999999E-3</v>
      </c>
      <c r="I266" s="441" t="s">
        <v>1618</v>
      </c>
      <c r="J266" s="440">
        <v>212</v>
      </c>
      <c r="K266" s="441" t="s">
        <v>1620</v>
      </c>
      <c r="L266" s="457">
        <v>-103.1</v>
      </c>
      <c r="M266" s="458" t="s">
        <v>553</v>
      </c>
      <c r="N266" s="459">
        <v>0.91859999999999997</v>
      </c>
      <c r="O266" s="460" t="s">
        <v>1618</v>
      </c>
      <c r="P266" s="475">
        <v>8.1171599999999997E-2</v>
      </c>
      <c r="Q266" s="475">
        <v>9.6606000000000003E-6</v>
      </c>
      <c r="R266" s="476" t="s">
        <v>2435</v>
      </c>
      <c r="S266" s="477" t="s">
        <v>1531</v>
      </c>
      <c r="T266" s="478" t="s">
        <v>1413</v>
      </c>
      <c r="U266" s="481">
        <v>60.7</v>
      </c>
      <c r="V266" s="481" t="s">
        <v>553</v>
      </c>
      <c r="W266" s="497">
        <v>2.58</v>
      </c>
      <c r="X266" s="498" t="s">
        <v>1620</v>
      </c>
      <c r="Y266" s="488">
        <v>1000</v>
      </c>
      <c r="Z266" s="489" t="s">
        <v>1620</v>
      </c>
      <c r="AA266" s="396">
        <v>2.53E-2</v>
      </c>
      <c r="AB266" s="397" t="s">
        <v>553</v>
      </c>
      <c r="AC266" s="369"/>
    </row>
    <row r="267" spans="1:29" ht="20.100000000000001" customHeight="1">
      <c r="A267" s="390" t="s">
        <v>532</v>
      </c>
      <c r="B267" s="391" t="s">
        <v>878</v>
      </c>
      <c r="C267" s="400">
        <f>COUNTIF('Chem Props'!$B$6:$B$851,'Parameters Summary'!A267)</f>
        <v>1</v>
      </c>
      <c r="D267" s="400">
        <f>COUNTIF('Tox Summary'!$N$3:$N$792, 'Parameters Summary'!A267)</f>
        <v>1</v>
      </c>
      <c r="E267" s="434">
        <v>198.14</v>
      </c>
      <c r="F267" s="435" t="s">
        <v>1620</v>
      </c>
      <c r="G267" s="436">
        <v>5.7200000000000001E-5</v>
      </c>
      <c r="H267" s="436">
        <v>1.3999999999999999E-6</v>
      </c>
      <c r="I267" s="437" t="s">
        <v>1620</v>
      </c>
      <c r="J267" s="436">
        <v>1.2E-4</v>
      </c>
      <c r="K267" s="437" t="s">
        <v>1620</v>
      </c>
      <c r="L267" s="453">
        <v>86.6</v>
      </c>
      <c r="M267" s="454" t="s">
        <v>1620</v>
      </c>
      <c r="N267" s="461" t="s">
        <v>1531</v>
      </c>
      <c r="O267" s="462" t="s">
        <v>1413</v>
      </c>
      <c r="P267" s="471">
        <v>5.5903500000000002E-2</v>
      </c>
      <c r="Q267" s="471">
        <v>6.5319000000000001E-6</v>
      </c>
      <c r="R267" s="472" t="s">
        <v>2435</v>
      </c>
      <c r="S267" s="473" t="s">
        <v>1531</v>
      </c>
      <c r="T267" s="474" t="s">
        <v>1413</v>
      </c>
      <c r="U267" s="484">
        <v>754.4</v>
      </c>
      <c r="V267" s="484" t="s">
        <v>553</v>
      </c>
      <c r="W267" s="495">
        <v>2.13</v>
      </c>
      <c r="X267" s="496" t="s">
        <v>1620</v>
      </c>
      <c r="Y267" s="486">
        <v>198</v>
      </c>
      <c r="Z267" s="487" t="s">
        <v>1620</v>
      </c>
      <c r="AA267" s="394">
        <v>3.15E-3</v>
      </c>
      <c r="AB267" s="395" t="s">
        <v>553</v>
      </c>
      <c r="AC267" s="369"/>
    </row>
    <row r="268" spans="1:29" ht="20.100000000000001" customHeight="1">
      <c r="A268" s="390" t="s">
        <v>1113</v>
      </c>
      <c r="B268" s="391" t="s">
        <v>879</v>
      </c>
      <c r="C268" s="400">
        <f>COUNTIF('Chem Props'!$B$6:$B$851,'Parameters Summary'!A268)</f>
        <v>1</v>
      </c>
      <c r="D268" s="400">
        <f>COUNTIF('Tox Summary'!$N$3:$N$792, 'Parameters Summary'!A268)</f>
        <v>1</v>
      </c>
      <c r="E268" s="434">
        <v>266.26</v>
      </c>
      <c r="F268" s="435" t="s">
        <v>1620</v>
      </c>
      <c r="G268" s="436">
        <v>2.2649000000000001E-6</v>
      </c>
      <c r="H268" s="436">
        <v>5.54E-8</v>
      </c>
      <c r="I268" s="437" t="s">
        <v>1620</v>
      </c>
      <c r="J268" s="436">
        <v>4.1899999999999998E-8</v>
      </c>
      <c r="K268" s="437" t="s">
        <v>1620</v>
      </c>
      <c r="L268" s="453">
        <v>107</v>
      </c>
      <c r="M268" s="454" t="s">
        <v>1620</v>
      </c>
      <c r="N268" s="461" t="s">
        <v>1531</v>
      </c>
      <c r="O268" s="462" t="s">
        <v>1413</v>
      </c>
      <c r="P268" s="471">
        <v>4.5907400000000001E-2</v>
      </c>
      <c r="Q268" s="471">
        <v>5.3638999999999996E-6</v>
      </c>
      <c r="R268" s="472" t="s">
        <v>2435</v>
      </c>
      <c r="S268" s="473" t="s">
        <v>1531</v>
      </c>
      <c r="T268" s="474" t="s">
        <v>1413</v>
      </c>
      <c r="U268" s="484">
        <v>16540</v>
      </c>
      <c r="V268" s="484" t="s">
        <v>553</v>
      </c>
      <c r="W268" s="495">
        <v>4.12</v>
      </c>
      <c r="X268" s="496" t="s">
        <v>1620</v>
      </c>
      <c r="Y268" s="486">
        <v>15</v>
      </c>
      <c r="Z268" s="487" t="s">
        <v>1620</v>
      </c>
      <c r="AA268" s="394">
        <v>2.75E-2</v>
      </c>
      <c r="AB268" s="395" t="s">
        <v>553</v>
      </c>
      <c r="AC268" s="369"/>
    </row>
    <row r="269" spans="1:29" ht="20.100000000000001" customHeight="1" thickBot="1">
      <c r="A269" s="392" t="s">
        <v>1114</v>
      </c>
      <c r="B269" s="393" t="s">
        <v>880</v>
      </c>
      <c r="C269" s="400">
        <f>COUNTIF('Chem Props'!$B$6:$B$851,'Parameters Summary'!A269)</f>
        <v>1</v>
      </c>
      <c r="D269" s="400">
        <f>COUNTIF('Tox Summary'!$N$3:$N$792, 'Parameters Summary'!A269)</f>
        <v>1</v>
      </c>
      <c r="E269" s="438">
        <v>168.11</v>
      </c>
      <c r="F269" s="439" t="s">
        <v>1620</v>
      </c>
      <c r="G269" s="440">
        <v>2.1791E-6</v>
      </c>
      <c r="H269" s="440">
        <v>5.3300000000000001E-8</v>
      </c>
      <c r="I269" s="441" t="s">
        <v>553</v>
      </c>
      <c r="J269" s="440">
        <v>4.5500000000000001E-5</v>
      </c>
      <c r="K269" s="441" t="s">
        <v>553</v>
      </c>
      <c r="L269" s="457">
        <v>118.5</v>
      </c>
      <c r="M269" s="458" t="s">
        <v>1620</v>
      </c>
      <c r="N269" s="459">
        <v>1.3119000000000001</v>
      </c>
      <c r="O269" s="460" t="s">
        <v>1618</v>
      </c>
      <c r="P269" s="475">
        <v>4.4717600000000003E-2</v>
      </c>
      <c r="Q269" s="475">
        <v>8.2538000000000005E-6</v>
      </c>
      <c r="R269" s="476" t="s">
        <v>2435</v>
      </c>
      <c r="S269" s="477" t="s">
        <v>1531</v>
      </c>
      <c r="T269" s="478" t="s">
        <v>1413</v>
      </c>
      <c r="U269" s="481">
        <v>358.8</v>
      </c>
      <c r="V269" s="481" t="s">
        <v>553</v>
      </c>
      <c r="W269" s="497">
        <v>1.69</v>
      </c>
      <c r="X269" s="498" t="s">
        <v>1620</v>
      </c>
      <c r="Y269" s="488">
        <v>133</v>
      </c>
      <c r="Z269" s="489" t="s">
        <v>1620</v>
      </c>
      <c r="AA269" s="396">
        <v>2.3700000000000001E-3</v>
      </c>
      <c r="AB269" s="397" t="s">
        <v>553</v>
      </c>
      <c r="AC269" s="369"/>
    </row>
    <row r="270" spans="1:29" ht="20.100000000000001" customHeight="1">
      <c r="A270" s="390" t="s">
        <v>1115</v>
      </c>
      <c r="B270" s="391" t="s">
        <v>881</v>
      </c>
      <c r="C270" s="400">
        <f>COUNTIF('Chem Props'!$B$6:$B$851,'Parameters Summary'!A270)</f>
        <v>1</v>
      </c>
      <c r="D270" s="400">
        <f>COUNTIF('Tox Summary'!$N$3:$N$792, 'Parameters Summary'!A270)</f>
        <v>1</v>
      </c>
      <c r="E270" s="434">
        <v>168.11</v>
      </c>
      <c r="F270" s="435" t="s">
        <v>1620</v>
      </c>
      <c r="G270" s="436">
        <v>2.0032999999999999E-6</v>
      </c>
      <c r="H270" s="436">
        <v>4.9000000000000002E-8</v>
      </c>
      <c r="I270" s="437" t="s">
        <v>1620</v>
      </c>
      <c r="J270" s="436">
        <v>8.9999999999999998E-4</v>
      </c>
      <c r="K270" s="437" t="s">
        <v>553</v>
      </c>
      <c r="L270" s="453">
        <v>90</v>
      </c>
      <c r="M270" s="454" t="s">
        <v>1620</v>
      </c>
      <c r="N270" s="455">
        <v>1.5750999999999999</v>
      </c>
      <c r="O270" s="456" t="s">
        <v>1618</v>
      </c>
      <c r="P270" s="471">
        <v>4.8498699999999999E-2</v>
      </c>
      <c r="Q270" s="471">
        <v>9.2109000000000002E-6</v>
      </c>
      <c r="R270" s="472" t="s">
        <v>2435</v>
      </c>
      <c r="S270" s="473" t="s">
        <v>1531</v>
      </c>
      <c r="T270" s="474" t="s">
        <v>1413</v>
      </c>
      <c r="U270" s="484">
        <v>351.6</v>
      </c>
      <c r="V270" s="484" t="s">
        <v>553</v>
      </c>
      <c r="W270" s="495">
        <v>1.49</v>
      </c>
      <c r="X270" s="496" t="s">
        <v>1620</v>
      </c>
      <c r="Y270" s="486">
        <v>533</v>
      </c>
      <c r="Z270" s="487" t="s">
        <v>1620</v>
      </c>
      <c r="AA270" s="394">
        <v>1.74E-3</v>
      </c>
      <c r="AB270" s="395" t="s">
        <v>553</v>
      </c>
      <c r="AC270" s="369"/>
    </row>
    <row r="271" spans="1:29" ht="20.100000000000001" customHeight="1">
      <c r="A271" s="390" t="s">
        <v>1116</v>
      </c>
      <c r="B271" s="391" t="s">
        <v>882</v>
      </c>
      <c r="C271" s="400">
        <f>COUNTIF('Chem Props'!$B$6:$B$851,'Parameters Summary'!A271)</f>
        <v>1</v>
      </c>
      <c r="D271" s="400">
        <f>COUNTIF('Tox Summary'!$N$3:$N$792, 'Parameters Summary'!A271)</f>
        <v>1</v>
      </c>
      <c r="E271" s="434">
        <v>168.11</v>
      </c>
      <c r="F271" s="435" t="s">
        <v>1620</v>
      </c>
      <c r="G271" s="436">
        <v>3.4301E-6</v>
      </c>
      <c r="H271" s="436">
        <v>8.3900000000000004E-8</v>
      </c>
      <c r="I271" s="437" t="s">
        <v>1620</v>
      </c>
      <c r="J271" s="436">
        <v>2.6100000000000001E-5</v>
      </c>
      <c r="K271" s="437" t="s">
        <v>1620</v>
      </c>
      <c r="L271" s="453">
        <v>174</v>
      </c>
      <c r="M271" s="454" t="s">
        <v>1620</v>
      </c>
      <c r="N271" s="455">
        <v>1.625</v>
      </c>
      <c r="O271" s="456" t="s">
        <v>1618</v>
      </c>
      <c r="P271" s="471">
        <v>4.9166799999999997E-2</v>
      </c>
      <c r="Q271" s="471">
        <v>9.3849000000000006E-6</v>
      </c>
      <c r="R271" s="472" t="s">
        <v>2435</v>
      </c>
      <c r="S271" s="473" t="s">
        <v>1531</v>
      </c>
      <c r="T271" s="474" t="s">
        <v>1413</v>
      </c>
      <c r="U271" s="484">
        <v>351.6</v>
      </c>
      <c r="V271" s="484" t="s">
        <v>553</v>
      </c>
      <c r="W271" s="495">
        <v>1.46</v>
      </c>
      <c r="X271" s="496" t="s">
        <v>1620</v>
      </c>
      <c r="Y271" s="486">
        <v>69</v>
      </c>
      <c r="Z271" s="487" t="s">
        <v>1620</v>
      </c>
      <c r="AA271" s="394">
        <v>1.67E-3</v>
      </c>
      <c r="AB271" s="395" t="s">
        <v>553</v>
      </c>
      <c r="AC271" s="369"/>
    </row>
    <row r="272" spans="1:29" ht="20.100000000000001" customHeight="1" thickBot="1">
      <c r="A272" s="392" t="s">
        <v>1117</v>
      </c>
      <c r="B272" s="393" t="s">
        <v>883</v>
      </c>
      <c r="C272" s="400">
        <f>COUNTIF('Chem Props'!$B$6:$B$851,'Parameters Summary'!A272)</f>
        <v>1</v>
      </c>
      <c r="D272" s="400">
        <f>COUNTIF('Tox Summary'!$N$3:$N$792, 'Parameters Summary'!A272)</f>
        <v>1</v>
      </c>
      <c r="E272" s="438">
        <v>184.11</v>
      </c>
      <c r="F272" s="439" t="s">
        <v>1620</v>
      </c>
      <c r="G272" s="440">
        <v>3.5159000000000001E-6</v>
      </c>
      <c r="H272" s="440">
        <v>8.6000000000000002E-8</v>
      </c>
      <c r="I272" s="441" t="s">
        <v>1620</v>
      </c>
      <c r="J272" s="440">
        <v>3.8999999999999999E-4</v>
      </c>
      <c r="K272" s="441" t="s">
        <v>1620</v>
      </c>
      <c r="L272" s="457">
        <v>114.8</v>
      </c>
      <c r="M272" s="458" t="s">
        <v>1620</v>
      </c>
      <c r="N272" s="459">
        <v>1.6830000000000001</v>
      </c>
      <c r="O272" s="460" t="s">
        <v>1618</v>
      </c>
      <c r="P272" s="475">
        <v>4.0669900000000002E-2</v>
      </c>
      <c r="Q272" s="475">
        <v>9.0756E-6</v>
      </c>
      <c r="R272" s="476" t="s">
        <v>2435</v>
      </c>
      <c r="S272" s="477" t="s">
        <v>1531</v>
      </c>
      <c r="T272" s="478" t="s">
        <v>1413</v>
      </c>
      <c r="U272" s="481">
        <v>460.8</v>
      </c>
      <c r="V272" s="481" t="s">
        <v>553</v>
      </c>
      <c r="W272" s="497">
        <v>1.67</v>
      </c>
      <c r="X272" s="498" t="s">
        <v>1620</v>
      </c>
      <c r="Y272" s="488">
        <v>2790</v>
      </c>
      <c r="Z272" s="489" t="s">
        <v>1620</v>
      </c>
      <c r="AA272" s="396">
        <v>1.8699999999999999E-3</v>
      </c>
      <c r="AB272" s="397" t="s">
        <v>553</v>
      </c>
      <c r="AC272" s="369"/>
    </row>
    <row r="273" spans="1:29" ht="20.100000000000001" customHeight="1">
      <c r="A273" s="390" t="s">
        <v>592</v>
      </c>
      <c r="B273" s="391" t="s">
        <v>2504</v>
      </c>
      <c r="C273" s="400">
        <f>COUNTIF('Chem Props'!$B$6:$B$851,'Parameters Summary'!A398)</f>
        <v>1</v>
      </c>
      <c r="D273" s="400">
        <f>COUNTIF('Tox Summary'!$N$3:$N$792, 'Parameters Summary'!A398)</f>
        <v>1</v>
      </c>
      <c r="E273" s="446" t="s">
        <v>1531</v>
      </c>
      <c r="F273" s="447" t="s">
        <v>1413</v>
      </c>
      <c r="G273" s="436">
        <v>0.40899999999999997</v>
      </c>
      <c r="H273" s="436">
        <v>0.01</v>
      </c>
      <c r="I273" s="437" t="s">
        <v>2518</v>
      </c>
      <c r="J273" s="436">
        <v>10.5</v>
      </c>
      <c r="K273" s="437" t="s">
        <v>2518</v>
      </c>
      <c r="L273" s="453">
        <v>-55</v>
      </c>
      <c r="M273" s="454" t="s">
        <v>2518</v>
      </c>
      <c r="N273" s="455">
        <v>0.77900000000000003</v>
      </c>
      <c r="O273" s="456" t="s">
        <v>2273</v>
      </c>
      <c r="P273" s="482" t="s">
        <v>1531</v>
      </c>
      <c r="Q273" s="482" t="s">
        <v>1531</v>
      </c>
      <c r="R273" s="483" t="s">
        <v>1413</v>
      </c>
      <c r="S273" s="473" t="s">
        <v>1531</v>
      </c>
      <c r="T273" s="474" t="s">
        <v>1413</v>
      </c>
      <c r="U273" s="473" t="s">
        <v>1531</v>
      </c>
      <c r="V273" s="474" t="s">
        <v>1413</v>
      </c>
      <c r="W273" s="495">
        <v>8</v>
      </c>
      <c r="X273" s="496" t="s">
        <v>2518</v>
      </c>
      <c r="Y273" s="486">
        <v>10.4</v>
      </c>
      <c r="Z273" s="487" t="s">
        <v>2518</v>
      </c>
      <c r="AA273" s="398" t="s">
        <v>1531</v>
      </c>
      <c r="AB273" s="504" t="s">
        <v>1413</v>
      </c>
      <c r="AC273" s="369"/>
    </row>
    <row r="274" spans="1:29" ht="20.100000000000001" customHeight="1">
      <c r="A274" s="390" t="s">
        <v>1119</v>
      </c>
      <c r="B274" s="391" t="s">
        <v>885</v>
      </c>
      <c r="C274" s="400">
        <f>COUNTIF('Chem Props'!$B$6:$B$851,'Parameters Summary'!A274)</f>
        <v>1</v>
      </c>
      <c r="D274" s="400">
        <f>COUNTIF('Tox Summary'!$N$3:$N$792, 'Parameters Summary'!A274)</f>
        <v>1</v>
      </c>
      <c r="E274" s="434">
        <v>182.14</v>
      </c>
      <c r="F274" s="435" t="s">
        <v>1620</v>
      </c>
      <c r="G274" s="436">
        <v>2.2077000000000001E-6</v>
      </c>
      <c r="H274" s="436">
        <v>5.4E-8</v>
      </c>
      <c r="I274" s="437" t="s">
        <v>1620</v>
      </c>
      <c r="J274" s="436">
        <v>1.47E-4</v>
      </c>
      <c r="K274" s="437" t="s">
        <v>1620</v>
      </c>
      <c r="L274" s="453">
        <v>71</v>
      </c>
      <c r="M274" s="454" t="s">
        <v>1620</v>
      </c>
      <c r="N274" s="455">
        <v>1.3208</v>
      </c>
      <c r="O274" s="456" t="s">
        <v>1618</v>
      </c>
      <c r="P274" s="471">
        <v>3.7511500000000003E-2</v>
      </c>
      <c r="Q274" s="471">
        <v>7.8982E-6</v>
      </c>
      <c r="R274" s="472" t="s">
        <v>2435</v>
      </c>
      <c r="S274" s="473" t="s">
        <v>1531</v>
      </c>
      <c r="T274" s="474" t="s">
        <v>1413</v>
      </c>
      <c r="U274" s="484">
        <v>575.6</v>
      </c>
      <c r="V274" s="484" t="s">
        <v>553</v>
      </c>
      <c r="W274" s="495">
        <v>1.98</v>
      </c>
      <c r="X274" s="496" t="s">
        <v>1620</v>
      </c>
      <c r="Y274" s="486">
        <v>200</v>
      </c>
      <c r="Z274" s="487" t="s">
        <v>1620</v>
      </c>
      <c r="AA274" s="394">
        <v>3.0799999999999998E-3</v>
      </c>
      <c r="AB274" s="395" t="s">
        <v>553</v>
      </c>
      <c r="AC274" s="369"/>
    </row>
    <row r="275" spans="1:29" ht="20.100000000000001" customHeight="1" thickBot="1">
      <c r="A275" s="392" t="s">
        <v>1120</v>
      </c>
      <c r="B275" s="393" t="s">
        <v>886</v>
      </c>
      <c r="C275" s="400">
        <f>COUNTIF('Chem Props'!$B$6:$B$851,'Parameters Summary'!A275)</f>
        <v>1</v>
      </c>
      <c r="D275" s="400">
        <f>COUNTIF('Tox Summary'!$N$3:$N$792, 'Parameters Summary'!A275)</f>
        <v>1</v>
      </c>
      <c r="E275" s="438">
        <v>182.14</v>
      </c>
      <c r="F275" s="439" t="s">
        <v>1620</v>
      </c>
      <c r="G275" s="440">
        <v>3.0499999999999999E-5</v>
      </c>
      <c r="H275" s="440">
        <v>7.4700000000000001E-7</v>
      </c>
      <c r="I275" s="441" t="s">
        <v>553</v>
      </c>
      <c r="J275" s="440">
        <v>5.6700000000000001E-4</v>
      </c>
      <c r="K275" s="441" t="s">
        <v>1620</v>
      </c>
      <c r="L275" s="457">
        <v>66</v>
      </c>
      <c r="M275" s="458" t="s">
        <v>1620</v>
      </c>
      <c r="N275" s="459">
        <v>1.2833000000000001</v>
      </c>
      <c r="O275" s="460" t="s">
        <v>1618</v>
      </c>
      <c r="P275" s="475">
        <v>3.7025599999999999E-2</v>
      </c>
      <c r="Q275" s="475">
        <v>7.7628999999999998E-6</v>
      </c>
      <c r="R275" s="476" t="s">
        <v>2435</v>
      </c>
      <c r="S275" s="477" t="s">
        <v>1531</v>
      </c>
      <c r="T275" s="478" t="s">
        <v>1413</v>
      </c>
      <c r="U275" s="481">
        <v>587.4</v>
      </c>
      <c r="V275" s="481" t="s">
        <v>553</v>
      </c>
      <c r="W275" s="497">
        <v>2.1</v>
      </c>
      <c r="X275" s="498" t="s">
        <v>1620</v>
      </c>
      <c r="Y275" s="488">
        <v>182</v>
      </c>
      <c r="Z275" s="489" t="s">
        <v>1620</v>
      </c>
      <c r="AA275" s="396">
        <v>3.7000000000000002E-3</v>
      </c>
      <c r="AB275" s="397" t="s">
        <v>553</v>
      </c>
      <c r="AC275" s="369"/>
    </row>
    <row r="276" spans="1:29" ht="20.100000000000001" customHeight="1">
      <c r="A276" s="390" t="s">
        <v>1121</v>
      </c>
      <c r="B276" s="391" t="s">
        <v>887</v>
      </c>
      <c r="C276" s="400">
        <f>COUNTIF('Chem Props'!$B$6:$B$851,'Parameters Summary'!A276)</f>
        <v>1</v>
      </c>
      <c r="D276" s="400">
        <f>COUNTIF('Tox Summary'!$N$3:$N$792, 'Parameters Summary'!A276)</f>
        <v>1</v>
      </c>
      <c r="E276" s="434">
        <v>197.15</v>
      </c>
      <c r="F276" s="435" t="s">
        <v>1620</v>
      </c>
      <c r="G276" s="436">
        <v>1.3369E-9</v>
      </c>
      <c r="H276" s="436">
        <v>3.2700000000000001E-11</v>
      </c>
      <c r="I276" s="437" t="s">
        <v>1620</v>
      </c>
      <c r="J276" s="436">
        <v>1.0699999999999999E-5</v>
      </c>
      <c r="K276" s="437" t="s">
        <v>1620</v>
      </c>
      <c r="L276" s="453">
        <v>174.5</v>
      </c>
      <c r="M276" s="454" t="s">
        <v>1620</v>
      </c>
      <c r="N276" s="461" t="s">
        <v>1531</v>
      </c>
      <c r="O276" s="462" t="s">
        <v>1413</v>
      </c>
      <c r="P276" s="471">
        <v>5.6090500000000001E-2</v>
      </c>
      <c r="Q276" s="471">
        <v>6.5536999999999996E-6</v>
      </c>
      <c r="R276" s="472" t="s">
        <v>2435</v>
      </c>
      <c r="S276" s="473" t="s">
        <v>1531</v>
      </c>
      <c r="T276" s="474" t="s">
        <v>1413</v>
      </c>
      <c r="U276" s="484">
        <v>283</v>
      </c>
      <c r="V276" s="484" t="s">
        <v>553</v>
      </c>
      <c r="W276" s="495">
        <v>1.84</v>
      </c>
      <c r="X276" s="496" t="s">
        <v>1620</v>
      </c>
      <c r="Y276" s="486">
        <v>1220</v>
      </c>
      <c r="Z276" s="487" t="s">
        <v>1620</v>
      </c>
      <c r="AA276" s="394">
        <v>2.0400000000000001E-3</v>
      </c>
      <c r="AB276" s="395" t="s">
        <v>553</v>
      </c>
      <c r="AC276" s="369"/>
    </row>
    <row r="277" spans="1:29" ht="20.100000000000001" customHeight="1">
      <c r="A277" s="390" t="s">
        <v>1122</v>
      </c>
      <c r="B277" s="391" t="s">
        <v>888</v>
      </c>
      <c r="C277" s="400">
        <f>COUNTIF('Chem Props'!$B$6:$B$851,'Parameters Summary'!A277)</f>
        <v>1</v>
      </c>
      <c r="D277" s="400">
        <f>COUNTIF('Tox Summary'!$N$3:$N$792, 'Parameters Summary'!A277)</f>
        <v>1</v>
      </c>
      <c r="E277" s="434">
        <v>197.15</v>
      </c>
      <c r="F277" s="435" t="s">
        <v>1620</v>
      </c>
      <c r="G277" s="436">
        <v>1.3369E-9</v>
      </c>
      <c r="H277" s="436">
        <v>3.2700000000000001E-11</v>
      </c>
      <c r="I277" s="437" t="s">
        <v>1620</v>
      </c>
      <c r="J277" s="436">
        <v>1.0699999999999999E-5</v>
      </c>
      <c r="K277" s="437" t="s">
        <v>1620</v>
      </c>
      <c r="L277" s="453">
        <v>171</v>
      </c>
      <c r="M277" s="454" t="s">
        <v>1620</v>
      </c>
      <c r="N277" s="461" t="s">
        <v>1531</v>
      </c>
      <c r="O277" s="462" t="s">
        <v>1413</v>
      </c>
      <c r="P277" s="471">
        <v>5.6090500000000001E-2</v>
      </c>
      <c r="Q277" s="471">
        <v>6.5536999999999996E-6</v>
      </c>
      <c r="R277" s="472" t="s">
        <v>2435</v>
      </c>
      <c r="S277" s="473" t="s">
        <v>1531</v>
      </c>
      <c r="T277" s="474" t="s">
        <v>1413</v>
      </c>
      <c r="U277" s="484">
        <v>283</v>
      </c>
      <c r="V277" s="484" t="s">
        <v>553</v>
      </c>
      <c r="W277" s="495">
        <v>1.84</v>
      </c>
      <c r="X277" s="496" t="s">
        <v>1620</v>
      </c>
      <c r="Y277" s="486">
        <v>1220</v>
      </c>
      <c r="Z277" s="487" t="s">
        <v>1620</v>
      </c>
      <c r="AA277" s="394">
        <v>2.0400000000000001E-3</v>
      </c>
      <c r="AB277" s="395" t="s">
        <v>553</v>
      </c>
      <c r="AC277" s="370"/>
    </row>
    <row r="278" spans="1:29" ht="20.100000000000001" customHeight="1" thickBot="1">
      <c r="A278" s="392" t="s">
        <v>2031</v>
      </c>
      <c r="B278" s="393" t="s">
        <v>884</v>
      </c>
      <c r="C278" s="400">
        <f>COUNTIF('Chem Props'!$B$6:$B$851,'Parameters Summary'!A278)</f>
        <v>1</v>
      </c>
      <c r="D278" s="400">
        <f>COUNTIF('Tox Summary'!$N$3:$N$792, 'Parameters Summary'!A278)</f>
        <v>1</v>
      </c>
      <c r="E278" s="438">
        <v>546.41</v>
      </c>
      <c r="F278" s="439" t="s">
        <v>1620</v>
      </c>
      <c r="G278" s="440">
        <v>3.7857999999999998E-6</v>
      </c>
      <c r="H278" s="440">
        <v>9.2599999999999995E-8</v>
      </c>
      <c r="I278" s="441" t="s">
        <v>1620</v>
      </c>
      <c r="J278" s="440">
        <v>3.97E-4</v>
      </c>
      <c r="K278" s="441" t="s">
        <v>1620</v>
      </c>
      <c r="L278" s="457">
        <v>60</v>
      </c>
      <c r="M278" s="458" t="s">
        <v>553</v>
      </c>
      <c r="N278" s="463" t="s">
        <v>1531</v>
      </c>
      <c r="O278" s="464" t="s">
        <v>1413</v>
      </c>
      <c r="P278" s="475">
        <v>2.84277E-2</v>
      </c>
      <c r="Q278" s="475">
        <v>3.3214999999999999E-6</v>
      </c>
      <c r="R278" s="476" t="s">
        <v>2435</v>
      </c>
      <c r="S278" s="477" t="s">
        <v>1531</v>
      </c>
      <c r="T278" s="478" t="s">
        <v>1413</v>
      </c>
      <c r="U278" s="481">
        <v>587.4</v>
      </c>
      <c r="V278" s="481" t="s">
        <v>553</v>
      </c>
      <c r="W278" s="497">
        <v>2.1800000000000002</v>
      </c>
      <c r="X278" s="498" t="s">
        <v>1620</v>
      </c>
      <c r="Y278" s="488">
        <v>270</v>
      </c>
      <c r="Z278" s="489" t="s">
        <v>1620</v>
      </c>
      <c r="AA278" s="396">
        <v>4.1599999999999996E-3</v>
      </c>
      <c r="AB278" s="397" t="s">
        <v>553</v>
      </c>
      <c r="AC278" s="369"/>
    </row>
    <row r="279" spans="1:29" ht="20.100000000000001" customHeight="1">
      <c r="A279" s="390" t="s">
        <v>1123</v>
      </c>
      <c r="B279" s="391" t="s">
        <v>889</v>
      </c>
      <c r="C279" s="400">
        <f>COUNTIF('Chem Props'!$B$6:$B$851,'Parameters Summary'!A279)</f>
        <v>1</v>
      </c>
      <c r="D279" s="400">
        <f>COUNTIF('Tox Summary'!$N$3:$N$792, 'Parameters Summary'!A279)</f>
        <v>1</v>
      </c>
      <c r="E279" s="434">
        <v>240.22</v>
      </c>
      <c r="F279" s="435" t="s">
        <v>1620</v>
      </c>
      <c r="G279" s="436">
        <v>1.8600000000000001E-5</v>
      </c>
      <c r="H279" s="436">
        <v>4.5600000000000001E-7</v>
      </c>
      <c r="I279" s="437" t="s">
        <v>553</v>
      </c>
      <c r="J279" s="436">
        <v>7.4999999999999993E-5</v>
      </c>
      <c r="K279" s="437" t="s">
        <v>1620</v>
      </c>
      <c r="L279" s="453">
        <v>40</v>
      </c>
      <c r="M279" s="454" t="s">
        <v>1620</v>
      </c>
      <c r="N279" s="455">
        <v>1.2649999999999999</v>
      </c>
      <c r="O279" s="456" t="s">
        <v>1618</v>
      </c>
      <c r="P279" s="471">
        <v>2.5345800000000002E-2</v>
      </c>
      <c r="Q279" s="471">
        <v>6.5186999999999999E-6</v>
      </c>
      <c r="R279" s="472" t="s">
        <v>2435</v>
      </c>
      <c r="S279" s="473" t="s">
        <v>1531</v>
      </c>
      <c r="T279" s="474" t="s">
        <v>1413</v>
      </c>
      <c r="U279" s="484">
        <v>4294</v>
      </c>
      <c r="V279" s="484" t="s">
        <v>553</v>
      </c>
      <c r="W279" s="495">
        <v>3.56</v>
      </c>
      <c r="X279" s="496" t="s">
        <v>1620</v>
      </c>
      <c r="Y279" s="486">
        <v>52</v>
      </c>
      <c r="Z279" s="487" t="s">
        <v>1620</v>
      </c>
      <c r="AA279" s="394">
        <v>1.6299999999999999E-2</v>
      </c>
      <c r="AB279" s="395" t="s">
        <v>553</v>
      </c>
      <c r="AC279" s="369"/>
    </row>
    <row r="280" spans="1:29" ht="20.100000000000001" customHeight="1">
      <c r="A280" s="390" t="s">
        <v>1124</v>
      </c>
      <c r="B280" s="391" t="s">
        <v>890</v>
      </c>
      <c r="C280" s="400">
        <f>COUNTIF('Chem Props'!$B$6:$B$851,'Parameters Summary'!A280)</f>
        <v>1</v>
      </c>
      <c r="D280" s="400">
        <f>COUNTIF('Tox Summary'!$N$3:$N$792, 'Parameters Summary'!A280)</f>
        <v>1</v>
      </c>
      <c r="E280" s="434">
        <v>88.106999999999999</v>
      </c>
      <c r="F280" s="435" t="s">
        <v>1620</v>
      </c>
      <c r="G280" s="436">
        <v>1.962E-4</v>
      </c>
      <c r="H280" s="436">
        <v>4.7999999999999998E-6</v>
      </c>
      <c r="I280" s="437" t="s">
        <v>1620</v>
      </c>
      <c r="J280" s="436">
        <v>38.090000000000003</v>
      </c>
      <c r="K280" s="437" t="s">
        <v>1620</v>
      </c>
      <c r="L280" s="453">
        <v>11.8</v>
      </c>
      <c r="M280" s="454" t="s">
        <v>1620</v>
      </c>
      <c r="N280" s="455">
        <v>1.0337000000000001</v>
      </c>
      <c r="O280" s="456" t="s">
        <v>1618</v>
      </c>
      <c r="P280" s="471">
        <v>8.7373900000000004E-2</v>
      </c>
      <c r="Q280" s="471">
        <v>1.0499999999999999E-5</v>
      </c>
      <c r="R280" s="472" t="s">
        <v>2435</v>
      </c>
      <c r="S280" s="473" t="s">
        <v>1531</v>
      </c>
      <c r="T280" s="474" t="s">
        <v>1413</v>
      </c>
      <c r="U280" s="484">
        <v>2.633</v>
      </c>
      <c r="V280" s="484" t="s">
        <v>553</v>
      </c>
      <c r="W280" s="495">
        <v>-0.27</v>
      </c>
      <c r="X280" s="496" t="s">
        <v>1620</v>
      </c>
      <c r="Y280" s="486">
        <v>1000000</v>
      </c>
      <c r="Z280" s="487" t="s">
        <v>1620</v>
      </c>
      <c r="AA280" s="394">
        <v>3.3199999999999999E-4</v>
      </c>
      <c r="AB280" s="395" t="s">
        <v>553</v>
      </c>
      <c r="AC280" s="369"/>
    </row>
    <row r="281" spans="1:29" ht="20.100000000000001" customHeight="1" thickBot="1">
      <c r="A281" s="392" t="s">
        <v>1125</v>
      </c>
      <c r="B281" s="393" t="s">
        <v>1413</v>
      </c>
      <c r="C281" s="400">
        <f>COUNTIF('Chem Props'!$B$6:$B$851,'Parameters Summary'!A281)</f>
        <v>0</v>
      </c>
      <c r="D281" s="400">
        <f>COUNTIF('Tox Summary'!$N$3:$N$792, 'Parameters Summary'!A281)</f>
        <v>1</v>
      </c>
      <c r="E281" s="448" t="s">
        <v>1531</v>
      </c>
      <c r="F281" s="449" t="s">
        <v>1413</v>
      </c>
      <c r="G281" s="442" t="s">
        <v>1531</v>
      </c>
      <c r="H281" s="442" t="s">
        <v>1531</v>
      </c>
      <c r="I281" s="443" t="s">
        <v>1413</v>
      </c>
      <c r="J281" s="442" t="s">
        <v>1531</v>
      </c>
      <c r="K281" s="443" t="s">
        <v>1413</v>
      </c>
      <c r="L281" s="467" t="s">
        <v>1531</v>
      </c>
      <c r="M281" s="468" t="s">
        <v>1413</v>
      </c>
      <c r="N281" s="463" t="s">
        <v>1531</v>
      </c>
      <c r="O281" s="464" t="s">
        <v>1413</v>
      </c>
      <c r="P281" s="479" t="s">
        <v>1531</v>
      </c>
      <c r="Q281" s="479" t="s">
        <v>1531</v>
      </c>
      <c r="R281" s="480" t="s">
        <v>1413</v>
      </c>
      <c r="S281" s="477" t="s">
        <v>1531</v>
      </c>
      <c r="T281" s="478" t="s">
        <v>1413</v>
      </c>
      <c r="U281" s="477" t="s">
        <v>1531</v>
      </c>
      <c r="V281" s="478" t="s">
        <v>1413</v>
      </c>
      <c r="W281" s="499" t="s">
        <v>1531</v>
      </c>
      <c r="X281" s="500" t="s">
        <v>1413</v>
      </c>
      <c r="Y281" s="490" t="s">
        <v>1531</v>
      </c>
      <c r="Z281" s="491" t="s">
        <v>1413</v>
      </c>
      <c r="AA281" s="399" t="s">
        <v>1531</v>
      </c>
      <c r="AB281" s="505" t="s">
        <v>1413</v>
      </c>
      <c r="AC281" s="369"/>
    </row>
    <row r="282" spans="1:29" ht="20.100000000000001" customHeight="1">
      <c r="A282" s="390" t="s">
        <v>2410</v>
      </c>
      <c r="B282" s="96" t="s">
        <v>2176</v>
      </c>
      <c r="C282" s="400">
        <f>COUNTIF('Chem Props'!$B$6:$B$851,'Parameters Summary'!A282)</f>
        <v>1</v>
      </c>
      <c r="D282" s="400">
        <f>COUNTIF('Tox Summary'!$N$3:$N$792, 'Parameters Summary'!A282)</f>
        <v>1</v>
      </c>
      <c r="E282" s="434">
        <v>390.87</v>
      </c>
      <c r="F282" s="435" t="s">
        <v>553</v>
      </c>
      <c r="G282" s="436">
        <v>2.33E-4</v>
      </c>
      <c r="H282" s="436">
        <v>5.6999999999999996E-6</v>
      </c>
      <c r="I282" s="437" t="s">
        <v>553</v>
      </c>
      <c r="J282" s="436">
        <v>4.4000000000000003E-11</v>
      </c>
      <c r="K282" s="437" t="s">
        <v>553</v>
      </c>
      <c r="L282" s="453">
        <v>250</v>
      </c>
      <c r="M282" s="454" t="s">
        <v>553</v>
      </c>
      <c r="N282" s="461" t="s">
        <v>1531</v>
      </c>
      <c r="O282" s="462" t="s">
        <v>1413</v>
      </c>
      <c r="P282" s="471">
        <v>4.26828E-2</v>
      </c>
      <c r="Q282" s="471">
        <v>4.1527000000000001E-6</v>
      </c>
      <c r="R282" s="472" t="s">
        <v>2435</v>
      </c>
      <c r="S282" s="473" t="s">
        <v>1531</v>
      </c>
      <c r="T282" s="474" t="s">
        <v>1413</v>
      </c>
      <c r="U282" s="484">
        <v>695200</v>
      </c>
      <c r="V282" s="484" t="s">
        <v>553</v>
      </c>
      <c r="W282" s="495">
        <v>8.2100000000000009</v>
      </c>
      <c r="X282" s="496" t="s">
        <v>553</v>
      </c>
      <c r="Y282" s="486">
        <v>3.9999999999999998E-6</v>
      </c>
      <c r="Z282" s="487" t="s">
        <v>553</v>
      </c>
      <c r="AA282" s="394">
        <v>2.86</v>
      </c>
      <c r="AB282" s="395" t="s">
        <v>553</v>
      </c>
      <c r="AC282" s="369"/>
    </row>
    <row r="283" spans="1:29" ht="20.100000000000001" customHeight="1">
      <c r="A283" s="390" t="s">
        <v>2250</v>
      </c>
      <c r="B283" s="391" t="s">
        <v>891</v>
      </c>
      <c r="C283" s="400">
        <f>COUNTIF('Chem Props'!$B$6:$B$851,'Parameters Summary'!A283)</f>
        <v>1</v>
      </c>
      <c r="D283" s="400">
        <f>COUNTIF('Tox Summary'!$N$3:$N$792, 'Parameters Summary'!A283)</f>
        <v>1</v>
      </c>
      <c r="E283" s="434">
        <v>321.98</v>
      </c>
      <c r="F283" s="435" t="s">
        <v>1620</v>
      </c>
      <c r="G283" s="436">
        <v>2.0441999999999999E-3</v>
      </c>
      <c r="H283" s="436">
        <v>5.0000000000000002E-5</v>
      </c>
      <c r="I283" s="437" t="s">
        <v>553</v>
      </c>
      <c r="J283" s="436">
        <v>1.5E-9</v>
      </c>
      <c r="K283" s="437" t="s">
        <v>1620</v>
      </c>
      <c r="L283" s="453">
        <v>305</v>
      </c>
      <c r="M283" s="454" t="s">
        <v>1620</v>
      </c>
      <c r="N283" s="455">
        <v>1.8</v>
      </c>
      <c r="O283" s="456" t="s">
        <v>2199</v>
      </c>
      <c r="P283" s="471">
        <v>4.7027800000000002E-2</v>
      </c>
      <c r="Q283" s="471">
        <v>6.7568000000000003E-6</v>
      </c>
      <c r="R283" s="472" t="s">
        <v>2435</v>
      </c>
      <c r="S283" s="473" t="s">
        <v>1531</v>
      </c>
      <c r="T283" s="474" t="s">
        <v>1413</v>
      </c>
      <c r="U283" s="484">
        <v>249100</v>
      </c>
      <c r="V283" s="484" t="s">
        <v>553</v>
      </c>
      <c r="W283" s="495">
        <v>6.8</v>
      </c>
      <c r="X283" s="496" t="s">
        <v>1620</v>
      </c>
      <c r="Y283" s="486">
        <v>2.0000000000000001E-4</v>
      </c>
      <c r="Z283" s="487" t="s">
        <v>1620</v>
      </c>
      <c r="AA283" s="394">
        <v>0.80800000000000005</v>
      </c>
      <c r="AB283" s="395" t="s">
        <v>553</v>
      </c>
      <c r="AC283" s="369"/>
    </row>
    <row r="284" spans="1:29" ht="20.100000000000001" customHeight="1" thickBot="1">
      <c r="A284" s="392" t="s">
        <v>1126</v>
      </c>
      <c r="B284" s="393" t="s">
        <v>892</v>
      </c>
      <c r="C284" s="400">
        <f>COUNTIF('Chem Props'!$B$6:$B$851,'Parameters Summary'!A284)</f>
        <v>1</v>
      </c>
      <c r="D284" s="400">
        <f>COUNTIF('Tox Summary'!$N$3:$N$792, 'Parameters Summary'!A284)</f>
        <v>1</v>
      </c>
      <c r="E284" s="438">
        <v>239.32</v>
      </c>
      <c r="F284" s="439" t="s">
        <v>1620</v>
      </c>
      <c r="G284" s="440">
        <v>1.4841000000000001E-9</v>
      </c>
      <c r="H284" s="440">
        <v>3.63E-11</v>
      </c>
      <c r="I284" s="441" t="s">
        <v>553</v>
      </c>
      <c r="J284" s="440">
        <v>2.9999999999999997E-8</v>
      </c>
      <c r="K284" s="441" t="s">
        <v>1620</v>
      </c>
      <c r="L284" s="457">
        <v>135</v>
      </c>
      <c r="M284" s="458" t="s">
        <v>1620</v>
      </c>
      <c r="N284" s="459">
        <v>1.17</v>
      </c>
      <c r="O284" s="460" t="s">
        <v>1618</v>
      </c>
      <c r="P284" s="475">
        <v>2.4482899999999998E-2</v>
      </c>
      <c r="Q284" s="475">
        <v>6.2344E-6</v>
      </c>
      <c r="R284" s="476" t="s">
        <v>2435</v>
      </c>
      <c r="S284" s="477" t="s">
        <v>1531</v>
      </c>
      <c r="T284" s="478" t="s">
        <v>1413</v>
      </c>
      <c r="U284" s="481">
        <v>4798</v>
      </c>
      <c r="V284" s="481" t="s">
        <v>553</v>
      </c>
      <c r="W284" s="497">
        <v>2.17</v>
      </c>
      <c r="X284" s="498" t="s">
        <v>1620</v>
      </c>
      <c r="Y284" s="488">
        <v>260</v>
      </c>
      <c r="Z284" s="489" t="s">
        <v>1620</v>
      </c>
      <c r="AA284" s="396">
        <v>5.6299999999999996E-3</v>
      </c>
      <c r="AB284" s="397" t="s">
        <v>553</v>
      </c>
      <c r="AC284" s="369"/>
    </row>
    <row r="285" spans="1:29" ht="20.100000000000001" customHeight="1">
      <c r="A285" s="390" t="s">
        <v>2500</v>
      </c>
      <c r="B285" s="391" t="s">
        <v>2501</v>
      </c>
      <c r="C285" s="400">
        <f>COUNTIF('Chem Props'!$B$6:$B$851,'Parameters Summary'!A285)</f>
        <v>1</v>
      </c>
      <c r="D285" s="400">
        <f>COUNTIF('Tox Summary'!$N$3:$N$792, 'Parameters Summary'!A285)</f>
        <v>1</v>
      </c>
      <c r="E285" s="434">
        <v>170.21</v>
      </c>
      <c r="F285" s="435" t="s">
        <v>553</v>
      </c>
      <c r="G285" s="436">
        <v>1.1406400000000001E-2</v>
      </c>
      <c r="H285" s="436">
        <v>2.7900000000000001E-4</v>
      </c>
      <c r="I285" s="437" t="s">
        <v>553</v>
      </c>
      <c r="J285" s="436">
        <v>2.2499999999999999E-2</v>
      </c>
      <c r="K285" s="437" t="s">
        <v>553</v>
      </c>
      <c r="L285" s="453">
        <v>26.8</v>
      </c>
      <c r="M285" s="454" t="s">
        <v>553</v>
      </c>
      <c r="N285" s="455">
        <v>1.0661</v>
      </c>
      <c r="O285" s="456" t="s">
        <v>1618</v>
      </c>
      <c r="P285" s="471">
        <v>3.9686300000000001E-2</v>
      </c>
      <c r="Q285" s="471">
        <v>7.2336999999999999E-6</v>
      </c>
      <c r="R285" s="472" t="s">
        <v>2435</v>
      </c>
      <c r="S285" s="473" t="s">
        <v>1531</v>
      </c>
      <c r="T285" s="474" t="s">
        <v>1413</v>
      </c>
      <c r="U285" s="484">
        <v>1950</v>
      </c>
      <c r="V285" s="484" t="s">
        <v>2037</v>
      </c>
      <c r="W285" s="495">
        <v>4.21</v>
      </c>
      <c r="X285" s="496" t="s">
        <v>553</v>
      </c>
      <c r="Y285" s="486">
        <v>18</v>
      </c>
      <c r="Z285" s="487" t="s">
        <v>553</v>
      </c>
      <c r="AA285" s="394">
        <v>0.109</v>
      </c>
      <c r="AB285" s="395" t="s">
        <v>553</v>
      </c>
      <c r="AC285" s="369"/>
    </row>
    <row r="286" spans="1:29" ht="20.100000000000001" customHeight="1">
      <c r="A286" s="390" t="s">
        <v>533</v>
      </c>
      <c r="B286" s="391" t="s">
        <v>893</v>
      </c>
      <c r="C286" s="400">
        <f>COUNTIF('Chem Props'!$B$6:$B$851,'Parameters Summary'!A286)</f>
        <v>1</v>
      </c>
      <c r="D286" s="400">
        <f>COUNTIF('Tox Summary'!$N$3:$N$792, 'Parameters Summary'!A286)</f>
        <v>1</v>
      </c>
      <c r="E286" s="434">
        <v>218.28</v>
      </c>
      <c r="F286" s="435" t="s">
        <v>1620</v>
      </c>
      <c r="G286" s="436">
        <v>1.0200000000000001E-5</v>
      </c>
      <c r="H286" s="436">
        <v>2.4900000000000002E-7</v>
      </c>
      <c r="I286" s="437" t="s">
        <v>1620</v>
      </c>
      <c r="J286" s="436">
        <v>1.5299999999999999E-5</v>
      </c>
      <c r="K286" s="437" t="s">
        <v>1620</v>
      </c>
      <c r="L286" s="453">
        <v>128.5</v>
      </c>
      <c r="M286" s="454" t="s">
        <v>1620</v>
      </c>
      <c r="N286" s="455">
        <v>1.252</v>
      </c>
      <c r="O286" s="456" t="s">
        <v>1618</v>
      </c>
      <c r="P286" s="471">
        <v>2.6517700000000002E-2</v>
      </c>
      <c r="Q286" s="471">
        <v>6.8615999999999997E-6</v>
      </c>
      <c r="R286" s="472" t="s">
        <v>2435</v>
      </c>
      <c r="S286" s="473" t="s">
        <v>1531</v>
      </c>
      <c r="T286" s="474" t="s">
        <v>1413</v>
      </c>
      <c r="U286" s="484">
        <v>1109</v>
      </c>
      <c r="V286" s="484" t="s">
        <v>553</v>
      </c>
      <c r="W286" s="495">
        <v>2.4</v>
      </c>
      <c r="X286" s="496" t="s">
        <v>1620</v>
      </c>
      <c r="Y286" s="486">
        <v>313.60000000000002</v>
      </c>
      <c r="Z286" s="487" t="s">
        <v>1620</v>
      </c>
      <c r="AA286" s="394">
        <v>3.6700000000000001E-3</v>
      </c>
      <c r="AB286" s="395" t="s">
        <v>553</v>
      </c>
      <c r="AC286" s="369"/>
    </row>
    <row r="287" spans="1:29" ht="20.100000000000001" customHeight="1" thickBot="1">
      <c r="A287" s="392" t="s">
        <v>1127</v>
      </c>
      <c r="B287" s="393" t="s">
        <v>894</v>
      </c>
      <c r="C287" s="400">
        <f>COUNTIF('Chem Props'!$B$6:$B$851,'Parameters Summary'!A287)</f>
        <v>1</v>
      </c>
      <c r="D287" s="400">
        <f>COUNTIF('Tox Summary'!$N$3:$N$792, 'Parameters Summary'!A287)</f>
        <v>1</v>
      </c>
      <c r="E287" s="438">
        <v>169.23</v>
      </c>
      <c r="F287" s="439" t="s">
        <v>1620</v>
      </c>
      <c r="G287" s="440">
        <v>1.1E-4</v>
      </c>
      <c r="H287" s="440">
        <v>2.6900000000000001E-6</v>
      </c>
      <c r="I287" s="441" t="s">
        <v>553</v>
      </c>
      <c r="J287" s="440">
        <v>6.7000000000000002E-4</v>
      </c>
      <c r="K287" s="441" t="s">
        <v>1620</v>
      </c>
      <c r="L287" s="457">
        <v>52.9</v>
      </c>
      <c r="M287" s="458" t="s">
        <v>1620</v>
      </c>
      <c r="N287" s="459">
        <v>1.1579999999999999</v>
      </c>
      <c r="O287" s="460" t="s">
        <v>1618</v>
      </c>
      <c r="P287" s="475">
        <v>4.1705600000000002E-2</v>
      </c>
      <c r="Q287" s="475">
        <v>7.6279999999999996E-6</v>
      </c>
      <c r="R287" s="476" t="s">
        <v>2435</v>
      </c>
      <c r="S287" s="477" t="s">
        <v>1531</v>
      </c>
      <c r="T287" s="478" t="s">
        <v>1413</v>
      </c>
      <c r="U287" s="481">
        <v>825.8</v>
      </c>
      <c r="V287" s="481" t="s">
        <v>553</v>
      </c>
      <c r="W287" s="497">
        <v>3.5</v>
      </c>
      <c r="X287" s="498" t="s">
        <v>1620</v>
      </c>
      <c r="Y287" s="488">
        <v>53</v>
      </c>
      <c r="Z287" s="489" t="s">
        <v>1620</v>
      </c>
      <c r="AA287" s="396">
        <v>3.73E-2</v>
      </c>
      <c r="AB287" s="397" t="s">
        <v>553</v>
      </c>
      <c r="AC287" s="369"/>
    </row>
    <row r="288" spans="1:29" ht="20.100000000000001" customHeight="1">
      <c r="A288" s="390" t="s">
        <v>1128</v>
      </c>
      <c r="B288" s="391" t="s">
        <v>895</v>
      </c>
      <c r="C288" s="400">
        <f>COUNTIF('Chem Props'!$B$6:$B$851,'Parameters Summary'!A288)</f>
        <v>1</v>
      </c>
      <c r="D288" s="400">
        <f>COUNTIF('Tox Summary'!$N$3:$N$792, 'Parameters Summary'!A288)</f>
        <v>1</v>
      </c>
      <c r="E288" s="434">
        <v>184.24</v>
      </c>
      <c r="F288" s="435" t="s">
        <v>1620</v>
      </c>
      <c r="G288" s="436">
        <v>1.95E-5</v>
      </c>
      <c r="H288" s="436">
        <v>4.7800000000000002E-7</v>
      </c>
      <c r="I288" s="437" t="s">
        <v>553</v>
      </c>
      <c r="J288" s="436">
        <v>4.3600000000000003E-4</v>
      </c>
      <c r="K288" s="437" t="s">
        <v>553</v>
      </c>
      <c r="L288" s="453">
        <v>131</v>
      </c>
      <c r="M288" s="454" t="s">
        <v>1620</v>
      </c>
      <c r="N288" s="455">
        <v>1.1579999999999999</v>
      </c>
      <c r="O288" s="456" t="s">
        <v>1618</v>
      </c>
      <c r="P288" s="471">
        <v>3.4311599999999998E-2</v>
      </c>
      <c r="Q288" s="471">
        <v>7.2488E-6</v>
      </c>
      <c r="R288" s="472" t="s">
        <v>2435</v>
      </c>
      <c r="S288" s="473" t="s">
        <v>1531</v>
      </c>
      <c r="T288" s="474" t="s">
        <v>1413</v>
      </c>
      <c r="U288" s="484">
        <v>1505</v>
      </c>
      <c r="V288" s="484" t="s">
        <v>553</v>
      </c>
      <c r="W288" s="495">
        <v>2.94</v>
      </c>
      <c r="X288" s="496" t="s">
        <v>1620</v>
      </c>
      <c r="Y288" s="486">
        <v>221</v>
      </c>
      <c r="Z288" s="487" t="s">
        <v>1620</v>
      </c>
      <c r="AA288" s="394">
        <v>1.2999999999999999E-2</v>
      </c>
      <c r="AB288" s="395" t="s">
        <v>553</v>
      </c>
      <c r="AC288" s="369"/>
    </row>
    <row r="289" spans="1:29" ht="20.100000000000001" customHeight="1">
      <c r="A289" s="390" t="s">
        <v>1129</v>
      </c>
      <c r="B289" s="391" t="s">
        <v>896</v>
      </c>
      <c r="C289" s="400">
        <f>COUNTIF('Chem Props'!$B$6:$B$851,'Parameters Summary'!A289)</f>
        <v>1</v>
      </c>
      <c r="D289" s="400">
        <f>COUNTIF('Tox Summary'!$N$3:$N$792, 'Parameters Summary'!A289)</f>
        <v>1</v>
      </c>
      <c r="E289" s="434">
        <v>344.05</v>
      </c>
      <c r="F289" s="435" t="s">
        <v>1620</v>
      </c>
      <c r="G289" s="436">
        <v>5.8049999999999996E-12</v>
      </c>
      <c r="H289" s="436">
        <v>1.42E-13</v>
      </c>
      <c r="I289" s="437" t="s">
        <v>1620</v>
      </c>
      <c r="J289" s="436">
        <v>1.81E-6</v>
      </c>
      <c r="K289" s="437" t="s">
        <v>1620</v>
      </c>
      <c r="L289" s="453">
        <v>337</v>
      </c>
      <c r="M289" s="454" t="s">
        <v>1620</v>
      </c>
      <c r="N289" s="455">
        <v>1.24</v>
      </c>
      <c r="O289" s="456" t="s">
        <v>1618</v>
      </c>
      <c r="P289" s="471">
        <v>2.08104E-2</v>
      </c>
      <c r="Q289" s="471">
        <v>5.1922E-6</v>
      </c>
      <c r="R289" s="472" t="s">
        <v>2435</v>
      </c>
      <c r="S289" s="473" t="s">
        <v>1531</v>
      </c>
      <c r="T289" s="474" t="s">
        <v>1413</v>
      </c>
      <c r="U289" s="484">
        <v>9272</v>
      </c>
      <c r="V289" s="484" t="s">
        <v>553</v>
      </c>
      <c r="W289" s="495">
        <v>-4.5999999999999996</v>
      </c>
      <c r="X289" s="496" t="s">
        <v>1620</v>
      </c>
      <c r="Y289" s="486">
        <v>707900</v>
      </c>
      <c r="Z289" s="487" t="s">
        <v>1620</v>
      </c>
      <c r="AA289" s="394">
        <v>2.4400000000000001E-7</v>
      </c>
      <c r="AB289" s="395" t="s">
        <v>553</v>
      </c>
      <c r="AC289" s="369"/>
    </row>
    <row r="290" spans="1:29" ht="20.100000000000001" customHeight="1" thickBot="1">
      <c r="A290" s="392" t="s">
        <v>1130</v>
      </c>
      <c r="B290" s="393" t="s">
        <v>897</v>
      </c>
      <c r="C290" s="400">
        <f>COUNTIF('Chem Props'!$B$6:$B$851,'Parameters Summary'!A290)</f>
        <v>1</v>
      </c>
      <c r="D290" s="400">
        <f>COUNTIF('Tox Summary'!$N$3:$N$792, 'Parameters Summary'!A290)</f>
        <v>1</v>
      </c>
      <c r="E290" s="438">
        <v>779.77</v>
      </c>
      <c r="F290" s="439" t="s">
        <v>1620</v>
      </c>
      <c r="G290" s="440">
        <v>3.365E-38</v>
      </c>
      <c r="H290" s="440">
        <v>8.2299999999999998E-40</v>
      </c>
      <c r="I290" s="441" t="s">
        <v>1620</v>
      </c>
      <c r="J290" s="440">
        <v>1.5299999999999999E-36</v>
      </c>
      <c r="K290" s="441" t="s">
        <v>1620</v>
      </c>
      <c r="L290" s="457">
        <v>349.84</v>
      </c>
      <c r="M290" s="458" t="s">
        <v>553</v>
      </c>
      <c r="N290" s="463" t="s">
        <v>1531</v>
      </c>
      <c r="O290" s="464" t="s">
        <v>1413</v>
      </c>
      <c r="P290" s="475">
        <v>2.2427200000000001E-2</v>
      </c>
      <c r="Q290" s="475">
        <v>2.6203999999999999E-6</v>
      </c>
      <c r="R290" s="476" t="s">
        <v>2435</v>
      </c>
      <c r="S290" s="477" t="s">
        <v>1531</v>
      </c>
      <c r="T290" s="478" t="s">
        <v>1413</v>
      </c>
      <c r="U290" s="481">
        <v>242000000</v>
      </c>
      <c r="V290" s="481" t="s">
        <v>553</v>
      </c>
      <c r="W290" s="497">
        <v>4.9000000000000004</v>
      </c>
      <c r="X290" s="498" t="s">
        <v>1620</v>
      </c>
      <c r="Y290" s="488">
        <v>3000</v>
      </c>
      <c r="Z290" s="489" t="s">
        <v>1620</v>
      </c>
      <c r="AA290" s="396">
        <v>2.05E-4</v>
      </c>
      <c r="AB290" s="397" t="s">
        <v>553</v>
      </c>
      <c r="AC290" s="369"/>
    </row>
    <row r="291" spans="1:29" ht="20.100000000000001" customHeight="1">
      <c r="A291" s="390" t="s">
        <v>1131</v>
      </c>
      <c r="B291" s="391" t="s">
        <v>898</v>
      </c>
      <c r="C291" s="400">
        <f>COUNTIF('Chem Props'!$B$6:$B$851,'Parameters Summary'!A291)</f>
        <v>1</v>
      </c>
      <c r="D291" s="400">
        <f>COUNTIF('Tox Summary'!$N$3:$N$792, 'Parameters Summary'!A291)</f>
        <v>1</v>
      </c>
      <c r="E291" s="434">
        <v>932.76</v>
      </c>
      <c r="F291" s="435" t="s">
        <v>1620</v>
      </c>
      <c r="G291" s="436">
        <v>3.7240000000000001E-42</v>
      </c>
      <c r="H291" s="436">
        <v>9.1100000000000001E-44</v>
      </c>
      <c r="I291" s="437" t="s">
        <v>1620</v>
      </c>
      <c r="J291" s="436">
        <v>9.5400000000000002E-39</v>
      </c>
      <c r="K291" s="437" t="s">
        <v>1620</v>
      </c>
      <c r="L291" s="453">
        <v>349.84</v>
      </c>
      <c r="M291" s="454" t="s">
        <v>553</v>
      </c>
      <c r="N291" s="461" t="s">
        <v>1531</v>
      </c>
      <c r="O291" s="462" t="s">
        <v>1413</v>
      </c>
      <c r="P291" s="471">
        <v>1.99025E-2</v>
      </c>
      <c r="Q291" s="471">
        <v>2.3253999999999998E-6</v>
      </c>
      <c r="R291" s="472" t="s">
        <v>2435</v>
      </c>
      <c r="S291" s="473" t="s">
        <v>1531</v>
      </c>
      <c r="T291" s="474" t="s">
        <v>1413</v>
      </c>
      <c r="U291" s="484">
        <v>790800000</v>
      </c>
      <c r="V291" s="484" t="s">
        <v>553</v>
      </c>
      <c r="W291" s="495">
        <v>2.6</v>
      </c>
      <c r="X291" s="496" t="s">
        <v>1620</v>
      </c>
      <c r="Y291" s="486">
        <v>1.3660000000000001E-4</v>
      </c>
      <c r="Z291" s="487" t="s">
        <v>1620</v>
      </c>
      <c r="AA291" s="394">
        <v>1.73E-9</v>
      </c>
      <c r="AB291" s="395" t="s">
        <v>553</v>
      </c>
      <c r="AC291" s="369"/>
    </row>
    <row r="292" spans="1:29" ht="20.100000000000001" customHeight="1">
      <c r="A292" s="390" t="s">
        <v>1132</v>
      </c>
      <c r="B292" s="391" t="s">
        <v>899</v>
      </c>
      <c r="C292" s="400">
        <f>COUNTIF('Chem Props'!$B$6:$B$851,'Parameters Summary'!A292)</f>
        <v>1</v>
      </c>
      <c r="D292" s="400">
        <f>COUNTIF('Tox Summary'!$N$3:$N$792, 'Parameters Summary'!A292)</f>
        <v>1</v>
      </c>
      <c r="E292" s="434">
        <v>761.12</v>
      </c>
      <c r="F292" s="435" t="s">
        <v>1620</v>
      </c>
      <c r="G292" s="444" t="s">
        <v>1531</v>
      </c>
      <c r="H292" s="444" t="s">
        <v>1531</v>
      </c>
      <c r="I292" s="445" t="s">
        <v>1413</v>
      </c>
      <c r="J292" s="436">
        <v>1.43E-41</v>
      </c>
      <c r="K292" s="437" t="s">
        <v>1620</v>
      </c>
      <c r="L292" s="453">
        <v>349.84</v>
      </c>
      <c r="M292" s="454" t="s">
        <v>553</v>
      </c>
      <c r="N292" s="461" t="s">
        <v>1531</v>
      </c>
      <c r="O292" s="462" t="s">
        <v>1413</v>
      </c>
      <c r="P292" s="471">
        <v>2.2792099999999999E-2</v>
      </c>
      <c r="Q292" s="471">
        <v>2.6631E-6</v>
      </c>
      <c r="R292" s="472" t="s">
        <v>2435</v>
      </c>
      <c r="S292" s="473" t="s">
        <v>1531</v>
      </c>
      <c r="T292" s="474" t="s">
        <v>1413</v>
      </c>
      <c r="U292" s="484">
        <v>6985000</v>
      </c>
      <c r="V292" s="484" t="s">
        <v>553</v>
      </c>
      <c r="W292" s="495">
        <v>-6.53</v>
      </c>
      <c r="X292" s="496" t="s">
        <v>1620</v>
      </c>
      <c r="Y292" s="486">
        <v>1000000</v>
      </c>
      <c r="Z292" s="487" t="s">
        <v>1620</v>
      </c>
      <c r="AA292" s="394">
        <v>3.8700000000000003E-12</v>
      </c>
      <c r="AB292" s="395" t="s">
        <v>553</v>
      </c>
      <c r="AC292" s="369"/>
    </row>
    <row r="293" spans="1:29" ht="20.100000000000001" customHeight="1" thickBot="1">
      <c r="A293" s="392" t="s">
        <v>1133</v>
      </c>
      <c r="B293" s="393" t="s">
        <v>900</v>
      </c>
      <c r="C293" s="400">
        <f>COUNTIF('Chem Props'!$B$6:$B$851,'Parameters Summary'!A293)</f>
        <v>1</v>
      </c>
      <c r="D293" s="400">
        <f>COUNTIF('Tox Summary'!$N$3:$N$792, 'Parameters Summary'!A293)</f>
        <v>1</v>
      </c>
      <c r="E293" s="438">
        <v>274.41000000000003</v>
      </c>
      <c r="F293" s="439" t="s">
        <v>1620</v>
      </c>
      <c r="G293" s="440">
        <v>8.8300000000000005E-5</v>
      </c>
      <c r="H293" s="440">
        <v>2.1600000000000001E-6</v>
      </c>
      <c r="I293" s="441" t="s">
        <v>553</v>
      </c>
      <c r="J293" s="440">
        <v>9.7499999999999998E-5</v>
      </c>
      <c r="K293" s="441" t="s">
        <v>1620</v>
      </c>
      <c r="L293" s="457">
        <v>-25</v>
      </c>
      <c r="M293" s="458" t="s">
        <v>1620</v>
      </c>
      <c r="N293" s="459">
        <v>1.1439999999999999</v>
      </c>
      <c r="O293" s="460" t="s">
        <v>1618</v>
      </c>
      <c r="P293" s="475">
        <v>2.2542099999999999E-2</v>
      </c>
      <c r="Q293" s="475">
        <v>5.6660999999999998E-6</v>
      </c>
      <c r="R293" s="476" t="s">
        <v>2435</v>
      </c>
      <c r="S293" s="477" t="s">
        <v>1531</v>
      </c>
      <c r="T293" s="478" t="s">
        <v>1413</v>
      </c>
      <c r="U293" s="481">
        <v>837.9</v>
      </c>
      <c r="V293" s="481" t="s">
        <v>553</v>
      </c>
      <c r="W293" s="497">
        <v>4.0199999999999996</v>
      </c>
      <c r="X293" s="498" t="s">
        <v>1620</v>
      </c>
      <c r="Y293" s="488">
        <v>16.3</v>
      </c>
      <c r="Z293" s="489" t="s">
        <v>1620</v>
      </c>
      <c r="AA293" s="396">
        <v>2.12E-2</v>
      </c>
      <c r="AB293" s="397" t="s">
        <v>553</v>
      </c>
      <c r="AC293" s="369"/>
    </row>
    <row r="294" spans="1:29" ht="20.100000000000001" customHeight="1">
      <c r="A294" s="390" t="s">
        <v>1134</v>
      </c>
      <c r="B294" s="391" t="s">
        <v>901</v>
      </c>
      <c r="C294" s="400">
        <f>COUNTIF('Chem Props'!$B$6:$B$851,'Parameters Summary'!A294)</f>
        <v>1</v>
      </c>
      <c r="D294" s="400">
        <f>COUNTIF('Tox Summary'!$N$3:$N$792, 'Parameters Summary'!A294)</f>
        <v>1</v>
      </c>
      <c r="E294" s="434">
        <v>120.24</v>
      </c>
      <c r="F294" s="435" t="s">
        <v>1620</v>
      </c>
      <c r="G294" s="436">
        <v>1.7171E-3</v>
      </c>
      <c r="H294" s="436">
        <v>4.1999999999999998E-5</v>
      </c>
      <c r="I294" s="437" t="s">
        <v>553</v>
      </c>
      <c r="J294" s="436">
        <v>7.9500000000000001E-2</v>
      </c>
      <c r="K294" s="437" t="s">
        <v>1620</v>
      </c>
      <c r="L294" s="453">
        <v>112.3</v>
      </c>
      <c r="M294" s="454" t="s">
        <v>1620</v>
      </c>
      <c r="N294" s="455">
        <v>1.1399999999999999</v>
      </c>
      <c r="O294" s="456" t="s">
        <v>2205</v>
      </c>
      <c r="P294" s="471">
        <v>6.82093E-2</v>
      </c>
      <c r="Q294" s="471">
        <v>9.2765E-6</v>
      </c>
      <c r="R294" s="472" t="s">
        <v>2435</v>
      </c>
      <c r="S294" s="473" t="s">
        <v>1531</v>
      </c>
      <c r="T294" s="474" t="s">
        <v>1413</v>
      </c>
      <c r="U294" s="484">
        <v>145.80000000000001</v>
      </c>
      <c r="V294" s="484" t="s">
        <v>553</v>
      </c>
      <c r="W294" s="495">
        <v>0.77</v>
      </c>
      <c r="X294" s="496" t="s">
        <v>1620</v>
      </c>
      <c r="Y294" s="486">
        <v>3000</v>
      </c>
      <c r="Z294" s="487" t="s">
        <v>1620</v>
      </c>
      <c r="AA294" s="394">
        <v>1.08E-3</v>
      </c>
      <c r="AB294" s="395" t="s">
        <v>553</v>
      </c>
      <c r="AC294" s="369"/>
    </row>
    <row r="295" spans="1:29" ht="20.100000000000001" customHeight="1">
      <c r="A295" s="390" t="s">
        <v>1135</v>
      </c>
      <c r="B295" s="391" t="s">
        <v>902</v>
      </c>
      <c r="C295" s="400">
        <f>COUNTIF('Chem Props'!$B$6:$B$851,'Parameters Summary'!A295)</f>
        <v>1</v>
      </c>
      <c r="D295" s="400">
        <f>COUNTIF('Tox Summary'!$N$3:$N$792, 'Parameters Summary'!A295)</f>
        <v>1</v>
      </c>
      <c r="E295" s="434">
        <v>233.1</v>
      </c>
      <c r="F295" s="435" t="s">
        <v>1620</v>
      </c>
      <c r="G295" s="436">
        <v>2.0605000000000002E-8</v>
      </c>
      <c r="H295" s="436">
        <v>5.0400000000000002E-10</v>
      </c>
      <c r="I295" s="437" t="s">
        <v>553</v>
      </c>
      <c r="J295" s="436">
        <v>6.8999999999999996E-8</v>
      </c>
      <c r="K295" s="437" t="s">
        <v>1620</v>
      </c>
      <c r="L295" s="453">
        <v>158</v>
      </c>
      <c r="M295" s="454" t="s">
        <v>1620</v>
      </c>
      <c r="N295" s="461" t="s">
        <v>1531</v>
      </c>
      <c r="O295" s="462" t="s">
        <v>1413</v>
      </c>
      <c r="P295" s="471">
        <v>5.0164E-2</v>
      </c>
      <c r="Q295" s="471">
        <v>5.8613000000000001E-6</v>
      </c>
      <c r="R295" s="472" t="s">
        <v>2435</v>
      </c>
      <c r="S295" s="473" t="s">
        <v>1531</v>
      </c>
      <c r="T295" s="474" t="s">
        <v>1413</v>
      </c>
      <c r="U295" s="484">
        <v>109.1</v>
      </c>
      <c r="V295" s="484" t="s">
        <v>553</v>
      </c>
      <c r="W295" s="495">
        <v>2.68</v>
      </c>
      <c r="X295" s="496" t="s">
        <v>1620</v>
      </c>
      <c r="Y295" s="486">
        <v>42</v>
      </c>
      <c r="Z295" s="487" t="s">
        <v>1620</v>
      </c>
      <c r="AA295" s="394">
        <v>4.6600000000000001E-3</v>
      </c>
      <c r="AB295" s="395" t="s">
        <v>553</v>
      </c>
      <c r="AC295" s="369"/>
    </row>
    <row r="296" spans="1:29" ht="20.100000000000001" customHeight="1" thickBot="1">
      <c r="A296" s="392" t="s">
        <v>1136</v>
      </c>
      <c r="B296" s="393" t="s">
        <v>903</v>
      </c>
      <c r="C296" s="400">
        <f>COUNTIF('Chem Props'!$B$6:$B$851,'Parameters Summary'!A296)</f>
        <v>1</v>
      </c>
      <c r="D296" s="400">
        <f>COUNTIF('Tox Summary'!$N$3:$N$792, 'Parameters Summary'!A296)</f>
        <v>1</v>
      </c>
      <c r="E296" s="438">
        <v>287.45</v>
      </c>
      <c r="F296" s="439" t="s">
        <v>1620</v>
      </c>
      <c r="G296" s="440">
        <v>3.6836E-9</v>
      </c>
      <c r="H296" s="440">
        <v>9.0100000000000004E-11</v>
      </c>
      <c r="I296" s="441" t="s">
        <v>553</v>
      </c>
      <c r="J296" s="440">
        <v>1.4999999999999999E-7</v>
      </c>
      <c r="K296" s="441" t="s">
        <v>1620</v>
      </c>
      <c r="L296" s="457">
        <v>136</v>
      </c>
      <c r="M296" s="458" t="s">
        <v>1620</v>
      </c>
      <c r="N296" s="463" t="s">
        <v>1531</v>
      </c>
      <c r="O296" s="464" t="s">
        <v>1413</v>
      </c>
      <c r="P296" s="475">
        <v>4.36227E-2</v>
      </c>
      <c r="Q296" s="475">
        <v>5.0969999999999996E-6</v>
      </c>
      <c r="R296" s="476" t="s">
        <v>2435</v>
      </c>
      <c r="S296" s="477" t="s">
        <v>1531</v>
      </c>
      <c r="T296" s="478" t="s">
        <v>1413</v>
      </c>
      <c r="U296" s="481">
        <v>2482</v>
      </c>
      <c r="V296" s="481" t="s">
        <v>553</v>
      </c>
      <c r="W296" s="497">
        <v>1.1499999999999999</v>
      </c>
      <c r="X296" s="498" t="s">
        <v>1620</v>
      </c>
      <c r="Y296" s="488">
        <v>630</v>
      </c>
      <c r="Z296" s="489" t="s">
        <v>1620</v>
      </c>
      <c r="AA296" s="396">
        <v>2.22E-4</v>
      </c>
      <c r="AB296" s="397" t="s">
        <v>553</v>
      </c>
      <c r="AC296" s="369"/>
    </row>
    <row r="297" spans="1:29" ht="20.100000000000001" customHeight="1">
      <c r="A297" s="390" t="s">
        <v>1139</v>
      </c>
      <c r="B297" s="391" t="s">
        <v>904</v>
      </c>
      <c r="C297" s="400">
        <f>COUNTIF('Chem Props'!$B$6:$B$851,'Parameters Summary'!A297)</f>
        <v>1</v>
      </c>
      <c r="D297" s="400">
        <f>COUNTIF('Tox Summary'!$N$3:$N$792, 'Parameters Summary'!A297)</f>
        <v>1</v>
      </c>
      <c r="E297" s="434">
        <v>189.32</v>
      </c>
      <c r="F297" s="435" t="s">
        <v>1620</v>
      </c>
      <c r="G297" s="436">
        <v>6.4999999999999997E-4</v>
      </c>
      <c r="H297" s="436">
        <v>1.59E-5</v>
      </c>
      <c r="I297" s="437" t="s">
        <v>553</v>
      </c>
      <c r="J297" s="436">
        <v>2.4E-2</v>
      </c>
      <c r="K297" s="437" t="s">
        <v>1620</v>
      </c>
      <c r="L297" s="453">
        <v>60.53</v>
      </c>
      <c r="M297" s="454" t="s">
        <v>553</v>
      </c>
      <c r="N297" s="455">
        <v>0.9546</v>
      </c>
      <c r="O297" s="456" t="s">
        <v>1618</v>
      </c>
      <c r="P297" s="471">
        <v>2.9126200000000001E-2</v>
      </c>
      <c r="Q297" s="471">
        <v>6.3511000000000001E-6</v>
      </c>
      <c r="R297" s="472" t="s">
        <v>2435</v>
      </c>
      <c r="S297" s="473" t="s">
        <v>1531</v>
      </c>
      <c r="T297" s="474" t="s">
        <v>1413</v>
      </c>
      <c r="U297" s="484">
        <v>164.1</v>
      </c>
      <c r="V297" s="484" t="s">
        <v>553</v>
      </c>
      <c r="W297" s="495">
        <v>3.21</v>
      </c>
      <c r="X297" s="496" t="s">
        <v>1620</v>
      </c>
      <c r="Y297" s="486">
        <v>375</v>
      </c>
      <c r="Z297" s="487" t="s">
        <v>1620</v>
      </c>
      <c r="AA297" s="394">
        <v>1.84E-2</v>
      </c>
      <c r="AB297" s="395" t="s">
        <v>553</v>
      </c>
      <c r="AC297" s="369"/>
    </row>
    <row r="298" spans="1:29" ht="20.100000000000001" customHeight="1">
      <c r="A298" s="390" t="s">
        <v>438</v>
      </c>
      <c r="B298" s="391" t="s">
        <v>905</v>
      </c>
      <c r="C298" s="400">
        <f>COUNTIF('Chem Props'!$B$6:$B$851,'Parameters Summary'!A298)</f>
        <v>1</v>
      </c>
      <c r="D298" s="400">
        <f>COUNTIF('Tox Summary'!$N$3:$N$792, 'Parameters Summary'!A298)</f>
        <v>1</v>
      </c>
      <c r="E298" s="434">
        <v>406.93</v>
      </c>
      <c r="F298" s="435" t="s">
        <v>1620</v>
      </c>
      <c r="G298" s="436">
        <v>2.6573999999999999E-3</v>
      </c>
      <c r="H298" s="436">
        <v>6.4999999999999994E-5</v>
      </c>
      <c r="I298" s="437" t="s">
        <v>1620</v>
      </c>
      <c r="J298" s="436">
        <v>1.73E-7</v>
      </c>
      <c r="K298" s="437" t="s">
        <v>1620</v>
      </c>
      <c r="L298" s="453">
        <v>106</v>
      </c>
      <c r="M298" s="454" t="s">
        <v>1620</v>
      </c>
      <c r="N298" s="455">
        <v>1.7450000000000001</v>
      </c>
      <c r="O298" s="456" t="s">
        <v>1618</v>
      </c>
      <c r="P298" s="471">
        <v>2.2484500000000001E-2</v>
      </c>
      <c r="Q298" s="471">
        <v>5.7628000000000001E-6</v>
      </c>
      <c r="R298" s="472" t="s">
        <v>2435</v>
      </c>
      <c r="S298" s="473" t="s">
        <v>1531</v>
      </c>
      <c r="T298" s="474" t="s">
        <v>1413</v>
      </c>
      <c r="U298" s="484">
        <v>6761</v>
      </c>
      <c r="V298" s="484" t="s">
        <v>553</v>
      </c>
      <c r="W298" s="495">
        <v>3.83</v>
      </c>
      <c r="X298" s="496" t="s">
        <v>1620</v>
      </c>
      <c r="Y298" s="486">
        <v>0.32500000000000001</v>
      </c>
      <c r="Z298" s="487" t="s">
        <v>1620</v>
      </c>
      <c r="AA298" s="394">
        <v>2.8600000000000001E-3</v>
      </c>
      <c r="AB298" s="395" t="s">
        <v>553</v>
      </c>
      <c r="AC298" s="369"/>
    </row>
    <row r="299" spans="1:29" ht="20.100000000000001" customHeight="1" thickBot="1">
      <c r="A299" s="392" t="s">
        <v>1137</v>
      </c>
      <c r="B299" s="393" t="s">
        <v>906</v>
      </c>
      <c r="C299" s="400">
        <f>COUNTIF('Chem Props'!$B$6:$B$851,'Parameters Summary'!A299)</f>
        <v>1</v>
      </c>
      <c r="D299" s="400">
        <f>COUNTIF('Tox Summary'!$N$3:$N$792, 'Parameters Summary'!A299)</f>
        <v>1</v>
      </c>
      <c r="E299" s="438">
        <v>186.17</v>
      </c>
      <c r="F299" s="439" t="s">
        <v>1620</v>
      </c>
      <c r="G299" s="440">
        <v>1.5740000000000001E-14</v>
      </c>
      <c r="H299" s="440">
        <v>3.8499999999999999E-16</v>
      </c>
      <c r="I299" s="441" t="s">
        <v>553</v>
      </c>
      <c r="J299" s="440">
        <v>1.57E-10</v>
      </c>
      <c r="K299" s="441" t="s">
        <v>1620</v>
      </c>
      <c r="L299" s="457">
        <v>144</v>
      </c>
      <c r="M299" s="458" t="s">
        <v>1620</v>
      </c>
      <c r="N299" s="459">
        <v>1.431</v>
      </c>
      <c r="O299" s="460" t="s">
        <v>1618</v>
      </c>
      <c r="P299" s="475">
        <v>3.6747000000000002E-2</v>
      </c>
      <c r="Q299" s="475">
        <v>8.1791999999999995E-6</v>
      </c>
      <c r="R299" s="476" t="s">
        <v>2435</v>
      </c>
      <c r="S299" s="477" t="s">
        <v>1531</v>
      </c>
      <c r="T299" s="478" t="s">
        <v>1413</v>
      </c>
      <c r="U299" s="481">
        <v>19.41</v>
      </c>
      <c r="V299" s="481" t="s">
        <v>553</v>
      </c>
      <c r="W299" s="497">
        <v>1.91</v>
      </c>
      <c r="X299" s="498" t="s">
        <v>1620</v>
      </c>
      <c r="Y299" s="488">
        <v>100000</v>
      </c>
      <c r="Z299" s="489" t="s">
        <v>1620</v>
      </c>
      <c r="AA299" s="396">
        <v>2.63E-3</v>
      </c>
      <c r="AB299" s="397" t="s">
        <v>553</v>
      </c>
      <c r="AC299" s="369"/>
    </row>
    <row r="300" spans="1:29" ht="20.100000000000001" customHeight="1">
      <c r="A300" s="390" t="s">
        <v>380</v>
      </c>
      <c r="B300" s="391" t="s">
        <v>907</v>
      </c>
      <c r="C300" s="400">
        <f>COUNTIF('Chem Props'!$B$6:$B$851,'Parameters Summary'!A300)</f>
        <v>1</v>
      </c>
      <c r="D300" s="400">
        <f>COUNTIF('Tox Summary'!$N$3:$N$792, 'Parameters Summary'!A300)</f>
        <v>1</v>
      </c>
      <c r="E300" s="434">
        <v>380.91</v>
      </c>
      <c r="F300" s="435" t="s">
        <v>1620</v>
      </c>
      <c r="G300" s="436">
        <v>2.5999999999999998E-4</v>
      </c>
      <c r="H300" s="436">
        <v>6.3600000000000001E-6</v>
      </c>
      <c r="I300" s="437" t="s">
        <v>1620</v>
      </c>
      <c r="J300" s="436">
        <v>3.0000000000000001E-6</v>
      </c>
      <c r="K300" s="437" t="s">
        <v>1620</v>
      </c>
      <c r="L300" s="453">
        <v>226</v>
      </c>
      <c r="M300" s="454" t="s">
        <v>1620</v>
      </c>
      <c r="N300" s="461" t="s">
        <v>1531</v>
      </c>
      <c r="O300" s="462" t="s">
        <v>1413</v>
      </c>
      <c r="P300" s="471">
        <v>3.6158099999999999E-2</v>
      </c>
      <c r="Q300" s="471">
        <v>4.2247999999999998E-6</v>
      </c>
      <c r="R300" s="472" t="s">
        <v>2435</v>
      </c>
      <c r="S300" s="473" t="s">
        <v>1531</v>
      </c>
      <c r="T300" s="474" t="s">
        <v>1413</v>
      </c>
      <c r="U300" s="484">
        <v>20090</v>
      </c>
      <c r="V300" s="484" t="s">
        <v>553</v>
      </c>
      <c r="W300" s="495">
        <v>5.2</v>
      </c>
      <c r="X300" s="496" t="s">
        <v>1620</v>
      </c>
      <c r="Y300" s="486">
        <v>0.25</v>
      </c>
      <c r="Z300" s="487" t="s">
        <v>1620</v>
      </c>
      <c r="AA300" s="394">
        <v>3.2599999999999997E-2</v>
      </c>
      <c r="AB300" s="395" t="s">
        <v>553</v>
      </c>
      <c r="AC300" s="369"/>
    </row>
    <row r="301" spans="1:29" ht="20.100000000000001" customHeight="1">
      <c r="A301" s="390" t="s">
        <v>1439</v>
      </c>
      <c r="B301" s="391" t="s">
        <v>908</v>
      </c>
      <c r="C301" s="400">
        <f>COUNTIF('Chem Props'!$B$6:$B$851,'Parameters Summary'!A301)</f>
        <v>1</v>
      </c>
      <c r="D301" s="400">
        <f>COUNTIF('Tox Summary'!$N$3:$N$792, 'Parameters Summary'!A301)</f>
        <v>1</v>
      </c>
      <c r="E301" s="434">
        <v>92.525999999999996</v>
      </c>
      <c r="F301" s="435" t="s">
        <v>1620</v>
      </c>
      <c r="G301" s="436">
        <v>1.2428000000000001E-3</v>
      </c>
      <c r="H301" s="436">
        <v>3.04E-5</v>
      </c>
      <c r="I301" s="437" t="s">
        <v>553</v>
      </c>
      <c r="J301" s="436">
        <v>16.440000000000001</v>
      </c>
      <c r="K301" s="437" t="s">
        <v>1620</v>
      </c>
      <c r="L301" s="453">
        <v>-57.2</v>
      </c>
      <c r="M301" s="454" t="s">
        <v>1620</v>
      </c>
      <c r="N301" s="455">
        <v>1.1830000000000001</v>
      </c>
      <c r="O301" s="456" t="s">
        <v>1621</v>
      </c>
      <c r="P301" s="471">
        <v>8.8868199999999994E-2</v>
      </c>
      <c r="Q301" s="471">
        <v>1.11E-5</v>
      </c>
      <c r="R301" s="472" t="s">
        <v>2435</v>
      </c>
      <c r="S301" s="473" t="s">
        <v>1531</v>
      </c>
      <c r="T301" s="474" t="s">
        <v>1413</v>
      </c>
      <c r="U301" s="484">
        <v>9.907</v>
      </c>
      <c r="V301" s="484" t="s">
        <v>553</v>
      </c>
      <c r="W301" s="495">
        <v>0.45</v>
      </c>
      <c r="X301" s="496" t="s">
        <v>1620</v>
      </c>
      <c r="Y301" s="486">
        <v>65900</v>
      </c>
      <c r="Z301" s="487" t="s">
        <v>1620</v>
      </c>
      <c r="AA301" s="394">
        <v>9.4399999999999996E-4</v>
      </c>
      <c r="AB301" s="395" t="s">
        <v>553</v>
      </c>
      <c r="AC301" s="369"/>
    </row>
    <row r="302" spans="1:29" ht="20.100000000000001" customHeight="1" thickBot="1">
      <c r="A302" s="392" t="s">
        <v>1138</v>
      </c>
      <c r="B302" s="393" t="s">
        <v>909</v>
      </c>
      <c r="C302" s="400">
        <f>COUNTIF('Chem Props'!$B$6:$B$851,'Parameters Summary'!A302)</f>
        <v>1</v>
      </c>
      <c r="D302" s="400">
        <f>COUNTIF('Tox Summary'!$N$3:$N$792, 'Parameters Summary'!A302)</f>
        <v>1</v>
      </c>
      <c r="E302" s="438">
        <v>72.108000000000004</v>
      </c>
      <c r="F302" s="439" t="s">
        <v>1620</v>
      </c>
      <c r="G302" s="440">
        <v>7.3590000000000001E-3</v>
      </c>
      <c r="H302" s="440">
        <v>1.8000000000000001E-4</v>
      </c>
      <c r="I302" s="441" t="s">
        <v>553</v>
      </c>
      <c r="J302" s="440">
        <v>180</v>
      </c>
      <c r="K302" s="441" t="s">
        <v>1620</v>
      </c>
      <c r="L302" s="457">
        <v>-150</v>
      </c>
      <c r="M302" s="458" t="s">
        <v>1620</v>
      </c>
      <c r="N302" s="459">
        <v>0.82969999999999999</v>
      </c>
      <c r="O302" s="460" t="s">
        <v>1618</v>
      </c>
      <c r="P302" s="475">
        <v>9.2895800000000001E-2</v>
      </c>
      <c r="Q302" s="475">
        <v>1.04E-5</v>
      </c>
      <c r="R302" s="476" t="s">
        <v>2435</v>
      </c>
      <c r="S302" s="477" t="s">
        <v>1531</v>
      </c>
      <c r="T302" s="478" t="s">
        <v>1413</v>
      </c>
      <c r="U302" s="481">
        <v>9.907</v>
      </c>
      <c r="V302" s="481" t="s">
        <v>553</v>
      </c>
      <c r="W302" s="497">
        <v>0.86</v>
      </c>
      <c r="X302" s="498" t="s">
        <v>1620</v>
      </c>
      <c r="Y302" s="488">
        <v>95000</v>
      </c>
      <c r="Z302" s="489" t="s">
        <v>1620</v>
      </c>
      <c r="AA302" s="396">
        <v>2.31E-3</v>
      </c>
      <c r="AB302" s="397" t="s">
        <v>553</v>
      </c>
      <c r="AC302" s="369"/>
    </row>
    <row r="303" spans="1:29" ht="20.100000000000001" customHeight="1">
      <c r="A303" s="390" t="s">
        <v>2297</v>
      </c>
      <c r="B303" s="391" t="s">
        <v>2282</v>
      </c>
      <c r="C303" s="400">
        <f>COUNTIF('Chem Props'!$B$6:$B$851,'Parameters Summary'!A303)</f>
        <v>1</v>
      </c>
      <c r="D303" s="400">
        <f>COUNTIF('Tox Summary'!$N$3:$N$792, 'Parameters Summary'!A303)</f>
        <v>1</v>
      </c>
      <c r="E303" s="434">
        <v>120.15</v>
      </c>
      <c r="F303" s="435" t="s">
        <v>1620</v>
      </c>
      <c r="G303" s="436">
        <v>6.7460000000000003E-10</v>
      </c>
      <c r="H303" s="436">
        <v>1.6500000000000001E-11</v>
      </c>
      <c r="I303" s="437" t="s">
        <v>1620</v>
      </c>
      <c r="J303" s="436">
        <v>0.25</v>
      </c>
      <c r="K303" s="437" t="s">
        <v>1620</v>
      </c>
      <c r="L303" s="453">
        <v>-14.6</v>
      </c>
      <c r="M303" s="454" t="s">
        <v>553</v>
      </c>
      <c r="N303" s="461" t="s">
        <v>1531</v>
      </c>
      <c r="O303" s="462" t="s">
        <v>1413</v>
      </c>
      <c r="P303" s="471">
        <v>7.8031699999999996E-2</v>
      </c>
      <c r="Q303" s="471">
        <v>9.1174000000000002E-6</v>
      </c>
      <c r="R303" s="472" t="s">
        <v>2435</v>
      </c>
      <c r="S303" s="473" t="s">
        <v>1531</v>
      </c>
      <c r="T303" s="474" t="s">
        <v>1413</v>
      </c>
      <c r="U303" s="484">
        <v>1</v>
      </c>
      <c r="V303" s="484" t="s">
        <v>553</v>
      </c>
      <c r="W303" s="495">
        <v>-1.18</v>
      </c>
      <c r="X303" s="496" t="s">
        <v>1620</v>
      </c>
      <c r="Y303" s="486">
        <v>1000000</v>
      </c>
      <c r="Z303" s="487" t="s">
        <v>1620</v>
      </c>
      <c r="AA303" s="394">
        <v>1.7469999999999999E-4</v>
      </c>
      <c r="AB303" s="395" t="s">
        <v>1668</v>
      </c>
      <c r="AC303" s="369"/>
    </row>
    <row r="304" spans="1:29" ht="20.100000000000001" customHeight="1">
      <c r="A304" s="390" t="s">
        <v>1140</v>
      </c>
      <c r="B304" s="391" t="s">
        <v>910</v>
      </c>
      <c r="C304" s="400">
        <f>COUNTIF('Chem Props'!$B$6:$B$851,'Parameters Summary'!A304)</f>
        <v>1</v>
      </c>
      <c r="D304" s="400">
        <f>COUNTIF('Tox Summary'!$N$3:$N$792, 'Parameters Summary'!A304)</f>
        <v>1</v>
      </c>
      <c r="E304" s="434">
        <v>144.5</v>
      </c>
      <c r="F304" s="435" t="s">
        <v>1620</v>
      </c>
      <c r="G304" s="436">
        <v>2.3300000000000002E-10</v>
      </c>
      <c r="H304" s="436">
        <v>5.7000000000000003E-12</v>
      </c>
      <c r="I304" s="437" t="s">
        <v>1620</v>
      </c>
      <c r="J304" s="436">
        <v>9.8000000000000004E-8</v>
      </c>
      <c r="K304" s="437" t="s">
        <v>1620</v>
      </c>
      <c r="L304" s="453">
        <v>74</v>
      </c>
      <c r="M304" s="454" t="s">
        <v>1620</v>
      </c>
      <c r="N304" s="455">
        <v>1.2</v>
      </c>
      <c r="O304" s="456" t="s">
        <v>1618</v>
      </c>
      <c r="P304" s="471">
        <v>5.5476499999999998E-2</v>
      </c>
      <c r="Q304" s="471">
        <v>8.5676000000000008E-6</v>
      </c>
      <c r="R304" s="472" t="s">
        <v>2435</v>
      </c>
      <c r="S304" s="473" t="s">
        <v>1531</v>
      </c>
      <c r="T304" s="474" t="s">
        <v>1413</v>
      </c>
      <c r="U304" s="484">
        <v>5.0279999999999996</v>
      </c>
      <c r="V304" s="484" t="s">
        <v>553</v>
      </c>
      <c r="W304" s="495">
        <v>-0.22</v>
      </c>
      <c r="X304" s="496" t="s">
        <v>1620</v>
      </c>
      <c r="Y304" s="486">
        <v>1000000</v>
      </c>
      <c r="Z304" s="487" t="s">
        <v>1620</v>
      </c>
      <c r="AA304" s="394">
        <v>1.73E-4</v>
      </c>
      <c r="AB304" s="395" t="s">
        <v>553</v>
      </c>
      <c r="AC304" s="369"/>
    </row>
    <row r="305" spans="1:29" ht="20.100000000000001" customHeight="1" thickBot="1">
      <c r="A305" s="392" t="s">
        <v>1141</v>
      </c>
      <c r="B305" s="393" t="s">
        <v>911</v>
      </c>
      <c r="C305" s="400">
        <f>COUNTIF('Chem Props'!$B$6:$B$851,'Parameters Summary'!A305)</f>
        <v>1</v>
      </c>
      <c r="D305" s="400">
        <f>COUNTIF('Tox Summary'!$N$3:$N$792, 'Parameters Summary'!A305)</f>
        <v>1</v>
      </c>
      <c r="E305" s="438">
        <v>384.48</v>
      </c>
      <c r="F305" s="439" t="s">
        <v>1620</v>
      </c>
      <c r="G305" s="440">
        <v>1.5500000000000001E-5</v>
      </c>
      <c r="H305" s="440">
        <v>3.7899999999999999E-7</v>
      </c>
      <c r="I305" s="441" t="s">
        <v>553</v>
      </c>
      <c r="J305" s="440">
        <v>1.5E-6</v>
      </c>
      <c r="K305" s="441" t="s">
        <v>1620</v>
      </c>
      <c r="L305" s="457">
        <v>-13</v>
      </c>
      <c r="M305" s="458" t="s">
        <v>1620</v>
      </c>
      <c r="N305" s="459">
        <v>1.22</v>
      </c>
      <c r="O305" s="460" t="s">
        <v>1618</v>
      </c>
      <c r="P305" s="475">
        <v>1.9477399999999999E-2</v>
      </c>
      <c r="Q305" s="475">
        <v>4.8102000000000001E-6</v>
      </c>
      <c r="R305" s="476" t="s">
        <v>2435</v>
      </c>
      <c r="S305" s="477" t="s">
        <v>1531</v>
      </c>
      <c r="T305" s="478" t="s">
        <v>1413</v>
      </c>
      <c r="U305" s="481">
        <v>882</v>
      </c>
      <c r="V305" s="481" t="s">
        <v>553</v>
      </c>
      <c r="W305" s="497">
        <v>5.07</v>
      </c>
      <c r="X305" s="498" t="s">
        <v>1620</v>
      </c>
      <c r="Y305" s="488">
        <v>2</v>
      </c>
      <c r="Z305" s="489" t="s">
        <v>1620</v>
      </c>
      <c r="AA305" s="396">
        <v>2.5499999999999998E-2</v>
      </c>
      <c r="AB305" s="397" t="s">
        <v>553</v>
      </c>
      <c r="AC305" s="369"/>
    </row>
    <row r="306" spans="1:29" ht="20.100000000000001" customHeight="1">
      <c r="A306" s="390" t="s">
        <v>1142</v>
      </c>
      <c r="B306" s="391" t="s">
        <v>912</v>
      </c>
      <c r="C306" s="400">
        <f>COUNTIF('Chem Props'!$B$6:$B$851,'Parameters Summary'!A306)</f>
        <v>1</v>
      </c>
      <c r="D306" s="400">
        <f>COUNTIF('Tox Summary'!$N$3:$N$792, 'Parameters Summary'!A306)</f>
        <v>1</v>
      </c>
      <c r="E306" s="434">
        <v>132.16</v>
      </c>
      <c r="F306" s="435" t="s">
        <v>1620</v>
      </c>
      <c r="G306" s="436">
        <v>1.3080000000000001E-4</v>
      </c>
      <c r="H306" s="436">
        <v>3.1999999999999999E-6</v>
      </c>
      <c r="I306" s="437" t="s">
        <v>1620</v>
      </c>
      <c r="J306" s="436">
        <v>2</v>
      </c>
      <c r="K306" s="437" t="s">
        <v>1620</v>
      </c>
      <c r="L306" s="453">
        <v>-61.7</v>
      </c>
      <c r="M306" s="454" t="s">
        <v>1620</v>
      </c>
      <c r="N306" s="455">
        <v>0.97399999999999998</v>
      </c>
      <c r="O306" s="456" t="s">
        <v>1618</v>
      </c>
      <c r="P306" s="471">
        <v>5.6950399999999998E-2</v>
      </c>
      <c r="Q306" s="471">
        <v>7.9752999999999997E-6</v>
      </c>
      <c r="R306" s="472" t="s">
        <v>2435</v>
      </c>
      <c r="S306" s="473" t="s">
        <v>1531</v>
      </c>
      <c r="T306" s="474" t="s">
        <v>1413</v>
      </c>
      <c r="U306" s="484">
        <v>4.5419999999999998</v>
      </c>
      <c r="V306" s="484" t="s">
        <v>553</v>
      </c>
      <c r="W306" s="495">
        <v>0.59</v>
      </c>
      <c r="X306" s="496" t="s">
        <v>1620</v>
      </c>
      <c r="Y306" s="486">
        <v>187000</v>
      </c>
      <c r="Z306" s="487" t="s">
        <v>1620</v>
      </c>
      <c r="AA306" s="394">
        <v>6.9999999999999999E-4</v>
      </c>
      <c r="AB306" s="395" t="s">
        <v>553</v>
      </c>
      <c r="AC306" s="369"/>
    </row>
    <row r="307" spans="1:29" ht="20.100000000000001" customHeight="1">
      <c r="A307" s="390" t="s">
        <v>1143</v>
      </c>
      <c r="B307" s="391" t="s">
        <v>913</v>
      </c>
      <c r="C307" s="400">
        <f>COUNTIF('Chem Props'!$B$6:$B$851,'Parameters Summary'!A307)</f>
        <v>1</v>
      </c>
      <c r="D307" s="400">
        <f>COUNTIF('Tox Summary'!$N$3:$N$792, 'Parameters Summary'!A307)</f>
        <v>1</v>
      </c>
      <c r="E307" s="434">
        <v>90.123000000000005</v>
      </c>
      <c r="F307" s="435" t="s">
        <v>1620</v>
      </c>
      <c r="G307" s="436">
        <v>1.9199999999999999E-5</v>
      </c>
      <c r="H307" s="436">
        <v>4.7E-7</v>
      </c>
      <c r="I307" s="437" t="s">
        <v>1620</v>
      </c>
      <c r="J307" s="436">
        <v>5.31</v>
      </c>
      <c r="K307" s="437" t="s">
        <v>1620</v>
      </c>
      <c r="L307" s="453">
        <v>-70</v>
      </c>
      <c r="M307" s="454" t="s">
        <v>1620</v>
      </c>
      <c r="N307" s="455">
        <v>0.92530000000000001</v>
      </c>
      <c r="O307" s="456" t="s">
        <v>1618</v>
      </c>
      <c r="P307" s="471">
        <v>8.1753699999999999E-2</v>
      </c>
      <c r="Q307" s="471">
        <v>9.7305999999999996E-6</v>
      </c>
      <c r="R307" s="472" t="s">
        <v>2435</v>
      </c>
      <c r="S307" s="473" t="s">
        <v>1531</v>
      </c>
      <c r="T307" s="474" t="s">
        <v>1413</v>
      </c>
      <c r="U307" s="484">
        <v>1</v>
      </c>
      <c r="V307" s="484" t="s">
        <v>553</v>
      </c>
      <c r="W307" s="495">
        <v>-0.32</v>
      </c>
      <c r="X307" s="496" t="s">
        <v>1620</v>
      </c>
      <c r="Y307" s="486">
        <v>1000000</v>
      </c>
      <c r="Z307" s="487" t="s">
        <v>1620</v>
      </c>
      <c r="AA307" s="394">
        <v>2.9999999999999997E-4</v>
      </c>
      <c r="AB307" s="395" t="s">
        <v>553</v>
      </c>
      <c r="AC307" s="369"/>
    </row>
    <row r="308" spans="1:29" ht="20.100000000000001" customHeight="1" thickBot="1">
      <c r="A308" s="392" t="s">
        <v>1144</v>
      </c>
      <c r="B308" s="393" t="s">
        <v>914</v>
      </c>
      <c r="C308" s="400">
        <f>COUNTIF('Chem Props'!$B$6:$B$851,'Parameters Summary'!A308)</f>
        <v>1</v>
      </c>
      <c r="D308" s="400">
        <f>COUNTIF('Tox Summary'!$N$3:$N$792, 'Parameters Summary'!A308)</f>
        <v>1</v>
      </c>
      <c r="E308" s="438">
        <v>88.106999999999999</v>
      </c>
      <c r="F308" s="439" t="s">
        <v>1620</v>
      </c>
      <c r="G308" s="440">
        <v>5.4783000000000002E-3</v>
      </c>
      <c r="H308" s="440">
        <v>1.34E-4</v>
      </c>
      <c r="I308" s="441" t="s">
        <v>1620</v>
      </c>
      <c r="J308" s="440">
        <v>93.2</v>
      </c>
      <c r="K308" s="441" t="s">
        <v>1620</v>
      </c>
      <c r="L308" s="457">
        <v>-83.6</v>
      </c>
      <c r="M308" s="458" t="s">
        <v>1620</v>
      </c>
      <c r="N308" s="459">
        <v>0.90029999999999999</v>
      </c>
      <c r="O308" s="460" t="s">
        <v>1618</v>
      </c>
      <c r="P308" s="475">
        <v>8.2315799999999995E-2</v>
      </c>
      <c r="Q308" s="475">
        <v>9.7027999999999997E-6</v>
      </c>
      <c r="R308" s="476" t="s">
        <v>2435</v>
      </c>
      <c r="S308" s="477" t="s">
        <v>1531</v>
      </c>
      <c r="T308" s="478" t="s">
        <v>1413</v>
      </c>
      <c r="U308" s="481">
        <v>5.5830000000000002</v>
      </c>
      <c r="V308" s="481" t="s">
        <v>553</v>
      </c>
      <c r="W308" s="497">
        <v>0.73</v>
      </c>
      <c r="X308" s="498" t="s">
        <v>1620</v>
      </c>
      <c r="Y308" s="488">
        <v>80000</v>
      </c>
      <c r="Z308" s="489" t="s">
        <v>1620</v>
      </c>
      <c r="AA308" s="396">
        <v>1.5299999999999999E-3</v>
      </c>
      <c r="AB308" s="397" t="s">
        <v>553</v>
      </c>
      <c r="AC308" s="369"/>
    </row>
    <row r="309" spans="1:29" ht="20.100000000000001" customHeight="1">
      <c r="A309" s="390" t="s">
        <v>1145</v>
      </c>
      <c r="B309" s="391" t="s">
        <v>915</v>
      </c>
      <c r="C309" s="400">
        <f>COUNTIF('Chem Props'!$B$6:$B$851,'Parameters Summary'!A309)</f>
        <v>1</v>
      </c>
      <c r="D309" s="400">
        <f>COUNTIF('Tox Summary'!$N$3:$N$792, 'Parameters Summary'!A309)</f>
        <v>1</v>
      </c>
      <c r="E309" s="434">
        <v>100.12</v>
      </c>
      <c r="F309" s="435" t="s">
        <v>1620</v>
      </c>
      <c r="G309" s="436">
        <v>1.3859399999999999E-2</v>
      </c>
      <c r="H309" s="436">
        <v>3.39E-4</v>
      </c>
      <c r="I309" s="437" t="s">
        <v>553</v>
      </c>
      <c r="J309" s="436">
        <v>38.6</v>
      </c>
      <c r="K309" s="437" t="s">
        <v>1620</v>
      </c>
      <c r="L309" s="453">
        <v>-71.2</v>
      </c>
      <c r="M309" s="454" t="s">
        <v>1620</v>
      </c>
      <c r="N309" s="455">
        <v>0.9234</v>
      </c>
      <c r="O309" s="456" t="s">
        <v>1618</v>
      </c>
      <c r="P309" s="471">
        <v>7.45392E-2</v>
      </c>
      <c r="Q309" s="471">
        <v>9.1241999999999998E-6</v>
      </c>
      <c r="R309" s="472" t="s">
        <v>2435</v>
      </c>
      <c r="S309" s="473" t="s">
        <v>1531</v>
      </c>
      <c r="T309" s="474" t="s">
        <v>1413</v>
      </c>
      <c r="U309" s="484">
        <v>10.65</v>
      </c>
      <c r="V309" s="484" t="s">
        <v>553</v>
      </c>
      <c r="W309" s="495">
        <v>1.32</v>
      </c>
      <c r="X309" s="496" t="s">
        <v>1620</v>
      </c>
      <c r="Y309" s="486">
        <v>15000</v>
      </c>
      <c r="Z309" s="487" t="s">
        <v>1620</v>
      </c>
      <c r="AA309" s="394">
        <v>3.2399999999999998E-3</v>
      </c>
      <c r="AB309" s="395" t="s">
        <v>553</v>
      </c>
      <c r="AC309" s="369"/>
    </row>
    <row r="310" spans="1:29" ht="20.100000000000001" customHeight="1">
      <c r="A310" s="390" t="s">
        <v>2046</v>
      </c>
      <c r="B310" s="391" t="s">
        <v>916</v>
      </c>
      <c r="C310" s="400">
        <f>COUNTIF('Chem Props'!$B$6:$B$851,'Parameters Summary'!A310)</f>
        <v>1</v>
      </c>
      <c r="D310" s="400">
        <f>COUNTIF('Tox Summary'!$N$3:$N$792, 'Parameters Summary'!A310)</f>
        <v>1</v>
      </c>
      <c r="E310" s="434">
        <v>64.515000000000001</v>
      </c>
      <c r="F310" s="435" t="s">
        <v>1620</v>
      </c>
      <c r="G310" s="436">
        <v>0.45380209999999999</v>
      </c>
      <c r="H310" s="436">
        <v>1.11E-2</v>
      </c>
      <c r="I310" s="437" t="s">
        <v>1620</v>
      </c>
      <c r="J310" s="436">
        <v>1008</v>
      </c>
      <c r="K310" s="437" t="s">
        <v>1620</v>
      </c>
      <c r="L310" s="453">
        <v>-138.69999999999999</v>
      </c>
      <c r="M310" s="454" t="s">
        <v>1620</v>
      </c>
      <c r="N310" s="455">
        <v>0.89019999999999999</v>
      </c>
      <c r="O310" s="456" t="s">
        <v>1618</v>
      </c>
      <c r="P310" s="471">
        <v>0.1037597</v>
      </c>
      <c r="Q310" s="471">
        <v>1.1600000000000001E-5</v>
      </c>
      <c r="R310" s="472" t="s">
        <v>2435</v>
      </c>
      <c r="S310" s="473" t="s">
        <v>1531</v>
      </c>
      <c r="T310" s="474" t="s">
        <v>1413</v>
      </c>
      <c r="U310" s="484">
        <v>21.73</v>
      </c>
      <c r="V310" s="484" t="s">
        <v>553</v>
      </c>
      <c r="W310" s="495">
        <v>1.43</v>
      </c>
      <c r="X310" s="496" t="s">
        <v>1620</v>
      </c>
      <c r="Y310" s="486">
        <v>6710</v>
      </c>
      <c r="Z310" s="487" t="s">
        <v>1620</v>
      </c>
      <c r="AA310" s="394">
        <v>6.0699999999999999E-3</v>
      </c>
      <c r="AB310" s="395" t="s">
        <v>553</v>
      </c>
      <c r="AC310" s="369"/>
    </row>
    <row r="311" spans="1:29" ht="20.100000000000001" customHeight="1" thickBot="1">
      <c r="A311" s="392" t="s">
        <v>1146</v>
      </c>
      <c r="B311" s="393" t="s">
        <v>917</v>
      </c>
      <c r="C311" s="400">
        <f>COUNTIF('Chem Props'!$B$6:$B$851,'Parameters Summary'!A311)</f>
        <v>1</v>
      </c>
      <c r="D311" s="400">
        <f>COUNTIF('Tox Summary'!$N$3:$N$792, 'Parameters Summary'!A311)</f>
        <v>1</v>
      </c>
      <c r="E311" s="438">
        <v>74.123999999999995</v>
      </c>
      <c r="F311" s="439" t="s">
        <v>1620</v>
      </c>
      <c r="G311" s="440">
        <v>5.0286200000000003E-2</v>
      </c>
      <c r="H311" s="440">
        <v>1.23E-3</v>
      </c>
      <c r="I311" s="441" t="s">
        <v>1620</v>
      </c>
      <c r="J311" s="440">
        <v>538</v>
      </c>
      <c r="K311" s="441" t="s">
        <v>1620</v>
      </c>
      <c r="L311" s="457">
        <v>-116.3</v>
      </c>
      <c r="M311" s="458" t="s">
        <v>1620</v>
      </c>
      <c r="N311" s="459">
        <v>0.71379999999999999</v>
      </c>
      <c r="O311" s="460" t="s">
        <v>1618</v>
      </c>
      <c r="P311" s="475">
        <v>8.5244600000000004E-2</v>
      </c>
      <c r="Q311" s="475">
        <v>9.3635999999999996E-6</v>
      </c>
      <c r="R311" s="476" t="s">
        <v>2435</v>
      </c>
      <c r="S311" s="477" t="s">
        <v>1531</v>
      </c>
      <c r="T311" s="478" t="s">
        <v>1413</v>
      </c>
      <c r="U311" s="481">
        <v>9.6989999999999998</v>
      </c>
      <c r="V311" s="481" t="s">
        <v>553</v>
      </c>
      <c r="W311" s="497">
        <v>0.89</v>
      </c>
      <c r="X311" s="498" t="s">
        <v>1620</v>
      </c>
      <c r="Y311" s="488">
        <v>60400</v>
      </c>
      <c r="Z311" s="489" t="s">
        <v>1620</v>
      </c>
      <c r="AA311" s="396">
        <v>2.3500000000000001E-3</v>
      </c>
      <c r="AB311" s="397" t="s">
        <v>553</v>
      </c>
      <c r="AC311" s="369"/>
    </row>
    <row r="312" spans="1:29" ht="20.100000000000001" customHeight="1">
      <c r="A312" s="390" t="s">
        <v>1147</v>
      </c>
      <c r="B312" s="391" t="s">
        <v>918</v>
      </c>
      <c r="C312" s="400">
        <f>COUNTIF('Chem Props'!$B$6:$B$851,'Parameters Summary'!A312)</f>
        <v>1</v>
      </c>
      <c r="D312" s="400">
        <f>COUNTIF('Tox Summary'!$N$3:$N$792, 'Parameters Summary'!A312)</f>
        <v>1</v>
      </c>
      <c r="E312" s="434">
        <v>114.15</v>
      </c>
      <c r="F312" s="435" t="s">
        <v>1620</v>
      </c>
      <c r="G312" s="436">
        <v>2.3425999999999999E-2</v>
      </c>
      <c r="H312" s="436">
        <v>5.7300000000000005E-4</v>
      </c>
      <c r="I312" s="437" t="s">
        <v>553</v>
      </c>
      <c r="J312" s="436">
        <v>20.59</v>
      </c>
      <c r="K312" s="437" t="s">
        <v>1620</v>
      </c>
      <c r="L312" s="453">
        <v>-75</v>
      </c>
      <c r="M312" s="454" t="s">
        <v>1620</v>
      </c>
      <c r="N312" s="455">
        <v>0.91349999999999998</v>
      </c>
      <c r="O312" s="456" t="s">
        <v>1618</v>
      </c>
      <c r="P312" s="471">
        <v>6.5344100000000002E-2</v>
      </c>
      <c r="Q312" s="471">
        <v>8.3793999999999998E-6</v>
      </c>
      <c r="R312" s="472" t="s">
        <v>2435</v>
      </c>
      <c r="S312" s="473" t="s">
        <v>1531</v>
      </c>
      <c r="T312" s="474" t="s">
        <v>1413</v>
      </c>
      <c r="U312" s="484">
        <v>16.66</v>
      </c>
      <c r="V312" s="484" t="s">
        <v>553</v>
      </c>
      <c r="W312" s="495">
        <v>1.94</v>
      </c>
      <c r="X312" s="496" t="s">
        <v>1620</v>
      </c>
      <c r="Y312" s="486">
        <v>5400</v>
      </c>
      <c r="Z312" s="487" t="s">
        <v>1620</v>
      </c>
      <c r="AA312" s="394">
        <v>6.9800000000000001E-3</v>
      </c>
      <c r="AB312" s="395" t="s">
        <v>553</v>
      </c>
      <c r="AC312" s="369"/>
    </row>
    <row r="313" spans="1:29" ht="20.100000000000001" customHeight="1">
      <c r="A313" s="390" t="s">
        <v>1148</v>
      </c>
      <c r="B313" s="391" t="s">
        <v>919</v>
      </c>
      <c r="C313" s="400">
        <f>COUNTIF('Chem Props'!$B$6:$B$851,'Parameters Summary'!A313)</f>
        <v>1</v>
      </c>
      <c r="D313" s="400">
        <f>COUNTIF('Tox Summary'!$N$3:$N$792, 'Parameters Summary'!A313)</f>
        <v>1</v>
      </c>
      <c r="E313" s="434">
        <v>323.31</v>
      </c>
      <c r="F313" s="435" t="s">
        <v>1620</v>
      </c>
      <c r="G313" s="436">
        <v>1.8199999999999999E-5</v>
      </c>
      <c r="H313" s="436">
        <v>4.4400000000000001E-7</v>
      </c>
      <c r="I313" s="437" t="s">
        <v>553</v>
      </c>
      <c r="J313" s="436">
        <v>9.5000000000000001E-7</v>
      </c>
      <c r="K313" s="437" t="s">
        <v>1620</v>
      </c>
      <c r="L313" s="453">
        <v>36</v>
      </c>
      <c r="M313" s="454" t="s">
        <v>1620</v>
      </c>
      <c r="N313" s="455">
        <v>1.27</v>
      </c>
      <c r="O313" s="456" t="s">
        <v>1618</v>
      </c>
      <c r="P313" s="471">
        <v>2.1747499999999999E-2</v>
      </c>
      <c r="Q313" s="471">
        <v>5.4674000000000004E-6</v>
      </c>
      <c r="R313" s="472" t="s">
        <v>2435</v>
      </c>
      <c r="S313" s="473" t="s">
        <v>1531</v>
      </c>
      <c r="T313" s="474" t="s">
        <v>1413</v>
      </c>
      <c r="U313" s="484">
        <v>15470</v>
      </c>
      <c r="V313" s="484" t="s">
        <v>553</v>
      </c>
      <c r="W313" s="495">
        <v>4.78</v>
      </c>
      <c r="X313" s="496" t="s">
        <v>1620</v>
      </c>
      <c r="Y313" s="486">
        <v>3.11</v>
      </c>
      <c r="Z313" s="487" t="s">
        <v>1620</v>
      </c>
      <c r="AA313" s="394">
        <v>3.61E-2</v>
      </c>
      <c r="AB313" s="395" t="s">
        <v>553</v>
      </c>
      <c r="AC313" s="369"/>
    </row>
    <row r="314" spans="1:29" ht="20.100000000000001" customHeight="1" thickBot="1">
      <c r="A314" s="392" t="s">
        <v>381</v>
      </c>
      <c r="B314" s="393" t="s">
        <v>920</v>
      </c>
      <c r="C314" s="400">
        <f>COUNTIF('Chem Props'!$B$6:$B$851,'Parameters Summary'!A314)</f>
        <v>1</v>
      </c>
      <c r="D314" s="400">
        <f>COUNTIF('Tox Summary'!$N$3:$N$792, 'Parameters Summary'!A314)</f>
        <v>1</v>
      </c>
      <c r="E314" s="438">
        <v>106.17</v>
      </c>
      <c r="F314" s="439" t="s">
        <v>1620</v>
      </c>
      <c r="G314" s="440">
        <v>0.32215860000000002</v>
      </c>
      <c r="H314" s="440">
        <v>7.8799999999999999E-3</v>
      </c>
      <c r="I314" s="441" t="s">
        <v>1620</v>
      </c>
      <c r="J314" s="440">
        <v>9.6</v>
      </c>
      <c r="K314" s="441" t="s">
        <v>1620</v>
      </c>
      <c r="L314" s="457">
        <v>-94.9</v>
      </c>
      <c r="M314" s="458" t="s">
        <v>1620</v>
      </c>
      <c r="N314" s="459">
        <v>0.86260000000000003</v>
      </c>
      <c r="O314" s="460" t="s">
        <v>1618</v>
      </c>
      <c r="P314" s="475">
        <v>6.8465200000000004E-2</v>
      </c>
      <c r="Q314" s="475">
        <v>8.4557999999999996E-6</v>
      </c>
      <c r="R314" s="476" t="s">
        <v>2435</v>
      </c>
      <c r="S314" s="477" t="s">
        <v>1531</v>
      </c>
      <c r="T314" s="478" t="s">
        <v>1413</v>
      </c>
      <c r="U314" s="481">
        <v>446.1</v>
      </c>
      <c r="V314" s="481" t="s">
        <v>553</v>
      </c>
      <c r="W314" s="497">
        <v>3.15</v>
      </c>
      <c r="X314" s="498" t="s">
        <v>1620</v>
      </c>
      <c r="Y314" s="488">
        <v>169</v>
      </c>
      <c r="Z314" s="489" t="s">
        <v>1620</v>
      </c>
      <c r="AA314" s="396">
        <v>4.9299999999999997E-2</v>
      </c>
      <c r="AB314" s="397" t="s">
        <v>553</v>
      </c>
      <c r="AC314" s="369"/>
    </row>
    <row r="315" spans="1:29" ht="20.100000000000001" customHeight="1">
      <c r="A315" s="390" t="s">
        <v>1149</v>
      </c>
      <c r="B315" s="391" t="s">
        <v>921</v>
      </c>
      <c r="C315" s="400">
        <f>COUNTIF('Chem Props'!$B$6:$B$851,'Parameters Summary'!A315)</f>
        <v>1</v>
      </c>
      <c r="D315" s="400">
        <f>COUNTIF('Tox Summary'!$N$3:$N$792, 'Parameters Summary'!A315)</f>
        <v>1</v>
      </c>
      <c r="E315" s="434">
        <v>71.078999999999994</v>
      </c>
      <c r="F315" s="435" t="s">
        <v>1620</v>
      </c>
      <c r="G315" s="436">
        <v>3.0661999999999998E-7</v>
      </c>
      <c r="H315" s="436">
        <v>7.4999999999999993E-9</v>
      </c>
      <c r="I315" s="437" t="s">
        <v>553</v>
      </c>
      <c r="J315" s="436">
        <v>8.0199999999999994E-2</v>
      </c>
      <c r="K315" s="437" t="s">
        <v>1620</v>
      </c>
      <c r="L315" s="453">
        <v>-46</v>
      </c>
      <c r="M315" s="454" t="s">
        <v>1620</v>
      </c>
      <c r="N315" s="455">
        <v>1.0404</v>
      </c>
      <c r="O315" s="456" t="s">
        <v>1618</v>
      </c>
      <c r="P315" s="471">
        <v>0.1033114</v>
      </c>
      <c r="Q315" s="471">
        <v>1.2E-5</v>
      </c>
      <c r="R315" s="472" t="s">
        <v>2435</v>
      </c>
      <c r="S315" s="473" t="s">
        <v>1531</v>
      </c>
      <c r="T315" s="474" t="s">
        <v>1413</v>
      </c>
      <c r="U315" s="484">
        <v>1</v>
      </c>
      <c r="V315" s="484" t="s">
        <v>553</v>
      </c>
      <c r="W315" s="495">
        <v>-0.94</v>
      </c>
      <c r="X315" s="496" t="s">
        <v>1620</v>
      </c>
      <c r="Y315" s="486">
        <v>1000000</v>
      </c>
      <c r="Z315" s="487" t="s">
        <v>1620</v>
      </c>
      <c r="AA315" s="394">
        <v>1.4799999999999999E-4</v>
      </c>
      <c r="AB315" s="395" t="s">
        <v>553</v>
      </c>
      <c r="AC315" s="369"/>
    </row>
    <row r="316" spans="1:29" ht="20.100000000000001" customHeight="1">
      <c r="A316" s="390" t="s">
        <v>1150</v>
      </c>
      <c r="B316" s="391" t="s">
        <v>922</v>
      </c>
      <c r="C316" s="400">
        <f>COUNTIF('Chem Props'!$B$6:$B$851,'Parameters Summary'!A316)</f>
        <v>1</v>
      </c>
      <c r="D316" s="400">
        <f>COUNTIF('Tox Summary'!$N$3:$N$792, 'Parameters Summary'!A316)</f>
        <v>1</v>
      </c>
      <c r="E316" s="434">
        <v>60.098999999999997</v>
      </c>
      <c r="F316" s="435" t="s">
        <v>1620</v>
      </c>
      <c r="G316" s="436">
        <v>7.0727999999999996E-8</v>
      </c>
      <c r="H316" s="436">
        <v>1.73E-9</v>
      </c>
      <c r="I316" s="437" t="s">
        <v>1620</v>
      </c>
      <c r="J316" s="436">
        <v>12</v>
      </c>
      <c r="K316" s="437" t="s">
        <v>1620</v>
      </c>
      <c r="L316" s="453">
        <v>11.1</v>
      </c>
      <c r="M316" s="454" t="s">
        <v>1620</v>
      </c>
      <c r="N316" s="455">
        <v>0.89790000000000003</v>
      </c>
      <c r="O316" s="456" t="s">
        <v>1618</v>
      </c>
      <c r="P316" s="471">
        <v>0.109446</v>
      </c>
      <c r="Q316" s="471">
        <v>1.22E-5</v>
      </c>
      <c r="R316" s="472" t="s">
        <v>2435</v>
      </c>
      <c r="S316" s="473" t="s">
        <v>1531</v>
      </c>
      <c r="T316" s="474" t="s">
        <v>1413</v>
      </c>
      <c r="U316" s="484">
        <v>14.87</v>
      </c>
      <c r="V316" s="484" t="s">
        <v>553</v>
      </c>
      <c r="W316" s="495">
        <v>-2.04</v>
      </c>
      <c r="X316" s="496" t="s">
        <v>1620</v>
      </c>
      <c r="Y316" s="486">
        <v>1000000</v>
      </c>
      <c r="Z316" s="487" t="s">
        <v>1620</v>
      </c>
      <c r="AA316" s="394">
        <v>3.18E-5</v>
      </c>
      <c r="AB316" s="395" t="s">
        <v>553</v>
      </c>
      <c r="AC316" s="369"/>
    </row>
    <row r="317" spans="1:29" ht="20.100000000000001" customHeight="1" thickBot="1">
      <c r="A317" s="392" t="s">
        <v>1151</v>
      </c>
      <c r="B317" s="393" t="s">
        <v>923</v>
      </c>
      <c r="C317" s="400">
        <f>COUNTIF('Chem Props'!$B$6:$B$851,'Parameters Summary'!A317)</f>
        <v>1</v>
      </c>
      <c r="D317" s="400">
        <f>COUNTIF('Tox Summary'!$N$3:$N$792, 'Parameters Summary'!A317)</f>
        <v>1</v>
      </c>
      <c r="E317" s="438">
        <v>62.069000000000003</v>
      </c>
      <c r="F317" s="439" t="s">
        <v>1620</v>
      </c>
      <c r="G317" s="440">
        <v>2.4530000000000001E-6</v>
      </c>
      <c r="H317" s="440">
        <v>5.9999999999999995E-8</v>
      </c>
      <c r="I317" s="441" t="s">
        <v>1620</v>
      </c>
      <c r="J317" s="440">
        <v>9.1999999999999998E-2</v>
      </c>
      <c r="K317" s="441" t="s">
        <v>1620</v>
      </c>
      <c r="L317" s="457">
        <v>-13</v>
      </c>
      <c r="M317" s="458" t="s">
        <v>1620</v>
      </c>
      <c r="N317" s="459">
        <v>1.1134999999999999</v>
      </c>
      <c r="O317" s="460" t="s">
        <v>1618</v>
      </c>
      <c r="P317" s="475">
        <v>0.116925</v>
      </c>
      <c r="Q317" s="475">
        <v>1.36E-5</v>
      </c>
      <c r="R317" s="476" t="s">
        <v>2435</v>
      </c>
      <c r="S317" s="477" t="s">
        <v>1531</v>
      </c>
      <c r="T317" s="478" t="s">
        <v>1413</v>
      </c>
      <c r="U317" s="481">
        <v>1</v>
      </c>
      <c r="V317" s="481" t="s">
        <v>553</v>
      </c>
      <c r="W317" s="497">
        <v>-1.36</v>
      </c>
      <c r="X317" s="498" t="s">
        <v>1620</v>
      </c>
      <c r="Y317" s="488">
        <v>1000000</v>
      </c>
      <c r="Z317" s="489" t="s">
        <v>1620</v>
      </c>
      <c r="AA317" s="396">
        <v>8.7700000000000004E-5</v>
      </c>
      <c r="AB317" s="397" t="s">
        <v>553</v>
      </c>
      <c r="AC317" s="369"/>
    </row>
    <row r="318" spans="1:29" ht="20.100000000000001" customHeight="1">
      <c r="A318" s="390" t="s">
        <v>1152</v>
      </c>
      <c r="B318" s="391" t="s">
        <v>924</v>
      </c>
      <c r="C318" s="400">
        <f>COUNTIF('Chem Props'!$B$6:$B$851,'Parameters Summary'!A318)</f>
        <v>1</v>
      </c>
      <c r="D318" s="400">
        <f>COUNTIF('Tox Summary'!$N$3:$N$792, 'Parameters Summary'!A318)</f>
        <v>1</v>
      </c>
      <c r="E318" s="434">
        <v>118.18</v>
      </c>
      <c r="F318" s="435" t="s">
        <v>1620</v>
      </c>
      <c r="G318" s="436">
        <v>6.5400000000000004E-5</v>
      </c>
      <c r="H318" s="436">
        <v>1.5999999999999999E-6</v>
      </c>
      <c r="I318" s="437" t="s">
        <v>1620</v>
      </c>
      <c r="J318" s="436">
        <v>0.88</v>
      </c>
      <c r="K318" s="437" t="s">
        <v>1620</v>
      </c>
      <c r="L318" s="453">
        <v>-74.8</v>
      </c>
      <c r="M318" s="454" t="s">
        <v>1620</v>
      </c>
      <c r="N318" s="455">
        <v>0.90149999999999997</v>
      </c>
      <c r="O318" s="456" t="s">
        <v>1618</v>
      </c>
      <c r="P318" s="471">
        <v>6.2618800000000002E-2</v>
      </c>
      <c r="Q318" s="471">
        <v>8.1419000000000008E-6</v>
      </c>
      <c r="R318" s="472" t="s">
        <v>2435</v>
      </c>
      <c r="S318" s="473" t="s">
        <v>1531</v>
      </c>
      <c r="T318" s="474" t="s">
        <v>1413</v>
      </c>
      <c r="U318" s="484">
        <v>2.823</v>
      </c>
      <c r="V318" s="484" t="s">
        <v>553</v>
      </c>
      <c r="W318" s="495">
        <v>0.83</v>
      </c>
      <c r="X318" s="496" t="s">
        <v>1620</v>
      </c>
      <c r="Y318" s="486">
        <v>1000000</v>
      </c>
      <c r="Z318" s="487" t="s">
        <v>1620</v>
      </c>
      <c r="AA318" s="394">
        <v>1.2099999999999999E-3</v>
      </c>
      <c r="AB318" s="395" t="s">
        <v>553</v>
      </c>
      <c r="AC318" s="369"/>
    </row>
    <row r="319" spans="1:29" ht="20.100000000000001" customHeight="1">
      <c r="A319" s="390" t="s">
        <v>1153</v>
      </c>
      <c r="B319" s="391" t="s">
        <v>925</v>
      </c>
      <c r="C319" s="400">
        <f>COUNTIF('Chem Props'!$B$6:$B$851,'Parameters Summary'!A319)</f>
        <v>1</v>
      </c>
      <c r="D319" s="400">
        <f>COUNTIF('Tox Summary'!$N$3:$N$792, 'Parameters Summary'!A319)</f>
        <v>1</v>
      </c>
      <c r="E319" s="434">
        <v>44.054000000000002</v>
      </c>
      <c r="F319" s="435" t="s">
        <v>1620</v>
      </c>
      <c r="G319" s="436">
        <v>6.0507E-3</v>
      </c>
      <c r="H319" s="436">
        <v>1.4799999999999999E-4</v>
      </c>
      <c r="I319" s="437" t="s">
        <v>1620</v>
      </c>
      <c r="J319" s="436">
        <v>1314</v>
      </c>
      <c r="K319" s="437" t="s">
        <v>1620</v>
      </c>
      <c r="L319" s="453">
        <v>-111.7</v>
      </c>
      <c r="M319" s="454" t="s">
        <v>1620</v>
      </c>
      <c r="N319" s="455">
        <v>0.8821</v>
      </c>
      <c r="O319" s="456" t="s">
        <v>1618</v>
      </c>
      <c r="P319" s="471">
        <v>0.13396379999999999</v>
      </c>
      <c r="Q319" s="471">
        <v>1.45E-5</v>
      </c>
      <c r="R319" s="472" t="s">
        <v>2435</v>
      </c>
      <c r="S319" s="473" t="s">
        <v>1531</v>
      </c>
      <c r="T319" s="474" t="s">
        <v>1413</v>
      </c>
      <c r="U319" s="484">
        <v>3.2370000000000001</v>
      </c>
      <c r="V319" s="484" t="s">
        <v>553</v>
      </c>
      <c r="W319" s="495">
        <v>-0.3</v>
      </c>
      <c r="X319" s="496" t="s">
        <v>1620</v>
      </c>
      <c r="Y319" s="486">
        <v>1000000</v>
      </c>
      <c r="Z319" s="487" t="s">
        <v>1620</v>
      </c>
      <c r="AA319" s="394">
        <v>5.5999999999999995E-4</v>
      </c>
      <c r="AB319" s="395" t="s">
        <v>553</v>
      </c>
      <c r="AC319" s="369"/>
    </row>
    <row r="320" spans="1:29" ht="20.100000000000001" customHeight="1" thickBot="1">
      <c r="A320" s="392" t="s">
        <v>1154</v>
      </c>
      <c r="B320" s="393" t="s">
        <v>926</v>
      </c>
      <c r="C320" s="400">
        <f>COUNTIF('Chem Props'!$B$6:$B$851,'Parameters Summary'!A320)</f>
        <v>1</v>
      </c>
      <c r="D320" s="400">
        <f>COUNTIF('Tox Summary'!$N$3:$N$792, 'Parameters Summary'!A320)</f>
        <v>1</v>
      </c>
      <c r="E320" s="438">
        <v>102.16</v>
      </c>
      <c r="F320" s="439" t="s">
        <v>1620</v>
      </c>
      <c r="G320" s="440">
        <v>5.5600000000000004E-10</v>
      </c>
      <c r="H320" s="440">
        <v>1.36E-11</v>
      </c>
      <c r="I320" s="441" t="s">
        <v>1620</v>
      </c>
      <c r="J320" s="440">
        <v>2.0200000000000001E-6</v>
      </c>
      <c r="K320" s="441" t="s">
        <v>1620</v>
      </c>
      <c r="L320" s="457">
        <v>203</v>
      </c>
      <c r="M320" s="458" t="s">
        <v>1620</v>
      </c>
      <c r="N320" s="463" t="s">
        <v>1531</v>
      </c>
      <c r="O320" s="464" t="s">
        <v>1413</v>
      </c>
      <c r="P320" s="475">
        <v>8.6942699999999998E-2</v>
      </c>
      <c r="Q320" s="475">
        <v>1.0200000000000001E-5</v>
      </c>
      <c r="R320" s="476" t="s">
        <v>2435</v>
      </c>
      <c r="S320" s="477" t="s">
        <v>1531</v>
      </c>
      <c r="T320" s="478" t="s">
        <v>1413</v>
      </c>
      <c r="U320" s="481">
        <v>12.97</v>
      </c>
      <c r="V320" s="481" t="s">
        <v>553</v>
      </c>
      <c r="W320" s="497">
        <v>-0.66</v>
      </c>
      <c r="X320" s="498" t="s">
        <v>1620</v>
      </c>
      <c r="Y320" s="488">
        <v>20000</v>
      </c>
      <c r="Z320" s="489" t="s">
        <v>1620</v>
      </c>
      <c r="AA320" s="396">
        <v>1.5200000000000001E-4</v>
      </c>
      <c r="AB320" s="397" t="s">
        <v>553</v>
      </c>
      <c r="AC320" s="369"/>
    </row>
    <row r="321" spans="1:29" ht="20.100000000000001" customHeight="1">
      <c r="A321" s="390" t="s">
        <v>585</v>
      </c>
      <c r="B321" s="391" t="s">
        <v>927</v>
      </c>
      <c r="C321" s="400">
        <f>COUNTIF('Chem Props'!$B$6:$B$851,'Parameters Summary'!A321)</f>
        <v>1</v>
      </c>
      <c r="D321" s="400">
        <f>COUNTIF('Tox Summary'!$N$3:$N$792, 'Parameters Summary'!A321)</f>
        <v>1</v>
      </c>
      <c r="E321" s="434">
        <v>43.069000000000003</v>
      </c>
      <c r="F321" s="435" t="s">
        <v>1620</v>
      </c>
      <c r="G321" s="436">
        <v>4.9470000000000004E-4</v>
      </c>
      <c r="H321" s="436">
        <v>1.2099999999999999E-5</v>
      </c>
      <c r="I321" s="437" t="s">
        <v>553</v>
      </c>
      <c r="J321" s="436">
        <v>213</v>
      </c>
      <c r="K321" s="437" t="s">
        <v>1620</v>
      </c>
      <c r="L321" s="453">
        <v>-77.900000000000006</v>
      </c>
      <c r="M321" s="454" t="s">
        <v>1620</v>
      </c>
      <c r="N321" s="455">
        <v>0.83199999999999996</v>
      </c>
      <c r="O321" s="456" t="s">
        <v>1618</v>
      </c>
      <c r="P321" s="471">
        <v>0.13282930000000001</v>
      </c>
      <c r="Q321" s="471">
        <v>1.42E-5</v>
      </c>
      <c r="R321" s="472" t="s">
        <v>2435</v>
      </c>
      <c r="S321" s="473" t="s">
        <v>1531</v>
      </c>
      <c r="T321" s="474" t="s">
        <v>1413</v>
      </c>
      <c r="U321" s="484">
        <v>9.0429999999999993</v>
      </c>
      <c r="V321" s="484" t="s">
        <v>553</v>
      </c>
      <c r="W321" s="495">
        <v>-0.28000000000000003</v>
      </c>
      <c r="X321" s="496" t="s">
        <v>1620</v>
      </c>
      <c r="Y321" s="486">
        <v>1000000</v>
      </c>
      <c r="Z321" s="487" t="s">
        <v>1620</v>
      </c>
      <c r="AA321" s="394">
        <v>5.8100000000000003E-4</v>
      </c>
      <c r="AB321" s="395" t="s">
        <v>553</v>
      </c>
      <c r="AC321" s="369"/>
    </row>
    <row r="322" spans="1:29" ht="20.100000000000001" customHeight="1">
      <c r="A322" s="390" t="s">
        <v>1155</v>
      </c>
      <c r="B322" s="391" t="s">
        <v>928</v>
      </c>
      <c r="C322" s="400">
        <f>COUNTIF('Chem Props'!$B$6:$B$851,'Parameters Summary'!A322)</f>
        <v>1</v>
      </c>
      <c r="D322" s="400">
        <f>COUNTIF('Tox Summary'!$N$3:$N$792, 'Parameters Summary'!A322)</f>
        <v>1</v>
      </c>
      <c r="E322" s="434">
        <v>280.27999999999997</v>
      </c>
      <c r="F322" s="435" t="s">
        <v>1620</v>
      </c>
      <c r="G322" s="436">
        <v>2.7146000000000002E-7</v>
      </c>
      <c r="H322" s="436">
        <v>6.6400000000000002E-9</v>
      </c>
      <c r="I322" s="437" t="s">
        <v>1620</v>
      </c>
      <c r="J322" s="436">
        <v>2.1599999999999999E-4</v>
      </c>
      <c r="K322" s="437" t="s">
        <v>1620</v>
      </c>
      <c r="L322" s="453">
        <v>22.83</v>
      </c>
      <c r="M322" s="454" t="s">
        <v>553</v>
      </c>
      <c r="N322" s="461" t="s">
        <v>1531</v>
      </c>
      <c r="O322" s="462" t="s">
        <v>1413</v>
      </c>
      <c r="P322" s="471">
        <v>4.43635E-2</v>
      </c>
      <c r="Q322" s="471">
        <v>5.1834999999999996E-6</v>
      </c>
      <c r="R322" s="472" t="s">
        <v>2435</v>
      </c>
      <c r="S322" s="473" t="s">
        <v>1531</v>
      </c>
      <c r="T322" s="474" t="s">
        <v>1413</v>
      </c>
      <c r="U322" s="484">
        <v>1019</v>
      </c>
      <c r="V322" s="484" t="s">
        <v>553</v>
      </c>
      <c r="W322" s="495">
        <v>2.19</v>
      </c>
      <c r="X322" s="496" t="s">
        <v>1620</v>
      </c>
      <c r="Y322" s="486">
        <v>216.8</v>
      </c>
      <c r="Z322" s="487" t="s">
        <v>1620</v>
      </c>
      <c r="AA322" s="394">
        <v>1.1900000000000001E-3</v>
      </c>
      <c r="AB322" s="395" t="s">
        <v>553</v>
      </c>
      <c r="AC322" s="369"/>
    </row>
    <row r="323" spans="1:29" ht="20.100000000000001" customHeight="1" thickBot="1">
      <c r="A323" s="392" t="s">
        <v>1156</v>
      </c>
      <c r="B323" s="393" t="s">
        <v>930</v>
      </c>
      <c r="C323" s="400">
        <f>COUNTIF('Chem Props'!$B$6:$B$851,'Parameters Summary'!A323)</f>
        <v>1</v>
      </c>
      <c r="D323" s="400">
        <f>COUNTIF('Tox Summary'!$N$3:$N$792, 'Parameters Summary'!A323)</f>
        <v>1</v>
      </c>
      <c r="E323" s="438">
        <v>303.36</v>
      </c>
      <c r="F323" s="439" t="s">
        <v>1620</v>
      </c>
      <c r="G323" s="440">
        <v>4.9468999999999998E-8</v>
      </c>
      <c r="H323" s="440">
        <v>1.21E-9</v>
      </c>
      <c r="I323" s="441" t="s">
        <v>553</v>
      </c>
      <c r="J323" s="440">
        <v>9.9999999999999995E-7</v>
      </c>
      <c r="K323" s="441" t="s">
        <v>1620</v>
      </c>
      <c r="L323" s="457">
        <v>49</v>
      </c>
      <c r="M323" s="458" t="s">
        <v>1620</v>
      </c>
      <c r="N323" s="459">
        <v>1.1499999999999999</v>
      </c>
      <c r="O323" s="460" t="s">
        <v>1618</v>
      </c>
      <c r="P323" s="475">
        <v>2.1437000000000001E-2</v>
      </c>
      <c r="Q323" s="475">
        <v>5.3519999999999997E-6</v>
      </c>
      <c r="R323" s="476" t="s">
        <v>2435</v>
      </c>
      <c r="S323" s="477" t="s">
        <v>1531</v>
      </c>
      <c r="T323" s="478" t="s">
        <v>1413</v>
      </c>
      <c r="U323" s="481">
        <v>398</v>
      </c>
      <c r="V323" s="481" t="s">
        <v>553</v>
      </c>
      <c r="W323" s="497">
        <v>3.23</v>
      </c>
      <c r="X323" s="498" t="s">
        <v>1620</v>
      </c>
      <c r="Y323" s="488">
        <v>329</v>
      </c>
      <c r="Z323" s="489" t="s">
        <v>1620</v>
      </c>
      <c r="AA323" s="396">
        <v>4.3600000000000002E-3</v>
      </c>
      <c r="AB323" s="397" t="s">
        <v>553</v>
      </c>
      <c r="AC323" s="369"/>
    </row>
    <row r="324" spans="1:29" ht="20.100000000000001" customHeight="1">
      <c r="A324" s="390" t="s">
        <v>1157</v>
      </c>
      <c r="B324" s="391" t="s">
        <v>931</v>
      </c>
      <c r="C324" s="400">
        <f>COUNTIF('Chem Props'!$B$6:$B$851,'Parameters Summary'!A324)</f>
        <v>1</v>
      </c>
      <c r="D324" s="400">
        <f>COUNTIF('Tox Summary'!$N$3:$N$792, 'Parameters Summary'!A324)</f>
        <v>1</v>
      </c>
      <c r="E324" s="434">
        <v>349.43</v>
      </c>
      <c r="F324" s="435" t="s">
        <v>1620</v>
      </c>
      <c r="G324" s="436">
        <v>3.123E-4</v>
      </c>
      <c r="H324" s="436">
        <v>7.6399999999999997E-6</v>
      </c>
      <c r="I324" s="437" t="s">
        <v>553</v>
      </c>
      <c r="J324" s="436">
        <v>5.48E-6</v>
      </c>
      <c r="K324" s="437" t="s">
        <v>1620</v>
      </c>
      <c r="L324" s="453">
        <v>47</v>
      </c>
      <c r="M324" s="454" t="s">
        <v>1620</v>
      </c>
      <c r="N324" s="461" t="s">
        <v>1531</v>
      </c>
      <c r="O324" s="462" t="s">
        <v>1413</v>
      </c>
      <c r="P324" s="471">
        <v>3.8298400000000003E-2</v>
      </c>
      <c r="Q324" s="471">
        <v>4.4749000000000001E-6</v>
      </c>
      <c r="R324" s="472" t="s">
        <v>2435</v>
      </c>
      <c r="S324" s="473" t="s">
        <v>1531</v>
      </c>
      <c r="T324" s="474" t="s">
        <v>1413</v>
      </c>
      <c r="U324" s="484">
        <v>22490</v>
      </c>
      <c r="V324" s="484" t="s">
        <v>553</v>
      </c>
      <c r="W324" s="495">
        <v>5.7</v>
      </c>
      <c r="X324" s="496" t="s">
        <v>1620</v>
      </c>
      <c r="Y324" s="486">
        <v>0.33</v>
      </c>
      <c r="Z324" s="487" t="s">
        <v>1620</v>
      </c>
      <c r="AA324" s="394">
        <v>0.16700000000000001</v>
      </c>
      <c r="AB324" s="395" t="s">
        <v>553</v>
      </c>
      <c r="AC324" s="369"/>
    </row>
    <row r="325" spans="1:29" ht="20.100000000000001" customHeight="1">
      <c r="A325" s="390" t="s">
        <v>2309</v>
      </c>
      <c r="B325" s="391" t="s">
        <v>240</v>
      </c>
      <c r="C325" s="400">
        <f>COUNTIF('Chem Props'!$B$6:$B$851,'Parameters Summary'!A325)</f>
        <v>1</v>
      </c>
      <c r="D325" s="400">
        <f>COUNTIF('Tox Summary'!$N$3:$N$792, 'Parameters Summary'!A325)</f>
        <v>1</v>
      </c>
      <c r="E325" s="434">
        <v>419.91</v>
      </c>
      <c r="F325" s="435" t="s">
        <v>1620</v>
      </c>
      <c r="G325" s="436">
        <v>1.4105000000000001E-6</v>
      </c>
      <c r="H325" s="436">
        <v>3.4499999999999998E-8</v>
      </c>
      <c r="I325" s="437" t="s">
        <v>553</v>
      </c>
      <c r="J325" s="436">
        <v>1.5E-9</v>
      </c>
      <c r="K325" s="437" t="s">
        <v>1620</v>
      </c>
      <c r="L325" s="453">
        <v>39.5</v>
      </c>
      <c r="M325" s="454" t="s">
        <v>1620</v>
      </c>
      <c r="N325" s="455">
        <v>1.1499999999999999</v>
      </c>
      <c r="O325" s="456" t="s">
        <v>1618</v>
      </c>
      <c r="P325" s="471">
        <v>1.80593E-2</v>
      </c>
      <c r="Q325" s="471">
        <v>4.4035000000000003E-6</v>
      </c>
      <c r="R325" s="472" t="s">
        <v>2435</v>
      </c>
      <c r="S325" s="473" t="s">
        <v>1531</v>
      </c>
      <c r="T325" s="474" t="s">
        <v>1413</v>
      </c>
      <c r="U325" s="484">
        <v>317000</v>
      </c>
      <c r="V325" s="484" t="s">
        <v>553</v>
      </c>
      <c r="W325" s="495">
        <v>6.2</v>
      </c>
      <c r="X325" s="496" t="s">
        <v>1620</v>
      </c>
      <c r="Y325" s="486">
        <v>2.4E-2</v>
      </c>
      <c r="Z325" s="487" t="s">
        <v>1620</v>
      </c>
      <c r="AA325" s="394">
        <v>9.3799999999999994E-2</v>
      </c>
      <c r="AB325" s="395" t="s">
        <v>553</v>
      </c>
      <c r="AC325" s="369"/>
    </row>
    <row r="326" spans="1:29" ht="20.100000000000001" customHeight="1" thickBot="1">
      <c r="A326" s="392" t="s">
        <v>1158</v>
      </c>
      <c r="B326" s="393" t="s">
        <v>932</v>
      </c>
      <c r="C326" s="400">
        <f>COUNTIF('Chem Props'!$B$6:$B$851,'Parameters Summary'!A326)</f>
        <v>1</v>
      </c>
      <c r="D326" s="400">
        <f>COUNTIF('Tox Summary'!$N$3:$N$792, 'Parameters Summary'!A326)</f>
        <v>1</v>
      </c>
      <c r="E326" s="438">
        <v>232.21</v>
      </c>
      <c r="F326" s="439" t="s">
        <v>1620</v>
      </c>
      <c r="G326" s="440">
        <v>1.067E-7</v>
      </c>
      <c r="H326" s="440">
        <v>2.6099999999999999E-9</v>
      </c>
      <c r="I326" s="441" t="s">
        <v>553</v>
      </c>
      <c r="J326" s="440">
        <v>9.3799999999999996E-7</v>
      </c>
      <c r="K326" s="441" t="s">
        <v>1620</v>
      </c>
      <c r="L326" s="457">
        <v>164</v>
      </c>
      <c r="M326" s="458" t="s">
        <v>1620</v>
      </c>
      <c r="N326" s="463" t="s">
        <v>1531</v>
      </c>
      <c r="O326" s="464" t="s">
        <v>1413</v>
      </c>
      <c r="P326" s="475">
        <v>5.0292099999999999E-2</v>
      </c>
      <c r="Q326" s="475">
        <v>5.8761999999999997E-6</v>
      </c>
      <c r="R326" s="476" t="s">
        <v>2435</v>
      </c>
      <c r="S326" s="477" t="s">
        <v>1531</v>
      </c>
      <c r="T326" s="478" t="s">
        <v>1413</v>
      </c>
      <c r="U326" s="481">
        <v>285.3</v>
      </c>
      <c r="V326" s="481" t="s">
        <v>553</v>
      </c>
      <c r="W326" s="497">
        <v>2.42</v>
      </c>
      <c r="X326" s="498" t="s">
        <v>1620</v>
      </c>
      <c r="Y326" s="488">
        <v>110</v>
      </c>
      <c r="Z326" s="489" t="s">
        <v>1620</v>
      </c>
      <c r="AA326" s="396">
        <v>3.16E-3</v>
      </c>
      <c r="AB326" s="397" t="s">
        <v>553</v>
      </c>
      <c r="AC326" s="369"/>
    </row>
    <row r="327" spans="1:29" ht="20.100000000000001" customHeight="1">
      <c r="A327" s="390" t="s">
        <v>586</v>
      </c>
      <c r="B327" s="391" t="s">
        <v>933</v>
      </c>
      <c r="C327" s="400">
        <f>COUNTIF('Chem Props'!$B$6:$B$851,'Parameters Summary'!A327)</f>
        <v>1</v>
      </c>
      <c r="D327" s="400">
        <f>COUNTIF('Tox Summary'!$N$3:$N$792, 'Parameters Summary'!A327)</f>
        <v>1</v>
      </c>
      <c r="E327" s="434">
        <v>38</v>
      </c>
      <c r="F327" s="435" t="s">
        <v>553</v>
      </c>
      <c r="G327" s="444" t="s">
        <v>1531</v>
      </c>
      <c r="H327" s="444" t="s">
        <v>1531</v>
      </c>
      <c r="I327" s="445" t="s">
        <v>1413</v>
      </c>
      <c r="J327" s="444" t="s">
        <v>1531</v>
      </c>
      <c r="K327" s="445" t="s">
        <v>1413</v>
      </c>
      <c r="L327" s="453">
        <v>-219.61</v>
      </c>
      <c r="M327" s="454" t="s">
        <v>553</v>
      </c>
      <c r="N327" s="461" t="s">
        <v>1531</v>
      </c>
      <c r="O327" s="462" t="s">
        <v>1413</v>
      </c>
      <c r="P327" s="482" t="s">
        <v>1531</v>
      </c>
      <c r="Q327" s="482" t="s">
        <v>1531</v>
      </c>
      <c r="R327" s="483" t="s">
        <v>1413</v>
      </c>
      <c r="S327" s="484">
        <v>150</v>
      </c>
      <c r="T327" s="484" t="s">
        <v>2155</v>
      </c>
      <c r="U327" s="473" t="s">
        <v>1531</v>
      </c>
      <c r="V327" s="474" t="s">
        <v>1413</v>
      </c>
      <c r="W327" s="501" t="s">
        <v>1531</v>
      </c>
      <c r="X327" s="502" t="s">
        <v>1413</v>
      </c>
      <c r="Y327" s="486">
        <v>1.69</v>
      </c>
      <c r="Z327" s="487" t="s">
        <v>553</v>
      </c>
      <c r="AA327" s="394">
        <v>1E-3</v>
      </c>
      <c r="AB327" s="395" t="s">
        <v>1668</v>
      </c>
      <c r="AC327" s="369"/>
    </row>
    <row r="328" spans="1:29" ht="20.100000000000001" customHeight="1">
      <c r="A328" s="390" t="s">
        <v>1159</v>
      </c>
      <c r="B328" s="391" t="s">
        <v>934</v>
      </c>
      <c r="C328" s="400">
        <f>COUNTIF('Chem Props'!$B$6:$B$851,'Parameters Summary'!A328)</f>
        <v>1</v>
      </c>
      <c r="D328" s="400">
        <f>COUNTIF('Tox Summary'!$N$3:$N$792, 'Parameters Summary'!A328)</f>
        <v>1</v>
      </c>
      <c r="E328" s="434">
        <v>37.997</v>
      </c>
      <c r="F328" s="435" t="s">
        <v>1620</v>
      </c>
      <c r="G328" s="444" t="s">
        <v>1531</v>
      </c>
      <c r="H328" s="444" t="s">
        <v>1531</v>
      </c>
      <c r="I328" s="445" t="s">
        <v>1413</v>
      </c>
      <c r="J328" s="444" t="s">
        <v>1531</v>
      </c>
      <c r="K328" s="445" t="s">
        <v>1413</v>
      </c>
      <c r="L328" s="453">
        <v>-219.61</v>
      </c>
      <c r="M328" s="454" t="s">
        <v>1620</v>
      </c>
      <c r="N328" s="455">
        <v>1.5529999999999999</v>
      </c>
      <c r="O328" s="456" t="s">
        <v>1618</v>
      </c>
      <c r="P328" s="482" t="s">
        <v>1531</v>
      </c>
      <c r="Q328" s="482" t="s">
        <v>1531</v>
      </c>
      <c r="R328" s="483" t="s">
        <v>1413</v>
      </c>
      <c r="S328" s="484">
        <v>150</v>
      </c>
      <c r="T328" s="484" t="s">
        <v>2155</v>
      </c>
      <c r="U328" s="473" t="s">
        <v>1531</v>
      </c>
      <c r="V328" s="474" t="s">
        <v>1413</v>
      </c>
      <c r="W328" s="501" t="s">
        <v>1531</v>
      </c>
      <c r="X328" s="502" t="s">
        <v>1413</v>
      </c>
      <c r="Y328" s="486">
        <v>1.69</v>
      </c>
      <c r="Z328" s="487" t="s">
        <v>1620</v>
      </c>
      <c r="AA328" s="394">
        <v>1E-3</v>
      </c>
      <c r="AB328" s="395" t="s">
        <v>1668</v>
      </c>
      <c r="AC328" s="369"/>
    </row>
    <row r="329" spans="1:29" ht="20.100000000000001" customHeight="1" thickBot="1">
      <c r="A329" s="392" t="s">
        <v>1160</v>
      </c>
      <c r="B329" s="393" t="s">
        <v>935</v>
      </c>
      <c r="C329" s="400">
        <f>COUNTIF('Chem Props'!$B$6:$B$851,'Parameters Summary'!A329)</f>
        <v>1</v>
      </c>
      <c r="D329" s="400">
        <f>COUNTIF('Tox Summary'!$N$3:$N$792, 'Parameters Summary'!A329)</f>
        <v>1</v>
      </c>
      <c r="E329" s="438">
        <v>329.32</v>
      </c>
      <c r="F329" s="439" t="s">
        <v>1620</v>
      </c>
      <c r="G329" s="440">
        <v>3.3115E-7</v>
      </c>
      <c r="H329" s="440">
        <v>8.0999999999999997E-9</v>
      </c>
      <c r="I329" s="441" t="s">
        <v>553</v>
      </c>
      <c r="J329" s="440">
        <v>9.7500000000000006E-8</v>
      </c>
      <c r="K329" s="441" t="s">
        <v>1620</v>
      </c>
      <c r="L329" s="457">
        <v>154.5</v>
      </c>
      <c r="M329" s="458" t="s">
        <v>1620</v>
      </c>
      <c r="N329" s="463" t="s">
        <v>1531</v>
      </c>
      <c r="O329" s="464" t="s">
        <v>1413</v>
      </c>
      <c r="P329" s="475">
        <v>3.9842000000000002E-2</v>
      </c>
      <c r="Q329" s="475">
        <v>4.6551999999999999E-6</v>
      </c>
      <c r="R329" s="476" t="s">
        <v>2435</v>
      </c>
      <c r="S329" s="477" t="s">
        <v>1531</v>
      </c>
      <c r="T329" s="478" t="s">
        <v>1413</v>
      </c>
      <c r="U329" s="481">
        <v>56770</v>
      </c>
      <c r="V329" s="481" t="s">
        <v>553</v>
      </c>
      <c r="W329" s="497">
        <v>3.16</v>
      </c>
      <c r="X329" s="498" t="s">
        <v>1620</v>
      </c>
      <c r="Y329" s="488">
        <v>12</v>
      </c>
      <c r="Z329" s="489" t="s">
        <v>1620</v>
      </c>
      <c r="AA329" s="396">
        <v>2.8E-3</v>
      </c>
      <c r="AB329" s="397" t="s">
        <v>553</v>
      </c>
      <c r="AC329" s="369"/>
    </row>
    <row r="330" spans="1:29" ht="20.100000000000001" customHeight="1">
      <c r="A330" s="390" t="s">
        <v>1161</v>
      </c>
      <c r="B330" s="391" t="s">
        <v>936</v>
      </c>
      <c r="C330" s="400">
        <f>COUNTIF('Chem Props'!$B$6:$B$851,'Parameters Summary'!A330)</f>
        <v>1</v>
      </c>
      <c r="D330" s="400">
        <f>COUNTIF('Tox Summary'!$N$3:$N$792, 'Parameters Summary'!A330)</f>
        <v>1</v>
      </c>
      <c r="E330" s="434">
        <v>312.29000000000002</v>
      </c>
      <c r="F330" s="435" t="s">
        <v>1620</v>
      </c>
      <c r="G330" s="436">
        <v>5.3557000000000001E-8</v>
      </c>
      <c r="H330" s="436">
        <v>1.31E-9</v>
      </c>
      <c r="I330" s="437" t="s">
        <v>553</v>
      </c>
      <c r="J330" s="436">
        <v>3.6399999999999998E-7</v>
      </c>
      <c r="K330" s="437" t="s">
        <v>1620</v>
      </c>
      <c r="L330" s="453">
        <v>95</v>
      </c>
      <c r="M330" s="454" t="s">
        <v>1620</v>
      </c>
      <c r="N330" s="461" t="s">
        <v>1531</v>
      </c>
      <c r="O330" s="462" t="s">
        <v>1413</v>
      </c>
      <c r="P330" s="471">
        <v>4.1277599999999998E-2</v>
      </c>
      <c r="Q330" s="471">
        <v>4.8230000000000002E-6</v>
      </c>
      <c r="R330" s="472" t="s">
        <v>2435</v>
      </c>
      <c r="S330" s="473" t="s">
        <v>1531</v>
      </c>
      <c r="T330" s="474" t="s">
        <v>1413</v>
      </c>
      <c r="U330" s="484">
        <v>2189</v>
      </c>
      <c r="V330" s="484" t="s">
        <v>553</v>
      </c>
      <c r="W330" s="495">
        <v>3.34</v>
      </c>
      <c r="X330" s="496" t="s">
        <v>1620</v>
      </c>
      <c r="Y330" s="486">
        <v>114</v>
      </c>
      <c r="Z330" s="487" t="s">
        <v>1620</v>
      </c>
      <c r="AA330" s="394">
        <v>4.5900000000000003E-3</v>
      </c>
      <c r="AB330" s="395" t="s">
        <v>553</v>
      </c>
      <c r="AC330" s="369"/>
    </row>
    <row r="331" spans="1:29" ht="20.100000000000001" customHeight="1">
      <c r="A331" s="390" t="s">
        <v>2310</v>
      </c>
      <c r="B331" s="391" t="s">
        <v>141</v>
      </c>
      <c r="C331" s="400">
        <f>COUNTIF('Chem Props'!$B$6:$B$851,'Parameters Summary'!A331)</f>
        <v>1</v>
      </c>
      <c r="D331" s="400">
        <f>COUNTIF('Tox Summary'!$N$3:$N$792, 'Parameters Summary'!A331)</f>
        <v>1</v>
      </c>
      <c r="E331" s="434">
        <v>315.39999999999998</v>
      </c>
      <c r="F331" s="435" t="s">
        <v>1620</v>
      </c>
      <c r="G331" s="436">
        <v>9.1987000000000002E-8</v>
      </c>
      <c r="H331" s="436">
        <v>2.2499999999999999E-9</v>
      </c>
      <c r="I331" s="437" t="s">
        <v>1620</v>
      </c>
      <c r="J331" s="436">
        <v>2.9299999999999999E-7</v>
      </c>
      <c r="K331" s="437" t="s">
        <v>1620</v>
      </c>
      <c r="L331" s="453">
        <v>54</v>
      </c>
      <c r="M331" s="454" t="s">
        <v>1620</v>
      </c>
      <c r="N331" s="461" t="s">
        <v>1531</v>
      </c>
      <c r="O331" s="462" t="s">
        <v>1413</v>
      </c>
      <c r="P331" s="471">
        <v>4.1005800000000002E-2</v>
      </c>
      <c r="Q331" s="471">
        <v>4.7912E-6</v>
      </c>
      <c r="R331" s="472" t="s">
        <v>2435</v>
      </c>
      <c r="S331" s="473" t="s">
        <v>1531</v>
      </c>
      <c r="T331" s="474" t="s">
        <v>1413</v>
      </c>
      <c r="U331" s="484">
        <v>81060</v>
      </c>
      <c r="V331" s="484" t="s">
        <v>553</v>
      </c>
      <c r="W331" s="495">
        <v>3.7</v>
      </c>
      <c r="X331" s="496" t="s">
        <v>1620</v>
      </c>
      <c r="Y331" s="486">
        <v>54</v>
      </c>
      <c r="Z331" s="487" t="s">
        <v>1620</v>
      </c>
      <c r="AA331" s="394">
        <v>7.6600000000000001E-3</v>
      </c>
      <c r="AB331" s="395" t="s">
        <v>553</v>
      </c>
      <c r="AC331" s="369"/>
    </row>
    <row r="332" spans="1:29" ht="20.100000000000001" customHeight="1" thickBot="1">
      <c r="A332" s="392" t="s">
        <v>1162</v>
      </c>
      <c r="B332" s="393" t="s">
        <v>937</v>
      </c>
      <c r="C332" s="400">
        <f>COUNTIF('Chem Props'!$B$6:$B$851,'Parameters Summary'!A332)</f>
        <v>1</v>
      </c>
      <c r="D332" s="400">
        <f>COUNTIF('Tox Summary'!$N$3:$N$792, 'Parameters Summary'!A332)</f>
        <v>1</v>
      </c>
      <c r="E332" s="438">
        <v>323.32</v>
      </c>
      <c r="F332" s="439" t="s">
        <v>1620</v>
      </c>
      <c r="G332" s="440">
        <v>1.3001000000000001E-7</v>
      </c>
      <c r="H332" s="440">
        <v>3.1800000000000002E-9</v>
      </c>
      <c r="I332" s="441" t="s">
        <v>553</v>
      </c>
      <c r="J332" s="440">
        <v>4.88E-8</v>
      </c>
      <c r="K332" s="441" t="s">
        <v>1620</v>
      </c>
      <c r="L332" s="457">
        <v>104.5</v>
      </c>
      <c r="M332" s="458" t="s">
        <v>1620</v>
      </c>
      <c r="N332" s="463" t="s">
        <v>1531</v>
      </c>
      <c r="O332" s="464" t="s">
        <v>1413</v>
      </c>
      <c r="P332" s="475">
        <v>4.0333399999999998E-2</v>
      </c>
      <c r="Q332" s="475">
        <v>4.7126000000000004E-6</v>
      </c>
      <c r="R332" s="476" t="s">
        <v>2435</v>
      </c>
      <c r="S332" s="477" t="s">
        <v>1531</v>
      </c>
      <c r="T332" s="478" t="s">
        <v>1413</v>
      </c>
      <c r="U332" s="481">
        <v>2558</v>
      </c>
      <c r="V332" s="481" t="s">
        <v>553</v>
      </c>
      <c r="W332" s="497">
        <v>3.7</v>
      </c>
      <c r="X332" s="498" t="s">
        <v>1620</v>
      </c>
      <c r="Y332" s="488">
        <v>6.53</v>
      </c>
      <c r="Z332" s="489" t="s">
        <v>1620</v>
      </c>
      <c r="AA332" s="396">
        <v>6.9100000000000003E-3</v>
      </c>
      <c r="AB332" s="397" t="s">
        <v>553</v>
      </c>
      <c r="AC332" s="369"/>
    </row>
    <row r="333" spans="1:29" ht="20.100000000000001" customHeight="1">
      <c r="A333" s="390" t="s">
        <v>1163</v>
      </c>
      <c r="B333" s="391" t="s">
        <v>938</v>
      </c>
      <c r="C333" s="400">
        <f>COUNTIF('Chem Props'!$B$6:$B$851,'Parameters Summary'!A333)</f>
        <v>1</v>
      </c>
      <c r="D333" s="400">
        <f>COUNTIF('Tox Summary'!$N$3:$N$792, 'Parameters Summary'!A333)</f>
        <v>1</v>
      </c>
      <c r="E333" s="434">
        <v>502.93</v>
      </c>
      <c r="F333" s="435" t="s">
        <v>1620</v>
      </c>
      <c r="G333" s="436">
        <v>5.9279999999999996E-7</v>
      </c>
      <c r="H333" s="436">
        <v>1.4500000000000001E-8</v>
      </c>
      <c r="I333" s="437" t="s">
        <v>1620</v>
      </c>
      <c r="J333" s="436">
        <v>9.9999999999999995E-8</v>
      </c>
      <c r="K333" s="437" t="s">
        <v>1620</v>
      </c>
      <c r="L333" s="453">
        <v>156.16999999999999</v>
      </c>
      <c r="M333" s="454" t="s">
        <v>553</v>
      </c>
      <c r="N333" s="461" t="s">
        <v>1531</v>
      </c>
      <c r="O333" s="462" t="s">
        <v>1413</v>
      </c>
      <c r="P333" s="471">
        <v>3.0043400000000001E-2</v>
      </c>
      <c r="Q333" s="471">
        <v>3.5103000000000001E-6</v>
      </c>
      <c r="R333" s="472" t="s">
        <v>2435</v>
      </c>
      <c r="S333" s="473" t="s">
        <v>1531</v>
      </c>
      <c r="T333" s="474" t="s">
        <v>1413</v>
      </c>
      <c r="U333" s="484">
        <v>730000</v>
      </c>
      <c r="V333" s="484" t="s">
        <v>553</v>
      </c>
      <c r="W333" s="495">
        <v>6.81</v>
      </c>
      <c r="X333" s="496" t="s">
        <v>1620</v>
      </c>
      <c r="Y333" s="486">
        <v>5.0000000000000001E-3</v>
      </c>
      <c r="Z333" s="487" t="s">
        <v>1620</v>
      </c>
      <c r="AA333" s="394">
        <v>7.9200000000000007E-2</v>
      </c>
      <c r="AB333" s="395" t="s">
        <v>553</v>
      </c>
      <c r="AC333" s="369"/>
    </row>
    <row r="334" spans="1:29" ht="20.100000000000001" customHeight="1">
      <c r="A334" s="390" t="s">
        <v>1164</v>
      </c>
      <c r="B334" s="391" t="s">
        <v>939</v>
      </c>
      <c r="C334" s="400">
        <f>COUNTIF('Chem Props'!$B$6:$B$851,'Parameters Summary'!A334)</f>
        <v>1</v>
      </c>
      <c r="D334" s="400">
        <f>COUNTIF('Tox Summary'!$N$3:$N$792, 'Parameters Summary'!A334)</f>
        <v>1</v>
      </c>
      <c r="E334" s="434">
        <v>296.56</v>
      </c>
      <c r="F334" s="435" t="s">
        <v>1620</v>
      </c>
      <c r="G334" s="436">
        <v>3.1315999999999998E-6</v>
      </c>
      <c r="H334" s="436">
        <v>7.6599999999999998E-8</v>
      </c>
      <c r="I334" s="437" t="s">
        <v>553</v>
      </c>
      <c r="J334" s="436">
        <v>1.5699999999999999E-7</v>
      </c>
      <c r="K334" s="437" t="s">
        <v>1620</v>
      </c>
      <c r="L334" s="453">
        <v>177</v>
      </c>
      <c r="M334" s="454" t="s">
        <v>553</v>
      </c>
      <c r="N334" s="461" t="s">
        <v>1531</v>
      </c>
      <c r="O334" s="462" t="s">
        <v>1413</v>
      </c>
      <c r="P334" s="471">
        <v>4.2724699999999997E-2</v>
      </c>
      <c r="Q334" s="471">
        <v>4.9919999999999998E-6</v>
      </c>
      <c r="R334" s="472" t="s">
        <v>2435</v>
      </c>
      <c r="S334" s="473" t="s">
        <v>1531</v>
      </c>
      <c r="T334" s="474" t="s">
        <v>1413</v>
      </c>
      <c r="U334" s="484">
        <v>17.7</v>
      </c>
      <c r="V334" s="484" t="s">
        <v>553</v>
      </c>
      <c r="W334" s="495">
        <v>2.85</v>
      </c>
      <c r="X334" s="496" t="s">
        <v>1620</v>
      </c>
      <c r="Y334" s="486">
        <v>0.8</v>
      </c>
      <c r="Z334" s="487" t="s">
        <v>1620</v>
      </c>
      <c r="AA334" s="394">
        <v>2.66E-3</v>
      </c>
      <c r="AB334" s="395" t="s">
        <v>553</v>
      </c>
      <c r="AC334" s="370"/>
    </row>
    <row r="335" spans="1:29" ht="20.100000000000001" customHeight="1" thickBot="1">
      <c r="A335" s="392" t="s">
        <v>1165</v>
      </c>
      <c r="B335" s="393" t="s">
        <v>940</v>
      </c>
      <c r="C335" s="400">
        <f>COUNTIF('Chem Props'!$B$6:$B$851,'Parameters Summary'!A335)</f>
        <v>1</v>
      </c>
      <c r="D335" s="400">
        <f>COUNTIF('Tox Summary'!$N$3:$N$792, 'Parameters Summary'!A335)</f>
        <v>1</v>
      </c>
      <c r="E335" s="438">
        <v>438.77</v>
      </c>
      <c r="F335" s="439" t="s">
        <v>1620</v>
      </c>
      <c r="G335" s="440">
        <v>3.0780000000000003E-11</v>
      </c>
      <c r="H335" s="440">
        <v>7.5300000000000002E-13</v>
      </c>
      <c r="I335" s="441" t="s">
        <v>1620</v>
      </c>
      <c r="J335" s="440">
        <v>7.5000000000000002E-7</v>
      </c>
      <c r="K335" s="441" t="s">
        <v>553</v>
      </c>
      <c r="L335" s="457">
        <v>220</v>
      </c>
      <c r="M335" s="458" t="s">
        <v>1620</v>
      </c>
      <c r="N335" s="459">
        <v>1.28</v>
      </c>
      <c r="O335" s="460" t="s">
        <v>1618</v>
      </c>
      <c r="P335" s="475">
        <v>1.8606399999999999E-2</v>
      </c>
      <c r="Q335" s="475">
        <v>4.5735999999999997E-6</v>
      </c>
      <c r="R335" s="476" t="s">
        <v>2435</v>
      </c>
      <c r="S335" s="477" t="s">
        <v>1531</v>
      </c>
      <c r="T335" s="478" t="s">
        <v>1413</v>
      </c>
      <c r="U335" s="481">
        <v>1546</v>
      </c>
      <c r="V335" s="481" t="s">
        <v>553</v>
      </c>
      <c r="W335" s="497">
        <v>2.9</v>
      </c>
      <c r="X335" s="498" t="s">
        <v>1620</v>
      </c>
      <c r="Y335" s="488">
        <v>50</v>
      </c>
      <c r="Z335" s="489" t="s">
        <v>1620</v>
      </c>
      <c r="AA335" s="396">
        <v>4.57E-4</v>
      </c>
      <c r="AB335" s="397" t="s">
        <v>553</v>
      </c>
      <c r="AC335" s="369"/>
    </row>
    <row r="336" spans="1:29" ht="20.100000000000001" customHeight="1">
      <c r="A336" s="390" t="s">
        <v>1166</v>
      </c>
      <c r="B336" s="391" t="s">
        <v>941</v>
      </c>
      <c r="C336" s="400">
        <f>COUNTIF('Chem Props'!$B$6:$B$851,'Parameters Summary'!A336)</f>
        <v>1</v>
      </c>
      <c r="D336" s="400">
        <f>COUNTIF('Tox Summary'!$N$3:$N$792, 'Parameters Summary'!A336)</f>
        <v>1</v>
      </c>
      <c r="E336" s="434">
        <v>246.33</v>
      </c>
      <c r="F336" s="435" t="s">
        <v>1620</v>
      </c>
      <c r="G336" s="436">
        <v>2.854E-4</v>
      </c>
      <c r="H336" s="436">
        <v>6.9800000000000001E-6</v>
      </c>
      <c r="I336" s="437" t="s">
        <v>553</v>
      </c>
      <c r="J336" s="436">
        <v>3.3799999999999998E-4</v>
      </c>
      <c r="K336" s="437" t="s">
        <v>1620</v>
      </c>
      <c r="L336" s="453">
        <v>0.66</v>
      </c>
      <c r="M336" s="454" t="s">
        <v>553</v>
      </c>
      <c r="N336" s="455">
        <v>1.1599999999999999</v>
      </c>
      <c r="O336" s="456" t="s">
        <v>1618</v>
      </c>
      <c r="P336" s="471">
        <v>2.4016900000000001E-2</v>
      </c>
      <c r="Q336" s="471">
        <v>6.0959000000000004E-6</v>
      </c>
      <c r="R336" s="472" t="s">
        <v>2435</v>
      </c>
      <c r="S336" s="473" t="s">
        <v>1531</v>
      </c>
      <c r="T336" s="474" t="s">
        <v>1413</v>
      </c>
      <c r="U336" s="484">
        <v>855.8</v>
      </c>
      <c r="V336" s="484" t="s">
        <v>553</v>
      </c>
      <c r="W336" s="495">
        <v>3.94</v>
      </c>
      <c r="X336" s="496" t="s">
        <v>1620</v>
      </c>
      <c r="Y336" s="486">
        <v>15.7</v>
      </c>
      <c r="Z336" s="487" t="s">
        <v>1620</v>
      </c>
      <c r="AA336" s="394">
        <v>2.7E-2</v>
      </c>
      <c r="AB336" s="395" t="s">
        <v>553</v>
      </c>
      <c r="AC336" s="369"/>
    </row>
    <row r="337" spans="1:29" ht="20.100000000000001" customHeight="1">
      <c r="A337" s="390" t="s">
        <v>1405</v>
      </c>
      <c r="B337" s="391" t="s">
        <v>942</v>
      </c>
      <c r="C337" s="400">
        <f>COUNTIF('Chem Props'!$B$6:$B$851,'Parameters Summary'!A337)</f>
        <v>1</v>
      </c>
      <c r="D337" s="400">
        <f>COUNTIF('Tox Summary'!$N$3:$N$792, 'Parameters Summary'!A337)</f>
        <v>1</v>
      </c>
      <c r="E337" s="434">
        <v>30.026</v>
      </c>
      <c r="F337" s="435" t="s">
        <v>1620</v>
      </c>
      <c r="G337" s="436">
        <v>1.38E-5</v>
      </c>
      <c r="H337" s="436">
        <v>3.3700000000000001E-7</v>
      </c>
      <c r="I337" s="437" t="s">
        <v>1620</v>
      </c>
      <c r="J337" s="436">
        <v>3890</v>
      </c>
      <c r="K337" s="437" t="s">
        <v>553</v>
      </c>
      <c r="L337" s="453">
        <v>-92</v>
      </c>
      <c r="M337" s="454" t="s">
        <v>1620</v>
      </c>
      <c r="N337" s="455">
        <v>0.81499999999999995</v>
      </c>
      <c r="O337" s="456" t="s">
        <v>1618</v>
      </c>
      <c r="P337" s="471">
        <v>0.16708709999999999</v>
      </c>
      <c r="Q337" s="471">
        <v>1.7399999999999999E-5</v>
      </c>
      <c r="R337" s="472" t="s">
        <v>2435</v>
      </c>
      <c r="S337" s="473" t="s">
        <v>1531</v>
      </c>
      <c r="T337" s="474" t="s">
        <v>1413</v>
      </c>
      <c r="U337" s="484">
        <v>1</v>
      </c>
      <c r="V337" s="484" t="s">
        <v>553</v>
      </c>
      <c r="W337" s="495">
        <v>0.35</v>
      </c>
      <c r="X337" s="496" t="s">
        <v>1620</v>
      </c>
      <c r="Y337" s="486">
        <v>400000</v>
      </c>
      <c r="Z337" s="487" t="s">
        <v>1620</v>
      </c>
      <c r="AA337" s="394">
        <v>1.82E-3</v>
      </c>
      <c r="AB337" s="395" t="s">
        <v>553</v>
      </c>
      <c r="AC337" s="369"/>
    </row>
    <row r="338" spans="1:29" ht="20.100000000000001" customHeight="1" thickBot="1">
      <c r="A338" s="392" t="s">
        <v>1167</v>
      </c>
      <c r="B338" s="393" t="s">
        <v>943</v>
      </c>
      <c r="C338" s="400">
        <f>COUNTIF('Chem Props'!$B$6:$B$851,'Parameters Summary'!A338)</f>
        <v>1</v>
      </c>
      <c r="D338" s="400">
        <f>COUNTIF('Tox Summary'!$N$3:$N$792, 'Parameters Summary'!A338)</f>
        <v>1</v>
      </c>
      <c r="E338" s="438">
        <v>46.026000000000003</v>
      </c>
      <c r="F338" s="439" t="s">
        <v>1620</v>
      </c>
      <c r="G338" s="440">
        <v>6.8275000000000003E-6</v>
      </c>
      <c r="H338" s="440">
        <v>1.67E-7</v>
      </c>
      <c r="I338" s="441" t="s">
        <v>1620</v>
      </c>
      <c r="J338" s="440">
        <v>42.59</v>
      </c>
      <c r="K338" s="441" t="s">
        <v>1620</v>
      </c>
      <c r="L338" s="457">
        <v>8.3000000000000007</v>
      </c>
      <c r="M338" s="458" t="s">
        <v>1620</v>
      </c>
      <c r="N338" s="459">
        <v>1.22</v>
      </c>
      <c r="O338" s="460" t="s">
        <v>1618</v>
      </c>
      <c r="P338" s="475">
        <v>0.1478701</v>
      </c>
      <c r="Q338" s="475">
        <v>1.7200000000000001E-5</v>
      </c>
      <c r="R338" s="476" t="s">
        <v>2435</v>
      </c>
      <c r="S338" s="477" t="s">
        <v>1531</v>
      </c>
      <c r="T338" s="478" t="s">
        <v>1413</v>
      </c>
      <c r="U338" s="481">
        <v>1</v>
      </c>
      <c r="V338" s="481" t="s">
        <v>553</v>
      </c>
      <c r="W338" s="497">
        <v>-0.54</v>
      </c>
      <c r="X338" s="498" t="s">
        <v>1620</v>
      </c>
      <c r="Y338" s="488">
        <v>1000000</v>
      </c>
      <c r="Z338" s="489" t="s">
        <v>1620</v>
      </c>
      <c r="AA338" s="396">
        <v>3.7800000000000003E-4</v>
      </c>
      <c r="AB338" s="397" t="s">
        <v>553</v>
      </c>
      <c r="AC338" s="369"/>
    </row>
    <row r="339" spans="1:29" ht="20.100000000000001" customHeight="1">
      <c r="A339" s="390" t="s">
        <v>1168</v>
      </c>
      <c r="B339" s="391" t="s">
        <v>944</v>
      </c>
      <c r="C339" s="400">
        <f>COUNTIF('Chem Props'!$B$6:$B$851,'Parameters Summary'!A339)</f>
        <v>1</v>
      </c>
      <c r="D339" s="400">
        <f>COUNTIF('Tox Summary'!$N$3:$N$792, 'Parameters Summary'!A339)</f>
        <v>1</v>
      </c>
      <c r="E339" s="434">
        <v>354.11</v>
      </c>
      <c r="F339" s="435" t="s">
        <v>1620</v>
      </c>
      <c r="G339" s="436">
        <v>1.288E-12</v>
      </c>
      <c r="H339" s="436">
        <v>3.1499999999999998E-14</v>
      </c>
      <c r="I339" s="437" t="s">
        <v>1620</v>
      </c>
      <c r="J339" s="436">
        <v>7.5E-11</v>
      </c>
      <c r="K339" s="437" t="s">
        <v>1620</v>
      </c>
      <c r="L339" s="453">
        <v>215</v>
      </c>
      <c r="M339" s="454" t="s">
        <v>1620</v>
      </c>
      <c r="N339" s="461" t="s">
        <v>1531</v>
      </c>
      <c r="O339" s="462" t="s">
        <v>1413</v>
      </c>
      <c r="P339" s="471">
        <v>3.7960199999999999E-2</v>
      </c>
      <c r="Q339" s="471">
        <v>4.4352999999999997E-6</v>
      </c>
      <c r="R339" s="472" t="s">
        <v>2435</v>
      </c>
      <c r="S339" s="473" t="s">
        <v>1531</v>
      </c>
      <c r="T339" s="474" t="s">
        <v>1413</v>
      </c>
      <c r="U339" s="484">
        <v>6485</v>
      </c>
      <c r="V339" s="484" t="s">
        <v>553</v>
      </c>
      <c r="W339" s="495">
        <v>-2.4</v>
      </c>
      <c r="X339" s="496" t="s">
        <v>1620</v>
      </c>
      <c r="Y339" s="486">
        <v>111000</v>
      </c>
      <c r="Z339" s="487" t="s">
        <v>1620</v>
      </c>
      <c r="AA339" s="394">
        <v>4.0999999999999999E-7</v>
      </c>
      <c r="AB339" s="395" t="s">
        <v>553</v>
      </c>
      <c r="AC339" s="369"/>
    </row>
    <row r="340" spans="1:29" ht="20.100000000000001" customHeight="1">
      <c r="A340" s="390" t="s">
        <v>1169</v>
      </c>
      <c r="B340" s="391" t="s">
        <v>1413</v>
      </c>
      <c r="C340" s="400">
        <f>COUNTIF('Chem Props'!$B$6:$B$851,'Parameters Summary'!A340)</f>
        <v>0</v>
      </c>
      <c r="D340" s="400">
        <f>COUNTIF('Tox Summary'!$N$3:$N$792, 'Parameters Summary'!A340)</f>
        <v>1</v>
      </c>
      <c r="E340" s="446" t="s">
        <v>1531</v>
      </c>
      <c r="F340" s="447" t="s">
        <v>1413</v>
      </c>
      <c r="G340" s="444" t="s">
        <v>1531</v>
      </c>
      <c r="H340" s="444" t="s">
        <v>1531</v>
      </c>
      <c r="I340" s="445" t="s">
        <v>1413</v>
      </c>
      <c r="J340" s="444" t="s">
        <v>1531</v>
      </c>
      <c r="K340" s="445" t="s">
        <v>1413</v>
      </c>
      <c r="L340" s="465" t="s">
        <v>1531</v>
      </c>
      <c r="M340" s="466" t="s">
        <v>1413</v>
      </c>
      <c r="N340" s="461" t="s">
        <v>1531</v>
      </c>
      <c r="O340" s="462" t="s">
        <v>1413</v>
      </c>
      <c r="P340" s="482" t="s">
        <v>1531</v>
      </c>
      <c r="Q340" s="482" t="s">
        <v>1531</v>
      </c>
      <c r="R340" s="483" t="s">
        <v>1413</v>
      </c>
      <c r="S340" s="473" t="s">
        <v>1531</v>
      </c>
      <c r="T340" s="474" t="s">
        <v>1413</v>
      </c>
      <c r="U340" s="473" t="s">
        <v>1531</v>
      </c>
      <c r="V340" s="474" t="s">
        <v>1413</v>
      </c>
      <c r="W340" s="501" t="s">
        <v>1531</v>
      </c>
      <c r="X340" s="502" t="s">
        <v>1413</v>
      </c>
      <c r="Y340" s="492" t="s">
        <v>1531</v>
      </c>
      <c r="Z340" s="493" t="s">
        <v>1413</v>
      </c>
      <c r="AA340" s="398" t="s">
        <v>1531</v>
      </c>
      <c r="AB340" s="504" t="s">
        <v>1413</v>
      </c>
      <c r="AC340" s="369"/>
    </row>
    <row r="341" spans="1:29" ht="20.100000000000001" customHeight="1" thickBot="1">
      <c r="A341" s="392" t="s">
        <v>2330</v>
      </c>
      <c r="B341" s="393" t="s">
        <v>945</v>
      </c>
      <c r="C341" s="400">
        <f>COUNTIF('Chem Props'!$B$6:$B$851,'Parameters Summary'!A341)</f>
        <v>1</v>
      </c>
      <c r="D341" s="400">
        <f>COUNTIF('Tox Summary'!$N$3:$N$792, 'Parameters Summary'!A341)</f>
        <v>1</v>
      </c>
      <c r="E341" s="438">
        <v>168.2</v>
      </c>
      <c r="F341" s="439" t="s">
        <v>1620</v>
      </c>
      <c r="G341" s="440">
        <v>8.7080999999999999E-3</v>
      </c>
      <c r="H341" s="440">
        <v>2.13E-4</v>
      </c>
      <c r="I341" s="441" t="s">
        <v>553</v>
      </c>
      <c r="J341" s="440">
        <v>2.48E-3</v>
      </c>
      <c r="K341" s="441" t="s">
        <v>1620</v>
      </c>
      <c r="L341" s="457">
        <v>86.5</v>
      </c>
      <c r="M341" s="458" t="s">
        <v>1620</v>
      </c>
      <c r="N341" s="459">
        <v>1.0886</v>
      </c>
      <c r="O341" s="460" t="s">
        <v>1618</v>
      </c>
      <c r="P341" s="475">
        <v>6.5066299999999994E-2</v>
      </c>
      <c r="Q341" s="475">
        <v>7.3772999999999997E-6</v>
      </c>
      <c r="R341" s="476" t="s">
        <v>2435</v>
      </c>
      <c r="S341" s="477" t="s">
        <v>1531</v>
      </c>
      <c r="T341" s="478" t="s">
        <v>1413</v>
      </c>
      <c r="U341" s="481">
        <v>9161</v>
      </c>
      <c r="V341" s="481" t="s">
        <v>553</v>
      </c>
      <c r="W341" s="497">
        <v>4.12</v>
      </c>
      <c r="X341" s="498" t="s">
        <v>1620</v>
      </c>
      <c r="Y341" s="488">
        <v>3.1</v>
      </c>
      <c r="Z341" s="489" t="s">
        <v>1620</v>
      </c>
      <c r="AA341" s="396">
        <v>9.7500000000000003E-2</v>
      </c>
      <c r="AB341" s="397" t="s">
        <v>553</v>
      </c>
      <c r="AC341" s="369"/>
    </row>
    <row r="342" spans="1:29" ht="20.100000000000001" customHeight="1">
      <c r="A342" s="390" t="s">
        <v>2333</v>
      </c>
      <c r="B342" s="391" t="s">
        <v>946</v>
      </c>
      <c r="C342" s="400">
        <f>COUNTIF('Chem Props'!$B$6:$B$851,'Parameters Summary'!A342)</f>
        <v>1</v>
      </c>
      <c r="D342" s="400">
        <f>COUNTIF('Tox Summary'!$N$3:$N$792, 'Parameters Summary'!A342)</f>
        <v>1</v>
      </c>
      <c r="E342" s="434">
        <v>68.075999999999993</v>
      </c>
      <c r="F342" s="435" t="s">
        <v>1620</v>
      </c>
      <c r="G342" s="436">
        <v>0.22076860000000001</v>
      </c>
      <c r="H342" s="436">
        <v>5.4000000000000003E-3</v>
      </c>
      <c r="I342" s="437" t="s">
        <v>553</v>
      </c>
      <c r="J342" s="436">
        <v>600</v>
      </c>
      <c r="K342" s="437" t="s">
        <v>1620</v>
      </c>
      <c r="L342" s="453">
        <v>-85.6</v>
      </c>
      <c r="M342" s="454" t="s">
        <v>1620</v>
      </c>
      <c r="N342" s="455">
        <v>0.95140000000000002</v>
      </c>
      <c r="O342" s="456" t="s">
        <v>1618</v>
      </c>
      <c r="P342" s="471">
        <v>0.1022757</v>
      </c>
      <c r="Q342" s="471">
        <v>1.17E-5</v>
      </c>
      <c r="R342" s="472" t="s">
        <v>2435</v>
      </c>
      <c r="S342" s="473" t="s">
        <v>1531</v>
      </c>
      <c r="T342" s="474" t="s">
        <v>1413</v>
      </c>
      <c r="U342" s="484">
        <v>79.989999999999995</v>
      </c>
      <c r="V342" s="484" t="s">
        <v>553</v>
      </c>
      <c r="W342" s="495">
        <v>1.34</v>
      </c>
      <c r="X342" s="496" t="s">
        <v>1620</v>
      </c>
      <c r="Y342" s="486">
        <v>10000</v>
      </c>
      <c r="Z342" s="487" t="s">
        <v>1620</v>
      </c>
      <c r="AA342" s="394">
        <v>5.0499999999999998E-3</v>
      </c>
      <c r="AB342" s="395" t="s">
        <v>553</v>
      </c>
      <c r="AC342" s="369"/>
    </row>
    <row r="343" spans="1:29" ht="20.100000000000001" customHeight="1">
      <c r="A343" s="390" t="s">
        <v>2252</v>
      </c>
      <c r="B343" s="391" t="s">
        <v>1831</v>
      </c>
      <c r="C343" s="400">
        <f>COUNTIF('Chem Props'!$B$6:$B$851,'Parameters Summary'!A343)</f>
        <v>1</v>
      </c>
      <c r="D343" s="400">
        <f>COUNTIF('Tox Summary'!$N$3:$N$792, 'Parameters Summary'!A343)</f>
        <v>1</v>
      </c>
      <c r="E343" s="434">
        <v>72.108000000000004</v>
      </c>
      <c r="F343" s="435" t="s">
        <v>1620</v>
      </c>
      <c r="G343" s="436">
        <v>2.8823E-3</v>
      </c>
      <c r="H343" s="436">
        <v>7.0500000000000006E-5</v>
      </c>
      <c r="I343" s="437" t="s">
        <v>1620</v>
      </c>
      <c r="J343" s="436">
        <v>162.19999999999999</v>
      </c>
      <c r="K343" s="437" t="s">
        <v>1620</v>
      </c>
      <c r="L343" s="453">
        <v>-108.44</v>
      </c>
      <c r="M343" s="454" t="s">
        <v>1620</v>
      </c>
      <c r="N343" s="455">
        <v>0.88329999999999997</v>
      </c>
      <c r="O343" s="456" t="s">
        <v>1618</v>
      </c>
      <c r="P343" s="471">
        <v>9.9375099999999994E-2</v>
      </c>
      <c r="Q343" s="471">
        <v>1.08E-5</v>
      </c>
      <c r="R343" s="472" t="s">
        <v>2435</v>
      </c>
      <c r="S343" s="473" t="s">
        <v>1531</v>
      </c>
      <c r="T343" s="474" t="s">
        <v>1413</v>
      </c>
      <c r="U343" s="484">
        <v>10.75</v>
      </c>
      <c r="V343" s="484" t="s">
        <v>553</v>
      </c>
      <c r="W343" s="495">
        <v>0.46</v>
      </c>
      <c r="X343" s="496" t="s">
        <v>1620</v>
      </c>
      <c r="Y343" s="486">
        <v>1000000</v>
      </c>
      <c r="Z343" s="487" t="s">
        <v>1620</v>
      </c>
      <c r="AA343" s="394">
        <v>1.25E-3</v>
      </c>
      <c r="AB343" s="395" t="s">
        <v>553</v>
      </c>
      <c r="AC343" s="369"/>
    </row>
    <row r="344" spans="1:29" ht="20.100000000000001" customHeight="1" thickBot="1">
      <c r="A344" s="392" t="s">
        <v>1170</v>
      </c>
      <c r="B344" s="393" t="s">
        <v>947</v>
      </c>
      <c r="C344" s="400">
        <f>COUNTIF('Chem Props'!$B$6:$B$851,'Parameters Summary'!A344)</f>
        <v>1</v>
      </c>
      <c r="D344" s="400">
        <f>COUNTIF('Tox Summary'!$N$3:$N$792, 'Parameters Summary'!A344)</f>
        <v>1</v>
      </c>
      <c r="E344" s="438">
        <v>225.16</v>
      </c>
      <c r="F344" s="439" t="s">
        <v>1620</v>
      </c>
      <c r="G344" s="440">
        <v>1.3328E-9</v>
      </c>
      <c r="H344" s="440">
        <v>3.2600000000000002E-11</v>
      </c>
      <c r="I344" s="441" t="s">
        <v>1620</v>
      </c>
      <c r="J344" s="440">
        <v>2.6000000000000001E-6</v>
      </c>
      <c r="K344" s="441" t="s">
        <v>1620</v>
      </c>
      <c r="L344" s="457">
        <v>255</v>
      </c>
      <c r="M344" s="458" t="s">
        <v>1620</v>
      </c>
      <c r="N344" s="463" t="s">
        <v>1531</v>
      </c>
      <c r="O344" s="464" t="s">
        <v>1413</v>
      </c>
      <c r="P344" s="475">
        <v>5.13365E-2</v>
      </c>
      <c r="Q344" s="475">
        <v>5.9982999999999998E-6</v>
      </c>
      <c r="R344" s="476" t="s">
        <v>2435</v>
      </c>
      <c r="S344" s="477" t="s">
        <v>1531</v>
      </c>
      <c r="T344" s="478" t="s">
        <v>1413</v>
      </c>
      <c r="U344" s="481">
        <v>858.4</v>
      </c>
      <c r="V344" s="481" t="s">
        <v>553</v>
      </c>
      <c r="W344" s="497">
        <v>-0.04</v>
      </c>
      <c r="X344" s="498" t="s">
        <v>1620</v>
      </c>
      <c r="Y344" s="488">
        <v>40</v>
      </c>
      <c r="Z344" s="489" t="s">
        <v>1620</v>
      </c>
      <c r="AA344" s="396">
        <v>8.03E-5</v>
      </c>
      <c r="AB344" s="397" t="s">
        <v>553</v>
      </c>
      <c r="AC344" s="369"/>
    </row>
    <row r="345" spans="1:29" ht="20.100000000000001" customHeight="1">
      <c r="A345" s="390" t="s">
        <v>1171</v>
      </c>
      <c r="B345" s="391" t="s">
        <v>948</v>
      </c>
      <c r="C345" s="400">
        <f>COUNTIF('Chem Props'!$B$6:$B$851,'Parameters Summary'!A345)</f>
        <v>1</v>
      </c>
      <c r="D345" s="400">
        <f>COUNTIF('Tox Summary'!$N$3:$N$792, 'Parameters Summary'!A345)</f>
        <v>1</v>
      </c>
      <c r="E345" s="434">
        <v>96.085999999999999</v>
      </c>
      <c r="F345" s="435" t="s">
        <v>1620</v>
      </c>
      <c r="G345" s="436">
        <v>1.5410000000000001E-4</v>
      </c>
      <c r="H345" s="436">
        <v>3.7699999999999999E-6</v>
      </c>
      <c r="I345" s="437" t="s">
        <v>553</v>
      </c>
      <c r="J345" s="436">
        <v>2.21</v>
      </c>
      <c r="K345" s="437" t="s">
        <v>1620</v>
      </c>
      <c r="L345" s="453">
        <v>-38.1</v>
      </c>
      <c r="M345" s="454" t="s">
        <v>1620</v>
      </c>
      <c r="N345" s="455">
        <v>1.1594</v>
      </c>
      <c r="O345" s="456" t="s">
        <v>1618</v>
      </c>
      <c r="P345" s="471">
        <v>8.5321300000000003E-2</v>
      </c>
      <c r="Q345" s="471">
        <v>1.0699999999999999E-5</v>
      </c>
      <c r="R345" s="472" t="s">
        <v>2435</v>
      </c>
      <c r="S345" s="473" t="s">
        <v>1531</v>
      </c>
      <c r="T345" s="474" t="s">
        <v>1413</v>
      </c>
      <c r="U345" s="484">
        <v>6.0830000000000002</v>
      </c>
      <c r="V345" s="484" t="s">
        <v>553</v>
      </c>
      <c r="W345" s="495">
        <v>0.41</v>
      </c>
      <c r="X345" s="496" t="s">
        <v>1620</v>
      </c>
      <c r="Y345" s="486">
        <v>74100</v>
      </c>
      <c r="Z345" s="487" t="s">
        <v>1620</v>
      </c>
      <c r="AA345" s="394">
        <v>8.4800000000000001E-4</v>
      </c>
      <c r="AB345" s="395" t="s">
        <v>553</v>
      </c>
      <c r="AC345" s="369"/>
    </row>
    <row r="346" spans="1:29" ht="20.100000000000001" customHeight="1">
      <c r="A346" s="390" t="s">
        <v>1172</v>
      </c>
      <c r="B346" s="391" t="s">
        <v>949</v>
      </c>
      <c r="C346" s="400">
        <f>COUNTIF('Chem Props'!$B$6:$B$851,'Parameters Summary'!A346)</f>
        <v>1</v>
      </c>
      <c r="D346" s="400">
        <f>COUNTIF('Tox Summary'!$N$3:$N$792, 'Parameters Summary'!A346)</f>
        <v>1</v>
      </c>
      <c r="E346" s="434">
        <v>253.23</v>
      </c>
      <c r="F346" s="435" t="s">
        <v>553</v>
      </c>
      <c r="G346" s="436">
        <v>5.437E-14</v>
      </c>
      <c r="H346" s="436">
        <v>1.3299999999999999E-15</v>
      </c>
      <c r="I346" s="437" t="s">
        <v>553</v>
      </c>
      <c r="J346" s="436">
        <v>8.8200000000000006E-9</v>
      </c>
      <c r="K346" s="437" t="s">
        <v>553</v>
      </c>
      <c r="L346" s="453">
        <v>189.65</v>
      </c>
      <c r="M346" s="454" t="s">
        <v>553</v>
      </c>
      <c r="N346" s="461" t="s">
        <v>1531</v>
      </c>
      <c r="O346" s="462" t="s">
        <v>1413</v>
      </c>
      <c r="P346" s="471">
        <v>4.7468999999999997E-2</v>
      </c>
      <c r="Q346" s="471">
        <v>5.5464E-6</v>
      </c>
      <c r="R346" s="472" t="s">
        <v>2435</v>
      </c>
      <c r="S346" s="473" t="s">
        <v>1531</v>
      </c>
      <c r="T346" s="474" t="s">
        <v>1413</v>
      </c>
      <c r="U346" s="484">
        <v>577.6</v>
      </c>
      <c r="V346" s="484" t="s">
        <v>553</v>
      </c>
      <c r="W346" s="495">
        <v>1.8</v>
      </c>
      <c r="X346" s="496" t="s">
        <v>553</v>
      </c>
      <c r="Y346" s="486">
        <v>4205.3</v>
      </c>
      <c r="Z346" s="487" t="s">
        <v>553</v>
      </c>
      <c r="AA346" s="394">
        <v>9.3499999999999996E-4</v>
      </c>
      <c r="AB346" s="395" t="s">
        <v>553</v>
      </c>
      <c r="AC346" s="369"/>
    </row>
    <row r="347" spans="1:29" ht="20.100000000000001" customHeight="1" thickBot="1">
      <c r="A347" s="392" t="s">
        <v>1406</v>
      </c>
      <c r="B347" s="393" t="s">
        <v>950</v>
      </c>
      <c r="C347" s="400">
        <f>COUNTIF('Chem Props'!$B$6:$B$851,'Parameters Summary'!A347)</f>
        <v>1</v>
      </c>
      <c r="D347" s="400">
        <f>COUNTIF('Tox Summary'!$N$3:$N$792, 'Parameters Summary'!A347)</f>
        <v>1</v>
      </c>
      <c r="E347" s="438">
        <v>251.33</v>
      </c>
      <c r="F347" s="439" t="s">
        <v>1620</v>
      </c>
      <c r="G347" s="440">
        <v>2.8168000000000002E-7</v>
      </c>
      <c r="H347" s="440">
        <v>6.89E-9</v>
      </c>
      <c r="I347" s="441" t="s">
        <v>1620</v>
      </c>
      <c r="J347" s="440">
        <v>8.3700000000000002E-5</v>
      </c>
      <c r="K347" s="441" t="s">
        <v>1620</v>
      </c>
      <c r="L347" s="457">
        <v>33</v>
      </c>
      <c r="M347" s="458" t="s">
        <v>1620</v>
      </c>
      <c r="N347" s="463" t="s">
        <v>1531</v>
      </c>
      <c r="O347" s="464" t="s">
        <v>1413</v>
      </c>
      <c r="P347" s="475">
        <v>4.7707899999999998E-2</v>
      </c>
      <c r="Q347" s="475">
        <v>5.5743000000000001E-6</v>
      </c>
      <c r="R347" s="476" t="s">
        <v>2435</v>
      </c>
      <c r="S347" s="477" t="s">
        <v>1531</v>
      </c>
      <c r="T347" s="478" t="s">
        <v>1413</v>
      </c>
      <c r="U347" s="481">
        <v>429</v>
      </c>
      <c r="V347" s="481" t="s">
        <v>553</v>
      </c>
      <c r="W347" s="497">
        <v>4.38</v>
      </c>
      <c r="X347" s="498" t="s">
        <v>1620</v>
      </c>
      <c r="Y347" s="488">
        <v>0.3</v>
      </c>
      <c r="Z347" s="489" t="s">
        <v>1620</v>
      </c>
      <c r="AA347" s="396">
        <v>4.99E-2</v>
      </c>
      <c r="AB347" s="397" t="s">
        <v>553</v>
      </c>
      <c r="AC347" s="369"/>
    </row>
    <row r="348" spans="1:29" ht="20.100000000000001" customHeight="1">
      <c r="A348" s="390" t="s">
        <v>1173</v>
      </c>
      <c r="B348" s="391" t="s">
        <v>951</v>
      </c>
      <c r="C348" s="400">
        <f>COUNTIF('Chem Props'!$B$6:$B$851,'Parameters Summary'!A348)</f>
        <v>1</v>
      </c>
      <c r="D348" s="400">
        <f>COUNTIF('Tox Summary'!$N$3:$N$792, 'Parameters Summary'!A348)</f>
        <v>1</v>
      </c>
      <c r="E348" s="434">
        <v>198.16</v>
      </c>
      <c r="F348" s="435" t="s">
        <v>1620</v>
      </c>
      <c r="G348" s="436">
        <v>1.8070000000000001E-12</v>
      </c>
      <c r="H348" s="436">
        <v>4.4199999999999997E-14</v>
      </c>
      <c r="I348" s="437" t="s">
        <v>1620</v>
      </c>
      <c r="J348" s="436">
        <v>9.1199999999999999E-12</v>
      </c>
      <c r="K348" s="437" t="s">
        <v>1620</v>
      </c>
      <c r="L348" s="453">
        <v>215</v>
      </c>
      <c r="M348" s="454" t="s">
        <v>1620</v>
      </c>
      <c r="N348" s="461" t="s">
        <v>1531</v>
      </c>
      <c r="O348" s="462" t="s">
        <v>1413</v>
      </c>
      <c r="P348" s="471">
        <v>5.5899699999999997E-2</v>
      </c>
      <c r="Q348" s="471">
        <v>6.5313999999999998E-6</v>
      </c>
      <c r="R348" s="472" t="s">
        <v>2435</v>
      </c>
      <c r="S348" s="473" t="s">
        <v>1531</v>
      </c>
      <c r="T348" s="474" t="s">
        <v>1413</v>
      </c>
      <c r="U348" s="484">
        <v>10</v>
      </c>
      <c r="V348" s="484" t="s">
        <v>553</v>
      </c>
      <c r="W348" s="495">
        <v>-4.8099999999999996</v>
      </c>
      <c r="X348" s="496" t="s">
        <v>1620</v>
      </c>
      <c r="Y348" s="486">
        <v>1370000</v>
      </c>
      <c r="Z348" s="487" t="s">
        <v>1620</v>
      </c>
      <c r="AA348" s="394">
        <v>3.4200000000000002E-8</v>
      </c>
      <c r="AB348" s="395" t="s">
        <v>553</v>
      </c>
      <c r="AC348" s="369"/>
    </row>
    <row r="349" spans="1:29" ht="20.100000000000001" customHeight="1">
      <c r="A349" s="390" t="s">
        <v>587</v>
      </c>
      <c r="B349" s="391" t="s">
        <v>952</v>
      </c>
      <c r="C349" s="400">
        <f>COUNTIF('Chem Props'!$B$6:$B$851,'Parameters Summary'!A349)</f>
        <v>1</v>
      </c>
      <c r="D349" s="400">
        <f>COUNTIF('Tox Summary'!$N$3:$N$792, 'Parameters Summary'!A349)</f>
        <v>1</v>
      </c>
      <c r="E349" s="434">
        <v>100.12</v>
      </c>
      <c r="F349" s="435" t="s">
        <v>1620</v>
      </c>
      <c r="G349" s="436">
        <v>1.3490999999999999E-6</v>
      </c>
      <c r="H349" s="436">
        <v>3.2999999999999998E-8</v>
      </c>
      <c r="I349" s="437" t="s">
        <v>1620</v>
      </c>
      <c r="J349" s="436">
        <v>0.6</v>
      </c>
      <c r="K349" s="437" t="s">
        <v>1620</v>
      </c>
      <c r="L349" s="453">
        <v>-29.86</v>
      </c>
      <c r="M349" s="454" t="s">
        <v>553</v>
      </c>
      <c r="N349" s="461" t="s">
        <v>1531</v>
      </c>
      <c r="O349" s="462" t="s">
        <v>1413</v>
      </c>
      <c r="P349" s="471">
        <v>8.8119699999999995E-2</v>
      </c>
      <c r="Q349" s="471">
        <v>1.03E-5</v>
      </c>
      <c r="R349" s="472" t="s">
        <v>2435</v>
      </c>
      <c r="S349" s="473" t="s">
        <v>1531</v>
      </c>
      <c r="T349" s="474" t="s">
        <v>1413</v>
      </c>
      <c r="U349" s="484">
        <v>1</v>
      </c>
      <c r="V349" s="484" t="s">
        <v>553</v>
      </c>
      <c r="W349" s="495">
        <v>-0.33</v>
      </c>
      <c r="X349" s="496" t="s">
        <v>1620</v>
      </c>
      <c r="Y349" s="486">
        <v>224000</v>
      </c>
      <c r="Z349" s="487" t="s">
        <v>1620</v>
      </c>
      <c r="AA349" s="394">
        <v>3.2499999999999999E-4</v>
      </c>
      <c r="AB349" s="395" t="s">
        <v>553</v>
      </c>
      <c r="AC349" s="369"/>
    </row>
    <row r="350" spans="1:29" ht="20.100000000000001" customHeight="1" thickBot="1">
      <c r="A350" s="392" t="s">
        <v>1174</v>
      </c>
      <c r="B350" s="393" t="s">
        <v>953</v>
      </c>
      <c r="C350" s="400">
        <f>COUNTIF('Chem Props'!$B$6:$B$851,'Parameters Summary'!A350)</f>
        <v>1</v>
      </c>
      <c r="D350" s="400">
        <f>COUNTIF('Tox Summary'!$N$3:$N$792, 'Parameters Summary'!A350)</f>
        <v>1</v>
      </c>
      <c r="E350" s="438">
        <v>72.063999999999993</v>
      </c>
      <c r="F350" s="439" t="s">
        <v>1620</v>
      </c>
      <c r="G350" s="440">
        <v>2.09E-5</v>
      </c>
      <c r="H350" s="440">
        <v>5.1099999999999996E-7</v>
      </c>
      <c r="I350" s="441" t="s">
        <v>1620</v>
      </c>
      <c r="J350" s="440">
        <v>45.3</v>
      </c>
      <c r="K350" s="441" t="s">
        <v>1620</v>
      </c>
      <c r="L350" s="457">
        <v>-62</v>
      </c>
      <c r="M350" s="458" t="s">
        <v>1620</v>
      </c>
      <c r="N350" s="459">
        <v>1.1403000000000001</v>
      </c>
      <c r="O350" s="460" t="s">
        <v>1618</v>
      </c>
      <c r="P350" s="475">
        <v>0.10624690000000001</v>
      </c>
      <c r="Q350" s="475">
        <v>1.26E-5</v>
      </c>
      <c r="R350" s="476" t="s">
        <v>2435</v>
      </c>
      <c r="S350" s="477" t="s">
        <v>1531</v>
      </c>
      <c r="T350" s="478" t="s">
        <v>1413</v>
      </c>
      <c r="U350" s="481">
        <v>1</v>
      </c>
      <c r="V350" s="481" t="s">
        <v>553</v>
      </c>
      <c r="W350" s="497">
        <v>-0.12</v>
      </c>
      <c r="X350" s="498" t="s">
        <v>1620</v>
      </c>
      <c r="Y350" s="488">
        <v>1000000</v>
      </c>
      <c r="Z350" s="489" t="s">
        <v>1620</v>
      </c>
      <c r="AA350" s="396">
        <v>5.1599999999999997E-4</v>
      </c>
      <c r="AB350" s="397" t="s">
        <v>553</v>
      </c>
      <c r="AC350" s="369"/>
    </row>
    <row r="351" spans="1:29" ht="20.100000000000001" customHeight="1">
      <c r="A351" s="390" t="s">
        <v>1175</v>
      </c>
      <c r="B351" s="391" t="s">
        <v>954</v>
      </c>
      <c r="C351" s="400">
        <f>COUNTIF('Chem Props'!$B$6:$B$851,'Parameters Summary'!A351)</f>
        <v>1</v>
      </c>
      <c r="D351" s="400">
        <f>COUNTIF('Tox Summary'!$N$3:$N$792, 'Parameters Summary'!A351)</f>
        <v>1</v>
      </c>
      <c r="E351" s="434">
        <v>169.07</v>
      </c>
      <c r="F351" s="435" t="s">
        <v>1620</v>
      </c>
      <c r="G351" s="436">
        <v>8.5850000000000006E-11</v>
      </c>
      <c r="H351" s="436">
        <v>2.0999999999999999E-12</v>
      </c>
      <c r="I351" s="437" t="s">
        <v>553</v>
      </c>
      <c r="J351" s="436">
        <v>9.8000000000000004E-8</v>
      </c>
      <c r="K351" s="437" t="s">
        <v>1620</v>
      </c>
      <c r="L351" s="453">
        <v>189.5</v>
      </c>
      <c r="M351" s="454" t="s">
        <v>1620</v>
      </c>
      <c r="N351" s="461" t="s">
        <v>1531</v>
      </c>
      <c r="O351" s="462" t="s">
        <v>1413</v>
      </c>
      <c r="P351" s="471">
        <v>6.21407E-2</v>
      </c>
      <c r="Q351" s="471">
        <v>7.2606000000000004E-6</v>
      </c>
      <c r="R351" s="472" t="s">
        <v>2435</v>
      </c>
      <c r="S351" s="473" t="s">
        <v>1531</v>
      </c>
      <c r="T351" s="474" t="s">
        <v>1413</v>
      </c>
      <c r="U351" s="484">
        <v>2100</v>
      </c>
      <c r="V351" s="484" t="s">
        <v>2207</v>
      </c>
      <c r="W351" s="495">
        <v>-3.4</v>
      </c>
      <c r="X351" s="496" t="s">
        <v>1620</v>
      </c>
      <c r="Y351" s="486">
        <v>10500</v>
      </c>
      <c r="Z351" s="487" t="s">
        <v>1620</v>
      </c>
      <c r="AA351" s="394">
        <v>4.5400000000000003E-8</v>
      </c>
      <c r="AB351" s="395" t="s">
        <v>553</v>
      </c>
      <c r="AC351" s="370"/>
    </row>
    <row r="352" spans="1:29" ht="20.100000000000001" customHeight="1">
      <c r="A352" s="390" t="s">
        <v>2080</v>
      </c>
      <c r="B352" s="391" t="s">
        <v>2081</v>
      </c>
      <c r="C352" s="400">
        <f>COUNTIF('Chem Props'!$B$6:$B$851,'Parameters Summary'!A352)</f>
        <v>1</v>
      </c>
      <c r="D352" s="400">
        <f>COUNTIF('Tox Summary'!$N$3:$N$792, 'Parameters Summary'!A352)</f>
        <v>1</v>
      </c>
      <c r="E352" s="434">
        <v>59.070999999999998</v>
      </c>
      <c r="F352" s="435" t="s">
        <v>1620</v>
      </c>
      <c r="G352" s="436">
        <v>9.5670000000000002E-10</v>
      </c>
      <c r="H352" s="436">
        <v>2.3400000000000001E-11</v>
      </c>
      <c r="I352" s="437" t="s">
        <v>1620</v>
      </c>
      <c r="J352" s="436">
        <v>2.21</v>
      </c>
      <c r="K352" s="437" t="s">
        <v>1620</v>
      </c>
      <c r="L352" s="453">
        <v>50</v>
      </c>
      <c r="M352" s="454" t="s">
        <v>1620</v>
      </c>
      <c r="N352" s="455">
        <v>1.55</v>
      </c>
      <c r="O352" s="456" t="s">
        <v>2085</v>
      </c>
      <c r="P352" s="471">
        <v>0.13781940000000001</v>
      </c>
      <c r="Q352" s="471">
        <v>1.7099999999999999E-5</v>
      </c>
      <c r="R352" s="472" t="s">
        <v>2435</v>
      </c>
      <c r="S352" s="473" t="s">
        <v>1531</v>
      </c>
      <c r="T352" s="474" t="s">
        <v>1413</v>
      </c>
      <c r="U352" s="484">
        <v>11.95</v>
      </c>
      <c r="V352" s="484" t="s">
        <v>553</v>
      </c>
      <c r="W352" s="495">
        <v>-1.63</v>
      </c>
      <c r="X352" s="496" t="s">
        <v>1620</v>
      </c>
      <c r="Y352" s="486">
        <v>1840</v>
      </c>
      <c r="Z352" s="487" t="s">
        <v>1620</v>
      </c>
      <c r="AA352" s="394">
        <v>6.0300000000000002E-5</v>
      </c>
      <c r="AB352" s="395" t="s">
        <v>553</v>
      </c>
      <c r="AC352" s="369"/>
    </row>
    <row r="353" spans="1:29" ht="20.100000000000001" customHeight="1" thickBot="1">
      <c r="A353" s="392" t="s">
        <v>2082</v>
      </c>
      <c r="B353" s="393" t="s">
        <v>2083</v>
      </c>
      <c r="C353" s="400">
        <f>COUNTIF('Chem Props'!$B$6:$B$851,'Parameters Summary'!A353)</f>
        <v>1</v>
      </c>
      <c r="D353" s="400">
        <f>COUNTIF('Tox Summary'!$N$3:$N$792, 'Parameters Summary'!A353)</f>
        <v>1</v>
      </c>
      <c r="E353" s="438">
        <v>95.531999999999996</v>
      </c>
      <c r="F353" s="439" t="s">
        <v>1620</v>
      </c>
      <c r="G353" s="440">
        <v>8.8720000000000002E-17</v>
      </c>
      <c r="H353" s="440">
        <v>2.17E-18</v>
      </c>
      <c r="I353" s="441" t="s">
        <v>1620</v>
      </c>
      <c r="J353" s="440">
        <v>1.7600000000000001E-6</v>
      </c>
      <c r="K353" s="441" t="s">
        <v>1620</v>
      </c>
      <c r="L353" s="457">
        <v>182.3</v>
      </c>
      <c r="M353" s="458" t="s">
        <v>1620</v>
      </c>
      <c r="N353" s="459">
        <v>1.3540000000000001</v>
      </c>
      <c r="O353" s="460" t="s">
        <v>1618</v>
      </c>
      <c r="P353" s="475">
        <v>9.1556100000000001E-2</v>
      </c>
      <c r="Q353" s="475">
        <v>1.1800000000000001E-5</v>
      </c>
      <c r="R353" s="476" t="s">
        <v>2435</v>
      </c>
      <c r="S353" s="477" t="s">
        <v>1531</v>
      </c>
      <c r="T353" s="478" t="s">
        <v>1413</v>
      </c>
      <c r="U353" s="477" t="s">
        <v>1531</v>
      </c>
      <c r="V353" s="478" t="s">
        <v>1413</v>
      </c>
      <c r="W353" s="497">
        <v>-3.56</v>
      </c>
      <c r="X353" s="498" t="s">
        <v>1620</v>
      </c>
      <c r="Y353" s="488">
        <v>1000000</v>
      </c>
      <c r="Z353" s="489" t="s">
        <v>1620</v>
      </c>
      <c r="AA353" s="396">
        <v>3.8600000000000002E-8</v>
      </c>
      <c r="AB353" s="397" t="s">
        <v>553</v>
      </c>
      <c r="AC353" s="369"/>
    </row>
    <row r="354" spans="1:29" ht="20.100000000000001" customHeight="1">
      <c r="A354" s="390" t="s">
        <v>2447</v>
      </c>
      <c r="B354" s="391" t="s">
        <v>2448</v>
      </c>
      <c r="C354" s="400">
        <f>COUNTIF('Chem Props'!$B$6:$B$851,'Parameters Summary'!A354)</f>
        <v>1</v>
      </c>
      <c r="D354" s="400">
        <f>COUNTIF('Tox Summary'!$N$3:$N$792, 'Parameters Summary'!A354)</f>
        <v>1</v>
      </c>
      <c r="E354" s="434">
        <v>122.11</v>
      </c>
      <c r="F354" s="435" t="s">
        <v>1620</v>
      </c>
      <c r="G354" s="436">
        <v>3.6630000000000003E-17</v>
      </c>
      <c r="H354" s="436">
        <v>8.9600000000000009E-19</v>
      </c>
      <c r="I354" s="437" t="s">
        <v>1620</v>
      </c>
      <c r="J354" s="436">
        <v>1.2499999999999999E-7</v>
      </c>
      <c r="K354" s="437" t="s">
        <v>1620</v>
      </c>
      <c r="L354" s="453">
        <v>214</v>
      </c>
      <c r="M354" s="454" t="s">
        <v>1620</v>
      </c>
      <c r="N354" s="461" t="s">
        <v>1531</v>
      </c>
      <c r="O354" s="462" t="s">
        <v>1413</v>
      </c>
      <c r="P354" s="471">
        <v>7.7194499999999999E-2</v>
      </c>
      <c r="Q354" s="471">
        <v>9.0195999999999992E-6</v>
      </c>
      <c r="R354" s="472" t="s">
        <v>2435</v>
      </c>
      <c r="S354" s="473" t="s">
        <v>1531</v>
      </c>
      <c r="T354" s="474" t="s">
        <v>1413</v>
      </c>
      <c r="U354" s="484">
        <v>22.79</v>
      </c>
      <c r="V354" s="484" t="s">
        <v>553</v>
      </c>
      <c r="W354" s="495">
        <v>-8.35</v>
      </c>
      <c r="X354" s="496" t="s">
        <v>1620</v>
      </c>
      <c r="Y354" s="486">
        <v>1000000</v>
      </c>
      <c r="Z354" s="487" t="s">
        <v>1620</v>
      </c>
      <c r="AA354" s="394">
        <v>2.6499999999999999E-8</v>
      </c>
      <c r="AB354" s="395" t="s">
        <v>553</v>
      </c>
      <c r="AC354" s="369"/>
    </row>
    <row r="355" spans="1:29" ht="20.100000000000001" customHeight="1">
      <c r="A355" s="390" t="s">
        <v>1176</v>
      </c>
      <c r="B355" s="391" t="s">
        <v>957</v>
      </c>
      <c r="C355" s="400">
        <f>COUNTIF('Chem Props'!$B$6:$B$851,'Parameters Summary'!A355)</f>
        <v>1</v>
      </c>
      <c r="D355" s="400">
        <f>COUNTIF('Tox Summary'!$N$3:$N$792, 'Parameters Summary'!A355)</f>
        <v>1</v>
      </c>
      <c r="E355" s="434">
        <v>375.73</v>
      </c>
      <c r="F355" s="435" t="s">
        <v>1620</v>
      </c>
      <c r="G355" s="436">
        <v>1.2999999999999999E-5</v>
      </c>
      <c r="H355" s="436">
        <v>3.1899999999999998E-7</v>
      </c>
      <c r="I355" s="437" t="s">
        <v>553</v>
      </c>
      <c r="J355" s="436">
        <v>6.0000000000000002E-6</v>
      </c>
      <c r="K355" s="437" t="s">
        <v>1620</v>
      </c>
      <c r="L355" s="453">
        <v>56</v>
      </c>
      <c r="M355" s="454" t="s">
        <v>1620</v>
      </c>
      <c r="N355" s="461" t="s">
        <v>1531</v>
      </c>
      <c r="O355" s="462" t="s">
        <v>1413</v>
      </c>
      <c r="P355" s="471">
        <v>3.6489599999999997E-2</v>
      </c>
      <c r="Q355" s="471">
        <v>4.2634999999999999E-6</v>
      </c>
      <c r="R355" s="472" t="s">
        <v>2435</v>
      </c>
      <c r="S355" s="473" t="s">
        <v>1531</v>
      </c>
      <c r="T355" s="474" t="s">
        <v>1413</v>
      </c>
      <c r="U355" s="484">
        <v>5454</v>
      </c>
      <c r="V355" s="484" t="s">
        <v>553</v>
      </c>
      <c r="W355" s="495">
        <v>4.07</v>
      </c>
      <c r="X355" s="496" t="s">
        <v>1620</v>
      </c>
      <c r="Y355" s="486">
        <v>9.3000000000000007</v>
      </c>
      <c r="Z355" s="487" t="s">
        <v>1620</v>
      </c>
      <c r="AA355" s="394">
        <v>6.0000000000000001E-3</v>
      </c>
      <c r="AB355" s="395" t="s">
        <v>553</v>
      </c>
      <c r="AC355" s="369"/>
    </row>
    <row r="356" spans="1:29" ht="20.100000000000001" customHeight="1" thickBot="1">
      <c r="A356" s="392" t="s">
        <v>382</v>
      </c>
      <c r="B356" s="393" t="s">
        <v>959</v>
      </c>
      <c r="C356" s="400">
        <f>COUNTIF('Chem Props'!$B$6:$B$851,'Parameters Summary'!A356)</f>
        <v>1</v>
      </c>
      <c r="D356" s="400">
        <f>COUNTIF('Tox Summary'!$N$3:$N$792, 'Parameters Summary'!A356)</f>
        <v>1</v>
      </c>
      <c r="E356" s="438">
        <v>373.32</v>
      </c>
      <c r="F356" s="439" t="s">
        <v>1620</v>
      </c>
      <c r="G356" s="440">
        <v>1.20196E-2</v>
      </c>
      <c r="H356" s="440">
        <v>2.9399999999999999E-4</v>
      </c>
      <c r="I356" s="441" t="s">
        <v>1620</v>
      </c>
      <c r="J356" s="440">
        <v>4.0000000000000002E-4</v>
      </c>
      <c r="K356" s="441" t="s">
        <v>1620</v>
      </c>
      <c r="L356" s="457">
        <v>95.5</v>
      </c>
      <c r="M356" s="458" t="s">
        <v>1620</v>
      </c>
      <c r="N356" s="459">
        <v>1.57</v>
      </c>
      <c r="O356" s="460" t="s">
        <v>1618</v>
      </c>
      <c r="P356" s="475">
        <v>2.2344099999999999E-2</v>
      </c>
      <c r="Q356" s="475">
        <v>5.6959E-6</v>
      </c>
      <c r="R356" s="476" t="s">
        <v>2435</v>
      </c>
      <c r="S356" s="477" t="s">
        <v>1531</v>
      </c>
      <c r="T356" s="478" t="s">
        <v>1413</v>
      </c>
      <c r="U356" s="481">
        <v>41260</v>
      </c>
      <c r="V356" s="481" t="s">
        <v>553</v>
      </c>
      <c r="W356" s="497">
        <v>6.1</v>
      </c>
      <c r="X356" s="498" t="s">
        <v>1620</v>
      </c>
      <c r="Y356" s="488">
        <v>0.18</v>
      </c>
      <c r="Z356" s="489" t="s">
        <v>1620</v>
      </c>
      <c r="AA356" s="396">
        <v>0.14299999999999999</v>
      </c>
      <c r="AB356" s="397" t="s">
        <v>553</v>
      </c>
      <c r="AC356" s="369"/>
    </row>
    <row r="357" spans="1:29" ht="20.100000000000001" customHeight="1">
      <c r="A357" s="390" t="s">
        <v>1177</v>
      </c>
      <c r="B357" s="391" t="s">
        <v>1</v>
      </c>
      <c r="C357" s="400">
        <f>COUNTIF('Chem Props'!$B$6:$B$851,'Parameters Summary'!A357)</f>
        <v>1</v>
      </c>
      <c r="D357" s="400">
        <f>COUNTIF('Tox Summary'!$N$3:$N$792, 'Parameters Summary'!A357)</f>
        <v>1</v>
      </c>
      <c r="E357" s="434">
        <v>389.32</v>
      </c>
      <c r="F357" s="435" t="s">
        <v>1620</v>
      </c>
      <c r="G357" s="436">
        <v>8.585E-4</v>
      </c>
      <c r="H357" s="436">
        <v>2.0999999999999999E-5</v>
      </c>
      <c r="I357" s="437" t="s">
        <v>1620</v>
      </c>
      <c r="J357" s="436">
        <v>1.95E-5</v>
      </c>
      <c r="K357" s="437" t="s">
        <v>1620</v>
      </c>
      <c r="L357" s="453">
        <v>160</v>
      </c>
      <c r="M357" s="454" t="s">
        <v>1620</v>
      </c>
      <c r="N357" s="455">
        <v>1.91</v>
      </c>
      <c r="O357" s="456" t="s">
        <v>2206</v>
      </c>
      <c r="P357" s="471">
        <v>2.40006E-2</v>
      </c>
      <c r="Q357" s="471">
        <v>6.2474999999999999E-6</v>
      </c>
      <c r="R357" s="472" t="s">
        <v>2435</v>
      </c>
      <c r="S357" s="473" t="s">
        <v>1531</v>
      </c>
      <c r="T357" s="474" t="s">
        <v>1413</v>
      </c>
      <c r="U357" s="484">
        <v>10110</v>
      </c>
      <c r="V357" s="484" t="s">
        <v>553</v>
      </c>
      <c r="W357" s="495">
        <v>4.9800000000000004</v>
      </c>
      <c r="X357" s="496" t="s">
        <v>1620</v>
      </c>
      <c r="Y357" s="486">
        <v>0.2</v>
      </c>
      <c r="Z357" s="487" t="s">
        <v>1620</v>
      </c>
      <c r="AA357" s="394">
        <v>2.0899999999999998E-2</v>
      </c>
      <c r="AB357" s="395" t="s">
        <v>553</v>
      </c>
      <c r="AC357" s="369"/>
    </row>
    <row r="358" spans="1:29" ht="20.100000000000001" customHeight="1">
      <c r="A358" s="390" t="s">
        <v>2502</v>
      </c>
      <c r="B358" s="391" t="s">
        <v>2503</v>
      </c>
      <c r="C358" s="400">
        <f>COUNTIF('Chem Props'!$B$6:$B$851,'Parameters Summary'!A358)</f>
        <v>1</v>
      </c>
      <c r="D358" s="400">
        <f>COUNTIF('Tox Summary'!$N$3:$N$792, 'Parameters Summary'!A358)</f>
        <v>1</v>
      </c>
      <c r="E358" s="434">
        <v>114.19</v>
      </c>
      <c r="F358" s="435" t="s">
        <v>1620</v>
      </c>
      <c r="G358" s="436">
        <v>1.10384E-2</v>
      </c>
      <c r="H358" s="436">
        <v>2.7E-4</v>
      </c>
      <c r="I358" s="437" t="s">
        <v>1620</v>
      </c>
      <c r="J358" s="436">
        <v>3.52</v>
      </c>
      <c r="K358" s="437" t="s">
        <v>1620</v>
      </c>
      <c r="L358" s="453">
        <v>-43.3</v>
      </c>
      <c r="M358" s="454" t="s">
        <v>1620</v>
      </c>
      <c r="N358" s="455">
        <v>0.81320000000000003</v>
      </c>
      <c r="O358" s="456" t="s">
        <v>1618</v>
      </c>
      <c r="P358" s="471">
        <v>6.1989299999999997E-2</v>
      </c>
      <c r="Q358" s="471">
        <v>7.8128999999999993E-6</v>
      </c>
      <c r="R358" s="472" t="s">
        <v>2435</v>
      </c>
      <c r="S358" s="473" t="s">
        <v>1531</v>
      </c>
      <c r="T358" s="474" t="s">
        <v>1413</v>
      </c>
      <c r="U358" s="484">
        <v>10.85</v>
      </c>
      <c r="V358" s="484" t="s">
        <v>553</v>
      </c>
      <c r="W358" s="495">
        <v>2.29</v>
      </c>
      <c r="X358" s="496" t="s">
        <v>1620</v>
      </c>
      <c r="Y358" s="486">
        <v>1250</v>
      </c>
      <c r="Z358" s="487" t="s">
        <v>1620</v>
      </c>
      <c r="AA358" s="394">
        <v>1.1900000000000001E-2</v>
      </c>
      <c r="AB358" s="395" t="s">
        <v>553</v>
      </c>
      <c r="AC358" s="369"/>
    </row>
    <row r="359" spans="1:29" ht="20.100000000000001" customHeight="1" thickBot="1">
      <c r="A359" s="392" t="s">
        <v>2449</v>
      </c>
      <c r="B359" s="393" t="s">
        <v>2450</v>
      </c>
      <c r="C359" s="400">
        <f>COUNTIF('Chem Props'!$B$6:$B$851,'Parameters Summary'!A359)</f>
        <v>1</v>
      </c>
      <c r="D359" s="400">
        <f>COUNTIF('Tox Summary'!$N$3:$N$792, 'Parameters Summary'!A359)</f>
        <v>1</v>
      </c>
      <c r="E359" s="438">
        <v>100.21</v>
      </c>
      <c r="F359" s="439" t="s">
        <v>1620</v>
      </c>
      <c r="G359" s="440">
        <v>81.766148999999999</v>
      </c>
      <c r="H359" s="440">
        <v>2</v>
      </c>
      <c r="I359" s="441" t="s">
        <v>553</v>
      </c>
      <c r="J359" s="440">
        <v>46</v>
      </c>
      <c r="K359" s="441" t="s">
        <v>1620</v>
      </c>
      <c r="L359" s="457">
        <v>-90.6</v>
      </c>
      <c r="M359" s="458" t="s">
        <v>1620</v>
      </c>
      <c r="N359" s="459">
        <v>0.67949999999999999</v>
      </c>
      <c r="O359" s="460" t="s">
        <v>1618</v>
      </c>
      <c r="P359" s="475">
        <v>6.4921199999999998E-2</v>
      </c>
      <c r="Q359" s="475">
        <v>7.5865000000000001E-6</v>
      </c>
      <c r="R359" s="476" t="s">
        <v>2435</v>
      </c>
      <c r="S359" s="477" t="s">
        <v>1531</v>
      </c>
      <c r="T359" s="478" t="s">
        <v>1413</v>
      </c>
      <c r="U359" s="481">
        <v>239.7</v>
      </c>
      <c r="V359" s="481" t="s">
        <v>553</v>
      </c>
      <c r="W359" s="497">
        <v>4.66</v>
      </c>
      <c r="X359" s="498" t="s">
        <v>1620</v>
      </c>
      <c r="Y359" s="488">
        <v>3.4</v>
      </c>
      <c r="Z359" s="489" t="s">
        <v>1620</v>
      </c>
      <c r="AA359" s="396">
        <v>0.53700000000000003</v>
      </c>
      <c r="AB359" s="397" t="s">
        <v>553</v>
      </c>
      <c r="AC359" s="369"/>
    </row>
    <row r="360" spans="1:29" ht="20.100000000000001" customHeight="1">
      <c r="A360" s="390" t="s">
        <v>1178</v>
      </c>
      <c r="B360" s="391" t="s">
        <v>2</v>
      </c>
      <c r="C360" s="400">
        <f>COUNTIF('Chem Props'!$B$6:$B$851,'Parameters Summary'!A360)</f>
        <v>1</v>
      </c>
      <c r="D360" s="400">
        <f>COUNTIF('Tox Summary'!$N$3:$N$792, 'Parameters Summary'!A360)</f>
        <v>1</v>
      </c>
      <c r="E360" s="434">
        <v>551.49</v>
      </c>
      <c r="F360" s="435" t="s">
        <v>1620</v>
      </c>
      <c r="G360" s="436">
        <v>1.1488E-3</v>
      </c>
      <c r="H360" s="436">
        <v>2.8099999999999999E-5</v>
      </c>
      <c r="I360" s="437" t="s">
        <v>1620</v>
      </c>
      <c r="J360" s="436">
        <v>1.63E-8</v>
      </c>
      <c r="K360" s="437" t="s">
        <v>1620</v>
      </c>
      <c r="L360" s="453">
        <v>326</v>
      </c>
      <c r="M360" s="454" t="s">
        <v>1620</v>
      </c>
      <c r="N360" s="455">
        <v>2.956</v>
      </c>
      <c r="O360" s="456" t="s">
        <v>2206</v>
      </c>
      <c r="P360" s="471">
        <v>2.4756799999999999E-2</v>
      </c>
      <c r="Q360" s="471">
        <v>6.5883000000000001E-6</v>
      </c>
      <c r="R360" s="472" t="s">
        <v>2435</v>
      </c>
      <c r="S360" s="473" t="s">
        <v>1531</v>
      </c>
      <c r="T360" s="474" t="s">
        <v>1413</v>
      </c>
      <c r="U360" s="484">
        <v>2807</v>
      </c>
      <c r="V360" s="484" t="s">
        <v>553</v>
      </c>
      <c r="W360" s="495">
        <v>6.07</v>
      </c>
      <c r="X360" s="496" t="s">
        <v>1620</v>
      </c>
      <c r="Y360" s="486">
        <v>1.6000000000000001E-4</v>
      </c>
      <c r="Z360" s="487" t="s">
        <v>1620</v>
      </c>
      <c r="AA360" s="394">
        <v>1.3599999999999999E-2</v>
      </c>
      <c r="AB360" s="395" t="s">
        <v>553</v>
      </c>
      <c r="AC360" s="369"/>
    </row>
    <row r="361" spans="1:29" ht="20.100000000000001" customHeight="1">
      <c r="A361" s="390" t="s">
        <v>535</v>
      </c>
      <c r="B361" s="391" t="s">
        <v>3</v>
      </c>
      <c r="C361" s="400">
        <f>COUNTIF('Chem Props'!$B$6:$B$851,'Parameters Summary'!A361)</f>
        <v>1</v>
      </c>
      <c r="D361" s="400">
        <f>COUNTIF('Tox Summary'!$N$3:$N$792, 'Parameters Summary'!A361)</f>
        <v>1</v>
      </c>
      <c r="E361" s="434">
        <v>643.58356000000003</v>
      </c>
      <c r="F361" s="435" t="s">
        <v>2199</v>
      </c>
      <c r="G361" s="444" t="s">
        <v>1531</v>
      </c>
      <c r="H361" s="444" t="s">
        <v>1531</v>
      </c>
      <c r="I361" s="445" t="s">
        <v>1413</v>
      </c>
      <c r="J361" s="436">
        <v>5.8000000000000004E-6</v>
      </c>
      <c r="K361" s="437" t="s">
        <v>2437</v>
      </c>
      <c r="L361" s="465" t="s">
        <v>1531</v>
      </c>
      <c r="M361" s="466" t="s">
        <v>1413</v>
      </c>
      <c r="N361" s="461" t="s">
        <v>1531</v>
      </c>
      <c r="O361" s="462" t="s">
        <v>1413</v>
      </c>
      <c r="P361" s="471">
        <v>2.5488899999999998E-2</v>
      </c>
      <c r="Q361" s="471">
        <v>2.9782000000000001E-6</v>
      </c>
      <c r="R361" s="472" t="s">
        <v>2435</v>
      </c>
      <c r="S361" s="473" t="s">
        <v>1531</v>
      </c>
      <c r="T361" s="474" t="s">
        <v>1413</v>
      </c>
      <c r="U361" s="473" t="s">
        <v>1531</v>
      </c>
      <c r="V361" s="474" t="s">
        <v>1413</v>
      </c>
      <c r="W361" s="501" t="s">
        <v>1531</v>
      </c>
      <c r="X361" s="502" t="s">
        <v>1413</v>
      </c>
      <c r="Y361" s="486">
        <v>8.9999999999999998E-4</v>
      </c>
      <c r="Z361" s="487" t="s">
        <v>2437</v>
      </c>
      <c r="AA361" s="398" t="s">
        <v>1531</v>
      </c>
      <c r="AB361" s="504" t="s">
        <v>1413</v>
      </c>
      <c r="AC361" s="369"/>
    </row>
    <row r="362" spans="1:29" ht="20.100000000000001" customHeight="1" thickBot="1">
      <c r="A362" s="392" t="s">
        <v>383</v>
      </c>
      <c r="B362" s="393" t="s">
        <v>4</v>
      </c>
      <c r="C362" s="400">
        <f>COUNTIF('Chem Props'!$B$6:$B$851,'Parameters Summary'!A362)</f>
        <v>1</v>
      </c>
      <c r="D362" s="400">
        <f>COUNTIF('Tox Summary'!$N$3:$N$792, 'Parameters Summary'!A362)</f>
        <v>1</v>
      </c>
      <c r="E362" s="438">
        <v>284.77999999999997</v>
      </c>
      <c r="F362" s="439" t="s">
        <v>1620</v>
      </c>
      <c r="G362" s="440">
        <v>6.9501199999999999E-2</v>
      </c>
      <c r="H362" s="440">
        <v>1.6999999999999999E-3</v>
      </c>
      <c r="I362" s="441" t="s">
        <v>1620</v>
      </c>
      <c r="J362" s="440">
        <v>1.8E-5</v>
      </c>
      <c r="K362" s="441" t="s">
        <v>1620</v>
      </c>
      <c r="L362" s="457">
        <v>231.8</v>
      </c>
      <c r="M362" s="458" t="s">
        <v>1620</v>
      </c>
      <c r="N362" s="459">
        <v>2.044</v>
      </c>
      <c r="O362" s="460" t="s">
        <v>1618</v>
      </c>
      <c r="P362" s="475">
        <v>2.89745E-2</v>
      </c>
      <c r="Q362" s="475">
        <v>7.8497000000000004E-6</v>
      </c>
      <c r="R362" s="476" t="s">
        <v>2435</v>
      </c>
      <c r="S362" s="477" t="s">
        <v>1531</v>
      </c>
      <c r="T362" s="478" t="s">
        <v>1413</v>
      </c>
      <c r="U362" s="481">
        <v>6195</v>
      </c>
      <c r="V362" s="481" t="s">
        <v>553</v>
      </c>
      <c r="W362" s="497">
        <v>5.73</v>
      </c>
      <c r="X362" s="498" t="s">
        <v>1620</v>
      </c>
      <c r="Y362" s="488">
        <v>6.1999999999999998E-3</v>
      </c>
      <c r="Z362" s="489" t="s">
        <v>1620</v>
      </c>
      <c r="AA362" s="396">
        <v>0.254</v>
      </c>
      <c r="AB362" s="397" t="s">
        <v>553</v>
      </c>
      <c r="AC362" s="369"/>
    </row>
    <row r="363" spans="1:29" ht="20.100000000000001" customHeight="1">
      <c r="A363" s="390" t="s">
        <v>1179</v>
      </c>
      <c r="B363" s="391" t="s">
        <v>5</v>
      </c>
      <c r="C363" s="400">
        <f>COUNTIF('Chem Props'!$B$6:$B$851,'Parameters Summary'!A363)</f>
        <v>1</v>
      </c>
      <c r="D363" s="400">
        <f>COUNTIF('Tox Summary'!$N$3:$N$792, 'Parameters Summary'!A363)</f>
        <v>1</v>
      </c>
      <c r="E363" s="434">
        <v>260.76</v>
      </c>
      <c r="F363" s="435" t="s">
        <v>1620</v>
      </c>
      <c r="G363" s="436">
        <v>0.42109570000000002</v>
      </c>
      <c r="H363" s="436">
        <v>1.03E-2</v>
      </c>
      <c r="I363" s="437" t="s">
        <v>1620</v>
      </c>
      <c r="J363" s="436">
        <v>0.22</v>
      </c>
      <c r="K363" s="437" t="s">
        <v>1620</v>
      </c>
      <c r="L363" s="453">
        <v>-21</v>
      </c>
      <c r="M363" s="454" t="s">
        <v>1620</v>
      </c>
      <c r="N363" s="455">
        <v>1.556</v>
      </c>
      <c r="O363" s="456" t="s">
        <v>1618</v>
      </c>
      <c r="P363" s="471">
        <v>2.6744500000000001E-2</v>
      </c>
      <c r="Q363" s="471">
        <v>7.0264000000000002E-6</v>
      </c>
      <c r="R363" s="472" t="s">
        <v>2435</v>
      </c>
      <c r="S363" s="473" t="s">
        <v>1531</v>
      </c>
      <c r="T363" s="474" t="s">
        <v>1413</v>
      </c>
      <c r="U363" s="484">
        <v>845.2</v>
      </c>
      <c r="V363" s="484" t="s">
        <v>553</v>
      </c>
      <c r="W363" s="495">
        <v>4.78</v>
      </c>
      <c r="X363" s="496" t="s">
        <v>1620</v>
      </c>
      <c r="Y363" s="486">
        <v>3.2</v>
      </c>
      <c r="Z363" s="487" t="s">
        <v>1620</v>
      </c>
      <c r="AA363" s="394">
        <v>8.1000000000000003E-2</v>
      </c>
      <c r="AB363" s="395" t="s">
        <v>553</v>
      </c>
      <c r="AC363" s="369"/>
    </row>
    <row r="364" spans="1:29" ht="20.100000000000001" customHeight="1">
      <c r="A364" s="390" t="s">
        <v>1180</v>
      </c>
      <c r="B364" s="391" t="s">
        <v>6</v>
      </c>
      <c r="C364" s="400">
        <f>COUNTIF('Chem Props'!$B$6:$B$851,'Parameters Summary'!A364)</f>
        <v>1</v>
      </c>
      <c r="D364" s="400">
        <f>COUNTIF('Tox Summary'!$N$3:$N$792, 'Parameters Summary'!A364)</f>
        <v>1</v>
      </c>
      <c r="E364" s="434">
        <v>290.83</v>
      </c>
      <c r="F364" s="435" t="s">
        <v>1620</v>
      </c>
      <c r="G364" s="436">
        <v>2.7389999999999999E-4</v>
      </c>
      <c r="H364" s="436">
        <v>6.7000000000000002E-6</v>
      </c>
      <c r="I364" s="437" t="s">
        <v>1620</v>
      </c>
      <c r="J364" s="436">
        <v>3.5200000000000002E-5</v>
      </c>
      <c r="K364" s="437" t="s">
        <v>553</v>
      </c>
      <c r="L364" s="453">
        <v>159.5</v>
      </c>
      <c r="M364" s="454" t="s">
        <v>1620</v>
      </c>
      <c r="N364" s="461" t="s">
        <v>1531</v>
      </c>
      <c r="O364" s="462" t="s">
        <v>1413</v>
      </c>
      <c r="P364" s="471">
        <v>4.3284000000000003E-2</v>
      </c>
      <c r="Q364" s="471">
        <v>5.0574000000000001E-6</v>
      </c>
      <c r="R364" s="472" t="s">
        <v>2435</v>
      </c>
      <c r="S364" s="473" t="s">
        <v>1531</v>
      </c>
      <c r="T364" s="474" t="s">
        <v>1413</v>
      </c>
      <c r="U364" s="484">
        <v>2807</v>
      </c>
      <c r="V364" s="484" t="s">
        <v>553</v>
      </c>
      <c r="W364" s="495">
        <v>3.8</v>
      </c>
      <c r="X364" s="496" t="s">
        <v>1620</v>
      </c>
      <c r="Y364" s="486">
        <v>2</v>
      </c>
      <c r="Z364" s="487" t="s">
        <v>1620</v>
      </c>
      <c r="AA364" s="394">
        <v>2.06E-2</v>
      </c>
      <c r="AB364" s="395" t="s">
        <v>553</v>
      </c>
      <c r="AC364" s="369"/>
    </row>
    <row r="365" spans="1:29" ht="20.100000000000001" customHeight="1" thickBot="1">
      <c r="A365" s="392" t="s">
        <v>1181</v>
      </c>
      <c r="B365" s="393" t="s">
        <v>7</v>
      </c>
      <c r="C365" s="400">
        <f>COUNTIF('Chem Props'!$B$6:$B$851,'Parameters Summary'!A365)</f>
        <v>1</v>
      </c>
      <c r="D365" s="400">
        <f>COUNTIF('Tox Summary'!$N$3:$N$792, 'Parameters Summary'!A365)</f>
        <v>1</v>
      </c>
      <c r="E365" s="438">
        <v>290.83</v>
      </c>
      <c r="F365" s="439" t="s">
        <v>1620</v>
      </c>
      <c r="G365" s="440">
        <v>1.8E-5</v>
      </c>
      <c r="H365" s="440">
        <v>4.4000000000000002E-7</v>
      </c>
      <c r="I365" s="441" t="s">
        <v>1620</v>
      </c>
      <c r="J365" s="440">
        <v>3.5999999999999999E-7</v>
      </c>
      <c r="K365" s="441" t="s">
        <v>1620</v>
      </c>
      <c r="L365" s="457">
        <v>314.5</v>
      </c>
      <c r="M365" s="458" t="s">
        <v>1620</v>
      </c>
      <c r="N365" s="459">
        <v>1.89</v>
      </c>
      <c r="O365" s="460" t="s">
        <v>1618</v>
      </c>
      <c r="P365" s="475">
        <v>2.7667199999999999E-2</v>
      </c>
      <c r="Q365" s="475">
        <v>7.3954999999999998E-6</v>
      </c>
      <c r="R365" s="476" t="s">
        <v>2435</v>
      </c>
      <c r="S365" s="477" t="s">
        <v>1531</v>
      </c>
      <c r="T365" s="478" t="s">
        <v>1413</v>
      </c>
      <c r="U365" s="481">
        <v>2807</v>
      </c>
      <c r="V365" s="481" t="s">
        <v>553</v>
      </c>
      <c r="W365" s="497">
        <v>3.78</v>
      </c>
      <c r="X365" s="498" t="s">
        <v>1620</v>
      </c>
      <c r="Y365" s="488">
        <v>0.24</v>
      </c>
      <c r="Z365" s="489" t="s">
        <v>1620</v>
      </c>
      <c r="AA365" s="396">
        <v>2.06E-2</v>
      </c>
      <c r="AB365" s="397" t="s">
        <v>553</v>
      </c>
      <c r="AC365" s="369"/>
    </row>
    <row r="366" spans="1:29" ht="20.100000000000001" customHeight="1">
      <c r="A366" s="390" t="s">
        <v>1182</v>
      </c>
      <c r="B366" s="391" t="s">
        <v>8</v>
      </c>
      <c r="C366" s="400">
        <f>COUNTIF('Chem Props'!$B$6:$B$851,'Parameters Summary'!A366)</f>
        <v>1</v>
      </c>
      <c r="D366" s="400">
        <f>COUNTIF('Tox Summary'!$N$3:$N$792, 'Parameters Summary'!A366)</f>
        <v>1</v>
      </c>
      <c r="E366" s="434">
        <v>290.83</v>
      </c>
      <c r="F366" s="435" t="s">
        <v>1620</v>
      </c>
      <c r="G366" s="436">
        <v>2.1010000000000001E-4</v>
      </c>
      <c r="H366" s="436">
        <v>5.1399999999999999E-6</v>
      </c>
      <c r="I366" s="437" t="s">
        <v>1620</v>
      </c>
      <c r="J366" s="436">
        <v>4.1999999999999998E-5</v>
      </c>
      <c r="K366" s="437" t="s">
        <v>1620</v>
      </c>
      <c r="L366" s="453">
        <v>112.5</v>
      </c>
      <c r="M366" s="454" t="s">
        <v>1620</v>
      </c>
      <c r="N366" s="461" t="s">
        <v>1531</v>
      </c>
      <c r="O366" s="462" t="s">
        <v>1413</v>
      </c>
      <c r="P366" s="471">
        <v>4.3284000000000003E-2</v>
      </c>
      <c r="Q366" s="471">
        <v>5.0574000000000001E-6</v>
      </c>
      <c r="R366" s="472" t="s">
        <v>2435</v>
      </c>
      <c r="S366" s="473" t="s">
        <v>1531</v>
      </c>
      <c r="T366" s="474" t="s">
        <v>1413</v>
      </c>
      <c r="U366" s="484">
        <v>2807</v>
      </c>
      <c r="V366" s="484" t="s">
        <v>553</v>
      </c>
      <c r="W366" s="495">
        <v>3.72</v>
      </c>
      <c r="X366" s="496" t="s">
        <v>1620</v>
      </c>
      <c r="Y366" s="486">
        <v>7.3</v>
      </c>
      <c r="Z366" s="487" t="s">
        <v>1620</v>
      </c>
      <c r="AA366" s="394">
        <v>2.06E-2</v>
      </c>
      <c r="AB366" s="395" t="s">
        <v>553</v>
      </c>
      <c r="AC366" s="369"/>
    </row>
    <row r="367" spans="1:29" ht="20.100000000000001" customHeight="1">
      <c r="A367" s="390" t="s">
        <v>1183</v>
      </c>
      <c r="B367" s="391" t="s">
        <v>9</v>
      </c>
      <c r="C367" s="400">
        <f>COUNTIF('Chem Props'!$B$6:$B$851,'Parameters Summary'!A367)</f>
        <v>1</v>
      </c>
      <c r="D367" s="400">
        <f>COUNTIF('Tox Summary'!$N$3:$N$792, 'Parameters Summary'!A367)</f>
        <v>1</v>
      </c>
      <c r="E367" s="434">
        <v>290.83</v>
      </c>
      <c r="F367" s="435" t="s">
        <v>1620</v>
      </c>
      <c r="G367" s="436">
        <v>2.1010000000000001E-4</v>
      </c>
      <c r="H367" s="436">
        <v>5.1399999999999999E-6</v>
      </c>
      <c r="I367" s="437" t="s">
        <v>553</v>
      </c>
      <c r="J367" s="436">
        <v>3.5200000000000002E-5</v>
      </c>
      <c r="K367" s="437" t="s">
        <v>553</v>
      </c>
      <c r="L367" s="453">
        <v>112.5</v>
      </c>
      <c r="M367" s="454" t="s">
        <v>553</v>
      </c>
      <c r="N367" s="461" t="s">
        <v>1531</v>
      </c>
      <c r="O367" s="462" t="s">
        <v>1413</v>
      </c>
      <c r="P367" s="471">
        <v>4.3284000000000003E-2</v>
      </c>
      <c r="Q367" s="471">
        <v>5.0574000000000001E-6</v>
      </c>
      <c r="R367" s="472" t="s">
        <v>2435</v>
      </c>
      <c r="S367" s="473" t="s">
        <v>1531</v>
      </c>
      <c r="T367" s="474" t="s">
        <v>1413</v>
      </c>
      <c r="U367" s="484">
        <v>2807</v>
      </c>
      <c r="V367" s="484" t="s">
        <v>553</v>
      </c>
      <c r="W367" s="495">
        <v>4.1399999999999997</v>
      </c>
      <c r="X367" s="496" t="s">
        <v>553</v>
      </c>
      <c r="Y367" s="486">
        <v>8</v>
      </c>
      <c r="Z367" s="487" t="s">
        <v>1620</v>
      </c>
      <c r="AA367" s="394">
        <v>2.06E-2</v>
      </c>
      <c r="AB367" s="395" t="s">
        <v>553</v>
      </c>
      <c r="AC367" s="369"/>
    </row>
    <row r="368" spans="1:29" ht="20.100000000000001" customHeight="1" thickBot="1">
      <c r="A368" s="392" t="s">
        <v>384</v>
      </c>
      <c r="B368" s="393" t="s">
        <v>10</v>
      </c>
      <c r="C368" s="400">
        <f>COUNTIF('Chem Props'!$B$6:$B$851,'Parameters Summary'!A368)</f>
        <v>1</v>
      </c>
      <c r="D368" s="400">
        <f>COUNTIF('Tox Summary'!$N$3:$N$792, 'Parameters Summary'!A368)</f>
        <v>1</v>
      </c>
      <c r="E368" s="438">
        <v>272.77</v>
      </c>
      <c r="F368" s="439" t="s">
        <v>1620</v>
      </c>
      <c r="G368" s="440">
        <v>1.1038429999999999</v>
      </c>
      <c r="H368" s="440">
        <v>2.7E-2</v>
      </c>
      <c r="I368" s="441" t="s">
        <v>1620</v>
      </c>
      <c r="J368" s="440">
        <v>0.06</v>
      </c>
      <c r="K368" s="441" t="s">
        <v>1620</v>
      </c>
      <c r="L368" s="457">
        <v>-9</v>
      </c>
      <c r="M368" s="458" t="s">
        <v>1620</v>
      </c>
      <c r="N368" s="459">
        <v>1.7019</v>
      </c>
      <c r="O368" s="460" t="s">
        <v>1618</v>
      </c>
      <c r="P368" s="475">
        <v>2.7238200000000001E-2</v>
      </c>
      <c r="Q368" s="475">
        <v>7.2169999999999997E-6</v>
      </c>
      <c r="R368" s="476" t="s">
        <v>2435</v>
      </c>
      <c r="S368" s="477" t="s">
        <v>1531</v>
      </c>
      <c r="T368" s="478" t="s">
        <v>1413</v>
      </c>
      <c r="U368" s="481">
        <v>1404</v>
      </c>
      <c r="V368" s="481" t="s">
        <v>553</v>
      </c>
      <c r="W368" s="497">
        <v>5.04</v>
      </c>
      <c r="X368" s="498" t="s">
        <v>1620</v>
      </c>
      <c r="Y368" s="488">
        <v>1.8</v>
      </c>
      <c r="Z368" s="489" t="s">
        <v>1620</v>
      </c>
      <c r="AA368" s="396">
        <v>0.10299999999999999</v>
      </c>
      <c r="AB368" s="397" t="s">
        <v>553</v>
      </c>
      <c r="AC368" s="369"/>
    </row>
    <row r="369" spans="1:29" ht="20.100000000000001" customHeight="1">
      <c r="A369" s="390" t="s">
        <v>385</v>
      </c>
      <c r="B369" s="391" t="s">
        <v>11</v>
      </c>
      <c r="C369" s="400">
        <f>COUNTIF('Chem Props'!$B$6:$B$851,'Parameters Summary'!A369)</f>
        <v>1</v>
      </c>
      <c r="D369" s="400">
        <f>COUNTIF('Tox Summary'!$N$3:$N$792, 'Parameters Summary'!A369)</f>
        <v>1</v>
      </c>
      <c r="E369" s="434">
        <v>236.74</v>
      </c>
      <c r="F369" s="435" t="s">
        <v>1620</v>
      </c>
      <c r="G369" s="436">
        <v>0.15903519999999999</v>
      </c>
      <c r="H369" s="436">
        <v>3.8899999999999998E-3</v>
      </c>
      <c r="I369" s="437" t="s">
        <v>1620</v>
      </c>
      <c r="J369" s="436">
        <v>0.21</v>
      </c>
      <c r="K369" s="437" t="s">
        <v>1620</v>
      </c>
      <c r="L369" s="453">
        <v>187</v>
      </c>
      <c r="M369" s="454" t="s">
        <v>1620</v>
      </c>
      <c r="N369" s="455">
        <v>2.0910000000000002</v>
      </c>
      <c r="O369" s="456" t="s">
        <v>1618</v>
      </c>
      <c r="P369" s="471">
        <v>3.2093799999999999E-2</v>
      </c>
      <c r="Q369" s="471">
        <v>8.8904000000000005E-6</v>
      </c>
      <c r="R369" s="472" t="s">
        <v>2435</v>
      </c>
      <c r="S369" s="473" t="s">
        <v>1531</v>
      </c>
      <c r="T369" s="474" t="s">
        <v>1413</v>
      </c>
      <c r="U369" s="484">
        <v>196.8</v>
      </c>
      <c r="V369" s="484" t="s">
        <v>553</v>
      </c>
      <c r="W369" s="495">
        <v>4.1399999999999997</v>
      </c>
      <c r="X369" s="496" t="s">
        <v>1620</v>
      </c>
      <c r="Y369" s="486">
        <v>50</v>
      </c>
      <c r="Z369" s="487" t="s">
        <v>1620</v>
      </c>
      <c r="AA369" s="394">
        <v>4.1500000000000002E-2</v>
      </c>
      <c r="AB369" s="395" t="s">
        <v>553</v>
      </c>
      <c r="AC369" s="369"/>
    </row>
    <row r="370" spans="1:29" ht="20.100000000000001" customHeight="1">
      <c r="A370" s="390" t="s">
        <v>1184</v>
      </c>
      <c r="B370" s="391" t="s">
        <v>12</v>
      </c>
      <c r="C370" s="400">
        <f>COUNTIF('Chem Props'!$B$6:$B$851,'Parameters Summary'!A370)</f>
        <v>1</v>
      </c>
      <c r="D370" s="400">
        <f>COUNTIF('Tox Summary'!$N$3:$N$792, 'Parameters Summary'!A370)</f>
        <v>1</v>
      </c>
      <c r="E370" s="434">
        <v>406.91</v>
      </c>
      <c r="F370" s="435" t="s">
        <v>1620</v>
      </c>
      <c r="G370" s="436">
        <v>2.2400000000000001E-11</v>
      </c>
      <c r="H370" s="436">
        <v>5.4799999999999999E-13</v>
      </c>
      <c r="I370" s="437" t="s">
        <v>1620</v>
      </c>
      <c r="J370" s="436">
        <v>1.0300000000000001E-10</v>
      </c>
      <c r="K370" s="437" t="s">
        <v>1620</v>
      </c>
      <c r="L370" s="453">
        <v>166.5</v>
      </c>
      <c r="M370" s="454" t="s">
        <v>1620</v>
      </c>
      <c r="N370" s="461" t="s">
        <v>1531</v>
      </c>
      <c r="O370" s="462" t="s">
        <v>1413</v>
      </c>
      <c r="P370" s="471">
        <v>3.4601E-2</v>
      </c>
      <c r="Q370" s="471">
        <v>4.0427999999999996E-6</v>
      </c>
      <c r="R370" s="472" t="s">
        <v>2435</v>
      </c>
      <c r="S370" s="473" t="s">
        <v>1531</v>
      </c>
      <c r="T370" s="474" t="s">
        <v>1413</v>
      </c>
      <c r="U370" s="484">
        <v>668600</v>
      </c>
      <c r="V370" s="484" t="s">
        <v>553</v>
      </c>
      <c r="W370" s="495">
        <v>7.54</v>
      </c>
      <c r="X370" s="496" t="s">
        <v>1620</v>
      </c>
      <c r="Y370" s="486">
        <v>140</v>
      </c>
      <c r="Z370" s="487" t="s">
        <v>1620</v>
      </c>
      <c r="AA370" s="394">
        <v>0.83599999999999997</v>
      </c>
      <c r="AB370" s="395" t="s">
        <v>553</v>
      </c>
      <c r="AC370" s="369"/>
    </row>
    <row r="371" spans="1:29" ht="20.100000000000001" customHeight="1" thickBot="1">
      <c r="A371" s="392" t="s">
        <v>1185</v>
      </c>
      <c r="B371" s="393" t="s">
        <v>13</v>
      </c>
      <c r="C371" s="400">
        <f>COUNTIF('Chem Props'!$B$6:$B$851,'Parameters Summary'!A371)</f>
        <v>1</v>
      </c>
      <c r="D371" s="400">
        <f>COUNTIF('Tox Summary'!$N$3:$N$792, 'Parameters Summary'!A371)</f>
        <v>1</v>
      </c>
      <c r="E371" s="438">
        <v>222.12</v>
      </c>
      <c r="F371" s="439" t="s">
        <v>1620</v>
      </c>
      <c r="G371" s="440">
        <v>8.2169999999999996E-10</v>
      </c>
      <c r="H371" s="440">
        <v>2.01E-11</v>
      </c>
      <c r="I371" s="441" t="s">
        <v>553</v>
      </c>
      <c r="J371" s="440">
        <v>4.1000000000000003E-9</v>
      </c>
      <c r="K371" s="441" t="s">
        <v>553</v>
      </c>
      <c r="L371" s="457">
        <v>205.5</v>
      </c>
      <c r="M371" s="458" t="s">
        <v>1620</v>
      </c>
      <c r="N371" s="459">
        <v>1.82</v>
      </c>
      <c r="O371" s="460" t="s">
        <v>1618</v>
      </c>
      <c r="P371" s="475">
        <v>3.1154100000000001E-2</v>
      </c>
      <c r="Q371" s="475">
        <v>8.4988999999999992E-6</v>
      </c>
      <c r="R371" s="476" t="s">
        <v>2435</v>
      </c>
      <c r="S371" s="477" t="s">
        <v>1531</v>
      </c>
      <c r="T371" s="478" t="s">
        <v>1413</v>
      </c>
      <c r="U371" s="481">
        <v>89.07</v>
      </c>
      <c r="V371" s="481" t="s">
        <v>553</v>
      </c>
      <c r="W371" s="497">
        <v>0.87</v>
      </c>
      <c r="X371" s="498" t="s">
        <v>1620</v>
      </c>
      <c r="Y371" s="488">
        <v>59.7</v>
      </c>
      <c r="Z371" s="489" t="s">
        <v>1620</v>
      </c>
      <c r="AA371" s="396">
        <v>3.3599999999999998E-4</v>
      </c>
      <c r="AB371" s="397" t="s">
        <v>553</v>
      </c>
      <c r="AC371" s="369"/>
    </row>
    <row r="372" spans="1:29" ht="20.100000000000001" customHeight="1">
      <c r="A372" s="390" t="s">
        <v>1186</v>
      </c>
      <c r="B372" s="391" t="s">
        <v>14</v>
      </c>
      <c r="C372" s="400">
        <f>COUNTIF('Chem Props'!$B$6:$B$851,'Parameters Summary'!A372)</f>
        <v>1</v>
      </c>
      <c r="D372" s="400">
        <f>COUNTIF('Tox Summary'!$N$3:$N$792, 'Parameters Summary'!A372)</f>
        <v>1</v>
      </c>
      <c r="E372" s="434">
        <v>168.2</v>
      </c>
      <c r="F372" s="435" t="s">
        <v>1620</v>
      </c>
      <c r="G372" s="436">
        <v>1.9624E-3</v>
      </c>
      <c r="H372" s="436">
        <v>4.8000000000000001E-5</v>
      </c>
      <c r="I372" s="437" t="s">
        <v>1620</v>
      </c>
      <c r="J372" s="436">
        <v>0.03</v>
      </c>
      <c r="K372" s="437" t="s">
        <v>1620</v>
      </c>
      <c r="L372" s="453">
        <v>-67</v>
      </c>
      <c r="M372" s="454" t="s">
        <v>1620</v>
      </c>
      <c r="N372" s="455">
        <v>1.0528</v>
      </c>
      <c r="O372" s="456" t="s">
        <v>1618</v>
      </c>
      <c r="P372" s="471">
        <v>4.0425500000000003E-2</v>
      </c>
      <c r="Q372" s="471">
        <v>7.2308000000000003E-6</v>
      </c>
      <c r="R372" s="472" t="s">
        <v>2435</v>
      </c>
      <c r="S372" s="473" t="s">
        <v>1531</v>
      </c>
      <c r="T372" s="474" t="s">
        <v>1413</v>
      </c>
      <c r="U372" s="484">
        <v>4818</v>
      </c>
      <c r="V372" s="484" t="s">
        <v>553</v>
      </c>
      <c r="W372" s="495">
        <v>3.2</v>
      </c>
      <c r="X372" s="496" t="s">
        <v>1620</v>
      </c>
      <c r="Y372" s="486">
        <v>117</v>
      </c>
      <c r="Z372" s="487" t="s">
        <v>1620</v>
      </c>
      <c r="AA372" s="394">
        <v>2.3699999999999999E-2</v>
      </c>
      <c r="AB372" s="395" t="s">
        <v>553</v>
      </c>
      <c r="AC372" s="369"/>
    </row>
    <row r="373" spans="1:29" ht="20.100000000000001" customHeight="1">
      <c r="A373" s="390" t="s">
        <v>1832</v>
      </c>
      <c r="B373" s="391" t="s">
        <v>1833</v>
      </c>
      <c r="C373" s="400">
        <f>COUNTIF('Chem Props'!$B$6:$B$851,'Parameters Summary'!A373)</f>
        <v>1</v>
      </c>
      <c r="D373" s="400">
        <f>COUNTIF('Tox Summary'!$N$3:$N$792, 'Parameters Summary'!A373)</f>
        <v>1</v>
      </c>
      <c r="E373" s="434">
        <v>179.2</v>
      </c>
      <c r="F373" s="435" t="s">
        <v>1620</v>
      </c>
      <c r="G373" s="436">
        <v>8.1765999999999998E-7</v>
      </c>
      <c r="H373" s="436">
        <v>2E-8</v>
      </c>
      <c r="I373" s="437" t="s">
        <v>1620</v>
      </c>
      <c r="J373" s="436">
        <v>4.5999999999999999E-2</v>
      </c>
      <c r="K373" s="437" t="s">
        <v>1620</v>
      </c>
      <c r="L373" s="453">
        <v>7.2</v>
      </c>
      <c r="M373" s="454" t="s">
        <v>1620</v>
      </c>
      <c r="N373" s="455">
        <v>1.03</v>
      </c>
      <c r="O373" s="456" t="s">
        <v>1618</v>
      </c>
      <c r="P373" s="471">
        <v>3.4836800000000001E-2</v>
      </c>
      <c r="Q373" s="471">
        <v>6.8701999999999999E-6</v>
      </c>
      <c r="R373" s="472" t="s">
        <v>2435</v>
      </c>
      <c r="S373" s="473" t="s">
        <v>1531</v>
      </c>
      <c r="T373" s="474" t="s">
        <v>1413</v>
      </c>
      <c r="U373" s="484">
        <v>10</v>
      </c>
      <c r="V373" s="484" t="s">
        <v>553</v>
      </c>
      <c r="W373" s="495">
        <v>0.28000000000000003</v>
      </c>
      <c r="X373" s="496" t="s">
        <v>1620</v>
      </c>
      <c r="Y373" s="486">
        <v>1000000</v>
      </c>
      <c r="Z373" s="487" t="s">
        <v>1620</v>
      </c>
      <c r="AA373" s="394">
        <v>2.3699999999999999E-4</v>
      </c>
      <c r="AB373" s="395" t="s">
        <v>553</v>
      </c>
      <c r="AC373" s="369"/>
    </row>
    <row r="374" spans="1:29" ht="20.100000000000001" customHeight="1" thickBot="1">
      <c r="A374" s="392" t="s">
        <v>1187</v>
      </c>
      <c r="B374" s="393" t="s">
        <v>15</v>
      </c>
      <c r="C374" s="400">
        <f>COUNTIF('Chem Props'!$B$6:$B$851,'Parameters Summary'!A374)</f>
        <v>1</v>
      </c>
      <c r="D374" s="400">
        <f>COUNTIF('Tox Summary'!$N$3:$N$792, 'Parameters Summary'!A374)</f>
        <v>1</v>
      </c>
      <c r="E374" s="438">
        <v>86.177999999999997</v>
      </c>
      <c r="F374" s="439" t="s">
        <v>1620</v>
      </c>
      <c r="G374" s="440">
        <v>73.589534</v>
      </c>
      <c r="H374" s="440">
        <v>1.8</v>
      </c>
      <c r="I374" s="441" t="s">
        <v>553</v>
      </c>
      <c r="J374" s="440">
        <v>151.30000000000001</v>
      </c>
      <c r="K374" s="441" t="s">
        <v>1620</v>
      </c>
      <c r="L374" s="457">
        <v>-95.3</v>
      </c>
      <c r="M374" s="458" t="s">
        <v>1620</v>
      </c>
      <c r="N374" s="459">
        <v>0.66059999999999997</v>
      </c>
      <c r="O374" s="460" t="s">
        <v>1618</v>
      </c>
      <c r="P374" s="475">
        <v>7.3107800000000001E-2</v>
      </c>
      <c r="Q374" s="475">
        <v>8.1658000000000007E-6</v>
      </c>
      <c r="R374" s="476" t="s">
        <v>2435</v>
      </c>
      <c r="S374" s="477" t="s">
        <v>1531</v>
      </c>
      <c r="T374" s="478" t="s">
        <v>1413</v>
      </c>
      <c r="U374" s="481">
        <v>131.5</v>
      </c>
      <c r="V374" s="481" t="s">
        <v>553</v>
      </c>
      <c r="W374" s="497">
        <v>3.9</v>
      </c>
      <c r="X374" s="498" t="s">
        <v>1620</v>
      </c>
      <c r="Y374" s="488">
        <v>9.5</v>
      </c>
      <c r="Z374" s="489" t="s">
        <v>1620</v>
      </c>
      <c r="AA374" s="396">
        <v>0.20100000000000001</v>
      </c>
      <c r="AB374" s="397" t="s">
        <v>553</v>
      </c>
      <c r="AC374" s="369"/>
    </row>
    <row r="375" spans="1:29" ht="20.100000000000001" customHeight="1">
      <c r="A375" s="390" t="s">
        <v>1188</v>
      </c>
      <c r="B375" s="391" t="s">
        <v>16</v>
      </c>
      <c r="C375" s="400">
        <f>COUNTIF('Chem Props'!$B$6:$B$851,'Parameters Summary'!A375)</f>
        <v>1</v>
      </c>
      <c r="D375" s="400">
        <f>COUNTIF('Tox Summary'!$N$3:$N$792, 'Parameters Summary'!A375)</f>
        <v>1</v>
      </c>
      <c r="E375" s="434">
        <v>146.13999999999999</v>
      </c>
      <c r="F375" s="435" t="s">
        <v>1620</v>
      </c>
      <c r="G375" s="436">
        <v>1.9260000000000001E-10</v>
      </c>
      <c r="H375" s="436">
        <v>4.7099999999999999E-12</v>
      </c>
      <c r="I375" s="437" t="s">
        <v>553</v>
      </c>
      <c r="J375" s="436">
        <v>3.1800000000000002E-7</v>
      </c>
      <c r="K375" s="437" t="s">
        <v>553</v>
      </c>
      <c r="L375" s="453">
        <v>153.19999999999999</v>
      </c>
      <c r="M375" s="454" t="s">
        <v>1620</v>
      </c>
      <c r="N375" s="455">
        <v>1.36</v>
      </c>
      <c r="O375" s="456" t="s">
        <v>1618</v>
      </c>
      <c r="P375" s="471">
        <v>5.7681900000000001E-2</v>
      </c>
      <c r="Q375" s="471">
        <v>9.1734999999999995E-6</v>
      </c>
      <c r="R375" s="472" t="s">
        <v>2435</v>
      </c>
      <c r="S375" s="473" t="s">
        <v>1531</v>
      </c>
      <c r="T375" s="474" t="s">
        <v>1413</v>
      </c>
      <c r="U375" s="484">
        <v>24.34</v>
      </c>
      <c r="V375" s="484" t="s">
        <v>553</v>
      </c>
      <c r="W375" s="495">
        <v>0.08</v>
      </c>
      <c r="X375" s="496" t="s">
        <v>1620</v>
      </c>
      <c r="Y375" s="486">
        <v>30800</v>
      </c>
      <c r="Z375" s="487" t="s">
        <v>1620</v>
      </c>
      <c r="AA375" s="394">
        <v>2.6800000000000001E-4</v>
      </c>
      <c r="AB375" s="395" t="s">
        <v>553</v>
      </c>
      <c r="AC375" s="369"/>
    </row>
    <row r="376" spans="1:29" ht="20.100000000000001" customHeight="1">
      <c r="A376" s="390" t="s">
        <v>588</v>
      </c>
      <c r="B376" s="391" t="s">
        <v>17</v>
      </c>
      <c r="C376" s="400">
        <f>COUNTIF('Chem Props'!$B$6:$B$851,'Parameters Summary'!A376)</f>
        <v>1</v>
      </c>
      <c r="D376" s="400">
        <f>COUNTIF('Tox Summary'!$N$3:$N$792, 'Parameters Summary'!A376)</f>
        <v>1</v>
      </c>
      <c r="E376" s="434">
        <v>100.16</v>
      </c>
      <c r="F376" s="435" t="s">
        <v>1620</v>
      </c>
      <c r="G376" s="436">
        <v>3.8103E-3</v>
      </c>
      <c r="H376" s="436">
        <v>9.3200000000000002E-5</v>
      </c>
      <c r="I376" s="437" t="s">
        <v>553</v>
      </c>
      <c r="J376" s="436">
        <v>11.6</v>
      </c>
      <c r="K376" s="437" t="s">
        <v>1620</v>
      </c>
      <c r="L376" s="453">
        <v>-55.5</v>
      </c>
      <c r="M376" s="454" t="s">
        <v>1620</v>
      </c>
      <c r="N376" s="455">
        <v>0.81130000000000002</v>
      </c>
      <c r="O376" s="456" t="s">
        <v>1618</v>
      </c>
      <c r="P376" s="471">
        <v>7.0356399999999999E-2</v>
      </c>
      <c r="Q376" s="471">
        <v>8.4403999999999997E-6</v>
      </c>
      <c r="R376" s="472" t="s">
        <v>2435</v>
      </c>
      <c r="S376" s="473" t="s">
        <v>1531</v>
      </c>
      <c r="T376" s="474" t="s">
        <v>1413</v>
      </c>
      <c r="U376" s="484">
        <v>14.98</v>
      </c>
      <c r="V376" s="484" t="s">
        <v>553</v>
      </c>
      <c r="W376" s="495">
        <v>1.38</v>
      </c>
      <c r="X376" s="496" t="s">
        <v>1620</v>
      </c>
      <c r="Y376" s="486">
        <v>17200</v>
      </c>
      <c r="Z376" s="487" t="s">
        <v>1620</v>
      </c>
      <c r="AA376" s="394">
        <v>3.5500000000000002E-3</v>
      </c>
      <c r="AB376" s="395" t="s">
        <v>553</v>
      </c>
      <c r="AC376" s="369"/>
    </row>
    <row r="377" spans="1:29" ht="20.100000000000001" customHeight="1" thickBot="1">
      <c r="A377" s="392" t="s">
        <v>1189</v>
      </c>
      <c r="B377" s="393" t="s">
        <v>18</v>
      </c>
      <c r="C377" s="400">
        <f>COUNTIF('Chem Props'!$B$6:$B$851,'Parameters Summary'!A377)</f>
        <v>1</v>
      </c>
      <c r="D377" s="400">
        <f>COUNTIF('Tox Summary'!$N$3:$N$792, 'Parameters Summary'!A377)</f>
        <v>1</v>
      </c>
      <c r="E377" s="438">
        <v>252.32</v>
      </c>
      <c r="F377" s="439" t="s">
        <v>1620</v>
      </c>
      <c r="G377" s="440">
        <v>9.2399999999999999E-11</v>
      </c>
      <c r="H377" s="440">
        <v>2.2600000000000001E-12</v>
      </c>
      <c r="I377" s="441" t="s">
        <v>553</v>
      </c>
      <c r="J377" s="440">
        <v>2.2499999999999999E-7</v>
      </c>
      <c r="K377" s="441" t="s">
        <v>553</v>
      </c>
      <c r="L377" s="457">
        <v>116</v>
      </c>
      <c r="M377" s="458" t="s">
        <v>1620</v>
      </c>
      <c r="N377" s="459">
        <v>1.25</v>
      </c>
      <c r="O377" s="460" t="s">
        <v>1618</v>
      </c>
      <c r="P377" s="475">
        <v>2.4566299999999999E-2</v>
      </c>
      <c r="Q377" s="475">
        <v>6.2841999999999999E-6</v>
      </c>
      <c r="R377" s="476" t="s">
        <v>2435</v>
      </c>
      <c r="S377" s="477" t="s">
        <v>1531</v>
      </c>
      <c r="T377" s="478" t="s">
        <v>1413</v>
      </c>
      <c r="U377" s="481">
        <v>129.4</v>
      </c>
      <c r="V377" s="481" t="s">
        <v>553</v>
      </c>
      <c r="W377" s="497">
        <v>1.85</v>
      </c>
      <c r="X377" s="498" t="s">
        <v>1620</v>
      </c>
      <c r="Y377" s="488">
        <v>33000</v>
      </c>
      <c r="Z377" s="489" t="s">
        <v>1620</v>
      </c>
      <c r="AA377" s="396">
        <v>1.0200000000000001E-3</v>
      </c>
      <c r="AB377" s="397" t="s">
        <v>553</v>
      </c>
      <c r="AC377" s="369"/>
    </row>
    <row r="378" spans="1:29" ht="20.100000000000001" customHeight="1">
      <c r="A378" s="390" t="s">
        <v>2311</v>
      </c>
      <c r="B378" s="391" t="s">
        <v>248</v>
      </c>
      <c r="C378" s="400">
        <f>COUNTIF('Chem Props'!$B$6:$B$851,'Parameters Summary'!A378)</f>
        <v>1</v>
      </c>
      <c r="D378" s="400">
        <f>COUNTIF('Tox Summary'!$N$3:$N$792, 'Parameters Summary'!A378)</f>
        <v>1</v>
      </c>
      <c r="E378" s="434">
        <v>352.89</v>
      </c>
      <c r="F378" s="435" t="s">
        <v>1620</v>
      </c>
      <c r="G378" s="436">
        <v>9.6892999999999993E-7</v>
      </c>
      <c r="H378" s="436">
        <v>2.37E-8</v>
      </c>
      <c r="I378" s="437" t="s">
        <v>553</v>
      </c>
      <c r="J378" s="436">
        <v>2.55E-8</v>
      </c>
      <c r="K378" s="437" t="s">
        <v>1620</v>
      </c>
      <c r="L378" s="453">
        <v>108.25</v>
      </c>
      <c r="M378" s="454" t="s">
        <v>1620</v>
      </c>
      <c r="N378" s="461" t="s">
        <v>1531</v>
      </c>
      <c r="O378" s="462" t="s">
        <v>1413</v>
      </c>
      <c r="P378" s="471">
        <v>3.8047600000000001E-2</v>
      </c>
      <c r="Q378" s="471">
        <v>4.4456000000000003E-6</v>
      </c>
      <c r="R378" s="472" t="s">
        <v>2435</v>
      </c>
      <c r="S378" s="473" t="s">
        <v>1531</v>
      </c>
      <c r="T378" s="474" t="s">
        <v>1413</v>
      </c>
      <c r="U378" s="484">
        <v>2120</v>
      </c>
      <c r="V378" s="484" t="s">
        <v>553</v>
      </c>
      <c r="W378" s="495">
        <v>5.57</v>
      </c>
      <c r="X378" s="496" t="s">
        <v>1620</v>
      </c>
      <c r="Y378" s="486">
        <v>0.5</v>
      </c>
      <c r="Z378" s="487" t="s">
        <v>1620</v>
      </c>
      <c r="AA378" s="394">
        <v>8.2799999999999999E-2</v>
      </c>
      <c r="AB378" s="395" t="s">
        <v>553</v>
      </c>
      <c r="AC378" s="369"/>
    </row>
    <row r="379" spans="1:29" ht="20.100000000000001" customHeight="1">
      <c r="A379" s="390" t="s">
        <v>2312</v>
      </c>
      <c r="B379" s="391" t="s">
        <v>654</v>
      </c>
      <c r="C379" s="400">
        <f>COUNTIF('Chem Props'!$B$6:$B$851,'Parameters Summary'!A379)</f>
        <v>1</v>
      </c>
      <c r="D379" s="400">
        <f>COUNTIF('Tox Summary'!$N$3:$N$792, 'Parameters Summary'!A379)</f>
        <v>1</v>
      </c>
      <c r="E379" s="434">
        <v>494.49</v>
      </c>
      <c r="F379" s="435" t="s">
        <v>1620</v>
      </c>
      <c r="G379" s="436">
        <v>8.9900000000000003E-5</v>
      </c>
      <c r="H379" s="436">
        <v>2.2000000000000001E-6</v>
      </c>
      <c r="I379" s="437" t="s">
        <v>553</v>
      </c>
      <c r="J379" s="436">
        <v>2.03E-8</v>
      </c>
      <c r="K379" s="437" t="s">
        <v>1620</v>
      </c>
      <c r="L379" s="453">
        <v>190</v>
      </c>
      <c r="M379" s="454" t="s">
        <v>1620</v>
      </c>
      <c r="N379" s="461" t="s">
        <v>1531</v>
      </c>
      <c r="O379" s="462" t="s">
        <v>1413</v>
      </c>
      <c r="P379" s="471">
        <v>3.03843E-2</v>
      </c>
      <c r="Q379" s="471">
        <v>3.5501999999999999E-6</v>
      </c>
      <c r="R379" s="472" t="s">
        <v>2435</v>
      </c>
      <c r="S379" s="473" t="s">
        <v>1531</v>
      </c>
      <c r="T379" s="474" t="s">
        <v>1413</v>
      </c>
      <c r="U379" s="484">
        <v>179700000</v>
      </c>
      <c r="V379" s="484" t="s">
        <v>553</v>
      </c>
      <c r="W379" s="495">
        <v>2.31</v>
      </c>
      <c r="X379" s="496" t="s">
        <v>1620</v>
      </c>
      <c r="Y379" s="486">
        <v>6.0000000000000001E-3</v>
      </c>
      <c r="Z379" s="487" t="s">
        <v>1620</v>
      </c>
      <c r="AA379" s="394">
        <v>9.0199999999999997E-5</v>
      </c>
      <c r="AB379" s="395" t="s">
        <v>553</v>
      </c>
      <c r="AC379" s="369"/>
    </row>
    <row r="380" spans="1:29" ht="20.100000000000001" customHeight="1" thickBot="1">
      <c r="A380" s="392" t="s">
        <v>1407</v>
      </c>
      <c r="B380" s="393" t="s">
        <v>19</v>
      </c>
      <c r="C380" s="400">
        <f>COUNTIF('Chem Props'!$B$6:$B$851,'Parameters Summary'!A380)</f>
        <v>1</v>
      </c>
      <c r="D380" s="400">
        <f>COUNTIF('Tox Summary'!$N$3:$N$792, 'Parameters Summary'!A380)</f>
        <v>1</v>
      </c>
      <c r="E380" s="438">
        <v>32.045000000000002</v>
      </c>
      <c r="F380" s="439" t="s">
        <v>1620</v>
      </c>
      <c r="G380" s="440">
        <v>2.5000000000000001E-5</v>
      </c>
      <c r="H380" s="440">
        <v>6.0999999999999998E-7</v>
      </c>
      <c r="I380" s="441" t="s">
        <v>2199</v>
      </c>
      <c r="J380" s="440">
        <v>14.38</v>
      </c>
      <c r="K380" s="441" t="s">
        <v>1620</v>
      </c>
      <c r="L380" s="457">
        <v>2</v>
      </c>
      <c r="M380" s="458" t="s">
        <v>1620</v>
      </c>
      <c r="N380" s="459">
        <v>1.0036</v>
      </c>
      <c r="O380" s="460" t="s">
        <v>1618</v>
      </c>
      <c r="P380" s="475">
        <v>0.1733034</v>
      </c>
      <c r="Q380" s="475">
        <v>1.9000000000000001E-5</v>
      </c>
      <c r="R380" s="476" t="s">
        <v>2435</v>
      </c>
      <c r="S380" s="477" t="s">
        <v>1531</v>
      </c>
      <c r="T380" s="478" t="s">
        <v>1413</v>
      </c>
      <c r="U380" s="477" t="s">
        <v>1531</v>
      </c>
      <c r="V380" s="478" t="s">
        <v>1413</v>
      </c>
      <c r="W380" s="497">
        <v>-2.0699999999999998</v>
      </c>
      <c r="X380" s="498" t="s">
        <v>1620</v>
      </c>
      <c r="Y380" s="488">
        <v>1000000</v>
      </c>
      <c r="Z380" s="489" t="s">
        <v>1620</v>
      </c>
      <c r="AA380" s="396">
        <v>4.3600000000000003E-5</v>
      </c>
      <c r="AB380" s="397" t="s">
        <v>1668</v>
      </c>
      <c r="AC380" s="369"/>
    </row>
    <row r="381" spans="1:29" ht="20.100000000000001" customHeight="1">
      <c r="A381" s="390" t="s">
        <v>1190</v>
      </c>
      <c r="B381" s="391" t="s">
        <v>20</v>
      </c>
      <c r="C381" s="400">
        <f>COUNTIF('Chem Props'!$B$6:$B$851,'Parameters Summary'!A381)</f>
        <v>1</v>
      </c>
      <c r="D381" s="400">
        <f>COUNTIF('Tox Summary'!$N$3:$N$792, 'Parameters Summary'!A381)</f>
        <v>1</v>
      </c>
      <c r="E381" s="434">
        <v>128.1</v>
      </c>
      <c r="F381" s="435" t="s">
        <v>553</v>
      </c>
      <c r="G381" s="444" t="s">
        <v>1531</v>
      </c>
      <c r="H381" s="444" t="s">
        <v>1531</v>
      </c>
      <c r="I381" s="445" t="s">
        <v>1413</v>
      </c>
      <c r="J381" s="444" t="s">
        <v>1531</v>
      </c>
      <c r="K381" s="445" t="s">
        <v>1413</v>
      </c>
      <c r="L381" s="453">
        <v>254</v>
      </c>
      <c r="M381" s="454" t="s">
        <v>1618</v>
      </c>
      <c r="N381" s="455">
        <v>1.3779999999999999</v>
      </c>
      <c r="O381" s="456" t="s">
        <v>1618</v>
      </c>
      <c r="P381" s="482" t="s">
        <v>1531</v>
      </c>
      <c r="Q381" s="482" t="s">
        <v>1531</v>
      </c>
      <c r="R381" s="483" t="s">
        <v>1413</v>
      </c>
      <c r="S381" s="473" t="s">
        <v>1531</v>
      </c>
      <c r="T381" s="474" t="s">
        <v>1413</v>
      </c>
      <c r="U381" s="473" t="s">
        <v>1531</v>
      </c>
      <c r="V381" s="474" t="s">
        <v>1413</v>
      </c>
      <c r="W381" s="501" t="s">
        <v>1531</v>
      </c>
      <c r="X381" s="502" t="s">
        <v>1413</v>
      </c>
      <c r="Y381" s="486">
        <v>30550</v>
      </c>
      <c r="Z381" s="487" t="s">
        <v>1621</v>
      </c>
      <c r="AA381" s="394">
        <v>1E-3</v>
      </c>
      <c r="AB381" s="395" t="s">
        <v>1668</v>
      </c>
      <c r="AC381" s="369"/>
    </row>
    <row r="382" spans="1:29" ht="20.100000000000001" customHeight="1">
      <c r="A382" s="390" t="s">
        <v>1191</v>
      </c>
      <c r="B382" s="391" t="s">
        <v>21</v>
      </c>
      <c r="C382" s="400">
        <f>COUNTIF('Chem Props'!$B$6:$B$851,'Parameters Summary'!A382)</f>
        <v>1</v>
      </c>
      <c r="D382" s="400">
        <f>COUNTIF('Tox Summary'!$N$3:$N$792, 'Parameters Summary'!A382)</f>
        <v>1</v>
      </c>
      <c r="E382" s="434">
        <v>35.450000000000003</v>
      </c>
      <c r="F382" s="435" t="s">
        <v>553</v>
      </c>
      <c r="G382" s="436">
        <v>83401472</v>
      </c>
      <c r="H382" s="436">
        <v>2040000</v>
      </c>
      <c r="I382" s="437" t="s">
        <v>2272</v>
      </c>
      <c r="J382" s="436">
        <v>32452</v>
      </c>
      <c r="K382" s="437" t="s">
        <v>2199</v>
      </c>
      <c r="L382" s="453">
        <v>-114.17</v>
      </c>
      <c r="M382" s="454" t="s">
        <v>1618</v>
      </c>
      <c r="N382" s="455">
        <v>1.49</v>
      </c>
      <c r="O382" s="456" t="s">
        <v>1618</v>
      </c>
      <c r="P382" s="471">
        <v>0.1879912</v>
      </c>
      <c r="Q382" s="471">
        <v>2.27E-5</v>
      </c>
      <c r="R382" s="472" t="s">
        <v>2435</v>
      </c>
      <c r="S382" s="473" t="s">
        <v>1531</v>
      </c>
      <c r="T382" s="474" t="s">
        <v>1413</v>
      </c>
      <c r="U382" s="473" t="s">
        <v>1531</v>
      </c>
      <c r="V382" s="474" t="s">
        <v>1413</v>
      </c>
      <c r="W382" s="501" t="s">
        <v>1531</v>
      </c>
      <c r="X382" s="502" t="s">
        <v>1413</v>
      </c>
      <c r="Y382" s="486">
        <v>673000</v>
      </c>
      <c r="Z382" s="487" t="s">
        <v>2272</v>
      </c>
      <c r="AA382" s="394">
        <v>1E-3</v>
      </c>
      <c r="AB382" s="395" t="s">
        <v>1668</v>
      </c>
      <c r="AC382" s="369"/>
    </row>
    <row r="383" spans="1:29" ht="20.100000000000001" customHeight="1" thickBot="1">
      <c r="A383" s="392" t="s">
        <v>589</v>
      </c>
      <c r="B383" s="393" t="s">
        <v>22</v>
      </c>
      <c r="C383" s="400">
        <f>COUNTIF('Chem Props'!$B$6:$B$851,'Parameters Summary'!A383)</f>
        <v>1</v>
      </c>
      <c r="D383" s="400">
        <f>COUNTIF('Tox Summary'!$N$3:$N$792, 'Parameters Summary'!A383)</f>
        <v>1</v>
      </c>
      <c r="E383" s="438">
        <v>20.006</v>
      </c>
      <c r="F383" s="439" t="s">
        <v>1620</v>
      </c>
      <c r="G383" s="440">
        <v>4.2518E-3</v>
      </c>
      <c r="H383" s="440">
        <v>1.0399999999999999E-4</v>
      </c>
      <c r="I383" s="441" t="s">
        <v>1620</v>
      </c>
      <c r="J383" s="440">
        <v>917.2</v>
      </c>
      <c r="K383" s="441" t="s">
        <v>1620</v>
      </c>
      <c r="L383" s="457">
        <v>-83.55</v>
      </c>
      <c r="M383" s="458" t="s">
        <v>1620</v>
      </c>
      <c r="N383" s="459">
        <v>0.81799999999999995</v>
      </c>
      <c r="O383" s="460" t="s">
        <v>1618</v>
      </c>
      <c r="P383" s="475">
        <v>0.21909960000000001</v>
      </c>
      <c r="Q383" s="475">
        <v>2.23E-5</v>
      </c>
      <c r="R383" s="476" t="s">
        <v>2435</v>
      </c>
      <c r="S383" s="477" t="s">
        <v>1531</v>
      </c>
      <c r="T383" s="478" t="s">
        <v>1413</v>
      </c>
      <c r="U383" s="477" t="s">
        <v>1531</v>
      </c>
      <c r="V383" s="478" t="s">
        <v>1413</v>
      </c>
      <c r="W383" s="497">
        <v>0.23</v>
      </c>
      <c r="X383" s="498" t="s">
        <v>1620</v>
      </c>
      <c r="Y383" s="488">
        <v>1000000</v>
      </c>
      <c r="Z383" s="489" t="s">
        <v>1620</v>
      </c>
      <c r="AA383" s="396">
        <v>1E-3</v>
      </c>
      <c r="AB383" s="397" t="s">
        <v>1668</v>
      </c>
      <c r="AC383" s="369"/>
    </row>
    <row r="384" spans="1:29" ht="20.100000000000001" customHeight="1">
      <c r="A384" s="390" t="s">
        <v>1192</v>
      </c>
      <c r="B384" s="391" t="s">
        <v>23</v>
      </c>
      <c r="C384" s="400">
        <f>COUNTIF('Chem Props'!$B$6:$B$851,'Parameters Summary'!A384)</f>
        <v>1</v>
      </c>
      <c r="D384" s="400">
        <f>COUNTIF('Tox Summary'!$N$3:$N$792, 'Parameters Summary'!A384)</f>
        <v>1</v>
      </c>
      <c r="E384" s="434">
        <v>34.08</v>
      </c>
      <c r="F384" s="435" t="s">
        <v>1620</v>
      </c>
      <c r="G384" s="436">
        <v>0.35</v>
      </c>
      <c r="H384" s="436">
        <v>8.5599999999999999E-3</v>
      </c>
      <c r="I384" s="437" t="s">
        <v>2201</v>
      </c>
      <c r="J384" s="436">
        <v>15640</v>
      </c>
      <c r="K384" s="437" t="s">
        <v>1620</v>
      </c>
      <c r="L384" s="453">
        <v>-85.49</v>
      </c>
      <c r="M384" s="454" t="s">
        <v>1620</v>
      </c>
      <c r="N384" s="455">
        <v>1.393</v>
      </c>
      <c r="O384" s="456" t="s">
        <v>1618</v>
      </c>
      <c r="P384" s="471">
        <v>0.18806690000000001</v>
      </c>
      <c r="Q384" s="471">
        <v>2.23E-5</v>
      </c>
      <c r="R384" s="472" t="s">
        <v>2435</v>
      </c>
      <c r="S384" s="473" t="s">
        <v>1531</v>
      </c>
      <c r="T384" s="474" t="s">
        <v>1413</v>
      </c>
      <c r="U384" s="473" t="s">
        <v>1531</v>
      </c>
      <c r="V384" s="474" t="s">
        <v>1413</v>
      </c>
      <c r="W384" s="495">
        <v>0.23</v>
      </c>
      <c r="X384" s="496" t="s">
        <v>2201</v>
      </c>
      <c r="Y384" s="486">
        <v>3740</v>
      </c>
      <c r="Z384" s="487" t="s">
        <v>1620</v>
      </c>
      <c r="AA384" s="394">
        <v>1E-3</v>
      </c>
      <c r="AB384" s="395" t="s">
        <v>1668</v>
      </c>
      <c r="AC384" s="369"/>
    </row>
    <row r="385" spans="1:29" ht="20.100000000000001" customHeight="1">
      <c r="A385" s="390" t="s">
        <v>534</v>
      </c>
      <c r="B385" s="391" t="s">
        <v>24</v>
      </c>
      <c r="C385" s="400">
        <f>COUNTIF('Chem Props'!$B$6:$B$851,'Parameters Summary'!A385)</f>
        <v>1</v>
      </c>
      <c r="D385" s="400">
        <f>COUNTIF('Tox Summary'!$N$3:$N$792, 'Parameters Summary'!A385)</f>
        <v>1</v>
      </c>
      <c r="E385" s="434">
        <v>110.11</v>
      </c>
      <c r="F385" s="435" t="s">
        <v>1620</v>
      </c>
      <c r="G385" s="436">
        <v>1.9338000000000001E-9</v>
      </c>
      <c r="H385" s="436">
        <v>4.7300000000000001E-11</v>
      </c>
      <c r="I385" s="437" t="s">
        <v>553</v>
      </c>
      <c r="J385" s="436">
        <v>2.4000000000000001E-5</v>
      </c>
      <c r="K385" s="437" t="s">
        <v>553</v>
      </c>
      <c r="L385" s="453">
        <v>170</v>
      </c>
      <c r="M385" s="454" t="s">
        <v>1620</v>
      </c>
      <c r="N385" s="455">
        <v>1.33</v>
      </c>
      <c r="O385" s="456" t="s">
        <v>1618</v>
      </c>
      <c r="P385" s="471">
        <v>7.9842499999999997E-2</v>
      </c>
      <c r="Q385" s="471">
        <v>1.0699999999999999E-5</v>
      </c>
      <c r="R385" s="472" t="s">
        <v>2435</v>
      </c>
      <c r="S385" s="473" t="s">
        <v>1531</v>
      </c>
      <c r="T385" s="474" t="s">
        <v>1413</v>
      </c>
      <c r="U385" s="484">
        <v>240.5</v>
      </c>
      <c r="V385" s="484" t="s">
        <v>553</v>
      </c>
      <c r="W385" s="495">
        <v>0.59</v>
      </c>
      <c r="X385" s="496" t="s">
        <v>1620</v>
      </c>
      <c r="Y385" s="486">
        <v>72000</v>
      </c>
      <c r="Z385" s="487" t="s">
        <v>1620</v>
      </c>
      <c r="AA385" s="394">
        <v>9.3099999999999997E-4</v>
      </c>
      <c r="AB385" s="395" t="s">
        <v>553</v>
      </c>
      <c r="AC385" s="369"/>
    </row>
    <row r="386" spans="1:29" ht="20.100000000000001" customHeight="1" thickBot="1">
      <c r="A386" s="392" t="s">
        <v>1193</v>
      </c>
      <c r="B386" s="393" t="s">
        <v>25</v>
      </c>
      <c r="C386" s="400">
        <f>COUNTIF('Chem Props'!$B$6:$B$851,'Parameters Summary'!A386)</f>
        <v>1</v>
      </c>
      <c r="D386" s="400">
        <f>COUNTIF('Tox Summary'!$N$3:$N$792, 'Parameters Summary'!A386)</f>
        <v>1</v>
      </c>
      <c r="E386" s="438">
        <v>297.19</v>
      </c>
      <c r="F386" s="439" t="s">
        <v>1620</v>
      </c>
      <c r="G386" s="440">
        <v>1.0589E-7</v>
      </c>
      <c r="H386" s="440">
        <v>2.5899999999999999E-9</v>
      </c>
      <c r="I386" s="441" t="s">
        <v>553</v>
      </c>
      <c r="J386" s="440">
        <v>1.19E-6</v>
      </c>
      <c r="K386" s="441" t="s">
        <v>1620</v>
      </c>
      <c r="L386" s="457">
        <v>52.7</v>
      </c>
      <c r="M386" s="458" t="s">
        <v>1620</v>
      </c>
      <c r="N386" s="459">
        <v>1.2430000000000001</v>
      </c>
      <c r="O386" s="460" t="s">
        <v>1618</v>
      </c>
      <c r="P386" s="475">
        <v>2.2493200000000001E-2</v>
      </c>
      <c r="Q386" s="475">
        <v>5.6771999999999996E-6</v>
      </c>
      <c r="R386" s="476" t="s">
        <v>2435</v>
      </c>
      <c r="S386" s="477" t="s">
        <v>1531</v>
      </c>
      <c r="T386" s="478" t="s">
        <v>1413</v>
      </c>
      <c r="U386" s="481">
        <v>8495</v>
      </c>
      <c r="V386" s="481" t="s">
        <v>553</v>
      </c>
      <c r="W386" s="497">
        <v>3.82</v>
      </c>
      <c r="X386" s="498" t="s">
        <v>1620</v>
      </c>
      <c r="Y386" s="488">
        <v>180</v>
      </c>
      <c r="Z386" s="489" t="s">
        <v>1620</v>
      </c>
      <c r="AA386" s="396">
        <v>1.1599999999999999E-2</v>
      </c>
      <c r="AB386" s="397" t="s">
        <v>553</v>
      </c>
      <c r="AC386" s="369"/>
    </row>
    <row r="387" spans="1:29" ht="20.100000000000001" customHeight="1">
      <c r="A387" s="390" t="s">
        <v>1194</v>
      </c>
      <c r="B387" s="391" t="s">
        <v>26</v>
      </c>
      <c r="C387" s="400">
        <f>COUNTIF('Chem Props'!$B$6:$B$851,'Parameters Summary'!A387)</f>
        <v>1</v>
      </c>
      <c r="D387" s="400">
        <f>COUNTIF('Tox Summary'!$N$3:$N$792, 'Parameters Summary'!A387)</f>
        <v>1</v>
      </c>
      <c r="E387" s="434">
        <v>311.33999999999997</v>
      </c>
      <c r="F387" s="435" t="s">
        <v>1620</v>
      </c>
      <c r="G387" s="436">
        <v>2.8250000000000001E-16</v>
      </c>
      <c r="H387" s="436">
        <v>6.9100000000000002E-18</v>
      </c>
      <c r="I387" s="437" t="s">
        <v>1620</v>
      </c>
      <c r="J387" s="436">
        <v>1.03E-13</v>
      </c>
      <c r="K387" s="437" t="s">
        <v>1620</v>
      </c>
      <c r="L387" s="453">
        <v>221</v>
      </c>
      <c r="M387" s="454" t="s">
        <v>1620</v>
      </c>
      <c r="N387" s="461" t="s">
        <v>1531</v>
      </c>
      <c r="O387" s="462" t="s">
        <v>1413</v>
      </c>
      <c r="P387" s="471">
        <v>4.1361599999999998E-2</v>
      </c>
      <c r="Q387" s="471">
        <v>4.8327999999999997E-6</v>
      </c>
      <c r="R387" s="472" t="s">
        <v>2435</v>
      </c>
      <c r="S387" s="473" t="s">
        <v>1531</v>
      </c>
      <c r="T387" s="474" t="s">
        <v>1413</v>
      </c>
      <c r="U387" s="484">
        <v>2386</v>
      </c>
      <c r="V387" s="484" t="s">
        <v>553</v>
      </c>
      <c r="W387" s="495">
        <v>1.86</v>
      </c>
      <c r="X387" s="496" t="s">
        <v>1620</v>
      </c>
      <c r="Y387" s="486">
        <v>90</v>
      </c>
      <c r="Z387" s="487" t="s">
        <v>1620</v>
      </c>
      <c r="AA387" s="394">
        <v>4.8299999999999998E-4</v>
      </c>
      <c r="AB387" s="395" t="s">
        <v>553</v>
      </c>
      <c r="AC387" s="369"/>
    </row>
    <row r="388" spans="1:29" ht="20.100000000000001" customHeight="1">
      <c r="A388" s="390" t="s">
        <v>2313</v>
      </c>
      <c r="B388" s="391" t="s">
        <v>239</v>
      </c>
      <c r="C388" s="400">
        <f>COUNTIF('Chem Props'!$B$6:$B$851,'Parameters Summary'!A388)</f>
        <v>1</v>
      </c>
      <c r="D388" s="400">
        <f>COUNTIF('Tox Summary'!$N$3:$N$792, 'Parameters Summary'!A388)</f>
        <v>1</v>
      </c>
      <c r="E388" s="434">
        <v>289.33999999999997</v>
      </c>
      <c r="F388" s="435" t="s">
        <v>1620</v>
      </c>
      <c r="G388" s="436">
        <v>4.2519999999999997E-15</v>
      </c>
      <c r="H388" s="436">
        <v>1.04E-16</v>
      </c>
      <c r="I388" s="437" t="s">
        <v>1620</v>
      </c>
      <c r="J388" s="436">
        <v>2.15E-11</v>
      </c>
      <c r="K388" s="437" t="s">
        <v>1620</v>
      </c>
      <c r="L388" s="453">
        <v>171</v>
      </c>
      <c r="M388" s="454" t="s">
        <v>1620</v>
      </c>
      <c r="N388" s="461" t="s">
        <v>1531</v>
      </c>
      <c r="O388" s="462" t="s">
        <v>1413</v>
      </c>
      <c r="P388" s="471">
        <v>4.3432499999999999E-2</v>
      </c>
      <c r="Q388" s="471">
        <v>5.0746999999999999E-6</v>
      </c>
      <c r="R388" s="472" t="s">
        <v>2435</v>
      </c>
      <c r="S388" s="473" t="s">
        <v>1531</v>
      </c>
      <c r="T388" s="474" t="s">
        <v>1413</v>
      </c>
      <c r="U388" s="484">
        <v>339.1</v>
      </c>
      <c r="V388" s="484" t="s">
        <v>553</v>
      </c>
      <c r="W388" s="495">
        <v>1.49</v>
      </c>
      <c r="X388" s="496" t="s">
        <v>1620</v>
      </c>
      <c r="Y388" s="486">
        <v>1400</v>
      </c>
      <c r="Z388" s="487" t="s">
        <v>1620</v>
      </c>
      <c r="AA388" s="394">
        <v>2E-3</v>
      </c>
      <c r="AB388" s="395" t="s">
        <v>553</v>
      </c>
      <c r="AC388" s="370"/>
    </row>
    <row r="389" spans="1:29" ht="20.100000000000001" customHeight="1" thickBot="1">
      <c r="A389" s="392" t="s">
        <v>590</v>
      </c>
      <c r="B389" s="393" t="s">
        <v>27</v>
      </c>
      <c r="C389" s="400">
        <f>COUNTIF('Chem Props'!$B$6:$B$851,'Parameters Summary'!A389)</f>
        <v>1</v>
      </c>
      <c r="D389" s="400">
        <f>COUNTIF('Tox Summary'!$N$3:$N$792, 'Parameters Summary'!A389)</f>
        <v>1</v>
      </c>
      <c r="E389" s="438">
        <v>253.81</v>
      </c>
      <c r="F389" s="439" t="s">
        <v>1620</v>
      </c>
      <c r="G389" s="442" t="s">
        <v>1531</v>
      </c>
      <c r="H389" s="442" t="s">
        <v>1531</v>
      </c>
      <c r="I389" s="443" t="s">
        <v>1413</v>
      </c>
      <c r="J389" s="440">
        <v>0.23300000000000001</v>
      </c>
      <c r="K389" s="441" t="s">
        <v>1620</v>
      </c>
      <c r="L389" s="457">
        <v>113.6</v>
      </c>
      <c r="M389" s="458" t="s">
        <v>1620</v>
      </c>
      <c r="N389" s="459">
        <v>4.9329999999999998</v>
      </c>
      <c r="O389" s="460" t="s">
        <v>1618</v>
      </c>
      <c r="P389" s="479" t="s">
        <v>1531</v>
      </c>
      <c r="Q389" s="479" t="s">
        <v>1531</v>
      </c>
      <c r="R389" s="480" t="s">
        <v>1413</v>
      </c>
      <c r="S389" s="481">
        <v>60</v>
      </c>
      <c r="T389" s="481" t="s">
        <v>2155</v>
      </c>
      <c r="U389" s="477" t="s">
        <v>1531</v>
      </c>
      <c r="V389" s="478" t="s">
        <v>1413</v>
      </c>
      <c r="W389" s="497">
        <v>2.4900000000000002</v>
      </c>
      <c r="X389" s="498" t="s">
        <v>1620</v>
      </c>
      <c r="Y389" s="488">
        <v>330</v>
      </c>
      <c r="Z389" s="489" t="s">
        <v>1620</v>
      </c>
      <c r="AA389" s="396">
        <v>1E-3</v>
      </c>
      <c r="AB389" s="397" t="s">
        <v>1668</v>
      </c>
      <c r="AC389" s="369"/>
    </row>
    <row r="390" spans="1:29" ht="20.100000000000001" customHeight="1">
      <c r="A390" s="390" t="s">
        <v>1195</v>
      </c>
      <c r="B390" s="391" t="s">
        <v>28</v>
      </c>
      <c r="C390" s="400">
        <f>COUNTIF('Chem Props'!$B$6:$B$851,'Parameters Summary'!A390)</f>
        <v>1</v>
      </c>
      <c r="D390" s="400">
        <f>COUNTIF('Tox Summary'!$N$3:$N$792, 'Parameters Summary'!A390)</f>
        <v>1</v>
      </c>
      <c r="E390" s="434">
        <v>330.17</v>
      </c>
      <c r="F390" s="435" t="s">
        <v>1620</v>
      </c>
      <c r="G390" s="436">
        <v>1.2756000000000001E-7</v>
      </c>
      <c r="H390" s="436">
        <v>3.12E-9</v>
      </c>
      <c r="I390" s="437" t="s">
        <v>1620</v>
      </c>
      <c r="J390" s="436">
        <v>3.7499999999999997E-9</v>
      </c>
      <c r="K390" s="437" t="s">
        <v>1620</v>
      </c>
      <c r="L390" s="453">
        <v>136</v>
      </c>
      <c r="M390" s="454" t="s">
        <v>1620</v>
      </c>
      <c r="N390" s="461" t="s">
        <v>1531</v>
      </c>
      <c r="O390" s="462" t="s">
        <v>1413</v>
      </c>
      <c r="P390" s="471">
        <v>3.9773599999999999E-2</v>
      </c>
      <c r="Q390" s="471">
        <v>4.6472000000000002E-6</v>
      </c>
      <c r="R390" s="472" t="s">
        <v>2435</v>
      </c>
      <c r="S390" s="473" t="s">
        <v>1531</v>
      </c>
      <c r="T390" s="474" t="s">
        <v>1413</v>
      </c>
      <c r="U390" s="484">
        <v>52.52</v>
      </c>
      <c r="V390" s="484" t="s">
        <v>553</v>
      </c>
      <c r="W390" s="495">
        <v>3</v>
      </c>
      <c r="X390" s="496" t="s">
        <v>1620</v>
      </c>
      <c r="Y390" s="486">
        <v>13.9</v>
      </c>
      <c r="Z390" s="487" t="s">
        <v>1620</v>
      </c>
      <c r="AA390" s="394">
        <v>2.1700000000000001E-3</v>
      </c>
      <c r="AB390" s="395" t="s">
        <v>553</v>
      </c>
      <c r="AC390" s="370"/>
    </row>
    <row r="391" spans="1:29" ht="20.100000000000001" customHeight="1">
      <c r="A391" s="390" t="s">
        <v>1196</v>
      </c>
      <c r="B391" s="391" t="s">
        <v>29</v>
      </c>
      <c r="C391" s="400">
        <f>COUNTIF('Chem Props'!$B$6:$B$851,'Parameters Summary'!A391)</f>
        <v>1</v>
      </c>
      <c r="D391" s="400">
        <f>COUNTIF('Tox Summary'!$N$3:$N$792, 'Parameters Summary'!A391)</f>
        <v>1</v>
      </c>
      <c r="E391" s="434">
        <v>55.847000000000001</v>
      </c>
      <c r="F391" s="435" t="s">
        <v>1620</v>
      </c>
      <c r="G391" s="444" t="s">
        <v>1531</v>
      </c>
      <c r="H391" s="444" t="s">
        <v>1531</v>
      </c>
      <c r="I391" s="445" t="s">
        <v>1413</v>
      </c>
      <c r="J391" s="436">
        <v>0</v>
      </c>
      <c r="K391" s="437" t="s">
        <v>2204</v>
      </c>
      <c r="L391" s="453">
        <v>1538</v>
      </c>
      <c r="M391" s="454" t="s">
        <v>1618</v>
      </c>
      <c r="N391" s="455">
        <v>7.87</v>
      </c>
      <c r="O391" s="456" t="s">
        <v>1618</v>
      </c>
      <c r="P391" s="482" t="s">
        <v>1531</v>
      </c>
      <c r="Q391" s="482" t="s">
        <v>1531</v>
      </c>
      <c r="R391" s="483" t="s">
        <v>1413</v>
      </c>
      <c r="S391" s="484">
        <v>25</v>
      </c>
      <c r="T391" s="484" t="s">
        <v>2155</v>
      </c>
      <c r="U391" s="473" t="s">
        <v>1531</v>
      </c>
      <c r="V391" s="474" t="s">
        <v>1413</v>
      </c>
      <c r="W391" s="501" t="s">
        <v>1531</v>
      </c>
      <c r="X391" s="502" t="s">
        <v>1413</v>
      </c>
      <c r="Y391" s="492" t="s">
        <v>1531</v>
      </c>
      <c r="Z391" s="493" t="s">
        <v>1413</v>
      </c>
      <c r="AA391" s="394">
        <v>1E-3</v>
      </c>
      <c r="AB391" s="395" t="s">
        <v>1668</v>
      </c>
      <c r="AC391" s="369"/>
    </row>
    <row r="392" spans="1:29" ht="20.100000000000001" customHeight="1" thickBot="1">
      <c r="A392" s="392" t="s">
        <v>1197</v>
      </c>
      <c r="B392" s="393" t="s">
        <v>30</v>
      </c>
      <c r="C392" s="400">
        <f>COUNTIF('Chem Props'!$B$6:$B$851,'Parameters Summary'!A392)</f>
        <v>1</v>
      </c>
      <c r="D392" s="400">
        <f>COUNTIF('Tox Summary'!$N$3:$N$792, 'Parameters Summary'!A392)</f>
        <v>1</v>
      </c>
      <c r="E392" s="438">
        <v>74.123999999999995</v>
      </c>
      <c r="F392" s="439" t="s">
        <v>1620</v>
      </c>
      <c r="G392" s="440">
        <v>3.9980000000000001E-4</v>
      </c>
      <c r="H392" s="440">
        <v>9.7799999999999995E-6</v>
      </c>
      <c r="I392" s="441" t="s">
        <v>1620</v>
      </c>
      <c r="J392" s="440">
        <v>10.45</v>
      </c>
      <c r="K392" s="441" t="s">
        <v>1620</v>
      </c>
      <c r="L392" s="457">
        <v>-108</v>
      </c>
      <c r="M392" s="458" t="s">
        <v>1620</v>
      </c>
      <c r="N392" s="459">
        <v>0.80179999999999996</v>
      </c>
      <c r="O392" s="460" t="s">
        <v>1618</v>
      </c>
      <c r="P392" s="475">
        <v>8.9667700000000003E-2</v>
      </c>
      <c r="Q392" s="475">
        <v>1.0000000000000001E-5</v>
      </c>
      <c r="R392" s="476" t="s">
        <v>2435</v>
      </c>
      <c r="S392" s="477" t="s">
        <v>1531</v>
      </c>
      <c r="T392" s="478" t="s">
        <v>1413</v>
      </c>
      <c r="U392" s="481">
        <v>2.919</v>
      </c>
      <c r="V392" s="481" t="s">
        <v>553</v>
      </c>
      <c r="W392" s="497">
        <v>0.76</v>
      </c>
      <c r="X392" s="498" t="s">
        <v>1620</v>
      </c>
      <c r="Y392" s="488">
        <v>85000</v>
      </c>
      <c r="Z392" s="489" t="s">
        <v>1620</v>
      </c>
      <c r="AA392" s="396">
        <v>1.92E-3</v>
      </c>
      <c r="AB392" s="397" t="s">
        <v>553</v>
      </c>
      <c r="AC392" s="369"/>
    </row>
    <row r="393" spans="1:29" ht="20.100000000000001" customHeight="1">
      <c r="A393" s="390" t="s">
        <v>386</v>
      </c>
      <c r="B393" s="391" t="s">
        <v>31</v>
      </c>
      <c r="C393" s="400">
        <f>COUNTIF('Chem Props'!$B$6:$B$851,'Parameters Summary'!A393)</f>
        <v>1</v>
      </c>
      <c r="D393" s="400">
        <f>COUNTIF('Tox Summary'!$N$3:$N$792, 'Parameters Summary'!A393)</f>
        <v>1</v>
      </c>
      <c r="E393" s="434">
        <v>138.21</v>
      </c>
      <c r="F393" s="435" t="s">
        <v>1620</v>
      </c>
      <c r="G393" s="436">
        <v>2.7149999999999999E-4</v>
      </c>
      <c r="H393" s="436">
        <v>6.64E-6</v>
      </c>
      <c r="I393" s="437" t="s">
        <v>553</v>
      </c>
      <c r="J393" s="436">
        <v>0.438</v>
      </c>
      <c r="K393" s="437" t="s">
        <v>1620</v>
      </c>
      <c r="L393" s="453">
        <v>-8.1</v>
      </c>
      <c r="M393" s="454" t="s">
        <v>1620</v>
      </c>
      <c r="N393" s="455">
        <v>0.92549999999999999</v>
      </c>
      <c r="O393" s="456" t="s">
        <v>1618</v>
      </c>
      <c r="P393" s="471">
        <v>5.2504799999999997E-2</v>
      </c>
      <c r="Q393" s="471">
        <v>7.5295999999999999E-6</v>
      </c>
      <c r="R393" s="472" t="s">
        <v>2435</v>
      </c>
      <c r="S393" s="473" t="s">
        <v>1531</v>
      </c>
      <c r="T393" s="474" t="s">
        <v>1413</v>
      </c>
      <c r="U393" s="484">
        <v>65.150000000000006</v>
      </c>
      <c r="V393" s="484" t="s">
        <v>553</v>
      </c>
      <c r="W393" s="495">
        <v>1.7</v>
      </c>
      <c r="X393" s="496" t="s">
        <v>1620</v>
      </c>
      <c r="Y393" s="486">
        <v>12000</v>
      </c>
      <c r="Z393" s="487" t="s">
        <v>1620</v>
      </c>
      <c r="AA393" s="394">
        <v>3.5400000000000002E-3</v>
      </c>
      <c r="AB393" s="395" t="s">
        <v>553</v>
      </c>
      <c r="AC393" s="369"/>
    </row>
    <row r="394" spans="1:29" ht="20.100000000000001" customHeight="1">
      <c r="A394" s="390" t="s">
        <v>1198</v>
      </c>
      <c r="B394" s="391" t="s">
        <v>32</v>
      </c>
      <c r="C394" s="400">
        <f>COUNTIF('Chem Props'!$B$6:$B$851,'Parameters Summary'!A394)</f>
        <v>1</v>
      </c>
      <c r="D394" s="400">
        <f>COUNTIF('Tox Summary'!$N$3:$N$792, 'Parameters Summary'!A394)</f>
        <v>1</v>
      </c>
      <c r="E394" s="434">
        <v>309.37</v>
      </c>
      <c r="F394" s="435" t="s">
        <v>1620</v>
      </c>
      <c r="G394" s="436">
        <v>4.5380000000000004E-3</v>
      </c>
      <c r="H394" s="436">
        <v>1.11E-4</v>
      </c>
      <c r="I394" s="437" t="s">
        <v>553</v>
      </c>
      <c r="J394" s="436">
        <v>3.0000000000000001E-5</v>
      </c>
      <c r="K394" s="437" t="s">
        <v>1620</v>
      </c>
      <c r="L394" s="453">
        <v>152.04</v>
      </c>
      <c r="M394" s="454" t="s">
        <v>553</v>
      </c>
      <c r="N394" s="455">
        <v>1.157</v>
      </c>
      <c r="O394" s="456" t="s">
        <v>2205</v>
      </c>
      <c r="P394" s="471">
        <v>2.1278999999999999E-2</v>
      </c>
      <c r="Q394" s="471">
        <v>5.3086999999999997E-6</v>
      </c>
      <c r="R394" s="472" t="s">
        <v>2435</v>
      </c>
      <c r="S394" s="473" t="s">
        <v>1531</v>
      </c>
      <c r="T394" s="474" t="s">
        <v>1413</v>
      </c>
      <c r="U394" s="484">
        <v>11430</v>
      </c>
      <c r="V394" s="484" t="s">
        <v>553</v>
      </c>
      <c r="W394" s="495">
        <v>5.8</v>
      </c>
      <c r="X394" s="496" t="s">
        <v>1620</v>
      </c>
      <c r="Y394" s="486">
        <v>0.11</v>
      </c>
      <c r="Z394" s="487" t="s">
        <v>1620</v>
      </c>
      <c r="AA394" s="394">
        <v>0.20699999999999999</v>
      </c>
      <c r="AB394" s="395" t="s">
        <v>553</v>
      </c>
      <c r="AC394" s="369"/>
    </row>
    <row r="395" spans="1:29" ht="20.100000000000001" customHeight="1" thickBot="1">
      <c r="A395" s="392" t="s">
        <v>591</v>
      </c>
      <c r="B395" s="393" t="s">
        <v>33</v>
      </c>
      <c r="C395" s="400">
        <f>COUNTIF('Chem Props'!$B$6:$B$851,'Parameters Summary'!A395)</f>
        <v>1</v>
      </c>
      <c r="D395" s="400">
        <f>COUNTIF('Tox Summary'!$N$3:$N$792, 'Parameters Summary'!A395)</f>
        <v>1</v>
      </c>
      <c r="E395" s="438">
        <v>60.097000000000001</v>
      </c>
      <c r="F395" s="439" t="s">
        <v>1620</v>
      </c>
      <c r="G395" s="440">
        <v>3.3119999999999997E-4</v>
      </c>
      <c r="H395" s="440">
        <v>8.1000000000000004E-6</v>
      </c>
      <c r="I395" s="441" t="s">
        <v>1620</v>
      </c>
      <c r="J395" s="440">
        <v>45.42</v>
      </c>
      <c r="K395" s="441" t="s">
        <v>1620</v>
      </c>
      <c r="L395" s="457">
        <v>-89.5</v>
      </c>
      <c r="M395" s="458" t="s">
        <v>1620</v>
      </c>
      <c r="N395" s="459">
        <v>0.78090000000000004</v>
      </c>
      <c r="O395" s="460" t="s">
        <v>1618</v>
      </c>
      <c r="P395" s="475">
        <v>0.1032261</v>
      </c>
      <c r="Q395" s="475">
        <v>1.1199999999999999E-5</v>
      </c>
      <c r="R395" s="476" t="s">
        <v>2435</v>
      </c>
      <c r="S395" s="477" t="s">
        <v>1531</v>
      </c>
      <c r="T395" s="478" t="s">
        <v>1413</v>
      </c>
      <c r="U395" s="481">
        <v>1.53</v>
      </c>
      <c r="V395" s="481" t="s">
        <v>553</v>
      </c>
      <c r="W395" s="497">
        <v>0.05</v>
      </c>
      <c r="X395" s="498" t="s">
        <v>1620</v>
      </c>
      <c r="Y395" s="488">
        <v>1000000</v>
      </c>
      <c r="Z395" s="489" t="s">
        <v>1620</v>
      </c>
      <c r="AA395" s="396">
        <v>7.7800000000000005E-4</v>
      </c>
      <c r="AB395" s="397" t="s">
        <v>553</v>
      </c>
      <c r="AC395" s="369"/>
    </row>
    <row r="396" spans="1:29" ht="20.100000000000001" customHeight="1">
      <c r="A396" s="390" t="s">
        <v>1199</v>
      </c>
      <c r="B396" s="391" t="s">
        <v>34</v>
      </c>
      <c r="C396" s="400">
        <f>COUNTIF('Chem Props'!$B$6:$B$851,'Parameters Summary'!A396)</f>
        <v>1</v>
      </c>
      <c r="D396" s="400">
        <f>COUNTIF('Tox Summary'!$N$3:$N$792, 'Parameters Summary'!A396)</f>
        <v>1</v>
      </c>
      <c r="E396" s="434">
        <v>138.1</v>
      </c>
      <c r="F396" s="435" t="s">
        <v>1620</v>
      </c>
      <c r="G396" s="436">
        <v>2.8127999999999999E-7</v>
      </c>
      <c r="H396" s="436">
        <v>6.8800000000000002E-9</v>
      </c>
      <c r="I396" s="437" t="s">
        <v>1620</v>
      </c>
      <c r="J396" s="436">
        <v>1.1900000000000001E-2</v>
      </c>
      <c r="K396" s="437" t="s">
        <v>1620</v>
      </c>
      <c r="L396" s="453">
        <v>-8.1199999999999992</v>
      </c>
      <c r="M396" s="454" t="s">
        <v>553</v>
      </c>
      <c r="N396" s="461" t="s">
        <v>1531</v>
      </c>
      <c r="O396" s="462" t="s">
        <v>1413</v>
      </c>
      <c r="P396" s="471">
        <v>7.1114399999999994E-2</v>
      </c>
      <c r="Q396" s="471">
        <v>8.3092E-6</v>
      </c>
      <c r="R396" s="472" t="s">
        <v>2435</v>
      </c>
      <c r="S396" s="473" t="s">
        <v>1531</v>
      </c>
      <c r="T396" s="474" t="s">
        <v>1413</v>
      </c>
      <c r="U396" s="484">
        <v>7.7069999999999999</v>
      </c>
      <c r="V396" s="484" t="s">
        <v>553</v>
      </c>
      <c r="W396" s="495">
        <v>0.27</v>
      </c>
      <c r="X396" s="496" t="s">
        <v>1620</v>
      </c>
      <c r="Y396" s="486">
        <v>50420</v>
      </c>
      <c r="Z396" s="487" t="s">
        <v>1620</v>
      </c>
      <c r="AA396" s="394">
        <v>3.9599999999999998E-4</v>
      </c>
      <c r="AB396" s="395" t="s">
        <v>553</v>
      </c>
      <c r="AC396" s="369"/>
    </row>
    <row r="397" spans="1:29" ht="20.100000000000001" customHeight="1">
      <c r="A397" s="390" t="s">
        <v>1200</v>
      </c>
      <c r="B397" s="391" t="s">
        <v>35</v>
      </c>
      <c r="C397" s="400">
        <f>COUNTIF('Chem Props'!$B$6:$B$851,'Parameters Summary'!A397)</f>
        <v>1</v>
      </c>
      <c r="D397" s="400">
        <f>COUNTIF('Tox Summary'!$N$3:$N$792, 'Parameters Summary'!A397)</f>
        <v>1</v>
      </c>
      <c r="E397" s="434">
        <v>332.4</v>
      </c>
      <c r="F397" s="435" t="s">
        <v>1620</v>
      </c>
      <c r="G397" s="436">
        <v>5.1922E-8</v>
      </c>
      <c r="H397" s="436">
        <v>1.27E-9</v>
      </c>
      <c r="I397" s="437" t="s">
        <v>553</v>
      </c>
      <c r="J397" s="436">
        <v>4.1299999999999996E-9</v>
      </c>
      <c r="K397" s="437" t="s">
        <v>1620</v>
      </c>
      <c r="L397" s="453">
        <v>177.5</v>
      </c>
      <c r="M397" s="454" t="s">
        <v>1620</v>
      </c>
      <c r="N397" s="461" t="s">
        <v>1531</v>
      </c>
      <c r="O397" s="462" t="s">
        <v>1413</v>
      </c>
      <c r="P397" s="471">
        <v>3.9595499999999999E-2</v>
      </c>
      <c r="Q397" s="471">
        <v>4.6264000000000003E-6</v>
      </c>
      <c r="R397" s="472" t="s">
        <v>2435</v>
      </c>
      <c r="S397" s="473" t="s">
        <v>1531</v>
      </c>
      <c r="T397" s="474" t="s">
        <v>1413</v>
      </c>
      <c r="U397" s="484">
        <v>1262</v>
      </c>
      <c r="V397" s="484" t="s">
        <v>553</v>
      </c>
      <c r="W397" s="495">
        <v>3.94</v>
      </c>
      <c r="X397" s="496" t="s">
        <v>1620</v>
      </c>
      <c r="Y397" s="486">
        <v>1.42</v>
      </c>
      <c r="Z397" s="487" t="s">
        <v>1620</v>
      </c>
      <c r="AA397" s="394">
        <v>8.8699999999999994E-3</v>
      </c>
      <c r="AB397" s="395" t="s">
        <v>553</v>
      </c>
      <c r="AC397" s="369"/>
    </row>
    <row r="398" spans="1:29" ht="20.100000000000001" customHeight="1" thickBot="1">
      <c r="A398" s="392" t="s">
        <v>1252</v>
      </c>
      <c r="B398" s="96" t="s">
        <v>2171</v>
      </c>
      <c r="C398" s="400">
        <f>COUNTIF('Chem Props'!$B$6:$B$851,'Parameters Summary'!A488)</f>
        <v>1</v>
      </c>
      <c r="D398" s="400">
        <f>COUNTIF('Tox Summary'!$N$3:$N$792, 'Parameters Summary'!A488)</f>
        <v>1</v>
      </c>
      <c r="E398" s="448" t="s">
        <v>1531</v>
      </c>
      <c r="F398" s="449" t="s">
        <v>1413</v>
      </c>
      <c r="G398" s="442" t="s">
        <v>1531</v>
      </c>
      <c r="H398" s="442" t="s">
        <v>1531</v>
      </c>
      <c r="I398" s="443" t="s">
        <v>1413</v>
      </c>
      <c r="J398" s="442" t="s">
        <v>1531</v>
      </c>
      <c r="K398" s="443" t="s">
        <v>1413</v>
      </c>
      <c r="L398" s="467" t="s">
        <v>1531</v>
      </c>
      <c r="M398" s="468" t="s">
        <v>1413</v>
      </c>
      <c r="N398" s="463" t="s">
        <v>1531</v>
      </c>
      <c r="O398" s="464" t="s">
        <v>1413</v>
      </c>
      <c r="P398" s="479" t="s">
        <v>1531</v>
      </c>
      <c r="Q398" s="479" t="s">
        <v>1531</v>
      </c>
      <c r="R398" s="480" t="s">
        <v>1413</v>
      </c>
      <c r="S398" s="481">
        <v>150</v>
      </c>
      <c r="T398" s="481" t="s">
        <v>2155</v>
      </c>
      <c r="U398" s="477" t="s">
        <v>1531</v>
      </c>
      <c r="V398" s="478" t="s">
        <v>1413</v>
      </c>
      <c r="W398" s="499" t="s">
        <v>1531</v>
      </c>
      <c r="X398" s="500" t="s">
        <v>1413</v>
      </c>
      <c r="Y398" s="490" t="s">
        <v>1531</v>
      </c>
      <c r="Z398" s="491" t="s">
        <v>1413</v>
      </c>
      <c r="AA398" s="396">
        <v>2.0000000000000001E-4</v>
      </c>
      <c r="AB398" s="397" t="s">
        <v>1668</v>
      </c>
      <c r="AC398" s="369"/>
    </row>
    <row r="399" spans="1:29" ht="20.100000000000001" customHeight="1">
      <c r="A399" s="390" t="s">
        <v>1201</v>
      </c>
      <c r="B399" s="391" t="s">
        <v>37</v>
      </c>
      <c r="C399" s="400">
        <f>COUNTIF('Chem Props'!$B$6:$B$851,'Parameters Summary'!A399)</f>
        <v>1</v>
      </c>
      <c r="D399" s="400">
        <f>COUNTIF('Tox Summary'!$N$3:$N$792, 'Parameters Summary'!A399)</f>
        <v>1</v>
      </c>
      <c r="E399" s="434">
        <v>461.78</v>
      </c>
      <c r="F399" s="435" t="s">
        <v>1620</v>
      </c>
      <c r="G399" s="436">
        <v>1.9300000000000002E-5</v>
      </c>
      <c r="H399" s="436">
        <v>4.7199999999999999E-7</v>
      </c>
      <c r="I399" s="437" t="s">
        <v>553</v>
      </c>
      <c r="J399" s="436">
        <v>7.0000000000000005E-8</v>
      </c>
      <c r="K399" s="437" t="s">
        <v>1620</v>
      </c>
      <c r="L399" s="453">
        <v>45</v>
      </c>
      <c r="M399" s="454" t="s">
        <v>1620</v>
      </c>
      <c r="N399" s="461" t="s">
        <v>1531</v>
      </c>
      <c r="O399" s="462" t="s">
        <v>1413</v>
      </c>
      <c r="P399" s="471">
        <v>3.1802700000000003E-2</v>
      </c>
      <c r="Q399" s="471">
        <v>3.7158999999999999E-6</v>
      </c>
      <c r="R399" s="472" t="s">
        <v>2435</v>
      </c>
      <c r="S399" s="473" t="s">
        <v>1531</v>
      </c>
      <c r="T399" s="474" t="s">
        <v>1413</v>
      </c>
      <c r="U399" s="484">
        <v>23030</v>
      </c>
      <c r="V399" s="484" t="s">
        <v>553</v>
      </c>
      <c r="W399" s="495">
        <v>4.8099999999999996</v>
      </c>
      <c r="X399" s="496" t="s">
        <v>1620</v>
      </c>
      <c r="Y399" s="486">
        <v>0.1</v>
      </c>
      <c r="Z399" s="487" t="s">
        <v>1620</v>
      </c>
      <c r="AA399" s="394">
        <v>6.3099999999999996E-3</v>
      </c>
      <c r="AB399" s="395" t="s">
        <v>553</v>
      </c>
      <c r="AC399" s="369"/>
    </row>
    <row r="400" spans="1:29" ht="20.100000000000001" customHeight="1">
      <c r="A400" s="390" t="s">
        <v>2505</v>
      </c>
      <c r="B400" s="391" t="s">
        <v>2506</v>
      </c>
      <c r="C400" s="400">
        <f>COUNTIF('Chem Props'!$B$6:$B$851,'Parameters Summary'!A400)</f>
        <v>1</v>
      </c>
      <c r="D400" s="400">
        <f>COUNTIF('Tox Summary'!$N$3:$N$792, 'Parameters Summary'!A400)</f>
        <v>1</v>
      </c>
      <c r="E400" s="434">
        <v>71.078999999999994</v>
      </c>
      <c r="F400" s="435" t="s">
        <v>1620</v>
      </c>
      <c r="G400" s="436">
        <v>4.0069999999999998E-4</v>
      </c>
      <c r="H400" s="436">
        <v>9.7999999999999993E-6</v>
      </c>
      <c r="I400" s="437" t="s">
        <v>1620</v>
      </c>
      <c r="J400" s="436">
        <v>0.11890000000000001</v>
      </c>
      <c r="K400" s="437" t="s">
        <v>1620</v>
      </c>
      <c r="L400" s="453">
        <v>-40</v>
      </c>
      <c r="M400" s="454" t="s">
        <v>1620</v>
      </c>
      <c r="N400" s="455">
        <v>0.98770000000000002</v>
      </c>
      <c r="O400" s="456" t="s">
        <v>1618</v>
      </c>
      <c r="P400" s="471">
        <v>0.1010906</v>
      </c>
      <c r="Q400" s="471">
        <v>1.17E-5</v>
      </c>
      <c r="R400" s="472" t="s">
        <v>2435</v>
      </c>
      <c r="S400" s="473" t="s">
        <v>1531</v>
      </c>
      <c r="T400" s="474" t="s">
        <v>1413</v>
      </c>
      <c r="U400" s="484">
        <v>1</v>
      </c>
      <c r="V400" s="484" t="s">
        <v>553</v>
      </c>
      <c r="W400" s="495">
        <v>-0.94</v>
      </c>
      <c r="X400" s="496" t="s">
        <v>1620</v>
      </c>
      <c r="Y400" s="486">
        <v>465600</v>
      </c>
      <c r="Z400" s="487" t="s">
        <v>1620</v>
      </c>
      <c r="AA400" s="394">
        <v>1.4799999999999999E-4</v>
      </c>
      <c r="AB400" s="395" t="s">
        <v>553</v>
      </c>
      <c r="AC400" s="369"/>
    </row>
    <row r="401" spans="1:29" ht="20.100000000000001" customHeight="1" thickBot="1">
      <c r="A401" s="392" t="s">
        <v>1202</v>
      </c>
      <c r="B401" s="393" t="s">
        <v>1413</v>
      </c>
      <c r="C401" s="400">
        <f>COUNTIF('Chem Props'!$B$6:$B$851,'Parameters Summary'!A401)</f>
        <v>0</v>
      </c>
      <c r="D401" s="400">
        <f>COUNTIF('Tox Summary'!$N$3:$N$792, 'Parameters Summary'!A401)</f>
        <v>1</v>
      </c>
      <c r="E401" s="448" t="s">
        <v>1531</v>
      </c>
      <c r="F401" s="449" t="s">
        <v>1413</v>
      </c>
      <c r="G401" s="442" t="s">
        <v>1531</v>
      </c>
      <c r="H401" s="442" t="s">
        <v>1531</v>
      </c>
      <c r="I401" s="443" t="s">
        <v>1413</v>
      </c>
      <c r="J401" s="442" t="s">
        <v>1531</v>
      </c>
      <c r="K401" s="443" t="s">
        <v>1413</v>
      </c>
      <c r="L401" s="467" t="s">
        <v>1531</v>
      </c>
      <c r="M401" s="468" t="s">
        <v>1413</v>
      </c>
      <c r="N401" s="463" t="s">
        <v>1531</v>
      </c>
      <c r="O401" s="464" t="s">
        <v>1413</v>
      </c>
      <c r="P401" s="479" t="s">
        <v>1531</v>
      </c>
      <c r="Q401" s="479" t="s">
        <v>1531</v>
      </c>
      <c r="R401" s="480" t="s">
        <v>1413</v>
      </c>
      <c r="S401" s="477" t="s">
        <v>1531</v>
      </c>
      <c r="T401" s="478" t="s">
        <v>1413</v>
      </c>
      <c r="U401" s="477" t="s">
        <v>1531</v>
      </c>
      <c r="V401" s="478" t="s">
        <v>1413</v>
      </c>
      <c r="W401" s="499" t="s">
        <v>1531</v>
      </c>
      <c r="X401" s="500" t="s">
        <v>1413</v>
      </c>
      <c r="Y401" s="490" t="s">
        <v>1531</v>
      </c>
      <c r="Z401" s="491" t="s">
        <v>1413</v>
      </c>
      <c r="AA401" s="399" t="s">
        <v>1531</v>
      </c>
      <c r="AB401" s="505" t="s">
        <v>1413</v>
      </c>
      <c r="AC401" s="369"/>
    </row>
    <row r="402" spans="1:29" ht="20.100000000000001" customHeight="1">
      <c r="A402" s="390" t="s">
        <v>2371</v>
      </c>
      <c r="B402" s="391" t="s">
        <v>2116</v>
      </c>
      <c r="C402" s="400">
        <f>COUNTIF('Chem Props'!$B$6:$B$851,'Parameters Summary'!A402)</f>
        <v>1</v>
      </c>
      <c r="D402" s="400">
        <f>COUNTIF('Tox Summary'!$N$3:$N$792, 'Parameters Summary'!A402)</f>
        <v>1</v>
      </c>
      <c r="E402" s="434">
        <v>811.51</v>
      </c>
      <c r="F402" s="435" t="s">
        <v>1620</v>
      </c>
      <c r="G402" s="444" t="s">
        <v>1531</v>
      </c>
      <c r="H402" s="444" t="s">
        <v>1531</v>
      </c>
      <c r="I402" s="445" t="s">
        <v>1413</v>
      </c>
      <c r="J402" s="444" t="s">
        <v>1531</v>
      </c>
      <c r="K402" s="445" t="s">
        <v>1413</v>
      </c>
      <c r="L402" s="453">
        <v>1014</v>
      </c>
      <c r="M402" s="454" t="s">
        <v>1620</v>
      </c>
      <c r="N402" s="455">
        <v>7.01</v>
      </c>
      <c r="O402" s="456" t="s">
        <v>1618</v>
      </c>
      <c r="P402" s="482" t="s">
        <v>1531</v>
      </c>
      <c r="Q402" s="482" t="s">
        <v>1531</v>
      </c>
      <c r="R402" s="483" t="s">
        <v>1413</v>
      </c>
      <c r="S402" s="473" t="s">
        <v>1531</v>
      </c>
      <c r="T402" s="474" t="s">
        <v>1413</v>
      </c>
      <c r="U402" s="473" t="s">
        <v>1531</v>
      </c>
      <c r="V402" s="474" t="s">
        <v>1413</v>
      </c>
      <c r="W402" s="501" t="s">
        <v>1531</v>
      </c>
      <c r="X402" s="502" t="s">
        <v>1413</v>
      </c>
      <c r="Y402" s="486">
        <v>0</v>
      </c>
      <c r="Z402" s="487" t="s">
        <v>1618</v>
      </c>
      <c r="AA402" s="394">
        <v>1E-3</v>
      </c>
      <c r="AB402" s="395" t="s">
        <v>1668</v>
      </c>
      <c r="AC402" s="369"/>
    </row>
    <row r="403" spans="1:29" ht="20.100000000000001" customHeight="1">
      <c r="A403" s="390" t="s">
        <v>2372</v>
      </c>
      <c r="B403" s="391" t="s">
        <v>38</v>
      </c>
      <c r="C403" s="400">
        <f>COUNTIF('Chem Props'!$B$6:$B$851,'Parameters Summary'!A403)</f>
        <v>1</v>
      </c>
      <c r="D403" s="400">
        <f>COUNTIF('Tox Summary'!$N$3:$N$792, 'Parameters Summary'!A403)</f>
        <v>1</v>
      </c>
      <c r="E403" s="434">
        <v>327.3</v>
      </c>
      <c r="F403" s="435" t="s">
        <v>1620</v>
      </c>
      <c r="G403" s="444" t="s">
        <v>1531</v>
      </c>
      <c r="H403" s="444" t="s">
        <v>1531</v>
      </c>
      <c r="I403" s="445" t="s">
        <v>1413</v>
      </c>
      <c r="J403" s="436">
        <v>7.2199999999999999E-4</v>
      </c>
      <c r="K403" s="437" t="s">
        <v>1620</v>
      </c>
      <c r="L403" s="453">
        <v>327.39999999999998</v>
      </c>
      <c r="M403" s="454" t="s">
        <v>1620</v>
      </c>
      <c r="N403" s="455">
        <v>3.25</v>
      </c>
      <c r="O403" s="456" t="s">
        <v>1618</v>
      </c>
      <c r="P403" s="471">
        <v>3.3267900000000003E-2</v>
      </c>
      <c r="Q403" s="471">
        <v>9.5374999999999997E-6</v>
      </c>
      <c r="R403" s="472" t="s">
        <v>2435</v>
      </c>
      <c r="S403" s="473" t="s">
        <v>1531</v>
      </c>
      <c r="T403" s="474" t="s">
        <v>1413</v>
      </c>
      <c r="U403" s="484">
        <v>1</v>
      </c>
      <c r="V403" s="484" t="s">
        <v>553</v>
      </c>
      <c r="W403" s="495">
        <v>-0.08</v>
      </c>
      <c r="X403" s="496" t="s">
        <v>1620</v>
      </c>
      <c r="Y403" s="486">
        <v>1600</v>
      </c>
      <c r="Z403" s="487" t="s">
        <v>1620</v>
      </c>
      <c r="AA403" s="394">
        <v>2.0800000000000001E-5</v>
      </c>
      <c r="AB403" s="395" t="s">
        <v>553</v>
      </c>
      <c r="AC403" s="369"/>
    </row>
    <row r="404" spans="1:29" ht="20.100000000000001" customHeight="1" thickBot="1">
      <c r="A404" s="392" t="s">
        <v>2373</v>
      </c>
      <c r="B404" s="393" t="s">
        <v>39</v>
      </c>
      <c r="C404" s="400">
        <f>COUNTIF('Chem Props'!$B$6:$B$851,'Parameters Summary'!A404)</f>
        <v>1</v>
      </c>
      <c r="D404" s="400">
        <f>COUNTIF('Tox Summary'!$N$3:$N$792, 'Parameters Summary'!A404)</f>
        <v>1</v>
      </c>
      <c r="E404" s="438">
        <v>207.2</v>
      </c>
      <c r="F404" s="439" t="s">
        <v>553</v>
      </c>
      <c r="G404" s="442" t="s">
        <v>1531</v>
      </c>
      <c r="H404" s="442" t="s">
        <v>1531</v>
      </c>
      <c r="I404" s="443" t="s">
        <v>1413</v>
      </c>
      <c r="J404" s="440">
        <v>0</v>
      </c>
      <c r="K404" s="441" t="s">
        <v>2204</v>
      </c>
      <c r="L404" s="457">
        <v>327.5</v>
      </c>
      <c r="M404" s="458" t="s">
        <v>553</v>
      </c>
      <c r="N404" s="459">
        <v>11.3</v>
      </c>
      <c r="O404" s="460" t="s">
        <v>1618</v>
      </c>
      <c r="P404" s="479" t="s">
        <v>1531</v>
      </c>
      <c r="Q404" s="479" t="s">
        <v>1531</v>
      </c>
      <c r="R404" s="480" t="s">
        <v>1413</v>
      </c>
      <c r="S404" s="481">
        <v>900</v>
      </c>
      <c r="T404" s="481" t="s">
        <v>2155</v>
      </c>
      <c r="U404" s="477" t="s">
        <v>1531</v>
      </c>
      <c r="V404" s="478" t="s">
        <v>1413</v>
      </c>
      <c r="W404" s="499" t="s">
        <v>1531</v>
      </c>
      <c r="X404" s="500" t="s">
        <v>1413</v>
      </c>
      <c r="Y404" s="490" t="s">
        <v>1531</v>
      </c>
      <c r="Z404" s="491" t="s">
        <v>1413</v>
      </c>
      <c r="AA404" s="396">
        <v>1E-4</v>
      </c>
      <c r="AB404" s="397" t="s">
        <v>1668</v>
      </c>
      <c r="AC404" s="369"/>
    </row>
    <row r="405" spans="1:29" ht="20.100000000000001" customHeight="1">
      <c r="A405" s="390" t="s">
        <v>2374</v>
      </c>
      <c r="B405" s="391" t="s">
        <v>40</v>
      </c>
      <c r="C405" s="400">
        <f>COUNTIF('Chem Props'!$B$6:$B$851,'Parameters Summary'!A405)</f>
        <v>1</v>
      </c>
      <c r="D405" s="400">
        <f>COUNTIF('Tox Summary'!$N$3:$N$792, 'Parameters Summary'!A405)</f>
        <v>1</v>
      </c>
      <c r="E405" s="434">
        <v>805.67</v>
      </c>
      <c r="F405" s="435" t="s">
        <v>1620</v>
      </c>
      <c r="G405" s="444" t="s">
        <v>1531</v>
      </c>
      <c r="H405" s="444" t="s">
        <v>1531</v>
      </c>
      <c r="I405" s="445" t="s">
        <v>1413</v>
      </c>
      <c r="J405" s="436">
        <v>2.98E-10</v>
      </c>
      <c r="K405" s="437" t="s">
        <v>1620</v>
      </c>
      <c r="L405" s="453">
        <v>156.72999999999999</v>
      </c>
      <c r="M405" s="454" t="s">
        <v>553</v>
      </c>
      <c r="N405" s="461" t="s">
        <v>1531</v>
      </c>
      <c r="O405" s="462" t="s">
        <v>1413</v>
      </c>
      <c r="P405" s="471">
        <v>2.1944000000000002E-2</v>
      </c>
      <c r="Q405" s="471">
        <v>2.5639999999999999E-6</v>
      </c>
      <c r="R405" s="472" t="s">
        <v>2435</v>
      </c>
      <c r="S405" s="473" t="s">
        <v>1531</v>
      </c>
      <c r="T405" s="474" t="s">
        <v>1413</v>
      </c>
      <c r="U405" s="484">
        <v>10.37</v>
      </c>
      <c r="V405" s="484" t="s">
        <v>553</v>
      </c>
      <c r="W405" s="495">
        <v>-4</v>
      </c>
      <c r="X405" s="496" t="s">
        <v>1620</v>
      </c>
      <c r="Y405" s="486">
        <v>62500</v>
      </c>
      <c r="Z405" s="487" t="s">
        <v>1620</v>
      </c>
      <c r="AA405" s="394">
        <v>1.0300000000000001E-10</v>
      </c>
      <c r="AB405" s="395" t="s">
        <v>553</v>
      </c>
      <c r="AC405" s="369"/>
    </row>
    <row r="406" spans="1:29" ht="20.100000000000001" customHeight="1">
      <c r="A406" s="390" t="s">
        <v>2338</v>
      </c>
      <c r="B406" s="391" t="s">
        <v>41</v>
      </c>
      <c r="C406" s="400">
        <f>COUNTIF('Chem Props'!$B$6:$B$851,'Parameters Summary'!A406)</f>
        <v>1</v>
      </c>
      <c r="D406" s="400">
        <f>COUNTIF('Tox Summary'!$N$3:$N$792, 'Parameters Summary'!A406)</f>
        <v>1</v>
      </c>
      <c r="E406" s="434">
        <v>323.44</v>
      </c>
      <c r="F406" s="435" t="s">
        <v>1620</v>
      </c>
      <c r="G406" s="436">
        <v>23.221585999999999</v>
      </c>
      <c r="H406" s="436">
        <v>0.56799999999999995</v>
      </c>
      <c r="I406" s="437" t="s">
        <v>1620</v>
      </c>
      <c r="J406" s="436">
        <v>0.26</v>
      </c>
      <c r="K406" s="437" t="s">
        <v>1620</v>
      </c>
      <c r="L406" s="453">
        <v>-134</v>
      </c>
      <c r="M406" s="454" t="s">
        <v>1620</v>
      </c>
      <c r="N406" s="455">
        <v>1.653</v>
      </c>
      <c r="O406" s="456" t="s">
        <v>1618</v>
      </c>
      <c r="P406" s="471">
        <v>2.4640100000000002E-2</v>
      </c>
      <c r="Q406" s="471">
        <v>6.4026000000000003E-6</v>
      </c>
      <c r="R406" s="472" t="s">
        <v>2435</v>
      </c>
      <c r="S406" s="473" t="s">
        <v>1531</v>
      </c>
      <c r="T406" s="474" t="s">
        <v>1413</v>
      </c>
      <c r="U406" s="484">
        <v>647.9</v>
      </c>
      <c r="V406" s="484" t="s">
        <v>553</v>
      </c>
      <c r="W406" s="495">
        <v>4.1500000000000004</v>
      </c>
      <c r="X406" s="496" t="s">
        <v>1620</v>
      </c>
      <c r="Y406" s="486">
        <v>0.28999999999999998</v>
      </c>
      <c r="Z406" s="487" t="s">
        <v>1620</v>
      </c>
      <c r="AA406" s="394">
        <v>1.37E-2</v>
      </c>
      <c r="AB406" s="395" t="s">
        <v>553</v>
      </c>
      <c r="AC406" s="369"/>
    </row>
    <row r="407" spans="1:29" ht="20.100000000000001" customHeight="1" thickBot="1">
      <c r="A407" s="392" t="s">
        <v>2284</v>
      </c>
      <c r="B407" s="393" t="s">
        <v>2283</v>
      </c>
      <c r="C407" s="400">
        <f>COUNTIF('Chem Props'!$B$6:$B$851,'Parameters Summary'!A407)</f>
        <v>1</v>
      </c>
      <c r="D407" s="400">
        <f>COUNTIF('Tox Summary'!$N$3:$N$792, 'Parameters Summary'!A407)</f>
        <v>1</v>
      </c>
      <c r="E407" s="438">
        <v>207.32</v>
      </c>
      <c r="F407" s="439" t="s">
        <v>1620</v>
      </c>
      <c r="G407" s="440">
        <v>8.9099999999999995E-3</v>
      </c>
      <c r="H407" s="440">
        <v>2.1800000000000001E-4</v>
      </c>
      <c r="I407" s="441" t="s">
        <v>553</v>
      </c>
      <c r="J407" s="440">
        <v>0.57999999999999996</v>
      </c>
      <c r="K407" s="441" t="s">
        <v>1620</v>
      </c>
      <c r="L407" s="457">
        <v>0.1</v>
      </c>
      <c r="M407" s="458" t="s">
        <v>1620</v>
      </c>
      <c r="N407" s="459">
        <v>1.8879999999999999</v>
      </c>
      <c r="O407" s="460" t="s">
        <v>1618</v>
      </c>
      <c r="P407" s="475">
        <v>3.2784099999999997E-2</v>
      </c>
      <c r="Q407" s="475">
        <v>9.0550000000000005E-6</v>
      </c>
      <c r="R407" s="476" t="s">
        <v>2435</v>
      </c>
      <c r="S407" s="477" t="s">
        <v>1531</v>
      </c>
      <c r="T407" s="478" t="s">
        <v>1413</v>
      </c>
      <c r="U407" s="481">
        <v>110.6</v>
      </c>
      <c r="V407" s="481" t="s">
        <v>553</v>
      </c>
      <c r="W407" s="497">
        <v>2.56</v>
      </c>
      <c r="X407" s="498" t="s">
        <v>1620</v>
      </c>
      <c r="Y407" s="488">
        <v>500</v>
      </c>
      <c r="Z407" s="489" t="s">
        <v>1620</v>
      </c>
      <c r="AA407" s="396">
        <v>5.4000000000000003E-3</v>
      </c>
      <c r="AB407" s="397" t="s">
        <v>553</v>
      </c>
      <c r="AC407" s="369"/>
    </row>
    <row r="408" spans="1:29" ht="20.100000000000001" customHeight="1">
      <c r="A408" s="390" t="s">
        <v>1203</v>
      </c>
      <c r="B408" s="391" t="s">
        <v>42</v>
      </c>
      <c r="C408" s="400">
        <f>COUNTIF('Chem Props'!$B$6:$B$851,'Parameters Summary'!A408)</f>
        <v>1</v>
      </c>
      <c r="D408" s="400">
        <f>COUNTIF('Tox Summary'!$N$3:$N$792, 'Parameters Summary'!A408)</f>
        <v>1</v>
      </c>
      <c r="E408" s="434">
        <v>249.1</v>
      </c>
      <c r="F408" s="435" t="s">
        <v>1620</v>
      </c>
      <c r="G408" s="436">
        <v>2.5552E-7</v>
      </c>
      <c r="H408" s="436">
        <v>6.2499999999999997E-9</v>
      </c>
      <c r="I408" s="437" t="s">
        <v>553</v>
      </c>
      <c r="J408" s="436">
        <v>1.4300000000000001E-6</v>
      </c>
      <c r="K408" s="437" t="s">
        <v>1620</v>
      </c>
      <c r="L408" s="453">
        <v>93</v>
      </c>
      <c r="M408" s="454" t="s">
        <v>1620</v>
      </c>
      <c r="N408" s="461" t="s">
        <v>1531</v>
      </c>
      <c r="O408" s="462" t="s">
        <v>1413</v>
      </c>
      <c r="P408" s="471">
        <v>4.7992300000000002E-2</v>
      </c>
      <c r="Q408" s="471">
        <v>5.6075000000000001E-6</v>
      </c>
      <c r="R408" s="472" t="s">
        <v>2435</v>
      </c>
      <c r="S408" s="473" t="s">
        <v>1531</v>
      </c>
      <c r="T408" s="474" t="s">
        <v>1413</v>
      </c>
      <c r="U408" s="484">
        <v>339.8</v>
      </c>
      <c r="V408" s="484" t="s">
        <v>553</v>
      </c>
      <c r="W408" s="495">
        <v>3.2</v>
      </c>
      <c r="X408" s="496" t="s">
        <v>1620</v>
      </c>
      <c r="Y408" s="486">
        <v>75</v>
      </c>
      <c r="Z408" s="487" t="s">
        <v>1620</v>
      </c>
      <c r="AA408" s="394">
        <v>8.3899999999999999E-3</v>
      </c>
      <c r="AB408" s="395" t="s">
        <v>553</v>
      </c>
      <c r="AC408" s="369"/>
    </row>
    <row r="409" spans="1:29" ht="20.100000000000001" customHeight="1">
      <c r="A409" s="390" t="s">
        <v>536</v>
      </c>
      <c r="B409" s="391" t="s">
        <v>43</v>
      </c>
      <c r="C409" s="400">
        <f>COUNTIF('Chem Props'!$B$6:$B$851,'Parameters Summary'!A409)</f>
        <v>1</v>
      </c>
      <c r="D409" s="400">
        <f>COUNTIF('Tox Summary'!$N$3:$N$792, 'Parameters Summary'!A409)</f>
        <v>1</v>
      </c>
      <c r="E409" s="434">
        <v>6.94</v>
      </c>
      <c r="F409" s="435" t="s">
        <v>553</v>
      </c>
      <c r="G409" s="444" t="s">
        <v>1531</v>
      </c>
      <c r="H409" s="444" t="s">
        <v>1531</v>
      </c>
      <c r="I409" s="445" t="s">
        <v>1413</v>
      </c>
      <c r="J409" s="444" t="s">
        <v>1531</v>
      </c>
      <c r="K409" s="445" t="s">
        <v>1413</v>
      </c>
      <c r="L409" s="453">
        <v>180.5</v>
      </c>
      <c r="M409" s="454" t="s">
        <v>1618</v>
      </c>
      <c r="N409" s="455">
        <v>0.53400000000000003</v>
      </c>
      <c r="O409" s="456" t="s">
        <v>1618</v>
      </c>
      <c r="P409" s="482" t="s">
        <v>1531</v>
      </c>
      <c r="Q409" s="482" t="s">
        <v>1531</v>
      </c>
      <c r="R409" s="483" t="s">
        <v>1413</v>
      </c>
      <c r="S409" s="484">
        <v>300</v>
      </c>
      <c r="T409" s="484" t="s">
        <v>2155</v>
      </c>
      <c r="U409" s="473" t="s">
        <v>1531</v>
      </c>
      <c r="V409" s="474" t="s">
        <v>1413</v>
      </c>
      <c r="W409" s="501" t="s">
        <v>1531</v>
      </c>
      <c r="X409" s="502" t="s">
        <v>1413</v>
      </c>
      <c r="Y409" s="492" t="s">
        <v>1531</v>
      </c>
      <c r="Z409" s="493" t="s">
        <v>1413</v>
      </c>
      <c r="AA409" s="394">
        <v>1E-3</v>
      </c>
      <c r="AB409" s="395" t="s">
        <v>1668</v>
      </c>
      <c r="AC409" s="369"/>
    </row>
    <row r="410" spans="1:29" ht="20.100000000000001" customHeight="1" thickBot="1">
      <c r="A410" s="392" t="s">
        <v>1210</v>
      </c>
      <c r="B410" s="393" t="s">
        <v>46</v>
      </c>
      <c r="C410" s="400">
        <f>COUNTIF('Chem Props'!$B$6:$B$851,'Parameters Summary'!A410)</f>
        <v>1</v>
      </c>
      <c r="D410" s="400">
        <f>COUNTIF('Tox Summary'!$N$3:$N$792, 'Parameters Summary'!A410)</f>
        <v>1</v>
      </c>
      <c r="E410" s="438">
        <v>200.62</v>
      </c>
      <c r="F410" s="439" t="s">
        <v>1620</v>
      </c>
      <c r="G410" s="440">
        <v>5.4374000000000001E-8</v>
      </c>
      <c r="H410" s="440">
        <v>1.33E-9</v>
      </c>
      <c r="I410" s="441" t="s">
        <v>553</v>
      </c>
      <c r="J410" s="440">
        <v>5.9000000000000003E-6</v>
      </c>
      <c r="K410" s="441" t="s">
        <v>1620</v>
      </c>
      <c r="L410" s="457">
        <v>120</v>
      </c>
      <c r="M410" s="458" t="s">
        <v>1620</v>
      </c>
      <c r="N410" s="459">
        <v>1.56</v>
      </c>
      <c r="O410" s="460" t="s">
        <v>2199</v>
      </c>
      <c r="P410" s="475">
        <v>3.06231E-2</v>
      </c>
      <c r="Q410" s="475">
        <v>8.2361000000000006E-6</v>
      </c>
      <c r="R410" s="476" t="s">
        <v>2435</v>
      </c>
      <c r="S410" s="477" t="s">
        <v>1531</v>
      </c>
      <c r="T410" s="478" t="s">
        <v>1413</v>
      </c>
      <c r="U410" s="481">
        <v>29.63</v>
      </c>
      <c r="V410" s="481" t="s">
        <v>553</v>
      </c>
      <c r="W410" s="497">
        <v>3.25</v>
      </c>
      <c r="X410" s="498" t="s">
        <v>1620</v>
      </c>
      <c r="Y410" s="488">
        <v>630</v>
      </c>
      <c r="Z410" s="489" t="s">
        <v>1620</v>
      </c>
      <c r="AA410" s="396">
        <v>1.6899999999999998E-2</v>
      </c>
      <c r="AB410" s="397" t="s">
        <v>553</v>
      </c>
      <c r="AC410" s="369"/>
    </row>
    <row r="411" spans="1:29" ht="20.100000000000001" customHeight="1">
      <c r="A411" s="390" t="s">
        <v>1211</v>
      </c>
      <c r="B411" s="391" t="s">
        <v>47</v>
      </c>
      <c r="C411" s="400">
        <f>COUNTIF('Chem Props'!$B$6:$B$851,'Parameters Summary'!A411)</f>
        <v>1</v>
      </c>
      <c r="D411" s="400">
        <f>COUNTIF('Tox Summary'!$N$3:$N$792, 'Parameters Summary'!A411)</f>
        <v>1</v>
      </c>
      <c r="E411" s="434">
        <v>228.68</v>
      </c>
      <c r="F411" s="435" t="s">
        <v>1620</v>
      </c>
      <c r="G411" s="436">
        <v>1.1079E-7</v>
      </c>
      <c r="H411" s="436">
        <v>2.7099999999999999E-9</v>
      </c>
      <c r="I411" s="437" t="s">
        <v>553</v>
      </c>
      <c r="J411" s="436">
        <v>4.3300000000000003E-7</v>
      </c>
      <c r="K411" s="437" t="s">
        <v>1620</v>
      </c>
      <c r="L411" s="453">
        <v>100</v>
      </c>
      <c r="M411" s="454" t="s">
        <v>1620</v>
      </c>
      <c r="N411" s="461" t="s">
        <v>1531</v>
      </c>
      <c r="O411" s="462" t="s">
        <v>1413</v>
      </c>
      <c r="P411" s="471">
        <v>5.0808300000000001E-2</v>
      </c>
      <c r="Q411" s="471">
        <v>5.9366E-6</v>
      </c>
      <c r="R411" s="472" t="s">
        <v>2435</v>
      </c>
      <c r="S411" s="473" t="s">
        <v>1531</v>
      </c>
      <c r="T411" s="474" t="s">
        <v>1413</v>
      </c>
      <c r="U411" s="484">
        <v>98.4</v>
      </c>
      <c r="V411" s="484" t="s">
        <v>553</v>
      </c>
      <c r="W411" s="495">
        <v>2.79</v>
      </c>
      <c r="X411" s="496" t="s">
        <v>1620</v>
      </c>
      <c r="Y411" s="486">
        <v>48</v>
      </c>
      <c r="Z411" s="487" t="s">
        <v>1620</v>
      </c>
      <c r="AA411" s="394">
        <v>1.7299999999999999E-2</v>
      </c>
      <c r="AB411" s="395" t="s">
        <v>553</v>
      </c>
      <c r="AC411" s="369"/>
    </row>
    <row r="412" spans="1:29" ht="20.100000000000001" customHeight="1">
      <c r="A412" s="390" t="s">
        <v>1212</v>
      </c>
      <c r="B412" s="391" t="s">
        <v>48</v>
      </c>
      <c r="C412" s="400">
        <f>COUNTIF('Chem Props'!$B$6:$B$851,'Parameters Summary'!A412)</f>
        <v>1</v>
      </c>
      <c r="D412" s="400">
        <f>COUNTIF('Tox Summary'!$N$3:$N$792, 'Parameters Summary'!A412)</f>
        <v>1</v>
      </c>
      <c r="E412" s="434">
        <v>214.65</v>
      </c>
      <c r="F412" s="435" t="s">
        <v>1620</v>
      </c>
      <c r="G412" s="436">
        <v>7.4407000000000002E-7</v>
      </c>
      <c r="H412" s="436">
        <v>1.8200000000000001E-8</v>
      </c>
      <c r="I412" s="437" t="s">
        <v>1620</v>
      </c>
      <c r="J412" s="436">
        <v>7.5000000000000002E-7</v>
      </c>
      <c r="K412" s="437" t="s">
        <v>1620</v>
      </c>
      <c r="L412" s="453">
        <v>94.5</v>
      </c>
      <c r="M412" s="454" t="s">
        <v>1620</v>
      </c>
      <c r="N412" s="455">
        <v>1.28</v>
      </c>
      <c r="O412" s="456" t="s">
        <v>2199</v>
      </c>
      <c r="P412" s="471">
        <v>2.7025799999999999E-2</v>
      </c>
      <c r="Q412" s="471">
        <v>7.0236E-6</v>
      </c>
      <c r="R412" s="472" t="s">
        <v>2435</v>
      </c>
      <c r="S412" s="473" t="s">
        <v>1531</v>
      </c>
      <c r="T412" s="474" t="s">
        <v>1413</v>
      </c>
      <c r="U412" s="484">
        <v>48.51</v>
      </c>
      <c r="V412" s="484" t="s">
        <v>553</v>
      </c>
      <c r="W412" s="495">
        <v>3.13</v>
      </c>
      <c r="X412" s="496" t="s">
        <v>1620</v>
      </c>
      <c r="Y412" s="486">
        <v>620</v>
      </c>
      <c r="Z412" s="487" t="s">
        <v>1620</v>
      </c>
      <c r="AA412" s="394">
        <v>1.3100000000000001E-2</v>
      </c>
      <c r="AB412" s="395" t="s">
        <v>553</v>
      </c>
      <c r="AC412" s="369"/>
    </row>
    <row r="413" spans="1:29" ht="20.100000000000001" customHeight="1" thickBot="1">
      <c r="A413" s="392" t="s">
        <v>1204</v>
      </c>
      <c r="B413" s="393" t="s">
        <v>49</v>
      </c>
      <c r="C413" s="400">
        <f>COUNTIF('Chem Props'!$B$6:$B$851,'Parameters Summary'!A413)</f>
        <v>1</v>
      </c>
      <c r="D413" s="400">
        <f>COUNTIF('Tox Summary'!$N$3:$N$792, 'Parameters Summary'!A413)</f>
        <v>1</v>
      </c>
      <c r="E413" s="438">
        <v>330.36</v>
      </c>
      <c r="F413" s="439" t="s">
        <v>1620</v>
      </c>
      <c r="G413" s="440">
        <v>1.9992000000000001E-7</v>
      </c>
      <c r="H413" s="440">
        <v>4.8900000000000003E-9</v>
      </c>
      <c r="I413" s="441" t="s">
        <v>1620</v>
      </c>
      <c r="J413" s="440">
        <v>3.3799999999999998E-6</v>
      </c>
      <c r="K413" s="441" t="s">
        <v>1620</v>
      </c>
      <c r="L413" s="457">
        <v>2.8</v>
      </c>
      <c r="M413" s="458" t="s">
        <v>1620</v>
      </c>
      <c r="N413" s="459">
        <v>1.2076</v>
      </c>
      <c r="O413" s="460" t="s">
        <v>1618</v>
      </c>
      <c r="P413" s="475">
        <v>2.09873E-2</v>
      </c>
      <c r="Q413" s="475">
        <v>5.2364000000000004E-6</v>
      </c>
      <c r="R413" s="476" t="s">
        <v>2435</v>
      </c>
      <c r="S413" s="477" t="s">
        <v>1531</v>
      </c>
      <c r="T413" s="478" t="s">
        <v>1413</v>
      </c>
      <c r="U413" s="481">
        <v>31.27</v>
      </c>
      <c r="V413" s="481" t="s">
        <v>553</v>
      </c>
      <c r="W413" s="497">
        <v>2.36</v>
      </c>
      <c r="X413" s="498" t="s">
        <v>1620</v>
      </c>
      <c r="Y413" s="488">
        <v>143</v>
      </c>
      <c r="Z413" s="489" t="s">
        <v>1620</v>
      </c>
      <c r="AA413" s="396">
        <v>8.12E-4</v>
      </c>
      <c r="AB413" s="397" t="s">
        <v>553</v>
      </c>
      <c r="AC413" s="369"/>
    </row>
    <row r="414" spans="1:29" ht="20.100000000000001" customHeight="1">
      <c r="A414" s="390" t="s">
        <v>1205</v>
      </c>
      <c r="B414" s="391" t="s">
        <v>50</v>
      </c>
      <c r="C414" s="400">
        <f>COUNTIF('Chem Props'!$B$6:$B$851,'Parameters Summary'!A414)</f>
        <v>1</v>
      </c>
      <c r="D414" s="400">
        <f>COUNTIF('Tox Summary'!$N$3:$N$792, 'Parameters Summary'!A414)</f>
        <v>1</v>
      </c>
      <c r="E414" s="434">
        <v>98.058999999999997</v>
      </c>
      <c r="F414" s="435" t="s">
        <v>1620</v>
      </c>
      <c r="G414" s="436">
        <v>1.607E-4</v>
      </c>
      <c r="H414" s="436">
        <v>3.9299999999999996E-6</v>
      </c>
      <c r="I414" s="437" t="s">
        <v>1620</v>
      </c>
      <c r="J414" s="436">
        <v>0.25</v>
      </c>
      <c r="K414" s="437" t="s">
        <v>553</v>
      </c>
      <c r="L414" s="453">
        <v>52.8</v>
      </c>
      <c r="M414" s="454" t="s">
        <v>1620</v>
      </c>
      <c r="N414" s="455">
        <v>1.3140000000000001</v>
      </c>
      <c r="O414" s="456" t="s">
        <v>1618</v>
      </c>
      <c r="P414" s="471">
        <v>8.8395500000000002E-2</v>
      </c>
      <c r="Q414" s="471">
        <v>1.1399999999999999E-5</v>
      </c>
      <c r="R414" s="472" t="s">
        <v>2435</v>
      </c>
      <c r="S414" s="473" t="s">
        <v>1531</v>
      </c>
      <c r="T414" s="474" t="s">
        <v>1413</v>
      </c>
      <c r="U414" s="484">
        <v>1</v>
      </c>
      <c r="V414" s="484" t="s">
        <v>553</v>
      </c>
      <c r="W414" s="495">
        <v>1.62</v>
      </c>
      <c r="X414" s="496" t="s">
        <v>1620</v>
      </c>
      <c r="Y414" s="486">
        <v>163000</v>
      </c>
      <c r="Z414" s="487" t="s">
        <v>1621</v>
      </c>
      <c r="AA414" s="394">
        <v>5.2500000000000003E-3</v>
      </c>
      <c r="AB414" s="395" t="s">
        <v>553</v>
      </c>
      <c r="AC414" s="369"/>
    </row>
    <row r="415" spans="1:29" ht="20.100000000000001" customHeight="1">
      <c r="A415" s="390" t="s">
        <v>1206</v>
      </c>
      <c r="B415" s="391" t="s">
        <v>51</v>
      </c>
      <c r="C415" s="400">
        <f>COUNTIF('Chem Props'!$B$6:$B$851,'Parameters Summary'!A415)</f>
        <v>1</v>
      </c>
      <c r="D415" s="400">
        <f>COUNTIF('Tox Summary'!$N$3:$N$792, 'Parameters Summary'!A415)</f>
        <v>1</v>
      </c>
      <c r="E415" s="434">
        <v>112.09</v>
      </c>
      <c r="F415" s="435" t="s">
        <v>1620</v>
      </c>
      <c r="G415" s="436">
        <v>1.0834E-9</v>
      </c>
      <c r="H415" s="436">
        <v>2.6499999999999999E-11</v>
      </c>
      <c r="I415" s="437" t="s">
        <v>1620</v>
      </c>
      <c r="J415" s="436">
        <v>2.7700000000000002E-6</v>
      </c>
      <c r="K415" s="437" t="s">
        <v>1620</v>
      </c>
      <c r="L415" s="453">
        <v>306</v>
      </c>
      <c r="M415" s="454" t="s">
        <v>1620</v>
      </c>
      <c r="N415" s="461" t="s">
        <v>1531</v>
      </c>
      <c r="O415" s="462" t="s">
        <v>1413</v>
      </c>
      <c r="P415" s="471">
        <v>8.1728899999999993E-2</v>
      </c>
      <c r="Q415" s="471">
        <v>9.5494000000000004E-6</v>
      </c>
      <c r="R415" s="472" t="s">
        <v>2435</v>
      </c>
      <c r="S415" s="473" t="s">
        <v>1531</v>
      </c>
      <c r="T415" s="474" t="s">
        <v>1413</v>
      </c>
      <c r="U415" s="484">
        <v>3.3029999999999999</v>
      </c>
      <c r="V415" s="484" t="s">
        <v>553</v>
      </c>
      <c r="W415" s="495">
        <v>-0.84</v>
      </c>
      <c r="X415" s="496" t="s">
        <v>1620</v>
      </c>
      <c r="Y415" s="486">
        <v>4507</v>
      </c>
      <c r="Z415" s="487" t="s">
        <v>1620</v>
      </c>
      <c r="AA415" s="394">
        <v>1.02E-4</v>
      </c>
      <c r="AB415" s="395" t="s">
        <v>553</v>
      </c>
      <c r="AC415" s="369"/>
    </row>
    <row r="416" spans="1:29" ht="20.100000000000001" customHeight="1" thickBot="1">
      <c r="A416" s="392" t="s">
        <v>1207</v>
      </c>
      <c r="B416" s="393" t="s">
        <v>52</v>
      </c>
      <c r="C416" s="400">
        <f>COUNTIF('Chem Props'!$B$6:$B$851,'Parameters Summary'!A416)</f>
        <v>1</v>
      </c>
      <c r="D416" s="400">
        <f>COUNTIF('Tox Summary'!$N$3:$N$792, 'Parameters Summary'!A416)</f>
        <v>1</v>
      </c>
      <c r="E416" s="438">
        <v>66.063000000000002</v>
      </c>
      <c r="F416" s="439" t="s">
        <v>1620</v>
      </c>
      <c r="G416" s="440">
        <v>5.3557000000000002E-6</v>
      </c>
      <c r="H416" s="440">
        <v>1.31E-7</v>
      </c>
      <c r="I416" s="441" t="s">
        <v>553</v>
      </c>
      <c r="J416" s="440">
        <v>0.2</v>
      </c>
      <c r="K416" s="441" t="s">
        <v>553</v>
      </c>
      <c r="L416" s="457">
        <v>32</v>
      </c>
      <c r="M416" s="458" t="s">
        <v>1620</v>
      </c>
      <c r="N416" s="459">
        <v>1.1910000000000001</v>
      </c>
      <c r="O416" s="460" t="s">
        <v>1618</v>
      </c>
      <c r="P416" s="475">
        <v>0.1150694</v>
      </c>
      <c r="Q416" s="475">
        <v>1.36E-5</v>
      </c>
      <c r="R416" s="476" t="s">
        <v>2435</v>
      </c>
      <c r="S416" s="477" t="s">
        <v>1531</v>
      </c>
      <c r="T416" s="478" t="s">
        <v>1413</v>
      </c>
      <c r="U416" s="481">
        <v>3.3340000000000001</v>
      </c>
      <c r="V416" s="481" t="s">
        <v>553</v>
      </c>
      <c r="W416" s="497">
        <v>-0.6</v>
      </c>
      <c r="X416" s="498" t="s">
        <v>1620</v>
      </c>
      <c r="Y416" s="488">
        <v>133000</v>
      </c>
      <c r="Z416" s="489" t="s">
        <v>1620</v>
      </c>
      <c r="AA416" s="396">
        <v>2.6600000000000001E-4</v>
      </c>
      <c r="AB416" s="397" t="s">
        <v>553</v>
      </c>
      <c r="AC416" s="369"/>
    </row>
    <row r="417" spans="1:29" ht="20.100000000000001" customHeight="1">
      <c r="A417" s="390" t="s">
        <v>1208</v>
      </c>
      <c r="B417" s="391" t="s">
        <v>53</v>
      </c>
      <c r="C417" s="400">
        <f>COUNTIF('Chem Props'!$B$6:$B$851,'Parameters Summary'!A417)</f>
        <v>1</v>
      </c>
      <c r="D417" s="400">
        <f>COUNTIF('Tox Summary'!$N$3:$N$792, 'Parameters Summary'!A417)</f>
        <v>1</v>
      </c>
      <c r="E417" s="434">
        <v>541.03</v>
      </c>
      <c r="F417" s="435" t="s">
        <v>1620</v>
      </c>
      <c r="G417" s="436">
        <v>6.2140000000000005E-10</v>
      </c>
      <c r="H417" s="436">
        <v>1.52E-11</v>
      </c>
      <c r="I417" s="437" t="s">
        <v>1620</v>
      </c>
      <c r="J417" s="436">
        <v>1.3200000000000001E-10</v>
      </c>
      <c r="K417" s="437" t="s">
        <v>1620</v>
      </c>
      <c r="L417" s="453">
        <v>172</v>
      </c>
      <c r="M417" s="454" t="s">
        <v>2201</v>
      </c>
      <c r="N417" s="455">
        <v>1.92</v>
      </c>
      <c r="O417" s="456" t="s">
        <v>2199</v>
      </c>
      <c r="P417" s="471">
        <v>2.0356599999999999E-2</v>
      </c>
      <c r="Q417" s="471">
        <v>5.1441999999999998E-6</v>
      </c>
      <c r="R417" s="472" t="s">
        <v>2435</v>
      </c>
      <c r="S417" s="473" t="s">
        <v>1531</v>
      </c>
      <c r="T417" s="474" t="s">
        <v>1413</v>
      </c>
      <c r="U417" s="484">
        <v>607.6</v>
      </c>
      <c r="V417" s="484" t="s">
        <v>553</v>
      </c>
      <c r="W417" s="495">
        <v>1.33</v>
      </c>
      <c r="X417" s="496" t="s">
        <v>1620</v>
      </c>
      <c r="Y417" s="486">
        <v>6.2</v>
      </c>
      <c r="Z417" s="487" t="s">
        <v>1620</v>
      </c>
      <c r="AA417" s="394">
        <v>7.7099999999999998E-4</v>
      </c>
      <c r="AB417" s="395" t="s">
        <v>553</v>
      </c>
      <c r="AC417" s="369"/>
    </row>
    <row r="418" spans="1:29" ht="20.100000000000001" customHeight="1">
      <c r="A418" s="390" t="s">
        <v>1209</v>
      </c>
      <c r="B418" s="391" t="s">
        <v>54</v>
      </c>
      <c r="C418" s="400">
        <f>COUNTIF('Chem Props'!$B$6:$B$851,'Parameters Summary'!A418)</f>
        <v>1</v>
      </c>
      <c r="D418" s="400">
        <f>COUNTIF('Tox Summary'!$N$3:$N$792, 'Parameters Summary'!A418)</f>
        <v>1</v>
      </c>
      <c r="E418" s="434">
        <v>295.37</v>
      </c>
      <c r="F418" s="435" t="s">
        <v>1620</v>
      </c>
      <c r="G418" s="436">
        <v>1.9868999999999999E-7</v>
      </c>
      <c r="H418" s="436">
        <v>4.8600000000000002E-9</v>
      </c>
      <c r="I418" s="437" t="s">
        <v>1620</v>
      </c>
      <c r="J418" s="436">
        <v>7.4999999999999997E-8</v>
      </c>
      <c r="K418" s="437" t="s">
        <v>1620</v>
      </c>
      <c r="L418" s="453">
        <v>200</v>
      </c>
      <c r="M418" s="454" t="s">
        <v>553</v>
      </c>
      <c r="N418" s="461" t="s">
        <v>1531</v>
      </c>
      <c r="O418" s="462" t="s">
        <v>1413</v>
      </c>
      <c r="P418" s="471">
        <v>4.2839299999999997E-2</v>
      </c>
      <c r="Q418" s="471">
        <v>5.0054000000000004E-6</v>
      </c>
      <c r="R418" s="472" t="s">
        <v>2435</v>
      </c>
      <c r="S418" s="473" t="s">
        <v>1531</v>
      </c>
      <c r="T418" s="474" t="s">
        <v>1413</v>
      </c>
      <c r="U418" s="484">
        <v>607.6</v>
      </c>
      <c r="V418" s="484" t="s">
        <v>553</v>
      </c>
      <c r="W418" s="495">
        <v>0.62</v>
      </c>
      <c r="X418" s="496" t="s">
        <v>1620</v>
      </c>
      <c r="Y418" s="486">
        <v>6</v>
      </c>
      <c r="Z418" s="487" t="s">
        <v>1620</v>
      </c>
      <c r="AA418" s="394">
        <v>7.7099999999999998E-4</v>
      </c>
      <c r="AB418" s="395" t="s">
        <v>553</v>
      </c>
      <c r="AC418" s="369"/>
    </row>
    <row r="419" spans="1:29" ht="20.100000000000001" customHeight="1" thickBot="1">
      <c r="A419" s="392" t="s">
        <v>556</v>
      </c>
      <c r="B419" s="393" t="s">
        <v>55</v>
      </c>
      <c r="C419" s="400">
        <f>COUNTIF('Chem Props'!$B$6:$B$851,'Parameters Summary'!A419)</f>
        <v>2</v>
      </c>
      <c r="D419" s="400">
        <f>COUNTIF('Tox Summary'!$N$3:$N$792, 'Parameters Summary'!A419)</f>
        <v>1</v>
      </c>
      <c r="E419" s="438">
        <v>54.938000000000002</v>
      </c>
      <c r="F419" s="439" t="s">
        <v>1620</v>
      </c>
      <c r="G419" s="442" t="s">
        <v>1531</v>
      </c>
      <c r="H419" s="442" t="s">
        <v>1531</v>
      </c>
      <c r="I419" s="443" t="s">
        <v>1413</v>
      </c>
      <c r="J419" s="440">
        <v>0</v>
      </c>
      <c r="K419" s="441" t="s">
        <v>2204</v>
      </c>
      <c r="L419" s="457">
        <v>1244</v>
      </c>
      <c r="M419" s="458" t="s">
        <v>1620</v>
      </c>
      <c r="N419" s="459">
        <v>7.3</v>
      </c>
      <c r="O419" s="460" t="s">
        <v>1618</v>
      </c>
      <c r="P419" s="479" t="s">
        <v>1531</v>
      </c>
      <c r="Q419" s="479" t="s">
        <v>1531</v>
      </c>
      <c r="R419" s="480" t="s">
        <v>1413</v>
      </c>
      <c r="S419" s="481">
        <v>65</v>
      </c>
      <c r="T419" s="481" t="s">
        <v>2155</v>
      </c>
      <c r="U419" s="477" t="s">
        <v>1531</v>
      </c>
      <c r="V419" s="478" t="s">
        <v>1413</v>
      </c>
      <c r="W419" s="499" t="s">
        <v>1531</v>
      </c>
      <c r="X419" s="500" t="s">
        <v>1413</v>
      </c>
      <c r="Y419" s="490" t="s">
        <v>1531</v>
      </c>
      <c r="Z419" s="491" t="s">
        <v>1413</v>
      </c>
      <c r="AA419" s="396">
        <v>1E-3</v>
      </c>
      <c r="AB419" s="397" t="s">
        <v>1668</v>
      </c>
      <c r="AC419" s="369"/>
    </row>
    <row r="420" spans="1:29" ht="20.100000000000001" customHeight="1">
      <c r="A420" s="390" t="s">
        <v>1533</v>
      </c>
      <c r="B420" s="391" t="s">
        <v>55</v>
      </c>
      <c r="C420" s="400">
        <f>COUNTIF('Chem Props'!$B$6:$B$851,'Parameters Summary'!A420)</f>
        <v>0</v>
      </c>
      <c r="D420" s="400">
        <f>COUNTIF('Tox Summary'!$N$3:$N$792, 'Parameters Summary'!A420)</f>
        <v>1</v>
      </c>
      <c r="E420" s="434">
        <v>54.938000000000002</v>
      </c>
      <c r="F420" s="435" t="s">
        <v>1620</v>
      </c>
      <c r="G420" s="444" t="s">
        <v>1531</v>
      </c>
      <c r="H420" s="444" t="s">
        <v>1531</v>
      </c>
      <c r="I420" s="445" t="s">
        <v>1413</v>
      </c>
      <c r="J420" s="436">
        <v>0</v>
      </c>
      <c r="K420" s="437" t="s">
        <v>2204</v>
      </c>
      <c r="L420" s="453">
        <v>1244</v>
      </c>
      <c r="M420" s="454" t="s">
        <v>1620</v>
      </c>
      <c r="N420" s="455">
        <v>7.3</v>
      </c>
      <c r="O420" s="456" t="s">
        <v>1618</v>
      </c>
      <c r="P420" s="482" t="s">
        <v>1531</v>
      </c>
      <c r="Q420" s="482" t="s">
        <v>1531</v>
      </c>
      <c r="R420" s="483" t="s">
        <v>1413</v>
      </c>
      <c r="S420" s="484">
        <v>65</v>
      </c>
      <c r="T420" s="484" t="s">
        <v>2155</v>
      </c>
      <c r="U420" s="473" t="s">
        <v>1531</v>
      </c>
      <c r="V420" s="474" t="s">
        <v>1413</v>
      </c>
      <c r="W420" s="501" t="s">
        <v>1531</v>
      </c>
      <c r="X420" s="502" t="s">
        <v>1413</v>
      </c>
      <c r="Y420" s="492" t="s">
        <v>1531</v>
      </c>
      <c r="Z420" s="493" t="s">
        <v>1413</v>
      </c>
      <c r="AA420" s="394">
        <v>1E-3</v>
      </c>
      <c r="AB420" s="395" t="s">
        <v>1668</v>
      </c>
      <c r="AC420" s="369"/>
    </row>
    <row r="421" spans="1:29" ht="20.100000000000001" customHeight="1">
      <c r="A421" s="390" t="s">
        <v>1213</v>
      </c>
      <c r="B421" s="391" t="s">
        <v>56</v>
      </c>
      <c r="C421" s="400">
        <f>COUNTIF('Chem Props'!$B$6:$B$851,'Parameters Summary'!A421)</f>
        <v>1</v>
      </c>
      <c r="D421" s="400">
        <f>COUNTIF('Tox Summary'!$N$3:$N$792, 'Parameters Summary'!A421)</f>
        <v>1</v>
      </c>
      <c r="E421" s="434">
        <v>269.32</v>
      </c>
      <c r="F421" s="435" t="s">
        <v>1620</v>
      </c>
      <c r="G421" s="436">
        <v>4.8650999999999997E-9</v>
      </c>
      <c r="H421" s="436">
        <v>1.19E-10</v>
      </c>
      <c r="I421" s="437" t="s">
        <v>1620</v>
      </c>
      <c r="J421" s="436">
        <v>3.18E-5</v>
      </c>
      <c r="K421" s="437" t="s">
        <v>1620</v>
      </c>
      <c r="L421" s="453">
        <v>83.56</v>
      </c>
      <c r="M421" s="454" t="s">
        <v>553</v>
      </c>
      <c r="N421" s="461" t="s">
        <v>1531</v>
      </c>
      <c r="O421" s="462" t="s">
        <v>1413</v>
      </c>
      <c r="P421" s="471">
        <v>4.5559000000000002E-2</v>
      </c>
      <c r="Q421" s="471">
        <v>5.3232000000000001E-6</v>
      </c>
      <c r="R421" s="472" t="s">
        <v>2435</v>
      </c>
      <c r="S421" s="473" t="s">
        <v>1531</v>
      </c>
      <c r="T421" s="474" t="s">
        <v>1413</v>
      </c>
      <c r="U421" s="484">
        <v>636.29999999999995</v>
      </c>
      <c r="V421" s="484" t="s">
        <v>553</v>
      </c>
      <c r="W421" s="495">
        <v>1.04</v>
      </c>
      <c r="X421" s="496" t="s">
        <v>1620</v>
      </c>
      <c r="Y421" s="486">
        <v>57</v>
      </c>
      <c r="Z421" s="487" t="s">
        <v>1620</v>
      </c>
      <c r="AA421" s="394">
        <v>2.3699999999999999E-4</v>
      </c>
      <c r="AB421" s="395" t="s">
        <v>553</v>
      </c>
      <c r="AC421" s="369"/>
    </row>
    <row r="422" spans="1:29" ht="20.100000000000001" customHeight="1" thickBot="1">
      <c r="A422" s="392" t="s">
        <v>1214</v>
      </c>
      <c r="B422" s="393" t="s">
        <v>57</v>
      </c>
      <c r="C422" s="400">
        <f>COUNTIF('Chem Props'!$B$6:$B$851,'Parameters Summary'!A422)</f>
        <v>1</v>
      </c>
      <c r="D422" s="400">
        <f>COUNTIF('Tox Summary'!$N$3:$N$792, 'Parameters Summary'!A422)</f>
        <v>1</v>
      </c>
      <c r="E422" s="438">
        <v>149.66999999999999</v>
      </c>
      <c r="F422" s="439" t="s">
        <v>1620</v>
      </c>
      <c r="G422" s="440">
        <v>1.762E-10</v>
      </c>
      <c r="H422" s="440">
        <v>4.31E-12</v>
      </c>
      <c r="I422" s="441" t="s">
        <v>1620</v>
      </c>
      <c r="J422" s="440">
        <v>3.7099999999999997E-7</v>
      </c>
      <c r="K422" s="441" t="s">
        <v>1620</v>
      </c>
      <c r="L422" s="457">
        <v>223</v>
      </c>
      <c r="M422" s="458" t="s">
        <v>1620</v>
      </c>
      <c r="N422" s="463" t="s">
        <v>1531</v>
      </c>
      <c r="O422" s="464" t="s">
        <v>1413</v>
      </c>
      <c r="P422" s="475">
        <v>6.7400600000000005E-2</v>
      </c>
      <c r="Q422" s="475">
        <v>7.8752000000000004E-6</v>
      </c>
      <c r="R422" s="476" t="s">
        <v>2435</v>
      </c>
      <c r="S422" s="477" t="s">
        <v>1531</v>
      </c>
      <c r="T422" s="478" t="s">
        <v>1413</v>
      </c>
      <c r="U422" s="481">
        <v>66.16</v>
      </c>
      <c r="V422" s="481" t="s">
        <v>553</v>
      </c>
      <c r="W422" s="497">
        <v>-2.82</v>
      </c>
      <c r="X422" s="498" t="s">
        <v>1620</v>
      </c>
      <c r="Y422" s="488">
        <v>500000</v>
      </c>
      <c r="Z422" s="489" t="s">
        <v>1620</v>
      </c>
      <c r="AA422" s="396">
        <v>3.0299999999999998E-6</v>
      </c>
      <c r="AB422" s="397" t="s">
        <v>553</v>
      </c>
      <c r="AC422" s="369"/>
    </row>
    <row r="423" spans="1:29" ht="20.100000000000001" customHeight="1">
      <c r="A423" s="390" t="s">
        <v>2451</v>
      </c>
      <c r="B423" s="391" t="s">
        <v>2452</v>
      </c>
      <c r="C423" s="400">
        <f>COUNTIF('Chem Props'!$B$6:$B$851,'Parameters Summary'!A423)</f>
        <v>1</v>
      </c>
      <c r="D423" s="400">
        <f>COUNTIF('Tox Summary'!$N$3:$N$792, 'Parameters Summary'!A423)</f>
        <v>1</v>
      </c>
      <c r="E423" s="434">
        <v>167.25</v>
      </c>
      <c r="F423" s="435" t="s">
        <v>553</v>
      </c>
      <c r="G423" s="436">
        <v>1.4839999999999999E-6</v>
      </c>
      <c r="H423" s="436">
        <v>3.6300000000000001E-8</v>
      </c>
      <c r="I423" s="437" t="s">
        <v>553</v>
      </c>
      <c r="J423" s="436">
        <v>4.64E-4</v>
      </c>
      <c r="K423" s="437" t="s">
        <v>553</v>
      </c>
      <c r="L423" s="453">
        <v>181</v>
      </c>
      <c r="M423" s="454" t="s">
        <v>553</v>
      </c>
      <c r="N423" s="455">
        <v>1.42</v>
      </c>
      <c r="O423" s="456" t="s">
        <v>1618</v>
      </c>
      <c r="P423" s="471">
        <v>4.6799100000000003E-2</v>
      </c>
      <c r="Q423" s="471">
        <v>8.6820999999999994E-6</v>
      </c>
      <c r="R423" s="472" t="s">
        <v>2435</v>
      </c>
      <c r="S423" s="473" t="s">
        <v>1531</v>
      </c>
      <c r="T423" s="474" t="s">
        <v>1413</v>
      </c>
      <c r="U423" s="484">
        <v>1360</v>
      </c>
      <c r="V423" s="484" t="s">
        <v>553</v>
      </c>
      <c r="W423" s="495">
        <v>2.42</v>
      </c>
      <c r="X423" s="496" t="s">
        <v>553</v>
      </c>
      <c r="Y423" s="486">
        <v>120</v>
      </c>
      <c r="Z423" s="487" t="s">
        <v>553</v>
      </c>
      <c r="AA423" s="394">
        <v>7.3200000000000001E-3</v>
      </c>
      <c r="AB423" s="395" t="s">
        <v>553</v>
      </c>
      <c r="AC423" s="369"/>
    </row>
    <row r="424" spans="1:29" ht="20.100000000000001" customHeight="1">
      <c r="A424" s="390" t="s">
        <v>1215</v>
      </c>
      <c r="B424" s="391" t="s">
        <v>1413</v>
      </c>
      <c r="C424" s="400">
        <f>COUNTIF('Chem Props'!$B$6:$B$851,'Parameters Summary'!A424)</f>
        <v>0</v>
      </c>
      <c r="D424" s="400">
        <f>COUNTIF('Tox Summary'!$N$3:$N$792, 'Parameters Summary'!A424)</f>
        <v>1</v>
      </c>
      <c r="E424" s="446" t="s">
        <v>1531</v>
      </c>
      <c r="F424" s="447" t="s">
        <v>1413</v>
      </c>
      <c r="G424" s="444" t="s">
        <v>1531</v>
      </c>
      <c r="H424" s="444" t="s">
        <v>1531</v>
      </c>
      <c r="I424" s="445" t="s">
        <v>1413</v>
      </c>
      <c r="J424" s="444" t="s">
        <v>1531</v>
      </c>
      <c r="K424" s="445" t="s">
        <v>1413</v>
      </c>
      <c r="L424" s="465" t="s">
        <v>1531</v>
      </c>
      <c r="M424" s="466" t="s">
        <v>1413</v>
      </c>
      <c r="N424" s="461" t="s">
        <v>1531</v>
      </c>
      <c r="O424" s="462" t="s">
        <v>1413</v>
      </c>
      <c r="P424" s="482" t="s">
        <v>1531</v>
      </c>
      <c r="Q424" s="482" t="s">
        <v>1531</v>
      </c>
      <c r="R424" s="483" t="s">
        <v>1413</v>
      </c>
      <c r="S424" s="473" t="s">
        <v>1531</v>
      </c>
      <c r="T424" s="474" t="s">
        <v>1413</v>
      </c>
      <c r="U424" s="473" t="s">
        <v>1531</v>
      </c>
      <c r="V424" s="474" t="s">
        <v>1413</v>
      </c>
      <c r="W424" s="501" t="s">
        <v>1531</v>
      </c>
      <c r="X424" s="502" t="s">
        <v>1413</v>
      </c>
      <c r="Y424" s="492" t="s">
        <v>1531</v>
      </c>
      <c r="Z424" s="493" t="s">
        <v>1413</v>
      </c>
      <c r="AA424" s="398" t="s">
        <v>1531</v>
      </c>
      <c r="AB424" s="504" t="s">
        <v>1413</v>
      </c>
      <c r="AC424" s="369"/>
    </row>
    <row r="425" spans="1:29" ht="20.100000000000001" customHeight="1" thickBot="1">
      <c r="A425" s="392" t="s">
        <v>2359</v>
      </c>
      <c r="B425" s="393" t="s">
        <v>58</v>
      </c>
      <c r="C425" s="400">
        <f>COUNTIF('Chem Props'!$B$6:$B$851,'Parameters Summary'!A425)</f>
        <v>1</v>
      </c>
      <c r="D425" s="400">
        <f>COUNTIF('Tox Summary'!$N$3:$N$792, 'Parameters Summary'!A425)</f>
        <v>1</v>
      </c>
      <c r="E425" s="438">
        <v>271.5</v>
      </c>
      <c r="F425" s="439" t="s">
        <v>1620</v>
      </c>
      <c r="G425" s="442" t="s">
        <v>1531</v>
      </c>
      <c r="H425" s="442" t="s">
        <v>1531</v>
      </c>
      <c r="I425" s="443" t="s">
        <v>1413</v>
      </c>
      <c r="J425" s="442" t="s">
        <v>1531</v>
      </c>
      <c r="K425" s="443" t="s">
        <v>1413</v>
      </c>
      <c r="L425" s="457">
        <v>277</v>
      </c>
      <c r="M425" s="458" t="s">
        <v>1620</v>
      </c>
      <c r="N425" s="459">
        <v>5.6</v>
      </c>
      <c r="O425" s="460" t="s">
        <v>1618</v>
      </c>
      <c r="P425" s="479" t="s">
        <v>1531</v>
      </c>
      <c r="Q425" s="479" t="s">
        <v>1531</v>
      </c>
      <c r="R425" s="480" t="s">
        <v>1413</v>
      </c>
      <c r="S425" s="477" t="s">
        <v>1531</v>
      </c>
      <c r="T425" s="478" t="s">
        <v>1413</v>
      </c>
      <c r="U425" s="477" t="s">
        <v>1531</v>
      </c>
      <c r="V425" s="478" t="s">
        <v>1413</v>
      </c>
      <c r="W425" s="497">
        <v>-0.22</v>
      </c>
      <c r="X425" s="498" t="s">
        <v>1620</v>
      </c>
      <c r="Y425" s="488">
        <v>69000</v>
      </c>
      <c r="Z425" s="489" t="s">
        <v>1620</v>
      </c>
      <c r="AA425" s="396">
        <v>1E-3</v>
      </c>
      <c r="AB425" s="397" t="s">
        <v>1668</v>
      </c>
      <c r="AC425" s="369"/>
    </row>
    <row r="426" spans="1:29" ht="20.100000000000001" customHeight="1">
      <c r="A426" s="390" t="s">
        <v>2243</v>
      </c>
      <c r="B426" s="391" t="s">
        <v>59</v>
      </c>
      <c r="C426" s="400">
        <f>COUNTIF('Chem Props'!$B$6:$B$851,'Parameters Summary'!A426)</f>
        <v>1</v>
      </c>
      <c r="D426" s="400">
        <f>COUNTIF('Tox Summary'!$N$3:$N$792, 'Parameters Summary'!A426)</f>
        <v>1</v>
      </c>
      <c r="E426" s="434">
        <v>200.59</v>
      </c>
      <c r="F426" s="435" t="s">
        <v>1620</v>
      </c>
      <c r="G426" s="436">
        <v>0.35199999999999998</v>
      </c>
      <c r="H426" s="436">
        <v>8.6219999999999995E-3</v>
      </c>
      <c r="I426" s="437" t="s">
        <v>2442</v>
      </c>
      <c r="J426" s="436">
        <v>1.9580000000000001E-3</v>
      </c>
      <c r="K426" s="437" t="s">
        <v>1620</v>
      </c>
      <c r="L426" s="453">
        <v>-38.799999999999997</v>
      </c>
      <c r="M426" s="454" t="s">
        <v>1620</v>
      </c>
      <c r="N426" s="455">
        <v>13.5336</v>
      </c>
      <c r="O426" s="456" t="s">
        <v>1618</v>
      </c>
      <c r="P426" s="471">
        <v>3.0700000000000002E-2</v>
      </c>
      <c r="Q426" s="471">
        <v>6.2999999999999998E-6</v>
      </c>
      <c r="R426" s="472" t="s">
        <v>2435</v>
      </c>
      <c r="S426" s="484">
        <v>52</v>
      </c>
      <c r="T426" s="484" t="s">
        <v>557</v>
      </c>
      <c r="U426" s="473" t="s">
        <v>1531</v>
      </c>
      <c r="V426" s="474" t="s">
        <v>1413</v>
      </c>
      <c r="W426" s="495">
        <v>0.62</v>
      </c>
      <c r="X426" s="496" t="s">
        <v>1620</v>
      </c>
      <c r="Y426" s="486">
        <v>0.06</v>
      </c>
      <c r="Z426" s="487" t="s">
        <v>1620</v>
      </c>
      <c r="AA426" s="394">
        <v>1E-3</v>
      </c>
      <c r="AB426" s="395" t="s">
        <v>1668</v>
      </c>
      <c r="AC426" s="369"/>
    </row>
    <row r="427" spans="1:29" ht="20.100000000000001" customHeight="1">
      <c r="A427" s="390" t="s">
        <v>2375</v>
      </c>
      <c r="B427" s="391" t="s">
        <v>60</v>
      </c>
      <c r="C427" s="400">
        <f>COUNTIF('Chem Props'!$B$6:$B$851,'Parameters Summary'!A427)</f>
        <v>1</v>
      </c>
      <c r="D427" s="400">
        <f>COUNTIF('Tox Summary'!$N$3:$N$792, 'Parameters Summary'!A427)</f>
        <v>1</v>
      </c>
      <c r="E427" s="434">
        <v>216.6326</v>
      </c>
      <c r="F427" s="435" t="s">
        <v>2467</v>
      </c>
      <c r="G427" s="444" t="s">
        <v>1531</v>
      </c>
      <c r="H427" s="444" t="s">
        <v>1531</v>
      </c>
      <c r="I427" s="445" t="s">
        <v>1413</v>
      </c>
      <c r="J427" s="444" t="s">
        <v>1531</v>
      </c>
      <c r="K427" s="445" t="s">
        <v>1413</v>
      </c>
      <c r="L427" s="465" t="s">
        <v>1531</v>
      </c>
      <c r="M427" s="466" t="s">
        <v>1413</v>
      </c>
      <c r="N427" s="461" t="s">
        <v>1531</v>
      </c>
      <c r="O427" s="462" t="s">
        <v>1413</v>
      </c>
      <c r="P427" s="482" t="s">
        <v>1531</v>
      </c>
      <c r="Q427" s="482" t="s">
        <v>1531</v>
      </c>
      <c r="R427" s="483" t="s">
        <v>1413</v>
      </c>
      <c r="S427" s="473" t="s">
        <v>1531</v>
      </c>
      <c r="T427" s="474" t="s">
        <v>1413</v>
      </c>
      <c r="U427" s="473" t="s">
        <v>1531</v>
      </c>
      <c r="V427" s="474" t="s">
        <v>1413</v>
      </c>
      <c r="W427" s="501" t="s">
        <v>1531</v>
      </c>
      <c r="X427" s="502" t="s">
        <v>1413</v>
      </c>
      <c r="Y427" s="492" t="s">
        <v>1531</v>
      </c>
      <c r="Z427" s="493" t="s">
        <v>1413</v>
      </c>
      <c r="AA427" s="394">
        <v>1E-3</v>
      </c>
      <c r="AB427" s="395" t="s">
        <v>1668</v>
      </c>
      <c r="AC427" s="369"/>
    </row>
    <row r="428" spans="1:29" ht="20.100000000000001" customHeight="1" thickBot="1">
      <c r="A428" s="392" t="s">
        <v>2339</v>
      </c>
      <c r="B428" s="393" t="s">
        <v>61</v>
      </c>
      <c r="C428" s="400">
        <f>COUNTIF('Chem Props'!$B$6:$B$851,'Parameters Summary'!A428)</f>
        <v>1</v>
      </c>
      <c r="D428" s="400">
        <f>COUNTIF('Tox Summary'!$N$3:$N$792, 'Parameters Summary'!A428)</f>
        <v>1</v>
      </c>
      <c r="E428" s="438">
        <v>336.74</v>
      </c>
      <c r="F428" s="439" t="s">
        <v>1620</v>
      </c>
      <c r="G428" s="440">
        <v>2.3140000000000001E-8</v>
      </c>
      <c r="H428" s="440">
        <v>5.6600000000000001E-10</v>
      </c>
      <c r="I428" s="441" t="s">
        <v>553</v>
      </c>
      <c r="J428" s="440">
        <v>6.0000000000000002E-6</v>
      </c>
      <c r="K428" s="441" t="s">
        <v>1620</v>
      </c>
      <c r="L428" s="457">
        <v>153</v>
      </c>
      <c r="M428" s="458" t="s">
        <v>1620</v>
      </c>
      <c r="N428" s="463" t="s">
        <v>1531</v>
      </c>
      <c r="O428" s="464" t="s">
        <v>1413</v>
      </c>
      <c r="P428" s="475">
        <v>3.9254600000000001E-2</v>
      </c>
      <c r="Q428" s="475">
        <v>4.5866000000000003E-6</v>
      </c>
      <c r="R428" s="476" t="s">
        <v>2435</v>
      </c>
      <c r="S428" s="477" t="s">
        <v>1531</v>
      </c>
      <c r="T428" s="478" t="s">
        <v>1413</v>
      </c>
      <c r="U428" s="481">
        <v>56.44</v>
      </c>
      <c r="V428" s="481" t="s">
        <v>553</v>
      </c>
      <c r="W428" s="497">
        <v>0.71</v>
      </c>
      <c r="X428" s="498" t="s">
        <v>1620</v>
      </c>
      <c r="Y428" s="488">
        <v>4370</v>
      </c>
      <c r="Z428" s="489" t="s">
        <v>1620</v>
      </c>
      <c r="AA428" s="396">
        <v>5.9899999999999999E-5</v>
      </c>
      <c r="AB428" s="397" t="s">
        <v>553</v>
      </c>
      <c r="AC428" s="369"/>
    </row>
    <row r="429" spans="1:29" ht="20.100000000000001" customHeight="1">
      <c r="A429" s="390" t="s">
        <v>1216</v>
      </c>
      <c r="B429" s="391" t="s">
        <v>62</v>
      </c>
      <c r="C429" s="400">
        <f>COUNTIF('Chem Props'!$B$6:$B$851,'Parameters Summary'!A429)</f>
        <v>1</v>
      </c>
      <c r="D429" s="400">
        <f>COUNTIF('Tox Summary'!$N$3:$N$792, 'Parameters Summary'!A429)</f>
        <v>1</v>
      </c>
      <c r="E429" s="434">
        <v>298.51</v>
      </c>
      <c r="F429" s="435" t="s">
        <v>1620</v>
      </c>
      <c r="G429" s="436">
        <v>9.2800000000000001E-4</v>
      </c>
      <c r="H429" s="436">
        <v>2.27E-5</v>
      </c>
      <c r="I429" s="437" t="s">
        <v>1620</v>
      </c>
      <c r="J429" s="436">
        <v>2.0000000000000002E-5</v>
      </c>
      <c r="K429" s="437" t="s">
        <v>1620</v>
      </c>
      <c r="L429" s="453">
        <v>100</v>
      </c>
      <c r="M429" s="454" t="s">
        <v>1620</v>
      </c>
      <c r="N429" s="455">
        <v>1.02</v>
      </c>
      <c r="O429" s="456" t="s">
        <v>1618</v>
      </c>
      <c r="P429" s="471">
        <v>2.0400000000000001E-2</v>
      </c>
      <c r="Q429" s="471">
        <v>5.0286999999999998E-6</v>
      </c>
      <c r="R429" s="472" t="s">
        <v>2435</v>
      </c>
      <c r="S429" s="473" t="s">
        <v>1531</v>
      </c>
      <c r="T429" s="474" t="s">
        <v>1413</v>
      </c>
      <c r="U429" s="484">
        <v>48970</v>
      </c>
      <c r="V429" s="484" t="s">
        <v>553</v>
      </c>
      <c r="W429" s="495">
        <v>7.67</v>
      </c>
      <c r="X429" s="496" t="s">
        <v>1620</v>
      </c>
      <c r="Y429" s="486">
        <v>3.5000000000000001E-3</v>
      </c>
      <c r="Z429" s="487" t="s">
        <v>1620</v>
      </c>
      <c r="AA429" s="394">
        <v>4.1500000000000004</v>
      </c>
      <c r="AB429" s="395" t="s">
        <v>553</v>
      </c>
      <c r="AC429" s="369"/>
    </row>
    <row r="430" spans="1:29" ht="20.100000000000001" customHeight="1">
      <c r="A430" s="390" t="s">
        <v>1217</v>
      </c>
      <c r="B430" s="391" t="s">
        <v>63</v>
      </c>
      <c r="C430" s="400">
        <f>COUNTIF('Chem Props'!$B$6:$B$851,'Parameters Summary'!A430)</f>
        <v>1</v>
      </c>
      <c r="D430" s="400">
        <f>COUNTIF('Tox Summary'!$N$3:$N$792, 'Parameters Summary'!A430)</f>
        <v>1</v>
      </c>
      <c r="E430" s="434">
        <v>314.51</v>
      </c>
      <c r="F430" s="435" t="s">
        <v>1620</v>
      </c>
      <c r="G430" s="436">
        <v>1.2E-5</v>
      </c>
      <c r="H430" s="436">
        <v>2.9400000000000001E-7</v>
      </c>
      <c r="I430" s="437" t="s">
        <v>1620</v>
      </c>
      <c r="J430" s="436">
        <v>5.3000000000000001E-6</v>
      </c>
      <c r="K430" s="437" t="s">
        <v>1620</v>
      </c>
      <c r="L430" s="453">
        <v>-25</v>
      </c>
      <c r="M430" s="454" t="s">
        <v>1618</v>
      </c>
      <c r="N430" s="455">
        <v>1.0569999999999999</v>
      </c>
      <c r="O430" s="456" t="s">
        <v>1618</v>
      </c>
      <c r="P430" s="471">
        <v>2.0189700000000001E-2</v>
      </c>
      <c r="Q430" s="471">
        <v>4.9788999999999999E-6</v>
      </c>
      <c r="R430" s="472" t="s">
        <v>2435</v>
      </c>
      <c r="S430" s="473" t="s">
        <v>1531</v>
      </c>
      <c r="T430" s="474" t="s">
        <v>1413</v>
      </c>
      <c r="U430" s="484">
        <v>2350</v>
      </c>
      <c r="V430" s="484" t="s">
        <v>553</v>
      </c>
      <c r="W430" s="495">
        <v>5.7</v>
      </c>
      <c r="X430" s="496" t="s">
        <v>1620</v>
      </c>
      <c r="Y430" s="486">
        <v>2.2999999999999998</v>
      </c>
      <c r="Z430" s="487" t="s">
        <v>1620</v>
      </c>
      <c r="AA430" s="394">
        <v>0.16500000000000001</v>
      </c>
      <c r="AB430" s="395" t="s">
        <v>553</v>
      </c>
      <c r="AC430" s="369"/>
    </row>
    <row r="431" spans="1:29" ht="20.100000000000001" customHeight="1" thickBot="1">
      <c r="A431" s="392" t="s">
        <v>1218</v>
      </c>
      <c r="B431" s="393" t="s">
        <v>64</v>
      </c>
      <c r="C431" s="400">
        <f>COUNTIF('Chem Props'!$B$6:$B$851,'Parameters Summary'!A431)</f>
        <v>1</v>
      </c>
      <c r="D431" s="400">
        <f>COUNTIF('Tox Summary'!$N$3:$N$792, 'Parameters Summary'!A431)</f>
        <v>1</v>
      </c>
      <c r="E431" s="438">
        <v>279.33999999999997</v>
      </c>
      <c r="F431" s="439" t="s">
        <v>1620</v>
      </c>
      <c r="G431" s="440">
        <v>1.2060999999999999E-7</v>
      </c>
      <c r="H431" s="440">
        <v>2.9499999999999999E-9</v>
      </c>
      <c r="I431" s="441" t="s">
        <v>553</v>
      </c>
      <c r="J431" s="440">
        <v>5.6200000000000004E-6</v>
      </c>
      <c r="K431" s="441" t="s">
        <v>1620</v>
      </c>
      <c r="L431" s="457">
        <v>71</v>
      </c>
      <c r="M431" s="458" t="s">
        <v>1620</v>
      </c>
      <c r="N431" s="463" t="s">
        <v>1531</v>
      </c>
      <c r="O431" s="464" t="s">
        <v>1413</v>
      </c>
      <c r="P431" s="475">
        <v>4.44629E-2</v>
      </c>
      <c r="Q431" s="475">
        <v>5.1950999999999996E-6</v>
      </c>
      <c r="R431" s="476" t="s">
        <v>2435</v>
      </c>
      <c r="S431" s="477" t="s">
        <v>1531</v>
      </c>
      <c r="T431" s="478" t="s">
        <v>1413</v>
      </c>
      <c r="U431" s="481">
        <v>38.57</v>
      </c>
      <c r="V431" s="481" t="s">
        <v>553</v>
      </c>
      <c r="W431" s="497">
        <v>1.65</v>
      </c>
      <c r="X431" s="498" t="s">
        <v>1620</v>
      </c>
      <c r="Y431" s="488">
        <v>8400</v>
      </c>
      <c r="Z431" s="489" t="s">
        <v>1620</v>
      </c>
      <c r="AA431" s="396">
        <v>5.8E-4</v>
      </c>
      <c r="AB431" s="397" t="s">
        <v>553</v>
      </c>
      <c r="AC431" s="369"/>
    </row>
    <row r="432" spans="1:29" ht="20.100000000000001" customHeight="1">
      <c r="A432" s="390" t="s">
        <v>1441</v>
      </c>
      <c r="B432" s="391" t="s">
        <v>65</v>
      </c>
      <c r="C432" s="400">
        <f>COUNTIF('Chem Props'!$B$6:$B$851,'Parameters Summary'!A432)</f>
        <v>1</v>
      </c>
      <c r="D432" s="400">
        <f>COUNTIF('Tox Summary'!$N$3:$N$792, 'Parameters Summary'!A432)</f>
        <v>1</v>
      </c>
      <c r="E432" s="434">
        <v>67.090999999999994</v>
      </c>
      <c r="F432" s="435" t="s">
        <v>1620</v>
      </c>
      <c r="G432" s="436">
        <v>1.00981E-2</v>
      </c>
      <c r="H432" s="436">
        <v>2.4699999999999999E-4</v>
      </c>
      <c r="I432" s="437" t="s">
        <v>553</v>
      </c>
      <c r="J432" s="436">
        <v>71.2</v>
      </c>
      <c r="K432" s="437" t="s">
        <v>1620</v>
      </c>
      <c r="L432" s="453">
        <v>-35.799999999999997</v>
      </c>
      <c r="M432" s="454" t="s">
        <v>1620</v>
      </c>
      <c r="N432" s="455">
        <v>0.80010000000000003</v>
      </c>
      <c r="O432" s="456" t="s">
        <v>1618</v>
      </c>
      <c r="P432" s="471">
        <v>9.6429899999999999E-2</v>
      </c>
      <c r="Q432" s="471">
        <v>1.06E-5</v>
      </c>
      <c r="R432" s="472" t="s">
        <v>2435</v>
      </c>
      <c r="S432" s="473" t="s">
        <v>1531</v>
      </c>
      <c r="T432" s="474" t="s">
        <v>1413</v>
      </c>
      <c r="U432" s="484">
        <v>13.05</v>
      </c>
      <c r="V432" s="484" t="s">
        <v>553</v>
      </c>
      <c r="W432" s="495">
        <v>0.68</v>
      </c>
      <c r="X432" s="496" t="s">
        <v>1620</v>
      </c>
      <c r="Y432" s="486">
        <v>25400</v>
      </c>
      <c r="Z432" s="487" t="s">
        <v>1620</v>
      </c>
      <c r="AA432" s="394">
        <v>1.8600000000000001E-3</v>
      </c>
      <c r="AB432" s="395" t="s">
        <v>553</v>
      </c>
      <c r="AC432" s="369"/>
    </row>
    <row r="433" spans="1:29" ht="20.100000000000001" customHeight="1">
      <c r="A433" s="390" t="s">
        <v>1219</v>
      </c>
      <c r="B433" s="391" t="s">
        <v>66</v>
      </c>
      <c r="C433" s="400">
        <f>COUNTIF('Chem Props'!$B$6:$B$851,'Parameters Summary'!A433)</f>
        <v>1</v>
      </c>
      <c r="D433" s="400">
        <f>COUNTIF('Tox Summary'!$N$3:$N$792, 'Parameters Summary'!A433)</f>
        <v>1</v>
      </c>
      <c r="E433" s="434">
        <v>141.13</v>
      </c>
      <c r="F433" s="435" t="s">
        <v>1620</v>
      </c>
      <c r="G433" s="436">
        <v>3.5495000000000001E-8</v>
      </c>
      <c r="H433" s="436">
        <v>8.6819999999999996E-10</v>
      </c>
      <c r="I433" s="437" t="s">
        <v>1620</v>
      </c>
      <c r="J433" s="436">
        <v>3.5299999999999997E-5</v>
      </c>
      <c r="K433" s="437" t="s">
        <v>1620</v>
      </c>
      <c r="L433" s="453">
        <v>46</v>
      </c>
      <c r="M433" s="454" t="s">
        <v>1620</v>
      </c>
      <c r="N433" s="455">
        <v>1.31</v>
      </c>
      <c r="O433" s="456" t="s">
        <v>1618</v>
      </c>
      <c r="P433" s="471">
        <v>5.9623299999999997E-2</v>
      </c>
      <c r="Q433" s="471">
        <v>9.1593000000000005E-6</v>
      </c>
      <c r="R433" s="472" t="s">
        <v>2435</v>
      </c>
      <c r="S433" s="473" t="s">
        <v>1531</v>
      </c>
      <c r="T433" s="474" t="s">
        <v>1413</v>
      </c>
      <c r="U433" s="484">
        <v>5.407</v>
      </c>
      <c r="V433" s="484" t="s">
        <v>553</v>
      </c>
      <c r="W433" s="495">
        <v>-0.8</v>
      </c>
      <c r="X433" s="496" t="s">
        <v>1620</v>
      </c>
      <c r="Y433" s="486">
        <v>1000000</v>
      </c>
      <c r="Z433" s="487" t="s">
        <v>1620</v>
      </c>
      <c r="AA433" s="394">
        <v>7.4400000000000006E-5</v>
      </c>
      <c r="AB433" s="395" t="s">
        <v>553</v>
      </c>
      <c r="AC433" s="369"/>
    </row>
    <row r="434" spans="1:29" ht="20.100000000000001" customHeight="1" thickBot="1">
      <c r="A434" s="392" t="s">
        <v>1220</v>
      </c>
      <c r="B434" s="393" t="s">
        <v>67</v>
      </c>
      <c r="C434" s="400">
        <f>COUNTIF('Chem Props'!$B$6:$B$851,'Parameters Summary'!A434)</f>
        <v>1</v>
      </c>
      <c r="D434" s="400">
        <f>COUNTIF('Tox Summary'!$N$3:$N$792, 'Parameters Summary'!A434)</f>
        <v>1</v>
      </c>
      <c r="E434" s="438">
        <v>32.042000000000002</v>
      </c>
      <c r="F434" s="439" t="s">
        <v>1620</v>
      </c>
      <c r="G434" s="440">
        <v>1.8599999999999999E-4</v>
      </c>
      <c r="H434" s="440">
        <v>4.5499999999999996E-6</v>
      </c>
      <c r="I434" s="441" t="s">
        <v>1620</v>
      </c>
      <c r="J434" s="440">
        <v>127</v>
      </c>
      <c r="K434" s="441" t="s">
        <v>1620</v>
      </c>
      <c r="L434" s="457">
        <v>-97.6</v>
      </c>
      <c r="M434" s="458" t="s">
        <v>1620</v>
      </c>
      <c r="N434" s="459">
        <v>0.79139999999999999</v>
      </c>
      <c r="O434" s="460" t="s">
        <v>1618</v>
      </c>
      <c r="P434" s="475">
        <v>0.1582741</v>
      </c>
      <c r="Q434" s="475">
        <v>1.6500000000000001E-5</v>
      </c>
      <c r="R434" s="476" t="s">
        <v>2435</v>
      </c>
      <c r="S434" s="477" t="s">
        <v>1531</v>
      </c>
      <c r="T434" s="478" t="s">
        <v>1413</v>
      </c>
      <c r="U434" s="481">
        <v>1</v>
      </c>
      <c r="V434" s="481" t="s">
        <v>553</v>
      </c>
      <c r="W434" s="497">
        <v>-0.77</v>
      </c>
      <c r="X434" s="498" t="s">
        <v>1620</v>
      </c>
      <c r="Y434" s="488">
        <v>1000000</v>
      </c>
      <c r="Z434" s="489" t="s">
        <v>1620</v>
      </c>
      <c r="AA434" s="396">
        <v>3.19E-4</v>
      </c>
      <c r="AB434" s="397" t="s">
        <v>553</v>
      </c>
      <c r="AC434" s="369"/>
    </row>
    <row r="435" spans="1:29" ht="20.100000000000001" customHeight="1">
      <c r="A435" s="390" t="s">
        <v>1221</v>
      </c>
      <c r="B435" s="391" t="s">
        <v>68</v>
      </c>
      <c r="C435" s="400">
        <f>COUNTIF('Chem Props'!$B$6:$B$851,'Parameters Summary'!A435)</f>
        <v>1</v>
      </c>
      <c r="D435" s="400">
        <f>COUNTIF('Tox Summary'!$N$3:$N$792, 'Parameters Summary'!A435)</f>
        <v>1</v>
      </c>
      <c r="E435" s="434">
        <v>302.33</v>
      </c>
      <c r="F435" s="435" t="s">
        <v>1620</v>
      </c>
      <c r="G435" s="436">
        <v>2.9312999999999998E-7</v>
      </c>
      <c r="H435" s="436">
        <v>7.1699999999999998E-9</v>
      </c>
      <c r="I435" s="437" t="s">
        <v>553</v>
      </c>
      <c r="J435" s="436">
        <v>3.3699999999999999E-6</v>
      </c>
      <c r="K435" s="437" t="s">
        <v>1620</v>
      </c>
      <c r="L435" s="453">
        <v>39</v>
      </c>
      <c r="M435" s="454" t="s">
        <v>1620</v>
      </c>
      <c r="N435" s="461" t="s">
        <v>1531</v>
      </c>
      <c r="O435" s="462" t="s">
        <v>1413</v>
      </c>
      <c r="P435" s="471">
        <v>4.2179300000000003E-2</v>
      </c>
      <c r="Q435" s="471">
        <v>4.9282999999999999E-6</v>
      </c>
      <c r="R435" s="472" t="s">
        <v>2435</v>
      </c>
      <c r="S435" s="473" t="s">
        <v>1531</v>
      </c>
      <c r="T435" s="474" t="s">
        <v>1413</v>
      </c>
      <c r="U435" s="484">
        <v>21.24</v>
      </c>
      <c r="V435" s="484" t="s">
        <v>553</v>
      </c>
      <c r="W435" s="495">
        <v>2.2000000000000002</v>
      </c>
      <c r="X435" s="496" t="s">
        <v>1620</v>
      </c>
      <c r="Y435" s="486">
        <v>187</v>
      </c>
      <c r="Z435" s="487" t="s">
        <v>1620</v>
      </c>
      <c r="AA435" s="394">
        <v>9.1299999999999997E-4</v>
      </c>
      <c r="AB435" s="395" t="s">
        <v>553</v>
      </c>
      <c r="AC435" s="369"/>
    </row>
    <row r="436" spans="1:29" ht="20.100000000000001" customHeight="1">
      <c r="A436" s="390" t="s">
        <v>1222</v>
      </c>
      <c r="B436" s="391" t="s">
        <v>69</v>
      </c>
      <c r="C436" s="400">
        <f>COUNTIF('Chem Props'!$B$6:$B$851,'Parameters Summary'!A436)</f>
        <v>1</v>
      </c>
      <c r="D436" s="400">
        <f>COUNTIF('Tox Summary'!$N$3:$N$792, 'Parameters Summary'!A436)</f>
        <v>1</v>
      </c>
      <c r="E436" s="434">
        <v>162.21</v>
      </c>
      <c r="F436" s="435" t="s">
        <v>1620</v>
      </c>
      <c r="G436" s="436">
        <v>8.0540000000000003E-10</v>
      </c>
      <c r="H436" s="436">
        <v>1.97E-11</v>
      </c>
      <c r="I436" s="437" t="s">
        <v>553</v>
      </c>
      <c r="J436" s="436">
        <v>5.4E-6</v>
      </c>
      <c r="K436" s="437" t="s">
        <v>1620</v>
      </c>
      <c r="L436" s="453">
        <v>78</v>
      </c>
      <c r="M436" s="454" t="s">
        <v>1620</v>
      </c>
      <c r="N436" s="455">
        <v>1.2946</v>
      </c>
      <c r="O436" s="456" t="s">
        <v>1618</v>
      </c>
      <c r="P436" s="471">
        <v>4.759E-2</v>
      </c>
      <c r="Q436" s="471">
        <v>8.3658000000000004E-6</v>
      </c>
      <c r="R436" s="472" t="s">
        <v>2435</v>
      </c>
      <c r="S436" s="473" t="s">
        <v>1531</v>
      </c>
      <c r="T436" s="474" t="s">
        <v>1413</v>
      </c>
      <c r="U436" s="484">
        <v>10</v>
      </c>
      <c r="V436" s="484" t="s">
        <v>553</v>
      </c>
      <c r="W436" s="495">
        <v>0.6</v>
      </c>
      <c r="X436" s="496" t="s">
        <v>1620</v>
      </c>
      <c r="Y436" s="486">
        <v>58000</v>
      </c>
      <c r="Z436" s="487" t="s">
        <v>1620</v>
      </c>
      <c r="AA436" s="394">
        <v>4.8200000000000001E-4</v>
      </c>
      <c r="AB436" s="395" t="s">
        <v>553</v>
      </c>
      <c r="AC436" s="369"/>
    </row>
    <row r="437" spans="1:29" ht="20.100000000000001" customHeight="1" thickBot="1">
      <c r="A437" s="392" t="s">
        <v>1223</v>
      </c>
      <c r="B437" s="393" t="s">
        <v>70</v>
      </c>
      <c r="C437" s="400">
        <f>COUNTIF('Chem Props'!$B$6:$B$851,'Parameters Summary'!A437)</f>
        <v>1</v>
      </c>
      <c r="D437" s="400">
        <f>COUNTIF('Tox Summary'!$N$3:$N$792, 'Parameters Summary'!A437)</f>
        <v>1</v>
      </c>
      <c r="E437" s="438">
        <v>168.15</v>
      </c>
      <c r="F437" s="439" t="s">
        <v>1620</v>
      </c>
      <c r="G437" s="440">
        <v>5.1104E-7</v>
      </c>
      <c r="H437" s="440">
        <v>1.2499999999999999E-8</v>
      </c>
      <c r="I437" s="441" t="s">
        <v>1620</v>
      </c>
      <c r="J437" s="440">
        <v>3.19E-4</v>
      </c>
      <c r="K437" s="441" t="s">
        <v>1620</v>
      </c>
      <c r="L437" s="457">
        <v>118</v>
      </c>
      <c r="M437" s="458" t="s">
        <v>1620</v>
      </c>
      <c r="N437" s="459">
        <v>1.2068000000000001</v>
      </c>
      <c r="O437" s="460" t="s">
        <v>1618</v>
      </c>
      <c r="P437" s="475">
        <v>4.3046300000000003E-2</v>
      </c>
      <c r="Q437" s="475">
        <v>7.8493999999999998E-6</v>
      </c>
      <c r="R437" s="476" t="s">
        <v>2435</v>
      </c>
      <c r="S437" s="477" t="s">
        <v>1531</v>
      </c>
      <c r="T437" s="478" t="s">
        <v>1413</v>
      </c>
      <c r="U437" s="481">
        <v>71.31</v>
      </c>
      <c r="V437" s="481" t="s">
        <v>553</v>
      </c>
      <c r="W437" s="497">
        <v>1.47</v>
      </c>
      <c r="X437" s="498" t="s">
        <v>1620</v>
      </c>
      <c r="Y437" s="488">
        <v>115</v>
      </c>
      <c r="Z437" s="489" t="s">
        <v>1620</v>
      </c>
      <c r="AA437" s="396">
        <v>1.6900000000000001E-3</v>
      </c>
      <c r="AB437" s="397" t="s">
        <v>553</v>
      </c>
      <c r="AC437" s="369"/>
    </row>
    <row r="438" spans="1:29" ht="20.100000000000001" customHeight="1">
      <c r="A438" s="390" t="s">
        <v>387</v>
      </c>
      <c r="B438" s="391" t="s">
        <v>71</v>
      </c>
      <c r="C438" s="400">
        <f>COUNTIF('Chem Props'!$B$6:$B$851,'Parameters Summary'!A438)</f>
        <v>1</v>
      </c>
      <c r="D438" s="400">
        <f>COUNTIF('Tox Summary'!$N$3:$N$792, 'Parameters Summary'!A438)</f>
        <v>1</v>
      </c>
      <c r="E438" s="434">
        <v>345.66</v>
      </c>
      <c r="F438" s="435" t="s">
        <v>1620</v>
      </c>
      <c r="G438" s="436">
        <v>8.2993000000000003E-6</v>
      </c>
      <c r="H438" s="436">
        <v>2.03E-7</v>
      </c>
      <c r="I438" s="437" t="s">
        <v>1620</v>
      </c>
      <c r="J438" s="436">
        <v>2.5799999999999999E-6</v>
      </c>
      <c r="K438" s="437" t="s">
        <v>1620</v>
      </c>
      <c r="L438" s="453">
        <v>87</v>
      </c>
      <c r="M438" s="454" t="s">
        <v>1620</v>
      </c>
      <c r="N438" s="455">
        <v>1.41</v>
      </c>
      <c r="O438" s="456" t="s">
        <v>1618</v>
      </c>
      <c r="P438" s="471">
        <v>2.2084900000000001E-2</v>
      </c>
      <c r="Q438" s="471">
        <v>5.5925999999999996E-6</v>
      </c>
      <c r="R438" s="472" t="s">
        <v>2435</v>
      </c>
      <c r="S438" s="473" t="s">
        <v>1531</v>
      </c>
      <c r="T438" s="474" t="s">
        <v>1413</v>
      </c>
      <c r="U438" s="484">
        <v>26890</v>
      </c>
      <c r="V438" s="484" t="s">
        <v>553</v>
      </c>
      <c r="W438" s="495">
        <v>5.08</v>
      </c>
      <c r="X438" s="496" t="s">
        <v>1620</v>
      </c>
      <c r="Y438" s="486">
        <v>0.1</v>
      </c>
      <c r="Z438" s="487" t="s">
        <v>1620</v>
      </c>
      <c r="AA438" s="394">
        <v>4.2799999999999998E-2</v>
      </c>
      <c r="AB438" s="395" t="s">
        <v>553</v>
      </c>
      <c r="AC438" s="369"/>
    </row>
    <row r="439" spans="1:29" ht="20.100000000000001" customHeight="1">
      <c r="A439" s="390" t="s">
        <v>1224</v>
      </c>
      <c r="B439" s="391" t="s">
        <v>72</v>
      </c>
      <c r="C439" s="400">
        <f>COUNTIF('Chem Props'!$B$6:$B$851,'Parameters Summary'!A439)</f>
        <v>1</v>
      </c>
      <c r="D439" s="400">
        <f>COUNTIF('Tox Summary'!$N$3:$N$792, 'Parameters Summary'!A439)</f>
        <v>1</v>
      </c>
      <c r="E439" s="434">
        <v>118.13</v>
      </c>
      <c r="F439" s="435" t="s">
        <v>1620</v>
      </c>
      <c r="G439" s="436">
        <v>1.27E-5</v>
      </c>
      <c r="H439" s="436">
        <v>3.1100000000000002E-7</v>
      </c>
      <c r="I439" s="437" t="s">
        <v>553</v>
      </c>
      <c r="J439" s="436">
        <v>7</v>
      </c>
      <c r="K439" s="437" t="s">
        <v>1620</v>
      </c>
      <c r="L439" s="453">
        <v>-65.099999999999994</v>
      </c>
      <c r="M439" s="454" t="s">
        <v>1620</v>
      </c>
      <c r="N439" s="455">
        <v>1.0074000000000001</v>
      </c>
      <c r="O439" s="456" t="s">
        <v>1618</v>
      </c>
      <c r="P439" s="471">
        <v>6.5834699999999996E-2</v>
      </c>
      <c r="Q439" s="471">
        <v>8.7051999999999993E-6</v>
      </c>
      <c r="R439" s="472" t="s">
        <v>2435</v>
      </c>
      <c r="S439" s="473" t="s">
        <v>1531</v>
      </c>
      <c r="T439" s="474" t="s">
        <v>1413</v>
      </c>
      <c r="U439" s="484">
        <v>2.492</v>
      </c>
      <c r="V439" s="484" t="s">
        <v>553</v>
      </c>
      <c r="W439" s="495">
        <v>0.1</v>
      </c>
      <c r="X439" s="496" t="s">
        <v>1620</v>
      </c>
      <c r="Y439" s="486">
        <v>1000000</v>
      </c>
      <c r="Z439" s="487" t="s">
        <v>1620</v>
      </c>
      <c r="AA439" s="394">
        <v>3.9599999999999998E-4</v>
      </c>
      <c r="AB439" s="395" t="s">
        <v>553</v>
      </c>
      <c r="AC439" s="369"/>
    </row>
    <row r="440" spans="1:29" ht="20.100000000000001" customHeight="1" thickBot="1">
      <c r="A440" s="392" t="s">
        <v>1225</v>
      </c>
      <c r="B440" s="393" t="s">
        <v>73</v>
      </c>
      <c r="C440" s="400">
        <f>COUNTIF('Chem Props'!$B$6:$B$851,'Parameters Summary'!A440)</f>
        <v>1</v>
      </c>
      <c r="D440" s="400">
        <f>COUNTIF('Tox Summary'!$N$3:$N$792, 'Parameters Summary'!A440)</f>
        <v>1</v>
      </c>
      <c r="E440" s="438">
        <v>76.096000000000004</v>
      </c>
      <c r="F440" s="439" t="s">
        <v>1620</v>
      </c>
      <c r="G440" s="440">
        <v>1.3499999999999999E-5</v>
      </c>
      <c r="H440" s="440">
        <v>3.3000000000000002E-7</v>
      </c>
      <c r="I440" s="441" t="s">
        <v>1620</v>
      </c>
      <c r="J440" s="440">
        <v>9.5</v>
      </c>
      <c r="K440" s="441" t="s">
        <v>1620</v>
      </c>
      <c r="L440" s="457">
        <v>-85.1</v>
      </c>
      <c r="M440" s="458" t="s">
        <v>1620</v>
      </c>
      <c r="N440" s="459">
        <v>0.9647</v>
      </c>
      <c r="O440" s="460" t="s">
        <v>1618</v>
      </c>
      <c r="P440" s="475">
        <v>9.5155699999999996E-2</v>
      </c>
      <c r="Q440" s="475">
        <v>1.1E-5</v>
      </c>
      <c r="R440" s="476" t="s">
        <v>2435</v>
      </c>
      <c r="S440" s="477" t="s">
        <v>1531</v>
      </c>
      <c r="T440" s="478" t="s">
        <v>1413</v>
      </c>
      <c r="U440" s="481">
        <v>1</v>
      </c>
      <c r="V440" s="481" t="s">
        <v>553</v>
      </c>
      <c r="W440" s="497">
        <v>-0.77</v>
      </c>
      <c r="X440" s="498" t="s">
        <v>1620</v>
      </c>
      <c r="Y440" s="488">
        <v>1000000</v>
      </c>
      <c r="Z440" s="489" t="s">
        <v>1620</v>
      </c>
      <c r="AA440" s="396">
        <v>1.8000000000000001E-4</v>
      </c>
      <c r="AB440" s="397" t="s">
        <v>553</v>
      </c>
      <c r="AC440" s="369"/>
    </row>
    <row r="441" spans="1:29" ht="20.100000000000001" customHeight="1">
      <c r="A441" s="390" t="s">
        <v>1226</v>
      </c>
      <c r="B441" s="391" t="s">
        <v>74</v>
      </c>
      <c r="C441" s="400">
        <f>COUNTIF('Chem Props'!$B$6:$B$851,'Parameters Summary'!A441)</f>
        <v>1</v>
      </c>
      <c r="D441" s="400">
        <f>COUNTIF('Tox Summary'!$N$3:$N$792, 'Parameters Summary'!A441)</f>
        <v>1</v>
      </c>
      <c r="E441" s="434">
        <v>74.08</v>
      </c>
      <c r="F441" s="435" t="s">
        <v>1620</v>
      </c>
      <c r="G441" s="436">
        <v>4.7016000000000002E-3</v>
      </c>
      <c r="H441" s="436">
        <v>1.15E-4</v>
      </c>
      <c r="I441" s="437" t="s">
        <v>1620</v>
      </c>
      <c r="J441" s="436">
        <v>216.2</v>
      </c>
      <c r="K441" s="437" t="s">
        <v>1620</v>
      </c>
      <c r="L441" s="453">
        <v>-98</v>
      </c>
      <c r="M441" s="454" t="s">
        <v>1620</v>
      </c>
      <c r="N441" s="455">
        <v>0.93420000000000003</v>
      </c>
      <c r="O441" s="456" t="s">
        <v>1618</v>
      </c>
      <c r="P441" s="471">
        <v>9.5776299999999995E-2</v>
      </c>
      <c r="Q441" s="471">
        <v>1.1E-5</v>
      </c>
      <c r="R441" s="472" t="s">
        <v>2435</v>
      </c>
      <c r="S441" s="473" t="s">
        <v>1531</v>
      </c>
      <c r="T441" s="474" t="s">
        <v>1413</v>
      </c>
      <c r="U441" s="484">
        <v>3.0640000000000001</v>
      </c>
      <c r="V441" s="484" t="s">
        <v>553</v>
      </c>
      <c r="W441" s="495">
        <v>0.18</v>
      </c>
      <c r="X441" s="496" t="s">
        <v>1620</v>
      </c>
      <c r="Y441" s="486">
        <v>243000</v>
      </c>
      <c r="Z441" s="487" t="s">
        <v>1620</v>
      </c>
      <c r="AA441" s="394">
        <v>7.9199999999999995E-4</v>
      </c>
      <c r="AB441" s="395" t="s">
        <v>553</v>
      </c>
      <c r="AC441" s="369"/>
    </row>
    <row r="442" spans="1:29" ht="20.100000000000001" customHeight="1">
      <c r="A442" s="390" t="s">
        <v>1227</v>
      </c>
      <c r="B442" s="391" t="s">
        <v>75</v>
      </c>
      <c r="C442" s="400">
        <f>COUNTIF('Chem Props'!$B$6:$B$851,'Parameters Summary'!A442)</f>
        <v>1</v>
      </c>
      <c r="D442" s="400">
        <f>COUNTIF('Tox Summary'!$N$3:$N$792, 'Parameters Summary'!A442)</f>
        <v>1</v>
      </c>
      <c r="E442" s="434">
        <v>86.090999999999994</v>
      </c>
      <c r="F442" s="435" t="s">
        <v>1620</v>
      </c>
      <c r="G442" s="436">
        <v>8.1356999999999992E-3</v>
      </c>
      <c r="H442" s="436">
        <v>1.9900000000000001E-4</v>
      </c>
      <c r="I442" s="437" t="s">
        <v>553</v>
      </c>
      <c r="J442" s="436">
        <v>86.56</v>
      </c>
      <c r="K442" s="437" t="s">
        <v>1620</v>
      </c>
      <c r="L442" s="453">
        <v>-76.5</v>
      </c>
      <c r="M442" s="454" t="s">
        <v>1620</v>
      </c>
      <c r="N442" s="455">
        <v>0.95350000000000001</v>
      </c>
      <c r="O442" s="456" t="s">
        <v>1618</v>
      </c>
      <c r="P442" s="471">
        <v>8.5997199999999996E-2</v>
      </c>
      <c r="Q442" s="471">
        <v>1.0200000000000001E-5</v>
      </c>
      <c r="R442" s="472" t="s">
        <v>2435</v>
      </c>
      <c r="S442" s="473" t="s">
        <v>1531</v>
      </c>
      <c r="T442" s="474" t="s">
        <v>1413</v>
      </c>
      <c r="U442" s="484">
        <v>5.8440000000000003</v>
      </c>
      <c r="V442" s="484" t="s">
        <v>553</v>
      </c>
      <c r="W442" s="495">
        <v>0.8</v>
      </c>
      <c r="X442" s="496" t="s">
        <v>1620</v>
      </c>
      <c r="Y442" s="486">
        <v>49400</v>
      </c>
      <c r="Z442" s="487" t="s">
        <v>1620</v>
      </c>
      <c r="AA442" s="394">
        <v>1.75E-3</v>
      </c>
      <c r="AB442" s="395" t="s">
        <v>553</v>
      </c>
      <c r="AC442" s="369"/>
    </row>
    <row r="443" spans="1:29" ht="20.100000000000001" customHeight="1" thickBot="1">
      <c r="A443" s="392" t="s">
        <v>1228</v>
      </c>
      <c r="B443" s="393" t="s">
        <v>76</v>
      </c>
      <c r="C443" s="400">
        <f>COUNTIF('Chem Props'!$B$6:$B$851,'Parameters Summary'!A443)</f>
        <v>1</v>
      </c>
      <c r="D443" s="400">
        <f>COUNTIF('Tox Summary'!$N$3:$N$792, 'Parameters Summary'!A443)</f>
        <v>1</v>
      </c>
      <c r="E443" s="438">
        <v>72.108000000000004</v>
      </c>
      <c r="F443" s="439" t="s">
        <v>1620</v>
      </c>
      <c r="G443" s="440">
        <v>2.3262000000000001E-3</v>
      </c>
      <c r="H443" s="440">
        <v>5.6900000000000001E-5</v>
      </c>
      <c r="I443" s="441" t="s">
        <v>1620</v>
      </c>
      <c r="J443" s="440">
        <v>90.6</v>
      </c>
      <c r="K443" s="441" t="s">
        <v>1620</v>
      </c>
      <c r="L443" s="457">
        <v>-86.6</v>
      </c>
      <c r="M443" s="458" t="s">
        <v>1620</v>
      </c>
      <c r="N443" s="459">
        <v>0.79990000000000006</v>
      </c>
      <c r="O443" s="460" t="s">
        <v>1618</v>
      </c>
      <c r="P443" s="475">
        <v>9.1446200000000005E-2</v>
      </c>
      <c r="Q443" s="475">
        <v>1.0200000000000001E-5</v>
      </c>
      <c r="R443" s="476" t="s">
        <v>2435</v>
      </c>
      <c r="S443" s="477" t="s">
        <v>1531</v>
      </c>
      <c r="T443" s="478" t="s">
        <v>1413</v>
      </c>
      <c r="U443" s="481">
        <v>4.51</v>
      </c>
      <c r="V443" s="481" t="s">
        <v>553</v>
      </c>
      <c r="W443" s="497">
        <v>0.28999999999999998</v>
      </c>
      <c r="X443" s="498" t="s">
        <v>1620</v>
      </c>
      <c r="Y443" s="488">
        <v>223000</v>
      </c>
      <c r="Z443" s="489" t="s">
        <v>1620</v>
      </c>
      <c r="AA443" s="396">
        <v>9.6199999999999996E-4</v>
      </c>
      <c r="AB443" s="397" t="s">
        <v>553</v>
      </c>
      <c r="AC443" s="370"/>
    </row>
    <row r="444" spans="1:29" ht="20.100000000000001" customHeight="1">
      <c r="A444" s="390" t="s">
        <v>1567</v>
      </c>
      <c r="B444" s="391" t="s">
        <v>1568</v>
      </c>
      <c r="C444" s="400">
        <f>COUNTIF('Chem Props'!$B$6:$B$851,'Parameters Summary'!A444)</f>
        <v>1</v>
      </c>
      <c r="D444" s="400">
        <f>COUNTIF('Tox Summary'!$N$3:$N$792, 'Parameters Summary'!A444)</f>
        <v>1</v>
      </c>
      <c r="E444" s="434">
        <v>46.072000000000003</v>
      </c>
      <c r="F444" s="435" t="s">
        <v>1620</v>
      </c>
      <c r="G444" s="436">
        <v>1.239E-4</v>
      </c>
      <c r="H444" s="436">
        <v>3.0309999999999999E-6</v>
      </c>
      <c r="I444" s="437" t="s">
        <v>1620</v>
      </c>
      <c r="J444" s="436">
        <v>50</v>
      </c>
      <c r="K444" s="437" t="s">
        <v>1620</v>
      </c>
      <c r="L444" s="453">
        <v>-52.4</v>
      </c>
      <c r="M444" s="454" t="s">
        <v>1620</v>
      </c>
      <c r="N444" s="455">
        <v>0.86599999999999999</v>
      </c>
      <c r="O444" s="456" t="s">
        <v>1619</v>
      </c>
      <c r="P444" s="471">
        <v>0.12908939999999999</v>
      </c>
      <c r="Q444" s="471">
        <v>1.4E-5</v>
      </c>
      <c r="R444" s="472" t="s">
        <v>2435</v>
      </c>
      <c r="S444" s="473" t="s">
        <v>1531</v>
      </c>
      <c r="T444" s="474" t="s">
        <v>1413</v>
      </c>
      <c r="U444" s="484">
        <v>13.31</v>
      </c>
      <c r="V444" s="484" t="s">
        <v>553</v>
      </c>
      <c r="W444" s="495">
        <v>-1.05</v>
      </c>
      <c r="X444" s="496" t="s">
        <v>1620</v>
      </c>
      <c r="Y444" s="486">
        <v>1000000</v>
      </c>
      <c r="Z444" s="487" t="s">
        <v>1620</v>
      </c>
      <c r="AA444" s="394">
        <v>1.73E-4</v>
      </c>
      <c r="AB444" s="395" t="s">
        <v>553</v>
      </c>
      <c r="AC444" s="370"/>
    </row>
    <row r="445" spans="1:29" ht="20.100000000000001" customHeight="1">
      <c r="A445" s="390" t="s">
        <v>1229</v>
      </c>
      <c r="B445" s="391" t="s">
        <v>77</v>
      </c>
      <c r="C445" s="400">
        <f>COUNTIF('Chem Props'!$B$6:$B$851,'Parameters Summary'!A445)</f>
        <v>1</v>
      </c>
      <c r="D445" s="400">
        <f>COUNTIF('Tox Summary'!$N$3:$N$792, 'Parameters Summary'!A445)</f>
        <v>1</v>
      </c>
      <c r="E445" s="434">
        <v>100.16</v>
      </c>
      <c r="F445" s="435" t="s">
        <v>1620</v>
      </c>
      <c r="G445" s="436">
        <v>5.6419E-3</v>
      </c>
      <c r="H445" s="436">
        <v>1.3799999999999999E-4</v>
      </c>
      <c r="I445" s="437" t="s">
        <v>553</v>
      </c>
      <c r="J445" s="436">
        <v>19.86</v>
      </c>
      <c r="K445" s="437" t="s">
        <v>1620</v>
      </c>
      <c r="L445" s="453">
        <v>-84</v>
      </c>
      <c r="M445" s="454" t="s">
        <v>1620</v>
      </c>
      <c r="N445" s="455">
        <v>0.79649999999999999</v>
      </c>
      <c r="O445" s="456" t="s">
        <v>1618</v>
      </c>
      <c r="P445" s="471">
        <v>6.97797E-2</v>
      </c>
      <c r="Q445" s="471">
        <v>8.3476999999999997E-6</v>
      </c>
      <c r="R445" s="472" t="s">
        <v>2435</v>
      </c>
      <c r="S445" s="473" t="s">
        <v>1531</v>
      </c>
      <c r="T445" s="474" t="s">
        <v>1413</v>
      </c>
      <c r="U445" s="484">
        <v>12.6</v>
      </c>
      <c r="V445" s="484" t="s">
        <v>553</v>
      </c>
      <c r="W445" s="495">
        <v>1.31</v>
      </c>
      <c r="X445" s="496" t="s">
        <v>1620</v>
      </c>
      <c r="Y445" s="486">
        <v>19000</v>
      </c>
      <c r="Z445" s="487" t="s">
        <v>1620</v>
      </c>
      <c r="AA445" s="394">
        <v>3.1900000000000001E-3</v>
      </c>
      <c r="AB445" s="395" t="s">
        <v>553</v>
      </c>
      <c r="AC445" s="369"/>
    </row>
    <row r="446" spans="1:29" ht="20.100000000000001" customHeight="1" thickBot="1">
      <c r="A446" s="392" t="s">
        <v>593</v>
      </c>
      <c r="B446" s="393" t="s">
        <v>78</v>
      </c>
      <c r="C446" s="400">
        <f>COUNTIF('Chem Props'!$B$6:$B$851,'Parameters Summary'!A446)</f>
        <v>1</v>
      </c>
      <c r="D446" s="400">
        <f>COUNTIF('Tox Summary'!$N$3:$N$792, 'Parameters Summary'!A446)</f>
        <v>1</v>
      </c>
      <c r="E446" s="438">
        <v>57.052</v>
      </c>
      <c r="F446" s="439" t="s">
        <v>1620</v>
      </c>
      <c r="G446" s="440">
        <v>3.7857700000000001E-2</v>
      </c>
      <c r="H446" s="440">
        <v>9.2599999999999996E-4</v>
      </c>
      <c r="I446" s="441" t="s">
        <v>1620</v>
      </c>
      <c r="J446" s="440">
        <v>348</v>
      </c>
      <c r="K446" s="441" t="s">
        <v>1620</v>
      </c>
      <c r="L446" s="457">
        <v>-45</v>
      </c>
      <c r="M446" s="458" t="s">
        <v>1620</v>
      </c>
      <c r="N446" s="459">
        <v>0.95879999999999999</v>
      </c>
      <c r="O446" s="460" t="s">
        <v>1618</v>
      </c>
      <c r="P446" s="475">
        <v>0.1165494</v>
      </c>
      <c r="Q446" s="475">
        <v>1.31E-5</v>
      </c>
      <c r="R446" s="476" t="s">
        <v>2435</v>
      </c>
      <c r="S446" s="477" t="s">
        <v>1531</v>
      </c>
      <c r="T446" s="478" t="s">
        <v>1413</v>
      </c>
      <c r="U446" s="481">
        <v>39.6</v>
      </c>
      <c r="V446" s="481" t="s">
        <v>553</v>
      </c>
      <c r="W446" s="497">
        <v>0.79</v>
      </c>
      <c r="X446" s="498" t="s">
        <v>1620</v>
      </c>
      <c r="Y446" s="488">
        <v>29200</v>
      </c>
      <c r="Z446" s="489" t="s">
        <v>1620</v>
      </c>
      <c r="AA446" s="396">
        <v>2.5000000000000001E-3</v>
      </c>
      <c r="AB446" s="397" t="s">
        <v>553</v>
      </c>
      <c r="AC446" s="369"/>
    </row>
    <row r="447" spans="1:29" ht="20.100000000000001" customHeight="1">
      <c r="A447" s="390" t="s">
        <v>1230</v>
      </c>
      <c r="B447" s="391" t="s">
        <v>79</v>
      </c>
      <c r="C447" s="400">
        <f>COUNTIF('Chem Props'!$B$6:$B$851,'Parameters Summary'!A447)</f>
        <v>1</v>
      </c>
      <c r="D447" s="400">
        <f>COUNTIF('Tox Summary'!$N$3:$N$792, 'Parameters Summary'!A447)</f>
        <v>1</v>
      </c>
      <c r="E447" s="434">
        <v>100.12</v>
      </c>
      <c r="F447" s="435" t="s">
        <v>1620</v>
      </c>
      <c r="G447" s="436">
        <v>1.30417E-2</v>
      </c>
      <c r="H447" s="436">
        <v>3.19E-4</v>
      </c>
      <c r="I447" s="437" t="s">
        <v>553</v>
      </c>
      <c r="J447" s="436">
        <v>38.5</v>
      </c>
      <c r="K447" s="437" t="s">
        <v>1620</v>
      </c>
      <c r="L447" s="453">
        <v>-47.55</v>
      </c>
      <c r="M447" s="454" t="s">
        <v>1620</v>
      </c>
      <c r="N447" s="455">
        <v>0.93769999999999998</v>
      </c>
      <c r="O447" s="456" t="s">
        <v>1618</v>
      </c>
      <c r="P447" s="471">
        <v>7.5044700000000006E-2</v>
      </c>
      <c r="Q447" s="471">
        <v>9.2087000000000004E-6</v>
      </c>
      <c r="R447" s="472" t="s">
        <v>2435</v>
      </c>
      <c r="S447" s="473" t="s">
        <v>1531</v>
      </c>
      <c r="T447" s="474" t="s">
        <v>1413</v>
      </c>
      <c r="U447" s="484">
        <v>9.14</v>
      </c>
      <c r="V447" s="484" t="s">
        <v>553</v>
      </c>
      <c r="W447" s="495">
        <v>1.38</v>
      </c>
      <c r="X447" s="496" t="s">
        <v>1620</v>
      </c>
      <c r="Y447" s="486">
        <v>15000</v>
      </c>
      <c r="Z447" s="487" t="s">
        <v>1620</v>
      </c>
      <c r="AA447" s="394">
        <v>3.5500000000000002E-3</v>
      </c>
      <c r="AB447" s="395" t="s">
        <v>553</v>
      </c>
      <c r="AC447" s="369"/>
    </row>
    <row r="448" spans="1:29" ht="20.100000000000001" customHeight="1">
      <c r="A448" s="390" t="s">
        <v>1231</v>
      </c>
      <c r="B448" s="391" t="s">
        <v>80</v>
      </c>
      <c r="C448" s="400">
        <f>COUNTIF('Chem Props'!$B$6:$B$851,'Parameters Summary'!A448)</f>
        <v>1</v>
      </c>
      <c r="D448" s="400">
        <f>COUNTIF('Tox Summary'!$N$3:$N$792, 'Parameters Summary'!A448)</f>
        <v>1</v>
      </c>
      <c r="E448" s="434">
        <v>263.20999999999998</v>
      </c>
      <c r="F448" s="435" t="s">
        <v>1620</v>
      </c>
      <c r="G448" s="436">
        <v>4.0883000000000003E-6</v>
      </c>
      <c r="H448" s="436">
        <v>9.9999999999999995E-8</v>
      </c>
      <c r="I448" s="437" t="s">
        <v>1620</v>
      </c>
      <c r="J448" s="436">
        <v>3.4999999999999999E-6</v>
      </c>
      <c r="K448" s="437" t="s">
        <v>1620</v>
      </c>
      <c r="L448" s="453">
        <v>35.5</v>
      </c>
      <c r="M448" s="454" t="s">
        <v>1620</v>
      </c>
      <c r="N448" s="455">
        <v>1.3580000000000001</v>
      </c>
      <c r="O448" s="456" t="s">
        <v>1618</v>
      </c>
      <c r="P448" s="471">
        <v>2.4984599999999999E-2</v>
      </c>
      <c r="Q448" s="471">
        <v>6.4392000000000001E-6</v>
      </c>
      <c r="R448" s="472" t="s">
        <v>2435</v>
      </c>
      <c r="S448" s="473" t="s">
        <v>1531</v>
      </c>
      <c r="T448" s="474" t="s">
        <v>1413</v>
      </c>
      <c r="U448" s="484">
        <v>729.3</v>
      </c>
      <c r="V448" s="484" t="s">
        <v>553</v>
      </c>
      <c r="W448" s="495">
        <v>2.86</v>
      </c>
      <c r="X448" s="496" t="s">
        <v>1620</v>
      </c>
      <c r="Y448" s="486">
        <v>37.700000000000003</v>
      </c>
      <c r="Z448" s="487" t="s">
        <v>1620</v>
      </c>
      <c r="AA448" s="394">
        <v>4.1599999999999996E-3</v>
      </c>
      <c r="AB448" s="395" t="s">
        <v>553</v>
      </c>
      <c r="AC448" s="369"/>
    </row>
    <row r="449" spans="1:29" ht="20.100000000000001" customHeight="1" thickBot="1">
      <c r="A449" s="392" t="s">
        <v>594</v>
      </c>
      <c r="B449" s="393" t="s">
        <v>81</v>
      </c>
      <c r="C449" s="400">
        <f>COUNTIF('Chem Props'!$B$6:$B$851,'Parameters Summary'!A449)</f>
        <v>1</v>
      </c>
      <c r="D449" s="400">
        <f>COUNTIF('Tox Summary'!$N$3:$N$792, 'Parameters Summary'!A449)</f>
        <v>1</v>
      </c>
      <c r="E449" s="438">
        <v>96.022999999999996</v>
      </c>
      <c r="F449" s="439" t="s">
        <v>1620</v>
      </c>
      <c r="G449" s="440">
        <v>4.9879999999999997E-10</v>
      </c>
      <c r="H449" s="440">
        <v>1.2200000000000001E-11</v>
      </c>
      <c r="I449" s="441" t="s">
        <v>1620</v>
      </c>
      <c r="J449" s="440">
        <v>3.2699999999999998E-4</v>
      </c>
      <c r="K449" s="441" t="s">
        <v>553</v>
      </c>
      <c r="L449" s="457">
        <v>108.5</v>
      </c>
      <c r="M449" s="458" t="s">
        <v>1620</v>
      </c>
      <c r="N449" s="463" t="s">
        <v>1531</v>
      </c>
      <c r="O449" s="464" t="s">
        <v>1413</v>
      </c>
      <c r="P449" s="475">
        <v>9.06087E-2</v>
      </c>
      <c r="Q449" s="475">
        <v>1.06E-5</v>
      </c>
      <c r="R449" s="476" t="s">
        <v>2435</v>
      </c>
      <c r="S449" s="477" t="s">
        <v>1531</v>
      </c>
      <c r="T449" s="478" t="s">
        <v>1413</v>
      </c>
      <c r="U449" s="481">
        <v>1.407</v>
      </c>
      <c r="V449" s="481" t="s">
        <v>553</v>
      </c>
      <c r="W449" s="497">
        <v>-0.7</v>
      </c>
      <c r="X449" s="498" t="s">
        <v>1620</v>
      </c>
      <c r="Y449" s="488">
        <v>20000</v>
      </c>
      <c r="Z449" s="489" t="s">
        <v>1620</v>
      </c>
      <c r="AA449" s="396">
        <v>9.8400000000000007E-5</v>
      </c>
      <c r="AB449" s="397" t="s">
        <v>553</v>
      </c>
      <c r="AC449" s="369"/>
    </row>
    <row r="450" spans="1:29" ht="20.100000000000001" customHeight="1">
      <c r="A450" s="390" t="s">
        <v>1232</v>
      </c>
      <c r="B450" s="391" t="s">
        <v>82</v>
      </c>
      <c r="C450" s="400">
        <f>COUNTIF('Chem Props'!$B$6:$B$851,'Parameters Summary'!A450)</f>
        <v>1</v>
      </c>
      <c r="D450" s="400">
        <f>COUNTIF('Tox Summary'!$N$3:$N$792, 'Parameters Summary'!A450)</f>
        <v>1</v>
      </c>
      <c r="E450" s="434">
        <v>354.54</v>
      </c>
      <c r="F450" s="435" t="s">
        <v>1620</v>
      </c>
      <c r="G450" s="436">
        <v>0.10711370000000001</v>
      </c>
      <c r="H450" s="436">
        <v>2.6199999999999999E-3</v>
      </c>
      <c r="I450" s="437" t="s">
        <v>1620</v>
      </c>
      <c r="J450" s="436">
        <v>1.5</v>
      </c>
      <c r="K450" s="437" t="s">
        <v>1620</v>
      </c>
      <c r="L450" s="453">
        <v>-86.3</v>
      </c>
      <c r="M450" s="454" t="s">
        <v>553</v>
      </c>
      <c r="N450" s="455">
        <v>0.89</v>
      </c>
      <c r="O450" s="456" t="s">
        <v>2198</v>
      </c>
      <c r="P450" s="471">
        <v>1.7396999999999999E-2</v>
      </c>
      <c r="Q450" s="471">
        <v>4.1792999999999999E-6</v>
      </c>
      <c r="R450" s="472" t="s">
        <v>2435</v>
      </c>
      <c r="S450" s="473" t="s">
        <v>1531</v>
      </c>
      <c r="T450" s="474" t="s">
        <v>1413</v>
      </c>
      <c r="U450" s="484">
        <v>715.8</v>
      </c>
      <c r="V450" s="484" t="s">
        <v>553</v>
      </c>
      <c r="W450" s="495">
        <v>3.44</v>
      </c>
      <c r="X450" s="496" t="s">
        <v>1620</v>
      </c>
      <c r="Y450" s="486">
        <v>89</v>
      </c>
      <c r="Z450" s="487" t="s">
        <v>1620</v>
      </c>
      <c r="AA450" s="394">
        <v>6.6000000000000003E-2</v>
      </c>
      <c r="AB450" s="395" t="s">
        <v>553</v>
      </c>
      <c r="AC450" s="369"/>
    </row>
    <row r="451" spans="1:29" ht="20.100000000000001" customHeight="1">
      <c r="A451" s="390" t="s">
        <v>595</v>
      </c>
      <c r="B451" s="391" t="s">
        <v>83</v>
      </c>
      <c r="C451" s="400">
        <f>COUNTIF('Chem Props'!$B$6:$B$851,'Parameters Summary'!A451)</f>
        <v>1</v>
      </c>
      <c r="D451" s="400">
        <f>COUNTIF('Tox Summary'!$N$3:$N$792, 'Parameters Summary'!A451)</f>
        <v>1</v>
      </c>
      <c r="E451" s="434">
        <v>110.13</v>
      </c>
      <c r="F451" s="435" t="s">
        <v>1620</v>
      </c>
      <c r="G451" s="436">
        <v>1.6479999999999999E-4</v>
      </c>
      <c r="H451" s="436">
        <v>4.0300000000000004E-6</v>
      </c>
      <c r="I451" s="437" t="s">
        <v>1620</v>
      </c>
      <c r="J451" s="436">
        <v>0.31</v>
      </c>
      <c r="K451" s="437" t="s">
        <v>1620</v>
      </c>
      <c r="L451" s="453">
        <v>20</v>
      </c>
      <c r="M451" s="454" t="s">
        <v>1620</v>
      </c>
      <c r="N451" s="455">
        <v>1.2943</v>
      </c>
      <c r="O451" s="456" t="s">
        <v>1618</v>
      </c>
      <c r="P451" s="471">
        <v>7.8905600000000006E-2</v>
      </c>
      <c r="Q451" s="471">
        <v>1.06E-5</v>
      </c>
      <c r="R451" s="472" t="s">
        <v>2435</v>
      </c>
      <c r="S451" s="473" t="s">
        <v>1531</v>
      </c>
      <c r="T451" s="474" t="s">
        <v>1413</v>
      </c>
      <c r="U451" s="484">
        <v>4.3319999999999999</v>
      </c>
      <c r="V451" s="484" t="s">
        <v>553</v>
      </c>
      <c r="W451" s="495">
        <v>-0.66</v>
      </c>
      <c r="X451" s="496" t="s">
        <v>1620</v>
      </c>
      <c r="Y451" s="486">
        <v>200000</v>
      </c>
      <c r="Z451" s="487" t="s">
        <v>1619</v>
      </c>
      <c r="AA451" s="394">
        <v>1.3799999999999999E-4</v>
      </c>
      <c r="AB451" s="395" t="s">
        <v>553</v>
      </c>
      <c r="AC451" s="369"/>
    </row>
    <row r="452" spans="1:29" ht="20.100000000000001" customHeight="1" thickBot="1">
      <c r="A452" s="392" t="s">
        <v>1233</v>
      </c>
      <c r="B452" s="393" t="s">
        <v>84</v>
      </c>
      <c r="C452" s="400">
        <f>COUNTIF('Chem Props'!$B$6:$B$851,'Parameters Summary'!A452)</f>
        <v>1</v>
      </c>
      <c r="D452" s="400">
        <f>COUNTIF('Tox Summary'!$N$3:$N$792, 'Parameters Summary'!A452)</f>
        <v>1</v>
      </c>
      <c r="E452" s="438">
        <v>88.150999999999996</v>
      </c>
      <c r="F452" s="439" t="s">
        <v>1620</v>
      </c>
      <c r="G452" s="440">
        <v>2.39984E-2</v>
      </c>
      <c r="H452" s="440">
        <v>5.8699999999999996E-4</v>
      </c>
      <c r="I452" s="441" t="s">
        <v>1620</v>
      </c>
      <c r="J452" s="440">
        <v>250</v>
      </c>
      <c r="K452" s="441" t="s">
        <v>1620</v>
      </c>
      <c r="L452" s="457">
        <v>-108.6</v>
      </c>
      <c r="M452" s="458" t="s">
        <v>1620</v>
      </c>
      <c r="N452" s="459">
        <v>0.73529999999999995</v>
      </c>
      <c r="O452" s="460" t="s">
        <v>1618</v>
      </c>
      <c r="P452" s="475">
        <v>7.5267200000000006E-2</v>
      </c>
      <c r="Q452" s="475">
        <v>8.5903999999999999E-6</v>
      </c>
      <c r="R452" s="476" t="s">
        <v>2435</v>
      </c>
      <c r="S452" s="477" t="s">
        <v>1531</v>
      </c>
      <c r="T452" s="478" t="s">
        <v>1413</v>
      </c>
      <c r="U452" s="481">
        <v>11.56</v>
      </c>
      <c r="V452" s="481" t="s">
        <v>553</v>
      </c>
      <c r="W452" s="497">
        <v>0.94</v>
      </c>
      <c r="X452" s="498" t="s">
        <v>1620</v>
      </c>
      <c r="Y452" s="488">
        <v>51000</v>
      </c>
      <c r="Z452" s="489" t="s">
        <v>1620</v>
      </c>
      <c r="AA452" s="396">
        <v>2.1099999999999999E-3</v>
      </c>
      <c r="AB452" s="397" t="s">
        <v>553</v>
      </c>
      <c r="AC452" s="369"/>
    </row>
    <row r="453" spans="1:29" ht="20.100000000000001" customHeight="1">
      <c r="A453" s="390" t="s">
        <v>1569</v>
      </c>
      <c r="B453" s="391" t="s">
        <v>1570</v>
      </c>
      <c r="C453" s="400">
        <f>COUNTIF('Chem Props'!$B$6:$B$851,'Parameters Summary'!A453)</f>
        <v>1</v>
      </c>
      <c r="D453" s="400">
        <f>COUNTIF('Tox Summary'!$N$3:$N$792, 'Parameters Summary'!A453)</f>
        <v>1</v>
      </c>
      <c r="E453" s="434">
        <v>195.09</v>
      </c>
      <c r="F453" s="435" t="s">
        <v>1620</v>
      </c>
      <c r="G453" s="436">
        <v>2.6080000000000002E-16</v>
      </c>
      <c r="H453" s="436">
        <v>6.3799999999999999E-18</v>
      </c>
      <c r="I453" s="437" t="s">
        <v>1620</v>
      </c>
      <c r="J453" s="436">
        <v>4.1200000000000002E-12</v>
      </c>
      <c r="K453" s="437" t="s">
        <v>1620</v>
      </c>
      <c r="L453" s="453">
        <v>240.01</v>
      </c>
      <c r="M453" s="454" t="s">
        <v>553</v>
      </c>
      <c r="N453" s="461" t="s">
        <v>1531</v>
      </c>
      <c r="O453" s="462" t="s">
        <v>1413</v>
      </c>
      <c r="P453" s="471">
        <v>5.6484600000000003E-2</v>
      </c>
      <c r="Q453" s="471">
        <v>6.5997999999999999E-6</v>
      </c>
      <c r="R453" s="472" t="s">
        <v>2435</v>
      </c>
      <c r="S453" s="473" t="s">
        <v>1531</v>
      </c>
      <c r="T453" s="474" t="s">
        <v>1413</v>
      </c>
      <c r="U453" s="484">
        <v>201.5</v>
      </c>
      <c r="V453" s="484" t="s">
        <v>553</v>
      </c>
      <c r="W453" s="495">
        <v>-2.06</v>
      </c>
      <c r="X453" s="496" t="s">
        <v>1620</v>
      </c>
      <c r="Y453" s="486">
        <v>1000000</v>
      </c>
      <c r="Z453" s="487" t="s">
        <v>1620</v>
      </c>
      <c r="AA453" s="394">
        <v>5.3900000000000001E-6</v>
      </c>
      <c r="AB453" s="395" t="s">
        <v>553</v>
      </c>
      <c r="AC453" s="369"/>
    </row>
    <row r="454" spans="1:29" ht="20.100000000000001" customHeight="1">
      <c r="A454" s="390" t="s">
        <v>2507</v>
      </c>
      <c r="B454" s="391" t="s">
        <v>2508</v>
      </c>
      <c r="C454" s="400">
        <f>COUNTIF('Chem Props'!$B$6:$B$851,'Parameters Summary'!A454)</f>
        <v>1</v>
      </c>
      <c r="D454" s="400">
        <f>COUNTIF('Tox Summary'!$N$3:$N$792, 'Parameters Summary'!A454)</f>
        <v>1</v>
      </c>
      <c r="E454" s="434">
        <v>102.18</v>
      </c>
      <c r="F454" s="435" t="s">
        <v>1620</v>
      </c>
      <c r="G454" s="436">
        <v>1.8193E-3</v>
      </c>
      <c r="H454" s="436">
        <v>4.4499999999999997E-5</v>
      </c>
      <c r="I454" s="437" t="s">
        <v>1620</v>
      </c>
      <c r="J454" s="436">
        <v>5.3</v>
      </c>
      <c r="K454" s="437" t="s">
        <v>1620</v>
      </c>
      <c r="L454" s="453">
        <v>-90</v>
      </c>
      <c r="M454" s="454" t="s">
        <v>1620</v>
      </c>
      <c r="N454" s="455">
        <v>0.8075</v>
      </c>
      <c r="O454" s="456" t="s">
        <v>1618</v>
      </c>
      <c r="P454" s="471">
        <v>6.8927299999999997E-2</v>
      </c>
      <c r="Q454" s="471">
        <v>8.3164000000000005E-6</v>
      </c>
      <c r="R454" s="472" t="s">
        <v>2435</v>
      </c>
      <c r="S454" s="473" t="s">
        <v>1531</v>
      </c>
      <c r="T454" s="474" t="s">
        <v>1413</v>
      </c>
      <c r="U454" s="484">
        <v>8.1549999999999994</v>
      </c>
      <c r="V454" s="484" t="s">
        <v>553</v>
      </c>
      <c r="W454" s="495">
        <v>1.43</v>
      </c>
      <c r="X454" s="496" t="s">
        <v>1620</v>
      </c>
      <c r="Y454" s="486">
        <v>16400</v>
      </c>
      <c r="Z454" s="487" t="s">
        <v>1620</v>
      </c>
      <c r="AA454" s="394">
        <v>5.4400000000000004E-3</v>
      </c>
      <c r="AB454" s="395" t="s">
        <v>553</v>
      </c>
      <c r="AC454" s="369"/>
    </row>
    <row r="455" spans="1:29" ht="20.100000000000001" customHeight="1" thickBot="1">
      <c r="A455" s="392" t="s">
        <v>1234</v>
      </c>
      <c r="B455" s="393" t="s">
        <v>85</v>
      </c>
      <c r="C455" s="400">
        <f>COUNTIF('Chem Props'!$B$6:$B$851,'Parameters Summary'!A455)</f>
        <v>1</v>
      </c>
      <c r="D455" s="400">
        <f>COUNTIF('Tox Summary'!$N$3:$N$792, 'Parameters Summary'!A455)</f>
        <v>1</v>
      </c>
      <c r="E455" s="438">
        <v>152.15</v>
      </c>
      <c r="F455" s="439" t="s">
        <v>1620</v>
      </c>
      <c r="G455" s="440">
        <v>3.3892000000000002E-7</v>
      </c>
      <c r="H455" s="440">
        <v>8.2900000000000001E-9</v>
      </c>
      <c r="I455" s="441" t="s">
        <v>1620</v>
      </c>
      <c r="J455" s="440">
        <v>9.7499999999999996E-4</v>
      </c>
      <c r="K455" s="441" t="s">
        <v>1620</v>
      </c>
      <c r="L455" s="457">
        <v>105.5</v>
      </c>
      <c r="M455" s="458" t="s">
        <v>1620</v>
      </c>
      <c r="N455" s="463" t="s">
        <v>1531</v>
      </c>
      <c r="O455" s="464" t="s">
        <v>1413</v>
      </c>
      <c r="P455" s="475">
        <v>6.6666199999999995E-2</v>
      </c>
      <c r="Q455" s="475">
        <v>7.7894000000000003E-6</v>
      </c>
      <c r="R455" s="476" t="s">
        <v>2435</v>
      </c>
      <c r="S455" s="477" t="s">
        <v>1531</v>
      </c>
      <c r="T455" s="478" t="s">
        <v>1413</v>
      </c>
      <c r="U455" s="481">
        <v>178.6</v>
      </c>
      <c r="V455" s="481" t="s">
        <v>553</v>
      </c>
      <c r="W455" s="497">
        <v>1.87</v>
      </c>
      <c r="X455" s="498" t="s">
        <v>1620</v>
      </c>
      <c r="Y455" s="488">
        <v>10000</v>
      </c>
      <c r="Z455" s="489" t="s">
        <v>1620</v>
      </c>
      <c r="AA455" s="396">
        <v>3.8400000000000001E-3</v>
      </c>
      <c r="AB455" s="397" t="s">
        <v>553</v>
      </c>
      <c r="AC455" s="369"/>
    </row>
    <row r="456" spans="1:29" ht="20.100000000000001" customHeight="1">
      <c r="A456" s="390" t="s">
        <v>596</v>
      </c>
      <c r="B456" s="391" t="s">
        <v>86</v>
      </c>
      <c r="C456" s="400">
        <f>COUNTIF('Chem Props'!$B$6:$B$851,'Parameters Summary'!A456)</f>
        <v>1</v>
      </c>
      <c r="D456" s="400">
        <f>COUNTIF('Tox Summary'!$N$3:$N$792, 'Parameters Summary'!A456)</f>
        <v>1</v>
      </c>
      <c r="E456" s="434">
        <v>147.09</v>
      </c>
      <c r="F456" s="435" t="s">
        <v>1620</v>
      </c>
      <c r="G456" s="436">
        <v>4.988E-11</v>
      </c>
      <c r="H456" s="436">
        <v>1.2200000000000001E-12</v>
      </c>
      <c r="I456" s="437" t="s">
        <v>1620</v>
      </c>
      <c r="J456" s="436">
        <v>1.2E-4</v>
      </c>
      <c r="K456" s="437" t="s">
        <v>1620</v>
      </c>
      <c r="L456" s="453">
        <v>118</v>
      </c>
      <c r="M456" s="454" t="s">
        <v>553</v>
      </c>
      <c r="N456" s="461" t="s">
        <v>1531</v>
      </c>
      <c r="O456" s="462" t="s">
        <v>1413</v>
      </c>
      <c r="P456" s="471">
        <v>6.8186499999999997E-2</v>
      </c>
      <c r="Q456" s="471">
        <v>7.9670000000000001E-6</v>
      </c>
      <c r="R456" s="472" t="s">
        <v>2435</v>
      </c>
      <c r="S456" s="473" t="s">
        <v>1531</v>
      </c>
      <c r="T456" s="474" t="s">
        <v>1413</v>
      </c>
      <c r="U456" s="484">
        <v>72.02</v>
      </c>
      <c r="V456" s="484" t="s">
        <v>553</v>
      </c>
      <c r="W456" s="495">
        <v>-0.92</v>
      </c>
      <c r="X456" s="496" t="s">
        <v>1620</v>
      </c>
      <c r="Y456" s="486">
        <v>267000</v>
      </c>
      <c r="Z456" s="487" t="s">
        <v>1620</v>
      </c>
      <c r="AA456" s="394">
        <v>5.7200000000000001E-5</v>
      </c>
      <c r="AB456" s="395" t="s">
        <v>553</v>
      </c>
      <c r="AC456" s="369"/>
    </row>
    <row r="457" spans="1:29" ht="20.100000000000001" customHeight="1">
      <c r="A457" s="390" t="s">
        <v>1235</v>
      </c>
      <c r="B457" s="391" t="s">
        <v>87</v>
      </c>
      <c r="C457" s="400">
        <f>COUNTIF('Chem Props'!$B$6:$B$851,'Parameters Summary'!A457)</f>
        <v>1</v>
      </c>
      <c r="D457" s="400">
        <f>COUNTIF('Tox Summary'!$N$3:$N$792, 'Parameters Summary'!A457)</f>
        <v>1</v>
      </c>
      <c r="E457" s="434">
        <v>143.62</v>
      </c>
      <c r="F457" s="435" t="s">
        <v>1620</v>
      </c>
      <c r="G457" s="436">
        <v>8.5900000000000001E-5</v>
      </c>
      <c r="H457" s="436">
        <v>2.0999999999999998E-6</v>
      </c>
      <c r="I457" s="437" t="s">
        <v>1620</v>
      </c>
      <c r="J457" s="436">
        <v>0.29299999999999998</v>
      </c>
      <c r="K457" s="437" t="s">
        <v>1620</v>
      </c>
      <c r="L457" s="453">
        <v>215</v>
      </c>
      <c r="M457" s="454" t="s">
        <v>1620</v>
      </c>
      <c r="N457" s="461" t="s">
        <v>1531</v>
      </c>
      <c r="O457" s="462" t="s">
        <v>1413</v>
      </c>
      <c r="P457" s="471">
        <v>6.9280400000000006E-2</v>
      </c>
      <c r="Q457" s="471">
        <v>8.0948999999999994E-6</v>
      </c>
      <c r="R457" s="472" t="s">
        <v>2435</v>
      </c>
      <c r="S457" s="473" t="s">
        <v>1531</v>
      </c>
      <c r="T457" s="474" t="s">
        <v>1413</v>
      </c>
      <c r="U457" s="484">
        <v>115</v>
      </c>
      <c r="V457" s="484" t="s">
        <v>553</v>
      </c>
      <c r="W457" s="495">
        <v>1.62</v>
      </c>
      <c r="X457" s="496" t="s">
        <v>1620</v>
      </c>
      <c r="Y457" s="486">
        <v>8292</v>
      </c>
      <c r="Z457" s="487" t="s">
        <v>1620</v>
      </c>
      <c r="AA457" s="394">
        <v>1.0499999999999999E-5</v>
      </c>
      <c r="AB457" s="395" t="s">
        <v>553</v>
      </c>
      <c r="AC457" s="369"/>
    </row>
    <row r="458" spans="1:29" ht="20.100000000000001" customHeight="1" thickBot="1">
      <c r="A458" s="392" t="s">
        <v>1236</v>
      </c>
      <c r="B458" s="393" t="s">
        <v>88</v>
      </c>
      <c r="C458" s="400">
        <f>COUNTIF('Chem Props'!$B$6:$B$851,'Parameters Summary'!A458)</f>
        <v>1</v>
      </c>
      <c r="D458" s="400">
        <f>COUNTIF('Tox Summary'!$N$3:$N$792, 'Parameters Summary'!A458)</f>
        <v>1</v>
      </c>
      <c r="E458" s="438">
        <v>139.97</v>
      </c>
      <c r="F458" s="439" t="s">
        <v>1620</v>
      </c>
      <c r="G458" s="442" t="s">
        <v>1531</v>
      </c>
      <c r="H458" s="442" t="s">
        <v>1531</v>
      </c>
      <c r="I458" s="443" t="s">
        <v>1413</v>
      </c>
      <c r="J458" s="440">
        <v>1.6199999999999999E-3</v>
      </c>
      <c r="K458" s="441" t="s">
        <v>1620</v>
      </c>
      <c r="L458" s="457">
        <v>160.5</v>
      </c>
      <c r="M458" s="458" t="s">
        <v>1620</v>
      </c>
      <c r="N458" s="463" t="s">
        <v>1531</v>
      </c>
      <c r="O458" s="464" t="s">
        <v>1413</v>
      </c>
      <c r="P458" s="475">
        <v>7.0479600000000003E-2</v>
      </c>
      <c r="Q458" s="475">
        <v>8.2349999999999999E-6</v>
      </c>
      <c r="R458" s="476" t="s">
        <v>2435</v>
      </c>
      <c r="S458" s="477" t="s">
        <v>1531</v>
      </c>
      <c r="T458" s="478" t="s">
        <v>1413</v>
      </c>
      <c r="U458" s="481">
        <v>43.89</v>
      </c>
      <c r="V458" s="481" t="s">
        <v>553</v>
      </c>
      <c r="W458" s="497">
        <v>-1.18</v>
      </c>
      <c r="X458" s="498" t="s">
        <v>1620</v>
      </c>
      <c r="Y458" s="488">
        <v>256000</v>
      </c>
      <c r="Z458" s="489" t="s">
        <v>1620</v>
      </c>
      <c r="AA458" s="396">
        <v>4.1900000000000002E-5</v>
      </c>
      <c r="AB458" s="397" t="s">
        <v>553</v>
      </c>
      <c r="AC458" s="369"/>
    </row>
    <row r="459" spans="1:29" ht="20.100000000000001" customHeight="1">
      <c r="A459" s="390" t="s">
        <v>1571</v>
      </c>
      <c r="B459" s="391" t="s">
        <v>1572</v>
      </c>
      <c r="C459" s="400">
        <f>COUNTIF('Chem Props'!$B$6:$B$851,'Parameters Summary'!A459)</f>
        <v>1</v>
      </c>
      <c r="D459" s="400">
        <f>COUNTIF('Tox Summary'!$N$3:$N$792, 'Parameters Summary'!A459)</f>
        <v>1</v>
      </c>
      <c r="E459" s="434">
        <v>158.62863999999999</v>
      </c>
      <c r="F459" s="435" t="s">
        <v>2199</v>
      </c>
      <c r="G459" s="444" t="s">
        <v>1531</v>
      </c>
      <c r="H459" s="444" t="s">
        <v>1531</v>
      </c>
      <c r="I459" s="445" t="s">
        <v>1413</v>
      </c>
      <c r="J459" s="444" t="s">
        <v>1531</v>
      </c>
      <c r="K459" s="445" t="s">
        <v>1413</v>
      </c>
      <c r="L459" s="465" t="s">
        <v>1531</v>
      </c>
      <c r="M459" s="466" t="s">
        <v>1413</v>
      </c>
      <c r="N459" s="461" t="s">
        <v>1531</v>
      </c>
      <c r="O459" s="462" t="s">
        <v>1413</v>
      </c>
      <c r="P459" s="471">
        <v>6.4838400000000004E-2</v>
      </c>
      <c r="Q459" s="471">
        <v>7.5758999999999998E-6</v>
      </c>
      <c r="R459" s="472" t="s">
        <v>2435</v>
      </c>
      <c r="S459" s="473" t="s">
        <v>1531</v>
      </c>
      <c r="T459" s="474" t="s">
        <v>1413</v>
      </c>
      <c r="U459" s="473" t="s">
        <v>1531</v>
      </c>
      <c r="V459" s="474" t="s">
        <v>1413</v>
      </c>
      <c r="W459" s="501" t="s">
        <v>1531</v>
      </c>
      <c r="X459" s="502" t="s">
        <v>1413</v>
      </c>
      <c r="Y459" s="492" t="s">
        <v>1531</v>
      </c>
      <c r="Z459" s="493" t="s">
        <v>1413</v>
      </c>
      <c r="AA459" s="398" t="s">
        <v>1531</v>
      </c>
      <c r="AB459" s="504" t="s">
        <v>1413</v>
      </c>
      <c r="AC459" s="369"/>
    </row>
    <row r="460" spans="1:29" ht="20.100000000000001" customHeight="1">
      <c r="A460" s="390" t="s">
        <v>1573</v>
      </c>
      <c r="B460" s="391" t="s">
        <v>1574</v>
      </c>
      <c r="C460" s="400">
        <f>COUNTIF('Chem Props'!$B$6:$B$851,'Parameters Summary'!A460)</f>
        <v>1</v>
      </c>
      <c r="D460" s="400">
        <f>COUNTIF('Tox Summary'!$N$3:$N$792, 'Parameters Summary'!A460)</f>
        <v>1</v>
      </c>
      <c r="E460" s="434">
        <v>220.25</v>
      </c>
      <c r="F460" s="435" t="s">
        <v>2468</v>
      </c>
      <c r="G460" s="444" t="s">
        <v>1531</v>
      </c>
      <c r="H460" s="444" t="s">
        <v>1531</v>
      </c>
      <c r="I460" s="445" t="s">
        <v>1413</v>
      </c>
      <c r="J460" s="444" t="s">
        <v>1531</v>
      </c>
      <c r="K460" s="445" t="s">
        <v>1413</v>
      </c>
      <c r="L460" s="465" t="s">
        <v>1531</v>
      </c>
      <c r="M460" s="466" t="s">
        <v>1413</v>
      </c>
      <c r="N460" s="461" t="s">
        <v>1531</v>
      </c>
      <c r="O460" s="462" t="s">
        <v>1413</v>
      </c>
      <c r="P460" s="471">
        <v>5.20966E-2</v>
      </c>
      <c r="Q460" s="471">
        <v>6.0870999999999997E-6</v>
      </c>
      <c r="R460" s="472" t="s">
        <v>2435</v>
      </c>
      <c r="S460" s="473" t="s">
        <v>1531</v>
      </c>
      <c r="T460" s="474" t="s">
        <v>1413</v>
      </c>
      <c r="U460" s="473" t="s">
        <v>1531</v>
      </c>
      <c r="V460" s="474" t="s">
        <v>1413</v>
      </c>
      <c r="W460" s="501" t="s">
        <v>1531</v>
      </c>
      <c r="X460" s="502" t="s">
        <v>1413</v>
      </c>
      <c r="Y460" s="492" t="s">
        <v>1531</v>
      </c>
      <c r="Z460" s="493" t="s">
        <v>1413</v>
      </c>
      <c r="AA460" s="398" t="s">
        <v>1531</v>
      </c>
      <c r="AB460" s="504" t="s">
        <v>1413</v>
      </c>
      <c r="AC460" s="369"/>
    </row>
    <row r="461" spans="1:29" ht="20.100000000000001" customHeight="1" thickBot="1">
      <c r="A461" s="392" t="s">
        <v>597</v>
      </c>
      <c r="B461" s="393" t="s">
        <v>89</v>
      </c>
      <c r="C461" s="400">
        <f>COUNTIF('Chem Props'!$B$6:$B$851,'Parameters Summary'!A461)</f>
        <v>1</v>
      </c>
      <c r="D461" s="400">
        <f>COUNTIF('Tox Summary'!$N$3:$N$792, 'Parameters Summary'!A461)</f>
        <v>1</v>
      </c>
      <c r="E461" s="438">
        <v>268.36</v>
      </c>
      <c r="F461" s="439" t="s">
        <v>1620</v>
      </c>
      <c r="G461" s="440">
        <v>2.142E-4</v>
      </c>
      <c r="H461" s="440">
        <v>5.2399999999999998E-6</v>
      </c>
      <c r="I461" s="441" t="s">
        <v>553</v>
      </c>
      <c r="J461" s="440">
        <v>4.3000000000000001E-8</v>
      </c>
      <c r="K461" s="441" t="s">
        <v>553</v>
      </c>
      <c r="L461" s="457">
        <v>180</v>
      </c>
      <c r="M461" s="458" t="s">
        <v>1620</v>
      </c>
      <c r="N461" s="459">
        <v>1.28</v>
      </c>
      <c r="O461" s="460" t="s">
        <v>1618</v>
      </c>
      <c r="P461" s="475">
        <v>2.40562E-2</v>
      </c>
      <c r="Q461" s="475">
        <v>6.1427999999999999E-6</v>
      </c>
      <c r="R461" s="476" t="s">
        <v>2435</v>
      </c>
      <c r="S461" s="477" t="s">
        <v>1531</v>
      </c>
      <c r="T461" s="478" t="s">
        <v>1413</v>
      </c>
      <c r="U461" s="481">
        <v>961600</v>
      </c>
      <c r="V461" s="481" t="s">
        <v>553</v>
      </c>
      <c r="W461" s="497">
        <v>6.42</v>
      </c>
      <c r="X461" s="498" t="s">
        <v>1620</v>
      </c>
      <c r="Y461" s="488">
        <v>2.8999999999999998E-3</v>
      </c>
      <c r="Z461" s="489" t="s">
        <v>1620</v>
      </c>
      <c r="AA461" s="396">
        <v>0.90300000000000002</v>
      </c>
      <c r="AB461" s="397" t="s">
        <v>553</v>
      </c>
      <c r="AC461" s="369"/>
    </row>
    <row r="462" spans="1:29" ht="20.100000000000001" customHeight="1">
      <c r="A462" s="390" t="s">
        <v>1237</v>
      </c>
      <c r="B462" s="391" t="s">
        <v>90</v>
      </c>
      <c r="C462" s="400">
        <f>COUNTIF('Chem Props'!$B$6:$B$851,'Parameters Summary'!A462)</f>
        <v>1</v>
      </c>
      <c r="D462" s="400">
        <f>COUNTIF('Tox Summary'!$N$3:$N$792, 'Parameters Summary'!A462)</f>
        <v>1</v>
      </c>
      <c r="E462" s="434">
        <v>84.933000000000007</v>
      </c>
      <c r="F462" s="435" t="s">
        <v>1620</v>
      </c>
      <c r="G462" s="436">
        <v>0.13286999999999999</v>
      </c>
      <c r="H462" s="436">
        <v>3.2499999999999999E-3</v>
      </c>
      <c r="I462" s="437" t="s">
        <v>1620</v>
      </c>
      <c r="J462" s="436">
        <v>435</v>
      </c>
      <c r="K462" s="437" t="s">
        <v>1620</v>
      </c>
      <c r="L462" s="453">
        <v>-95.1</v>
      </c>
      <c r="M462" s="454" t="s">
        <v>1620</v>
      </c>
      <c r="N462" s="455">
        <v>1.3266</v>
      </c>
      <c r="O462" s="456" t="s">
        <v>1618</v>
      </c>
      <c r="P462" s="471">
        <v>9.9936200000000003E-2</v>
      </c>
      <c r="Q462" s="471">
        <v>1.2500000000000001E-5</v>
      </c>
      <c r="R462" s="472" t="s">
        <v>2435</v>
      </c>
      <c r="S462" s="473" t="s">
        <v>1531</v>
      </c>
      <c r="T462" s="474" t="s">
        <v>1413</v>
      </c>
      <c r="U462" s="484">
        <v>21.73</v>
      </c>
      <c r="V462" s="484" t="s">
        <v>553</v>
      </c>
      <c r="W462" s="495">
        <v>1.25</v>
      </c>
      <c r="X462" s="496" t="s">
        <v>1620</v>
      </c>
      <c r="Y462" s="486">
        <v>13000</v>
      </c>
      <c r="Z462" s="487" t="s">
        <v>1620</v>
      </c>
      <c r="AA462" s="394">
        <v>3.5400000000000002E-3</v>
      </c>
      <c r="AB462" s="395" t="s">
        <v>553</v>
      </c>
      <c r="AC462" s="369"/>
    </row>
    <row r="463" spans="1:29" ht="20.100000000000001" customHeight="1">
      <c r="A463" s="390" t="s">
        <v>1238</v>
      </c>
      <c r="B463" s="391" t="s">
        <v>91</v>
      </c>
      <c r="C463" s="400">
        <f>COUNTIF('Chem Props'!$B$6:$B$851,'Parameters Summary'!A463)</f>
        <v>1</v>
      </c>
      <c r="D463" s="400">
        <f>COUNTIF('Tox Summary'!$N$3:$N$792, 'Parameters Summary'!A463)</f>
        <v>1</v>
      </c>
      <c r="E463" s="434">
        <v>267.16000000000003</v>
      </c>
      <c r="F463" s="435" t="s">
        <v>1620</v>
      </c>
      <c r="G463" s="436">
        <v>1.6599E-9</v>
      </c>
      <c r="H463" s="436">
        <v>4.0600000000000001E-11</v>
      </c>
      <c r="I463" s="437" t="s">
        <v>1620</v>
      </c>
      <c r="J463" s="436">
        <v>2.8599999999999999E-7</v>
      </c>
      <c r="K463" s="437" t="s">
        <v>1620</v>
      </c>
      <c r="L463" s="453">
        <v>110</v>
      </c>
      <c r="M463" s="454" t="s">
        <v>1620</v>
      </c>
      <c r="N463" s="461" t="s">
        <v>1531</v>
      </c>
      <c r="O463" s="462" t="s">
        <v>1413</v>
      </c>
      <c r="P463" s="471">
        <v>4.5804299999999999E-2</v>
      </c>
      <c r="Q463" s="471">
        <v>5.3519000000000004E-6</v>
      </c>
      <c r="R463" s="472" t="s">
        <v>2435</v>
      </c>
      <c r="S463" s="473" t="s">
        <v>1531</v>
      </c>
      <c r="T463" s="474" t="s">
        <v>1413</v>
      </c>
      <c r="U463" s="484">
        <v>5698</v>
      </c>
      <c r="V463" s="484" t="s">
        <v>553</v>
      </c>
      <c r="W463" s="495">
        <v>3.91</v>
      </c>
      <c r="X463" s="496" t="s">
        <v>1620</v>
      </c>
      <c r="Y463" s="486">
        <v>13.9</v>
      </c>
      <c r="Z463" s="487" t="s">
        <v>1620</v>
      </c>
      <c r="AA463" s="394">
        <v>1.9699999999999999E-2</v>
      </c>
      <c r="AB463" s="395" t="s">
        <v>553</v>
      </c>
      <c r="AC463" s="369"/>
    </row>
    <row r="464" spans="1:29" ht="20.100000000000001" customHeight="1" thickBot="1">
      <c r="A464" s="392" t="s">
        <v>1239</v>
      </c>
      <c r="B464" s="393" t="s">
        <v>92</v>
      </c>
      <c r="C464" s="400">
        <f>COUNTIF('Chem Props'!$B$6:$B$851,'Parameters Summary'!A464)</f>
        <v>1</v>
      </c>
      <c r="D464" s="400">
        <f>COUNTIF('Tox Summary'!$N$3:$N$792, 'Parameters Summary'!A464)</f>
        <v>1</v>
      </c>
      <c r="E464" s="438">
        <v>254.38</v>
      </c>
      <c r="F464" s="439" t="s">
        <v>1620</v>
      </c>
      <c r="G464" s="440">
        <v>4.3744999999999999E-8</v>
      </c>
      <c r="H464" s="440">
        <v>1.07E-9</v>
      </c>
      <c r="I464" s="441" t="s">
        <v>1620</v>
      </c>
      <c r="J464" s="440">
        <v>1.7499999999999998E-5</v>
      </c>
      <c r="K464" s="441" t="s">
        <v>1620</v>
      </c>
      <c r="L464" s="457">
        <v>91.5</v>
      </c>
      <c r="M464" s="458" t="s">
        <v>1620</v>
      </c>
      <c r="N464" s="463" t="s">
        <v>1531</v>
      </c>
      <c r="O464" s="464" t="s">
        <v>1413</v>
      </c>
      <c r="P464" s="475">
        <v>4.7325800000000001E-2</v>
      </c>
      <c r="Q464" s="475">
        <v>5.5296999999999998E-6</v>
      </c>
      <c r="R464" s="476" t="s">
        <v>2435</v>
      </c>
      <c r="S464" s="477" t="s">
        <v>1531</v>
      </c>
      <c r="T464" s="478" t="s">
        <v>1413</v>
      </c>
      <c r="U464" s="481">
        <v>2667</v>
      </c>
      <c r="V464" s="481" t="s">
        <v>553</v>
      </c>
      <c r="W464" s="497">
        <v>4.37</v>
      </c>
      <c r="X464" s="498" t="s">
        <v>1620</v>
      </c>
      <c r="Y464" s="488">
        <v>4.1399999999999997</v>
      </c>
      <c r="Z464" s="489" t="s">
        <v>1620</v>
      </c>
      <c r="AA464" s="396">
        <v>8.4396700000000005E-2</v>
      </c>
      <c r="AB464" s="397" t="s">
        <v>1668</v>
      </c>
      <c r="AC464" s="370"/>
    </row>
    <row r="465" spans="1:29" ht="20.100000000000001" customHeight="1">
      <c r="A465" s="390" t="s">
        <v>1240</v>
      </c>
      <c r="B465" s="391" t="s">
        <v>93</v>
      </c>
      <c r="C465" s="400">
        <f>COUNTIF('Chem Props'!$B$6:$B$851,'Parameters Summary'!A465)</f>
        <v>1</v>
      </c>
      <c r="D465" s="400">
        <f>COUNTIF('Tox Summary'!$N$3:$N$792, 'Parameters Summary'!A465)</f>
        <v>1</v>
      </c>
      <c r="E465" s="434">
        <v>198.27</v>
      </c>
      <c r="F465" s="435" t="s">
        <v>1620</v>
      </c>
      <c r="G465" s="436">
        <v>2.1668E-9</v>
      </c>
      <c r="H465" s="436">
        <v>5.2999999999999998E-11</v>
      </c>
      <c r="I465" s="437" t="s">
        <v>1620</v>
      </c>
      <c r="J465" s="436">
        <v>2.03E-7</v>
      </c>
      <c r="K465" s="437" t="s">
        <v>1620</v>
      </c>
      <c r="L465" s="453">
        <v>92.5</v>
      </c>
      <c r="M465" s="454" t="s">
        <v>1620</v>
      </c>
      <c r="N465" s="461" t="s">
        <v>1531</v>
      </c>
      <c r="O465" s="462" t="s">
        <v>1413</v>
      </c>
      <c r="P465" s="471">
        <v>5.5878999999999998E-2</v>
      </c>
      <c r="Q465" s="471">
        <v>6.5289999999999997E-6</v>
      </c>
      <c r="R465" s="472" t="s">
        <v>2435</v>
      </c>
      <c r="S465" s="473" t="s">
        <v>1531</v>
      </c>
      <c r="T465" s="474" t="s">
        <v>1413</v>
      </c>
      <c r="U465" s="484">
        <v>2126</v>
      </c>
      <c r="V465" s="484" t="s">
        <v>553</v>
      </c>
      <c r="W465" s="495">
        <v>1.59</v>
      </c>
      <c r="X465" s="496" t="s">
        <v>1620</v>
      </c>
      <c r="Y465" s="486">
        <v>1000</v>
      </c>
      <c r="Z465" s="487" t="s">
        <v>1620</v>
      </c>
      <c r="AA465" s="394">
        <v>1.3799999999999999E-3</v>
      </c>
      <c r="AB465" s="395" t="s">
        <v>553</v>
      </c>
      <c r="AC465" s="369"/>
    </row>
    <row r="466" spans="1:29" ht="20.100000000000001" customHeight="1">
      <c r="A466" s="390" t="s">
        <v>1241</v>
      </c>
      <c r="B466" s="391" t="s">
        <v>94</v>
      </c>
      <c r="C466" s="400">
        <f>COUNTIF('Chem Props'!$B$6:$B$851,'Parameters Summary'!A466)</f>
        <v>1</v>
      </c>
      <c r="D466" s="400">
        <f>COUNTIF('Tox Summary'!$N$3:$N$792, 'Parameters Summary'!A466)</f>
        <v>1</v>
      </c>
      <c r="E466" s="434">
        <v>250.26</v>
      </c>
      <c r="F466" s="435" t="s">
        <v>1620</v>
      </c>
      <c r="G466" s="436">
        <v>3.6600000000000002E-5</v>
      </c>
      <c r="H466" s="436">
        <v>8.9500000000000001E-7</v>
      </c>
      <c r="I466" s="437" t="s">
        <v>1620</v>
      </c>
      <c r="J466" s="436">
        <v>5.0000000000000004E-6</v>
      </c>
      <c r="K466" s="437" t="s">
        <v>1620</v>
      </c>
      <c r="L466" s="453">
        <v>38</v>
      </c>
      <c r="M466" s="454" t="s">
        <v>1620</v>
      </c>
      <c r="N466" s="455">
        <v>1.1970000000000001</v>
      </c>
      <c r="O466" s="456" t="s">
        <v>1618</v>
      </c>
      <c r="P466" s="471">
        <v>2.4173699999999999E-2</v>
      </c>
      <c r="Q466" s="471">
        <v>6.1530999999999996E-6</v>
      </c>
      <c r="R466" s="472" t="s">
        <v>2435</v>
      </c>
      <c r="S466" s="473" t="s">
        <v>1531</v>
      </c>
      <c r="T466" s="474" t="s">
        <v>1413</v>
      </c>
      <c r="U466" s="484">
        <v>284900</v>
      </c>
      <c r="V466" s="484" t="s">
        <v>553</v>
      </c>
      <c r="W466" s="495">
        <v>5.22</v>
      </c>
      <c r="X466" s="496" t="s">
        <v>1620</v>
      </c>
      <c r="Y466" s="486">
        <v>0.82879999999999998</v>
      </c>
      <c r="Z466" s="487" t="s">
        <v>1620</v>
      </c>
      <c r="AA466" s="394">
        <v>0.18099999999999999</v>
      </c>
      <c r="AB466" s="395" t="s">
        <v>553</v>
      </c>
      <c r="AC466" s="369"/>
    </row>
    <row r="467" spans="1:29" ht="20.100000000000001" customHeight="1" thickBot="1">
      <c r="A467" s="392" t="s">
        <v>1242</v>
      </c>
      <c r="B467" s="393" t="s">
        <v>95</v>
      </c>
      <c r="C467" s="400">
        <f>COUNTIF('Chem Props'!$B$6:$B$851,'Parameters Summary'!A467)</f>
        <v>1</v>
      </c>
      <c r="D467" s="400">
        <f>COUNTIF('Tox Summary'!$N$3:$N$792, 'Parameters Summary'!A467)</f>
        <v>1</v>
      </c>
      <c r="E467" s="438">
        <v>118.18</v>
      </c>
      <c r="F467" s="439" t="s">
        <v>1620</v>
      </c>
      <c r="G467" s="440">
        <v>0.10425180000000001</v>
      </c>
      <c r="H467" s="440">
        <v>2.5500000000000002E-3</v>
      </c>
      <c r="I467" s="441" t="s">
        <v>553</v>
      </c>
      <c r="J467" s="440">
        <v>1.9</v>
      </c>
      <c r="K467" s="441" t="s">
        <v>553</v>
      </c>
      <c r="L467" s="457">
        <v>-23.2</v>
      </c>
      <c r="M467" s="458" t="s">
        <v>1620</v>
      </c>
      <c r="N467" s="459">
        <v>0.91059999999999997</v>
      </c>
      <c r="O467" s="460" t="s">
        <v>1618</v>
      </c>
      <c r="P467" s="475">
        <v>6.2902E-2</v>
      </c>
      <c r="Q467" s="475">
        <v>8.1911000000000002E-6</v>
      </c>
      <c r="R467" s="476" t="s">
        <v>2435</v>
      </c>
      <c r="S467" s="477" t="s">
        <v>1531</v>
      </c>
      <c r="T467" s="478" t="s">
        <v>1413</v>
      </c>
      <c r="U467" s="481">
        <v>697.8</v>
      </c>
      <c r="V467" s="481" t="s">
        <v>553</v>
      </c>
      <c r="W467" s="497">
        <v>3.48</v>
      </c>
      <c r="X467" s="498" t="s">
        <v>1620</v>
      </c>
      <c r="Y467" s="488">
        <v>116</v>
      </c>
      <c r="Z467" s="489" t="s">
        <v>1620</v>
      </c>
      <c r="AA467" s="396">
        <v>6.9900000000000004E-2</v>
      </c>
      <c r="AB467" s="397" t="s">
        <v>553</v>
      </c>
      <c r="AC467" s="369"/>
    </row>
    <row r="468" spans="1:29" ht="20.100000000000001" customHeight="1">
      <c r="A468" s="390" t="s">
        <v>1243</v>
      </c>
      <c r="B468" s="391" t="s">
        <v>96</v>
      </c>
      <c r="C468" s="400">
        <f>COUNTIF('Chem Props'!$B$6:$B$851,'Parameters Summary'!A468)</f>
        <v>1</v>
      </c>
      <c r="D468" s="400">
        <f>COUNTIF('Tox Summary'!$N$3:$N$792, 'Parameters Summary'!A468)</f>
        <v>1</v>
      </c>
      <c r="E468" s="434">
        <v>283.8</v>
      </c>
      <c r="F468" s="435" t="s">
        <v>1620</v>
      </c>
      <c r="G468" s="436">
        <v>3.6795000000000001E-7</v>
      </c>
      <c r="H468" s="436">
        <v>8.9999999999999995E-9</v>
      </c>
      <c r="I468" s="437" t="s">
        <v>1620</v>
      </c>
      <c r="J468" s="436">
        <v>3.1399999999999998E-5</v>
      </c>
      <c r="K468" s="437" t="s">
        <v>1620</v>
      </c>
      <c r="L468" s="453">
        <v>-62.1</v>
      </c>
      <c r="M468" s="454" t="s">
        <v>1620</v>
      </c>
      <c r="N468" s="455">
        <v>1.1200000000000001</v>
      </c>
      <c r="O468" s="456" t="s">
        <v>1618</v>
      </c>
      <c r="P468" s="471">
        <v>2.1922299999999999E-2</v>
      </c>
      <c r="Q468" s="471">
        <v>5.4827E-6</v>
      </c>
      <c r="R468" s="472" t="s">
        <v>2435</v>
      </c>
      <c r="S468" s="473" t="s">
        <v>1531</v>
      </c>
      <c r="T468" s="474" t="s">
        <v>1413</v>
      </c>
      <c r="U468" s="484">
        <v>488.5</v>
      </c>
      <c r="V468" s="484" t="s">
        <v>553</v>
      </c>
      <c r="W468" s="495">
        <v>3.13</v>
      </c>
      <c r="X468" s="496" t="s">
        <v>1620</v>
      </c>
      <c r="Y468" s="486">
        <v>530</v>
      </c>
      <c r="Z468" s="487" t="s">
        <v>1620</v>
      </c>
      <c r="AA468" s="394">
        <v>3.3899999999999998E-3</v>
      </c>
      <c r="AB468" s="395" t="s">
        <v>553</v>
      </c>
      <c r="AC468" s="369"/>
    </row>
    <row r="469" spans="1:29" ht="20.100000000000001" customHeight="1">
      <c r="A469" s="390" t="s">
        <v>1244</v>
      </c>
      <c r="B469" s="391" t="s">
        <v>97</v>
      </c>
      <c r="C469" s="400">
        <f>COUNTIF('Chem Props'!$B$6:$B$851,'Parameters Summary'!A469)</f>
        <v>1</v>
      </c>
      <c r="D469" s="400">
        <f>COUNTIF('Tox Summary'!$N$3:$N$792, 'Parameters Summary'!A469)</f>
        <v>1</v>
      </c>
      <c r="E469" s="434">
        <v>214.29</v>
      </c>
      <c r="F469" s="435" t="s">
        <v>1620</v>
      </c>
      <c r="G469" s="436">
        <v>4.7833000000000002E-9</v>
      </c>
      <c r="H469" s="436">
        <v>1.1700000000000001E-10</v>
      </c>
      <c r="I469" s="437" t="s">
        <v>553</v>
      </c>
      <c r="J469" s="436">
        <v>4.3500000000000002E-7</v>
      </c>
      <c r="K469" s="437" t="s">
        <v>1620</v>
      </c>
      <c r="L469" s="453">
        <v>126</v>
      </c>
      <c r="M469" s="454" t="s">
        <v>1620</v>
      </c>
      <c r="N469" s="455">
        <v>1.31</v>
      </c>
      <c r="O469" s="456" t="s">
        <v>1618</v>
      </c>
      <c r="P469" s="471">
        <v>2.7339700000000002E-2</v>
      </c>
      <c r="Q469" s="471">
        <v>7.1291000000000001E-6</v>
      </c>
      <c r="R469" s="472" t="s">
        <v>2435</v>
      </c>
      <c r="S469" s="473" t="s">
        <v>1531</v>
      </c>
      <c r="T469" s="474" t="s">
        <v>1413</v>
      </c>
      <c r="U469" s="484">
        <v>53.13</v>
      </c>
      <c r="V469" s="484" t="s">
        <v>553</v>
      </c>
      <c r="W469" s="495">
        <v>1.7</v>
      </c>
      <c r="X469" s="496" t="s">
        <v>1620</v>
      </c>
      <c r="Y469" s="486">
        <v>1050</v>
      </c>
      <c r="Z469" s="487" t="s">
        <v>1620</v>
      </c>
      <c r="AA469" s="394">
        <v>1.32E-3</v>
      </c>
      <c r="AB469" s="395" t="s">
        <v>553</v>
      </c>
      <c r="AC469" s="370"/>
    </row>
    <row r="470" spans="1:29" ht="20.100000000000001" customHeight="1" thickBot="1">
      <c r="A470" s="392" t="s">
        <v>2314</v>
      </c>
      <c r="B470" s="393" t="s">
        <v>649</v>
      </c>
      <c r="C470" s="400">
        <f>COUNTIF('Chem Props'!$B$6:$B$851,'Parameters Summary'!A470)</f>
        <v>1</v>
      </c>
      <c r="D470" s="400">
        <f>COUNTIF('Tox Summary'!$N$3:$N$792, 'Parameters Summary'!A470)</f>
        <v>1</v>
      </c>
      <c r="E470" s="438">
        <v>381.37</v>
      </c>
      <c r="F470" s="439" t="s">
        <v>1620</v>
      </c>
      <c r="G470" s="440">
        <v>5.3969999999999999E-15</v>
      </c>
      <c r="H470" s="440">
        <v>1.32E-16</v>
      </c>
      <c r="I470" s="441" t="s">
        <v>553</v>
      </c>
      <c r="J470" s="440">
        <v>2.4999999999999998E-12</v>
      </c>
      <c r="K470" s="441" t="s">
        <v>1620</v>
      </c>
      <c r="L470" s="457">
        <v>162</v>
      </c>
      <c r="M470" s="458" t="s">
        <v>1620</v>
      </c>
      <c r="N470" s="463" t="s">
        <v>1531</v>
      </c>
      <c r="O470" s="464" t="s">
        <v>1413</v>
      </c>
      <c r="P470" s="475">
        <v>3.6129000000000001E-2</v>
      </c>
      <c r="Q470" s="475">
        <v>4.2213999999999999E-6</v>
      </c>
      <c r="R470" s="476" t="s">
        <v>2435</v>
      </c>
      <c r="S470" s="477" t="s">
        <v>1531</v>
      </c>
      <c r="T470" s="478" t="s">
        <v>1413</v>
      </c>
      <c r="U470" s="481">
        <v>92.5</v>
      </c>
      <c r="V470" s="481" t="s">
        <v>553</v>
      </c>
      <c r="W470" s="497">
        <v>2.2000000000000002</v>
      </c>
      <c r="X470" s="498" t="s">
        <v>1620</v>
      </c>
      <c r="Y470" s="488">
        <v>9500</v>
      </c>
      <c r="Z470" s="489" t="s">
        <v>1620</v>
      </c>
      <c r="AA470" s="396">
        <v>3.2899999999999997E-4</v>
      </c>
      <c r="AB470" s="397" t="s">
        <v>553</v>
      </c>
      <c r="AC470" s="369"/>
    </row>
    <row r="471" spans="1:29" ht="20.100000000000001" customHeight="1">
      <c r="A471" s="390" t="s">
        <v>598</v>
      </c>
      <c r="B471" s="391" t="s">
        <v>98</v>
      </c>
      <c r="C471" s="400">
        <f>COUNTIF('Chem Props'!$B$6:$B$851,'Parameters Summary'!A471)</f>
        <v>1</v>
      </c>
      <c r="D471" s="400">
        <f>COUNTIF('Tox Summary'!$N$3:$N$792, 'Parameters Summary'!A471)</f>
        <v>1</v>
      </c>
      <c r="E471" s="434">
        <v>170.34</v>
      </c>
      <c r="F471" s="435" t="s">
        <v>553</v>
      </c>
      <c r="G471" s="436">
        <v>334.42354999999998</v>
      </c>
      <c r="H471" s="436">
        <v>8.18</v>
      </c>
      <c r="I471" s="437" t="s">
        <v>553</v>
      </c>
      <c r="J471" s="436">
        <v>0.13500000000000001</v>
      </c>
      <c r="K471" s="437" t="s">
        <v>553</v>
      </c>
      <c r="L471" s="453">
        <v>-9.6</v>
      </c>
      <c r="M471" s="454" t="s">
        <v>553</v>
      </c>
      <c r="N471" s="455">
        <v>0.877</v>
      </c>
      <c r="O471" s="456" t="s">
        <v>2205</v>
      </c>
      <c r="P471" s="471">
        <v>3.6193999999999997E-2</v>
      </c>
      <c r="Q471" s="471">
        <v>6.4309999999999999E-6</v>
      </c>
      <c r="R471" s="472" t="s">
        <v>2435</v>
      </c>
      <c r="S471" s="473" t="s">
        <v>1531</v>
      </c>
      <c r="T471" s="474" t="s">
        <v>1413</v>
      </c>
      <c r="U471" s="484">
        <v>4818</v>
      </c>
      <c r="V471" s="484" t="s">
        <v>553</v>
      </c>
      <c r="W471" s="495">
        <v>6.1</v>
      </c>
      <c r="X471" s="496" t="s">
        <v>553</v>
      </c>
      <c r="Y471" s="486">
        <v>3.7000000000000002E-3</v>
      </c>
      <c r="Z471" s="487" t="s">
        <v>553</v>
      </c>
      <c r="AA471" s="394">
        <v>1.96</v>
      </c>
      <c r="AB471" s="395" t="s">
        <v>553</v>
      </c>
      <c r="AC471" s="369"/>
    </row>
    <row r="472" spans="1:29" ht="20.100000000000001" customHeight="1">
      <c r="A472" s="390" t="s">
        <v>1408</v>
      </c>
      <c r="B472" s="391" t="s">
        <v>99</v>
      </c>
      <c r="C472" s="400">
        <f>COUNTIF('Chem Props'!$B$6:$B$851,'Parameters Summary'!A472)</f>
        <v>1</v>
      </c>
      <c r="D472" s="400">
        <f>COUNTIF('Tox Summary'!$N$3:$N$792, 'Parameters Summary'!A472)</f>
        <v>1</v>
      </c>
      <c r="E472" s="434">
        <v>545.54999999999995</v>
      </c>
      <c r="F472" s="435" t="s">
        <v>1620</v>
      </c>
      <c r="G472" s="436">
        <v>3.3156199999999997E-2</v>
      </c>
      <c r="H472" s="436">
        <v>8.1099999999999998E-4</v>
      </c>
      <c r="I472" s="437" t="s">
        <v>1620</v>
      </c>
      <c r="J472" s="436">
        <v>7.9999999999999996E-7</v>
      </c>
      <c r="K472" s="437" t="s">
        <v>1620</v>
      </c>
      <c r="L472" s="453">
        <v>485</v>
      </c>
      <c r="M472" s="454" t="s">
        <v>1618</v>
      </c>
      <c r="N472" s="455">
        <v>2.25</v>
      </c>
      <c r="O472" s="456" t="s">
        <v>2205</v>
      </c>
      <c r="P472" s="471">
        <v>2.1880199999999999E-2</v>
      </c>
      <c r="Q472" s="471">
        <v>5.6296000000000003E-6</v>
      </c>
      <c r="R472" s="472" t="s">
        <v>2435</v>
      </c>
      <c r="S472" s="473" t="s">
        <v>1531</v>
      </c>
      <c r="T472" s="474" t="s">
        <v>1413</v>
      </c>
      <c r="U472" s="484">
        <v>356600</v>
      </c>
      <c r="V472" s="484" t="s">
        <v>553</v>
      </c>
      <c r="W472" s="495">
        <v>6.89</v>
      </c>
      <c r="X472" s="496" t="s">
        <v>1620</v>
      </c>
      <c r="Y472" s="486">
        <v>8.5000000000000006E-2</v>
      </c>
      <c r="Z472" s="487" t="s">
        <v>1620</v>
      </c>
      <c r="AA472" s="394">
        <v>5.16E-2</v>
      </c>
      <c r="AB472" s="395" t="s">
        <v>553</v>
      </c>
      <c r="AC472" s="369"/>
    </row>
    <row r="473" spans="1:29" ht="20.100000000000001" customHeight="1" thickBot="1">
      <c r="A473" s="392" t="s">
        <v>1245</v>
      </c>
      <c r="B473" s="393" t="s">
        <v>100</v>
      </c>
      <c r="C473" s="400">
        <f>COUNTIF('Chem Props'!$B$6:$B$851,'Parameters Summary'!A473)</f>
        <v>1</v>
      </c>
      <c r="D473" s="400">
        <f>COUNTIF('Tox Summary'!$N$3:$N$792, 'Parameters Summary'!A473)</f>
        <v>1</v>
      </c>
      <c r="E473" s="438">
        <v>187.31</v>
      </c>
      <c r="F473" s="439" t="s">
        <v>1620</v>
      </c>
      <c r="G473" s="440">
        <v>1.6760000000000001E-4</v>
      </c>
      <c r="H473" s="440">
        <v>4.0999999999999997E-6</v>
      </c>
      <c r="I473" s="441" t="s">
        <v>1620</v>
      </c>
      <c r="J473" s="440">
        <v>5.5999999999999999E-3</v>
      </c>
      <c r="K473" s="441" t="s">
        <v>1620</v>
      </c>
      <c r="L473" s="457">
        <v>69.58</v>
      </c>
      <c r="M473" s="458" t="s">
        <v>553</v>
      </c>
      <c r="N473" s="459">
        <v>1.0629999999999999</v>
      </c>
      <c r="O473" s="460" t="s">
        <v>1618</v>
      </c>
      <c r="P473" s="475">
        <v>3.1556099999999997E-2</v>
      </c>
      <c r="Q473" s="475">
        <v>6.8179999999999998E-6</v>
      </c>
      <c r="R473" s="476" t="s">
        <v>2435</v>
      </c>
      <c r="S473" s="477" t="s">
        <v>1531</v>
      </c>
      <c r="T473" s="478" t="s">
        <v>1413</v>
      </c>
      <c r="U473" s="481">
        <v>181.9</v>
      </c>
      <c r="V473" s="481" t="s">
        <v>553</v>
      </c>
      <c r="W473" s="497">
        <v>3.21</v>
      </c>
      <c r="X473" s="498" t="s">
        <v>1620</v>
      </c>
      <c r="Y473" s="488">
        <v>970</v>
      </c>
      <c r="Z473" s="489" t="s">
        <v>1620</v>
      </c>
      <c r="AA473" s="396">
        <v>1.89E-2</v>
      </c>
      <c r="AB473" s="397" t="s">
        <v>553</v>
      </c>
      <c r="AC473" s="369"/>
    </row>
    <row r="474" spans="1:29" ht="20.100000000000001" customHeight="1">
      <c r="A474" s="390" t="s">
        <v>1246</v>
      </c>
      <c r="B474" s="391" t="s">
        <v>101</v>
      </c>
      <c r="C474" s="400">
        <f>COUNTIF('Chem Props'!$B$6:$B$851,'Parameters Summary'!A474)</f>
        <v>1</v>
      </c>
      <c r="D474" s="400">
        <f>COUNTIF('Tox Summary'!$N$3:$N$792, 'Parameters Summary'!A474)</f>
        <v>1</v>
      </c>
      <c r="E474" s="434">
        <v>95.94</v>
      </c>
      <c r="F474" s="435" t="s">
        <v>1620</v>
      </c>
      <c r="G474" s="444" t="s">
        <v>1531</v>
      </c>
      <c r="H474" s="444" t="s">
        <v>1531</v>
      </c>
      <c r="I474" s="445" t="s">
        <v>1413</v>
      </c>
      <c r="J474" s="436">
        <v>0</v>
      </c>
      <c r="K474" s="437" t="s">
        <v>2204</v>
      </c>
      <c r="L474" s="453">
        <v>2622</v>
      </c>
      <c r="M474" s="454" t="s">
        <v>1620</v>
      </c>
      <c r="N474" s="455">
        <v>10.199999999999999</v>
      </c>
      <c r="O474" s="456" t="s">
        <v>1618</v>
      </c>
      <c r="P474" s="482" t="s">
        <v>1531</v>
      </c>
      <c r="Q474" s="482" t="s">
        <v>1531</v>
      </c>
      <c r="R474" s="483" t="s">
        <v>1413</v>
      </c>
      <c r="S474" s="484">
        <v>20</v>
      </c>
      <c r="T474" s="484" t="s">
        <v>2155</v>
      </c>
      <c r="U474" s="473" t="s">
        <v>1531</v>
      </c>
      <c r="V474" s="474" t="s">
        <v>1413</v>
      </c>
      <c r="W474" s="501" t="s">
        <v>1531</v>
      </c>
      <c r="X474" s="502" t="s">
        <v>1413</v>
      </c>
      <c r="Y474" s="492" t="s">
        <v>1531</v>
      </c>
      <c r="Z474" s="493" t="s">
        <v>1413</v>
      </c>
      <c r="AA474" s="394">
        <v>1E-3</v>
      </c>
      <c r="AB474" s="395" t="s">
        <v>1668</v>
      </c>
      <c r="AC474" s="369"/>
    </row>
    <row r="475" spans="1:29" ht="20.100000000000001" customHeight="1">
      <c r="A475" s="390" t="s">
        <v>1247</v>
      </c>
      <c r="B475" s="391" t="s">
        <v>102</v>
      </c>
      <c r="C475" s="400">
        <f>COUNTIF('Chem Props'!$B$6:$B$851,'Parameters Summary'!A475)</f>
        <v>1</v>
      </c>
      <c r="D475" s="400">
        <f>COUNTIF('Tox Summary'!$N$3:$N$792, 'Parameters Summary'!A475)</f>
        <v>1</v>
      </c>
      <c r="E475" s="434">
        <v>51.48</v>
      </c>
      <c r="F475" s="435" t="s">
        <v>553</v>
      </c>
      <c r="G475" s="444" t="s">
        <v>1531</v>
      </c>
      <c r="H475" s="444" t="s">
        <v>1531</v>
      </c>
      <c r="I475" s="445" t="s">
        <v>1413</v>
      </c>
      <c r="J475" s="444" t="s">
        <v>1531</v>
      </c>
      <c r="K475" s="445" t="s">
        <v>1413</v>
      </c>
      <c r="L475" s="453">
        <v>-66</v>
      </c>
      <c r="M475" s="454" t="s">
        <v>1618</v>
      </c>
      <c r="N475" s="461" t="s">
        <v>1531</v>
      </c>
      <c r="O475" s="462" t="s">
        <v>1413</v>
      </c>
      <c r="P475" s="482" t="s">
        <v>1531</v>
      </c>
      <c r="Q475" s="482" t="s">
        <v>1531</v>
      </c>
      <c r="R475" s="483" t="s">
        <v>1413</v>
      </c>
      <c r="S475" s="473" t="s">
        <v>1531</v>
      </c>
      <c r="T475" s="474" t="s">
        <v>1413</v>
      </c>
      <c r="U475" s="473" t="s">
        <v>1531</v>
      </c>
      <c r="V475" s="474" t="s">
        <v>1413</v>
      </c>
      <c r="W475" s="501" t="s">
        <v>1531</v>
      </c>
      <c r="X475" s="502" t="s">
        <v>1413</v>
      </c>
      <c r="Y475" s="492" t="s">
        <v>1531</v>
      </c>
      <c r="Z475" s="493" t="s">
        <v>1413</v>
      </c>
      <c r="AA475" s="394">
        <v>1E-3</v>
      </c>
      <c r="AB475" s="395" t="s">
        <v>1668</v>
      </c>
      <c r="AC475" s="370"/>
    </row>
    <row r="476" spans="1:29" ht="20.100000000000001" customHeight="1" thickBot="1">
      <c r="A476" s="392" t="s">
        <v>1248</v>
      </c>
      <c r="B476" s="393" t="s">
        <v>103</v>
      </c>
      <c r="C476" s="400">
        <f>COUNTIF('Chem Props'!$B$6:$B$851,'Parameters Summary'!A476)</f>
        <v>1</v>
      </c>
      <c r="D476" s="400">
        <f>COUNTIF('Tox Summary'!$N$3:$N$792, 'Parameters Summary'!A476)</f>
        <v>1</v>
      </c>
      <c r="E476" s="438">
        <v>107.16</v>
      </c>
      <c r="F476" s="439" t="s">
        <v>1620</v>
      </c>
      <c r="G476" s="440">
        <v>3.6299999999999999E-4</v>
      </c>
      <c r="H476" s="440">
        <v>8.8799999999999997E-6</v>
      </c>
      <c r="I476" s="441" t="s">
        <v>1620</v>
      </c>
      <c r="J476" s="440">
        <v>0.45300000000000001</v>
      </c>
      <c r="K476" s="441" t="s">
        <v>1620</v>
      </c>
      <c r="L476" s="457">
        <v>-57</v>
      </c>
      <c r="M476" s="458" t="s">
        <v>1620</v>
      </c>
      <c r="N476" s="459">
        <v>0.98909999999999998</v>
      </c>
      <c r="O476" s="460" t="s">
        <v>1618</v>
      </c>
      <c r="P476" s="475">
        <v>7.2099899999999995E-2</v>
      </c>
      <c r="Q476" s="475">
        <v>9.1284000000000006E-6</v>
      </c>
      <c r="R476" s="476" t="s">
        <v>2435</v>
      </c>
      <c r="S476" s="477" t="s">
        <v>1531</v>
      </c>
      <c r="T476" s="478" t="s">
        <v>1413</v>
      </c>
      <c r="U476" s="481">
        <v>82.08</v>
      </c>
      <c r="V476" s="481" t="s">
        <v>553</v>
      </c>
      <c r="W476" s="497">
        <v>1.66</v>
      </c>
      <c r="X476" s="498" t="s">
        <v>1620</v>
      </c>
      <c r="Y476" s="488">
        <v>5620</v>
      </c>
      <c r="Z476" s="489" t="s">
        <v>1620</v>
      </c>
      <c r="AA476" s="396">
        <v>4.9800000000000001E-3</v>
      </c>
      <c r="AB476" s="397" t="s">
        <v>553</v>
      </c>
      <c r="AC476" s="369"/>
    </row>
    <row r="477" spans="1:29" ht="20.100000000000001" customHeight="1">
      <c r="A477" s="390" t="s">
        <v>2315</v>
      </c>
      <c r="B477" s="391" t="s">
        <v>269</v>
      </c>
      <c r="C477" s="400">
        <f>COUNTIF('Chem Props'!$B$6:$B$851,'Parameters Summary'!A477)</f>
        <v>1</v>
      </c>
      <c r="D477" s="400">
        <f>COUNTIF('Tox Summary'!$N$3:$N$792, 'Parameters Summary'!A477)</f>
        <v>1</v>
      </c>
      <c r="E477" s="434">
        <v>274.76</v>
      </c>
      <c r="F477" s="435" t="s">
        <v>1620</v>
      </c>
      <c r="G477" s="436">
        <v>1.7498E-7</v>
      </c>
      <c r="H477" s="436">
        <v>4.2800000000000001E-9</v>
      </c>
      <c r="I477" s="437" t="s">
        <v>553</v>
      </c>
      <c r="J477" s="436">
        <v>1.5999999999999999E-6</v>
      </c>
      <c r="K477" s="437" t="s">
        <v>1620</v>
      </c>
      <c r="L477" s="453">
        <v>65.5</v>
      </c>
      <c r="M477" s="454" t="s">
        <v>1620</v>
      </c>
      <c r="N477" s="461" t="s">
        <v>1531</v>
      </c>
      <c r="O477" s="462" t="s">
        <v>1413</v>
      </c>
      <c r="P477" s="471">
        <v>4.4955700000000001E-2</v>
      </c>
      <c r="Q477" s="471">
        <v>5.2526999999999997E-6</v>
      </c>
      <c r="R477" s="472" t="s">
        <v>2435</v>
      </c>
      <c r="S477" s="473" t="s">
        <v>1531</v>
      </c>
      <c r="T477" s="474" t="s">
        <v>1413</v>
      </c>
      <c r="U477" s="484">
        <v>6075</v>
      </c>
      <c r="V477" s="484" t="s">
        <v>553</v>
      </c>
      <c r="W477" s="495">
        <v>2.94</v>
      </c>
      <c r="X477" s="496" t="s">
        <v>1620</v>
      </c>
      <c r="Y477" s="486">
        <v>142</v>
      </c>
      <c r="Z477" s="487" t="s">
        <v>1620</v>
      </c>
      <c r="AA477" s="394">
        <v>3.3700000000000002E-3</v>
      </c>
      <c r="AB477" s="395" t="s">
        <v>553</v>
      </c>
      <c r="AC477" s="369"/>
    </row>
    <row r="478" spans="1:29" ht="20.100000000000001" customHeight="1">
      <c r="A478" s="390" t="s">
        <v>1249</v>
      </c>
      <c r="B478" s="391" t="s">
        <v>104</v>
      </c>
      <c r="C478" s="400">
        <f>COUNTIF('Chem Props'!$B$6:$B$851,'Parameters Summary'!A478)</f>
        <v>1</v>
      </c>
      <c r="D478" s="400">
        <f>COUNTIF('Tox Summary'!$N$3:$N$792, 'Parameters Summary'!A478)</f>
        <v>1</v>
      </c>
      <c r="E478" s="434">
        <v>260.33999999999997</v>
      </c>
      <c r="F478" s="435" t="s">
        <v>1620</v>
      </c>
      <c r="G478" s="436">
        <v>8.3810000000000007E-9</v>
      </c>
      <c r="H478" s="436">
        <v>2.0499999999999999E-10</v>
      </c>
      <c r="I478" s="437" t="s">
        <v>1620</v>
      </c>
      <c r="J478" s="436">
        <v>6.3499999999999998E-9</v>
      </c>
      <c r="K478" s="437" t="s">
        <v>553</v>
      </c>
      <c r="L478" s="453">
        <v>144</v>
      </c>
      <c r="M478" s="454" t="s">
        <v>1620</v>
      </c>
      <c r="N478" s="461" t="s">
        <v>1531</v>
      </c>
      <c r="O478" s="462" t="s">
        <v>1413</v>
      </c>
      <c r="P478" s="471">
        <v>4.6600799999999998E-2</v>
      </c>
      <c r="Q478" s="471">
        <v>5.4449000000000002E-6</v>
      </c>
      <c r="R478" s="472" t="s">
        <v>2435</v>
      </c>
      <c r="S478" s="473" t="s">
        <v>1531</v>
      </c>
      <c r="T478" s="474" t="s">
        <v>1413</v>
      </c>
      <c r="U478" s="484">
        <v>51890</v>
      </c>
      <c r="V478" s="484" t="s">
        <v>553</v>
      </c>
      <c r="W478" s="495">
        <v>4.04</v>
      </c>
      <c r="X478" s="496" t="s">
        <v>1620</v>
      </c>
      <c r="Y478" s="486">
        <v>7.3529999999999998</v>
      </c>
      <c r="Z478" s="487" t="s">
        <v>1620</v>
      </c>
      <c r="AA478" s="394">
        <v>2.6200000000000001E-2</v>
      </c>
      <c r="AB478" s="395" t="s">
        <v>553</v>
      </c>
      <c r="AC478" s="369"/>
    </row>
    <row r="479" spans="1:29" ht="20.100000000000001" customHeight="1" thickBot="1">
      <c r="A479" s="392" t="s">
        <v>1250</v>
      </c>
      <c r="B479" s="393" t="s">
        <v>105</v>
      </c>
      <c r="C479" s="400">
        <f>COUNTIF('Chem Props'!$B$6:$B$851,'Parameters Summary'!A479)</f>
        <v>1</v>
      </c>
      <c r="D479" s="400">
        <f>COUNTIF('Tox Summary'!$N$3:$N$792, 'Parameters Summary'!A479)</f>
        <v>1</v>
      </c>
      <c r="E479" s="438">
        <v>380.79</v>
      </c>
      <c r="F479" s="439" t="s">
        <v>1620</v>
      </c>
      <c r="G479" s="440">
        <v>2.6614999999999998E-3</v>
      </c>
      <c r="H479" s="440">
        <v>6.5099999999999997E-5</v>
      </c>
      <c r="I479" s="441" t="s">
        <v>553</v>
      </c>
      <c r="J479" s="440">
        <v>2.0000000000000001E-4</v>
      </c>
      <c r="K479" s="441" t="s">
        <v>1620</v>
      </c>
      <c r="L479" s="457">
        <v>27</v>
      </c>
      <c r="M479" s="458" t="s">
        <v>1620</v>
      </c>
      <c r="N479" s="459">
        <v>1.96</v>
      </c>
      <c r="O479" s="460" t="s">
        <v>1618</v>
      </c>
      <c r="P479" s="475">
        <v>2.45667E-2</v>
      </c>
      <c r="Q479" s="475">
        <v>6.4300000000000003E-6</v>
      </c>
      <c r="R479" s="476" t="s">
        <v>2435</v>
      </c>
      <c r="S479" s="477" t="s">
        <v>1531</v>
      </c>
      <c r="T479" s="478" t="s">
        <v>1413</v>
      </c>
      <c r="U479" s="481">
        <v>126.7</v>
      </c>
      <c r="V479" s="481" t="s">
        <v>553</v>
      </c>
      <c r="W479" s="497">
        <v>1.38</v>
      </c>
      <c r="X479" s="498" t="s">
        <v>1620</v>
      </c>
      <c r="Y479" s="488">
        <v>1.5</v>
      </c>
      <c r="Z479" s="489" t="s">
        <v>1620</v>
      </c>
      <c r="AA479" s="396">
        <v>9.4400000000000004E-5</v>
      </c>
      <c r="AB479" s="397" t="s">
        <v>553</v>
      </c>
      <c r="AC479" s="369"/>
    </row>
    <row r="480" spans="1:29" ht="20.100000000000001" customHeight="1">
      <c r="A480" s="390" t="s">
        <v>599</v>
      </c>
      <c r="B480" s="391" t="s">
        <v>2117</v>
      </c>
      <c r="C480" s="400">
        <f>COUNTIF('Chem Props'!$B$6:$B$851,'Parameters Summary'!A480)</f>
        <v>1</v>
      </c>
      <c r="D480" s="400">
        <f>COUNTIF('Tox Summary'!$N$3:$N$792, 'Parameters Summary'!A480)</f>
        <v>1</v>
      </c>
      <c r="E480" s="446" t="s">
        <v>1531</v>
      </c>
      <c r="F480" s="447" t="s">
        <v>1413</v>
      </c>
      <c r="G480" s="436">
        <v>1.79886E-2</v>
      </c>
      <c r="H480" s="436">
        <v>4.4000000000000002E-4</v>
      </c>
      <c r="I480" s="437" t="s">
        <v>553</v>
      </c>
      <c r="J480" s="436">
        <v>8.5000000000000006E-2</v>
      </c>
      <c r="K480" s="437" t="s">
        <v>553</v>
      </c>
      <c r="L480" s="465" t="s">
        <v>1531</v>
      </c>
      <c r="M480" s="466" t="s">
        <v>1413</v>
      </c>
      <c r="N480" s="461" t="s">
        <v>1531</v>
      </c>
      <c r="O480" s="462" t="s">
        <v>1413</v>
      </c>
      <c r="P480" s="482" t="s">
        <v>1531</v>
      </c>
      <c r="Q480" s="482" t="s">
        <v>1531</v>
      </c>
      <c r="R480" s="483" t="s">
        <v>1413</v>
      </c>
      <c r="S480" s="473" t="s">
        <v>1531</v>
      </c>
      <c r="T480" s="474" t="s">
        <v>1413</v>
      </c>
      <c r="U480" s="473" t="s">
        <v>1531</v>
      </c>
      <c r="V480" s="474" t="s">
        <v>1413</v>
      </c>
      <c r="W480" s="501" t="s">
        <v>1531</v>
      </c>
      <c r="X480" s="502" t="s">
        <v>1413</v>
      </c>
      <c r="Y480" s="486">
        <v>31</v>
      </c>
      <c r="Z480" s="487" t="s">
        <v>553</v>
      </c>
      <c r="AA480" s="398" t="s">
        <v>1531</v>
      </c>
      <c r="AB480" s="504" t="s">
        <v>1413</v>
      </c>
      <c r="AC480" s="369"/>
    </row>
    <row r="481" spans="1:29" ht="20.100000000000001" customHeight="1">
      <c r="A481" s="390" t="s">
        <v>600</v>
      </c>
      <c r="B481" s="391" t="s">
        <v>106</v>
      </c>
      <c r="C481" s="400">
        <f>COUNTIF('Chem Props'!$B$6:$B$851,'Parameters Summary'!A481)</f>
        <v>1</v>
      </c>
      <c r="D481" s="400">
        <f>COUNTIF('Tox Summary'!$N$3:$N$792, 'Parameters Summary'!A481)</f>
        <v>1</v>
      </c>
      <c r="E481" s="434">
        <v>143.19</v>
      </c>
      <c r="F481" s="435" t="s">
        <v>1620</v>
      </c>
      <c r="G481" s="436">
        <v>3.3115E-6</v>
      </c>
      <c r="H481" s="436">
        <v>8.0999999999999997E-8</v>
      </c>
      <c r="I481" s="437" t="s">
        <v>1620</v>
      </c>
      <c r="J481" s="436">
        <v>2.5599999999999999E-4</v>
      </c>
      <c r="K481" s="437" t="s">
        <v>1620</v>
      </c>
      <c r="L481" s="453">
        <v>113</v>
      </c>
      <c r="M481" s="454" t="s">
        <v>1620</v>
      </c>
      <c r="N481" s="455">
        <v>1.6414</v>
      </c>
      <c r="O481" s="456" t="s">
        <v>1618</v>
      </c>
      <c r="P481" s="471">
        <v>6.44512E-2</v>
      </c>
      <c r="Q481" s="471">
        <v>1.04E-5</v>
      </c>
      <c r="R481" s="472" t="s">
        <v>2435</v>
      </c>
      <c r="S481" s="473" t="s">
        <v>1531</v>
      </c>
      <c r="T481" s="474" t="s">
        <v>1413</v>
      </c>
      <c r="U481" s="484">
        <v>2478</v>
      </c>
      <c r="V481" s="484" t="s">
        <v>553</v>
      </c>
      <c r="W481" s="495">
        <v>2.2799999999999998</v>
      </c>
      <c r="X481" s="496" t="s">
        <v>1620</v>
      </c>
      <c r="Y481" s="486">
        <v>189</v>
      </c>
      <c r="Z481" s="487" t="s">
        <v>1620</v>
      </c>
      <c r="AA481" s="394">
        <v>8.0700000000000008E-3</v>
      </c>
      <c r="AB481" s="395" t="s">
        <v>553</v>
      </c>
      <c r="AC481" s="369"/>
    </row>
    <row r="482" spans="1:29" ht="20.100000000000001" customHeight="1" thickBot="1">
      <c r="A482" s="392" t="s">
        <v>1251</v>
      </c>
      <c r="B482" s="393" t="s">
        <v>107</v>
      </c>
      <c r="C482" s="400">
        <f>COUNTIF('Chem Props'!$B$6:$B$851,'Parameters Summary'!A482)</f>
        <v>1</v>
      </c>
      <c r="D482" s="400">
        <f>COUNTIF('Tox Summary'!$N$3:$N$792, 'Parameters Summary'!A482)</f>
        <v>1</v>
      </c>
      <c r="E482" s="438">
        <v>271.36</v>
      </c>
      <c r="F482" s="439" t="s">
        <v>1620</v>
      </c>
      <c r="G482" s="440">
        <v>3.4382999999999998E-8</v>
      </c>
      <c r="H482" s="440">
        <v>8.4099999999999999E-10</v>
      </c>
      <c r="I482" s="441" t="s">
        <v>553</v>
      </c>
      <c r="J482" s="440">
        <v>1.72E-7</v>
      </c>
      <c r="K482" s="441" t="s">
        <v>1620</v>
      </c>
      <c r="L482" s="457">
        <v>75</v>
      </c>
      <c r="M482" s="458" t="s">
        <v>1620</v>
      </c>
      <c r="N482" s="463" t="s">
        <v>1531</v>
      </c>
      <c r="O482" s="464" t="s">
        <v>1413</v>
      </c>
      <c r="P482" s="475">
        <v>4.53304E-2</v>
      </c>
      <c r="Q482" s="475">
        <v>5.2965E-6</v>
      </c>
      <c r="R482" s="476" t="s">
        <v>2435</v>
      </c>
      <c r="S482" s="477" t="s">
        <v>1531</v>
      </c>
      <c r="T482" s="478" t="s">
        <v>1413</v>
      </c>
      <c r="U482" s="481">
        <v>3218</v>
      </c>
      <c r="V482" s="481" t="s">
        <v>553</v>
      </c>
      <c r="W482" s="497">
        <v>3.36</v>
      </c>
      <c r="X482" s="498" t="s">
        <v>1620</v>
      </c>
      <c r="Y482" s="488">
        <v>73</v>
      </c>
      <c r="Z482" s="489" t="s">
        <v>1620</v>
      </c>
      <c r="AA482" s="396">
        <v>8.0400000000000003E-3</v>
      </c>
      <c r="AB482" s="397" t="s">
        <v>553</v>
      </c>
      <c r="AC482" s="369"/>
    </row>
    <row r="483" spans="1:29" ht="20.100000000000001" customHeight="1">
      <c r="A483" s="390" t="s">
        <v>2118</v>
      </c>
      <c r="B483" s="391" t="s">
        <v>2119</v>
      </c>
      <c r="C483" s="400">
        <f>COUNTIF('Chem Props'!$B$6:$B$851,'Parameters Summary'!A483)</f>
        <v>1</v>
      </c>
      <c r="D483" s="400">
        <f>COUNTIF('Tox Summary'!$N$3:$N$792, 'Parameters Summary'!A483)</f>
        <v>1</v>
      </c>
      <c r="E483" s="434">
        <v>176.8</v>
      </c>
      <c r="F483" s="435" t="s">
        <v>1620</v>
      </c>
      <c r="G483" s="444" t="s">
        <v>1531</v>
      </c>
      <c r="H483" s="444" t="s">
        <v>1531</v>
      </c>
      <c r="I483" s="445" t="s">
        <v>1413</v>
      </c>
      <c r="J483" s="436">
        <v>1.7900000000000001E-5</v>
      </c>
      <c r="K483" s="437" t="s">
        <v>1620</v>
      </c>
      <c r="L483" s="465" t="s">
        <v>1531</v>
      </c>
      <c r="M483" s="466" t="s">
        <v>1413</v>
      </c>
      <c r="N483" s="455">
        <v>1.798</v>
      </c>
      <c r="O483" s="456" t="s">
        <v>1621</v>
      </c>
      <c r="P483" s="471">
        <v>4.61757E-2</v>
      </c>
      <c r="Q483" s="471">
        <v>9.6750999999999999E-6</v>
      </c>
      <c r="R483" s="472" t="s">
        <v>2435</v>
      </c>
      <c r="S483" s="473" t="s">
        <v>1531</v>
      </c>
      <c r="T483" s="474" t="s">
        <v>1413</v>
      </c>
      <c r="U483" s="484">
        <v>1</v>
      </c>
      <c r="V483" s="484" t="s">
        <v>553</v>
      </c>
      <c r="W483" s="495">
        <v>-1.38</v>
      </c>
      <c r="X483" s="496" t="s">
        <v>1620</v>
      </c>
      <c r="Y483" s="486">
        <v>166000</v>
      </c>
      <c r="Z483" s="487" t="s">
        <v>1620</v>
      </c>
      <c r="AA483" s="394">
        <v>1.9400000000000001E-5</v>
      </c>
      <c r="AB483" s="395" t="s">
        <v>553</v>
      </c>
      <c r="AC483" s="369"/>
    </row>
    <row r="484" spans="1:29" ht="20.100000000000001" customHeight="1">
      <c r="A484" s="390" t="s">
        <v>2120</v>
      </c>
      <c r="B484" s="391" t="s">
        <v>2121</v>
      </c>
      <c r="C484" s="400">
        <f>COUNTIF('Chem Props'!$B$6:$B$851,'Parameters Summary'!A484)</f>
        <v>1</v>
      </c>
      <c r="D484" s="400">
        <f>COUNTIF('Tox Summary'!$N$3:$N$792, 'Parameters Summary'!A484)</f>
        <v>1</v>
      </c>
      <c r="E484" s="434">
        <v>118.72</v>
      </c>
      <c r="F484" s="435" t="s">
        <v>1620</v>
      </c>
      <c r="G484" s="444" t="s">
        <v>1531</v>
      </c>
      <c r="H484" s="444" t="s">
        <v>1531</v>
      </c>
      <c r="I484" s="445" t="s">
        <v>1413</v>
      </c>
      <c r="J484" s="436">
        <v>3.5599999999999998E-6</v>
      </c>
      <c r="K484" s="437" t="s">
        <v>1620</v>
      </c>
      <c r="L484" s="465" t="s">
        <v>1531</v>
      </c>
      <c r="M484" s="466" t="s">
        <v>1413</v>
      </c>
      <c r="N484" s="461" t="s">
        <v>1531</v>
      </c>
      <c r="O484" s="462" t="s">
        <v>1413</v>
      </c>
      <c r="P484" s="471">
        <v>7.8657099999999994E-2</v>
      </c>
      <c r="Q484" s="471">
        <v>9.1904999999999995E-6</v>
      </c>
      <c r="R484" s="472" t="s">
        <v>2435</v>
      </c>
      <c r="S484" s="473" t="s">
        <v>1531</v>
      </c>
      <c r="T484" s="474" t="s">
        <v>1413</v>
      </c>
      <c r="U484" s="473" t="s">
        <v>1531</v>
      </c>
      <c r="V484" s="474" t="s">
        <v>1413</v>
      </c>
      <c r="W484" s="495">
        <v>-2.12</v>
      </c>
      <c r="X484" s="496" t="s">
        <v>1620</v>
      </c>
      <c r="Y484" s="486">
        <v>93</v>
      </c>
      <c r="Z484" s="487" t="s">
        <v>1621</v>
      </c>
      <c r="AA484" s="394">
        <v>1.3200000000000001E-5</v>
      </c>
      <c r="AB484" s="395" t="s">
        <v>553</v>
      </c>
      <c r="AC484" s="369"/>
    </row>
    <row r="485" spans="1:29" ht="20.100000000000001" customHeight="1" thickBot="1">
      <c r="A485" s="392" t="s">
        <v>601</v>
      </c>
      <c r="B485" s="393" t="s">
        <v>108</v>
      </c>
      <c r="C485" s="400">
        <f>COUNTIF('Chem Props'!$B$6:$B$851,'Parameters Summary'!A485)</f>
        <v>1</v>
      </c>
      <c r="D485" s="400">
        <f>COUNTIF('Tox Summary'!$N$3:$N$792, 'Parameters Summary'!A485)</f>
        <v>1</v>
      </c>
      <c r="E485" s="438">
        <v>170.73400000000001</v>
      </c>
      <c r="F485" s="439" t="s">
        <v>1618</v>
      </c>
      <c r="G485" s="440">
        <v>20.440000000000001</v>
      </c>
      <c r="H485" s="440">
        <v>0.5</v>
      </c>
      <c r="I485" s="441" t="s">
        <v>2202</v>
      </c>
      <c r="J485" s="440">
        <v>315</v>
      </c>
      <c r="K485" s="441" t="s">
        <v>2204</v>
      </c>
      <c r="L485" s="457">
        <v>-19.3</v>
      </c>
      <c r="M485" s="458" t="s">
        <v>1618</v>
      </c>
      <c r="N485" s="459">
        <v>1.31</v>
      </c>
      <c r="O485" s="460" t="s">
        <v>1618</v>
      </c>
      <c r="P485" s="475">
        <v>4.3301899999999997E-2</v>
      </c>
      <c r="Q485" s="475">
        <v>8.1704000000000006E-6</v>
      </c>
      <c r="R485" s="476" t="s">
        <v>2435</v>
      </c>
      <c r="S485" s="477" t="s">
        <v>1531</v>
      </c>
      <c r="T485" s="478" t="s">
        <v>1413</v>
      </c>
      <c r="U485" s="477" t="s">
        <v>1531</v>
      </c>
      <c r="V485" s="478" t="s">
        <v>1413</v>
      </c>
      <c r="W485" s="499" t="s">
        <v>1531</v>
      </c>
      <c r="X485" s="500" t="s">
        <v>1413</v>
      </c>
      <c r="Y485" s="488">
        <v>180</v>
      </c>
      <c r="Z485" s="489" t="s">
        <v>1621</v>
      </c>
      <c r="AA485" s="399" t="s">
        <v>1531</v>
      </c>
      <c r="AB485" s="505" t="s">
        <v>1413</v>
      </c>
      <c r="AC485" s="369"/>
    </row>
    <row r="486" spans="1:29" ht="20.100000000000001" customHeight="1">
      <c r="A486" s="390" t="s">
        <v>2122</v>
      </c>
      <c r="B486" s="391" t="s">
        <v>2123</v>
      </c>
      <c r="C486" s="400">
        <f>COUNTIF('Chem Props'!$B$6:$B$851,'Parameters Summary'!A486)</f>
        <v>1</v>
      </c>
      <c r="D486" s="400">
        <f>COUNTIF('Tox Summary'!$N$3:$N$792, 'Parameters Summary'!A486)</f>
        <v>1</v>
      </c>
      <c r="E486" s="434">
        <v>92.708100000000002</v>
      </c>
      <c r="F486" s="435" t="s">
        <v>2469</v>
      </c>
      <c r="G486" s="444" t="s">
        <v>1531</v>
      </c>
      <c r="H486" s="444" t="s">
        <v>1531</v>
      </c>
      <c r="I486" s="445" t="s">
        <v>1413</v>
      </c>
      <c r="J486" s="444" t="s">
        <v>1531</v>
      </c>
      <c r="K486" s="445" t="s">
        <v>1413</v>
      </c>
      <c r="L486" s="465" t="s">
        <v>1531</v>
      </c>
      <c r="M486" s="466" t="s">
        <v>1413</v>
      </c>
      <c r="N486" s="461" t="s">
        <v>1531</v>
      </c>
      <c r="O486" s="462" t="s">
        <v>1413</v>
      </c>
      <c r="P486" s="482" t="s">
        <v>1531</v>
      </c>
      <c r="Q486" s="482" t="s">
        <v>1531</v>
      </c>
      <c r="R486" s="483" t="s">
        <v>1413</v>
      </c>
      <c r="S486" s="473" t="s">
        <v>1531</v>
      </c>
      <c r="T486" s="474" t="s">
        <v>1413</v>
      </c>
      <c r="U486" s="473" t="s">
        <v>1531</v>
      </c>
      <c r="V486" s="474" t="s">
        <v>1413</v>
      </c>
      <c r="W486" s="501" t="s">
        <v>1531</v>
      </c>
      <c r="X486" s="502" t="s">
        <v>1413</v>
      </c>
      <c r="Y486" s="492" t="s">
        <v>1531</v>
      </c>
      <c r="Z486" s="493" t="s">
        <v>1413</v>
      </c>
      <c r="AA486" s="394">
        <v>1E-3</v>
      </c>
      <c r="AB486" s="395" t="s">
        <v>1668</v>
      </c>
      <c r="AC486" s="369"/>
    </row>
    <row r="487" spans="1:29" ht="20.100000000000001" customHeight="1">
      <c r="A487" s="390" t="s">
        <v>602</v>
      </c>
      <c r="B487" s="391" t="s">
        <v>109</v>
      </c>
      <c r="C487" s="400">
        <f>COUNTIF('Chem Props'!$B$6:$B$851,'Parameters Summary'!A487)</f>
        <v>1</v>
      </c>
      <c r="D487" s="400">
        <f>COUNTIF('Tox Summary'!$N$3:$N$792, 'Parameters Summary'!A487)</f>
        <v>1</v>
      </c>
      <c r="E487" s="434">
        <v>74.69</v>
      </c>
      <c r="F487" s="435" t="s">
        <v>553</v>
      </c>
      <c r="G487" s="444" t="s">
        <v>1531</v>
      </c>
      <c r="H487" s="444" t="s">
        <v>1531</v>
      </c>
      <c r="I487" s="445" t="s">
        <v>1413</v>
      </c>
      <c r="J487" s="444" t="s">
        <v>1531</v>
      </c>
      <c r="K487" s="445" t="s">
        <v>1413</v>
      </c>
      <c r="L487" s="453">
        <v>1957</v>
      </c>
      <c r="M487" s="454" t="s">
        <v>1618</v>
      </c>
      <c r="N487" s="455">
        <v>6.72</v>
      </c>
      <c r="O487" s="456" t="s">
        <v>1618</v>
      </c>
      <c r="P487" s="482" t="s">
        <v>1531</v>
      </c>
      <c r="Q487" s="482" t="s">
        <v>1531</v>
      </c>
      <c r="R487" s="483" t="s">
        <v>1413</v>
      </c>
      <c r="S487" s="473" t="s">
        <v>1531</v>
      </c>
      <c r="T487" s="474" t="s">
        <v>1413</v>
      </c>
      <c r="U487" s="473" t="s">
        <v>1531</v>
      </c>
      <c r="V487" s="474" t="s">
        <v>1413</v>
      </c>
      <c r="W487" s="501" t="s">
        <v>1531</v>
      </c>
      <c r="X487" s="502" t="s">
        <v>1413</v>
      </c>
      <c r="Y487" s="492" t="s">
        <v>1531</v>
      </c>
      <c r="Z487" s="493" t="s">
        <v>1413</v>
      </c>
      <c r="AA487" s="394">
        <v>1E-3</v>
      </c>
      <c r="AB487" s="395" t="s">
        <v>1668</v>
      </c>
      <c r="AC487" s="369"/>
    </row>
    <row r="488" spans="1:29" ht="20.100000000000001" customHeight="1" thickBot="1">
      <c r="A488" s="392" t="s">
        <v>2000</v>
      </c>
      <c r="B488" s="96" t="s">
        <v>2172</v>
      </c>
      <c r="C488" s="400">
        <f>COUNTIF('Chem Props'!$B$6:$B$851,'Parameters Summary'!A493)</f>
        <v>1</v>
      </c>
      <c r="D488" s="400">
        <f>COUNTIF('Tox Summary'!$N$3:$N$792, 'Parameters Summary'!A493)</f>
        <v>1</v>
      </c>
      <c r="E488" s="448" t="s">
        <v>1531</v>
      </c>
      <c r="F488" s="449" t="s">
        <v>1413</v>
      </c>
      <c r="G488" s="442" t="s">
        <v>1531</v>
      </c>
      <c r="H488" s="442" t="s">
        <v>1531</v>
      </c>
      <c r="I488" s="443" t="s">
        <v>1413</v>
      </c>
      <c r="J488" s="442" t="s">
        <v>1531</v>
      </c>
      <c r="K488" s="443" t="s">
        <v>1413</v>
      </c>
      <c r="L488" s="467" t="s">
        <v>1531</v>
      </c>
      <c r="M488" s="468" t="s">
        <v>1413</v>
      </c>
      <c r="N488" s="463" t="s">
        <v>1531</v>
      </c>
      <c r="O488" s="464" t="s">
        <v>1413</v>
      </c>
      <c r="P488" s="479" t="s">
        <v>1531</v>
      </c>
      <c r="Q488" s="479" t="s">
        <v>1531</v>
      </c>
      <c r="R488" s="480" t="s">
        <v>1413</v>
      </c>
      <c r="S488" s="477" t="s">
        <v>1531</v>
      </c>
      <c r="T488" s="478" t="s">
        <v>1413</v>
      </c>
      <c r="U488" s="477" t="s">
        <v>1531</v>
      </c>
      <c r="V488" s="478" t="s">
        <v>1413</v>
      </c>
      <c r="W488" s="499" t="s">
        <v>1531</v>
      </c>
      <c r="X488" s="500" t="s">
        <v>1413</v>
      </c>
      <c r="Y488" s="490" t="s">
        <v>1531</v>
      </c>
      <c r="Z488" s="491" t="s">
        <v>1413</v>
      </c>
      <c r="AA488" s="396">
        <v>1E-3</v>
      </c>
      <c r="AB488" s="397" t="s">
        <v>1668</v>
      </c>
      <c r="AC488" s="369"/>
    </row>
    <row r="489" spans="1:29" ht="20.100000000000001" customHeight="1">
      <c r="A489" s="390" t="s">
        <v>1253</v>
      </c>
      <c r="B489" s="391" t="s">
        <v>110</v>
      </c>
      <c r="C489" s="400">
        <f>COUNTIF('Chem Props'!$B$6:$B$851,'Parameters Summary'!A489)</f>
        <v>1</v>
      </c>
      <c r="D489" s="400">
        <f>COUNTIF('Tox Summary'!$N$3:$N$792, 'Parameters Summary'!A489)</f>
        <v>1</v>
      </c>
      <c r="E489" s="434">
        <v>58.71</v>
      </c>
      <c r="F489" s="435" t="s">
        <v>1620</v>
      </c>
      <c r="G489" s="444" t="s">
        <v>1531</v>
      </c>
      <c r="H489" s="444" t="s">
        <v>1531</v>
      </c>
      <c r="I489" s="445" t="s">
        <v>1413</v>
      </c>
      <c r="J489" s="436">
        <v>0</v>
      </c>
      <c r="K489" s="437" t="s">
        <v>2204</v>
      </c>
      <c r="L489" s="453">
        <v>1455</v>
      </c>
      <c r="M489" s="454" t="s">
        <v>1618</v>
      </c>
      <c r="N489" s="455">
        <v>8.9</v>
      </c>
      <c r="O489" s="456" t="s">
        <v>1618</v>
      </c>
      <c r="P489" s="482" t="s">
        <v>1531</v>
      </c>
      <c r="Q489" s="482" t="s">
        <v>1531</v>
      </c>
      <c r="R489" s="483" t="s">
        <v>1413</v>
      </c>
      <c r="S489" s="484">
        <v>65</v>
      </c>
      <c r="T489" s="484" t="s">
        <v>557</v>
      </c>
      <c r="U489" s="473" t="s">
        <v>1531</v>
      </c>
      <c r="V489" s="474" t="s">
        <v>1413</v>
      </c>
      <c r="W489" s="501" t="s">
        <v>1531</v>
      </c>
      <c r="X489" s="502" t="s">
        <v>1413</v>
      </c>
      <c r="Y489" s="492" t="s">
        <v>1531</v>
      </c>
      <c r="Z489" s="493" t="s">
        <v>1413</v>
      </c>
      <c r="AA489" s="394">
        <v>2.0000000000000001E-4</v>
      </c>
      <c r="AB489" s="395" t="s">
        <v>1668</v>
      </c>
      <c r="AC489" s="369"/>
    </row>
    <row r="490" spans="1:29" ht="20.100000000000001" customHeight="1">
      <c r="A490" s="390" t="s">
        <v>1254</v>
      </c>
      <c r="B490" s="391" t="s">
        <v>111</v>
      </c>
      <c r="C490" s="400">
        <f>COUNTIF('Chem Props'!$B$6:$B$851,'Parameters Summary'!A490)</f>
        <v>1</v>
      </c>
      <c r="D490" s="400">
        <f>COUNTIF('Tox Summary'!$N$3:$N$792, 'Parameters Summary'!A490)</f>
        <v>1</v>
      </c>
      <c r="E490" s="434">
        <v>240.21</v>
      </c>
      <c r="F490" s="435" t="s">
        <v>1618</v>
      </c>
      <c r="G490" s="444" t="s">
        <v>1531</v>
      </c>
      <c r="H490" s="444" t="s">
        <v>1531</v>
      </c>
      <c r="I490" s="445" t="s">
        <v>1413</v>
      </c>
      <c r="J490" s="444" t="s">
        <v>1531</v>
      </c>
      <c r="K490" s="445" t="s">
        <v>1413</v>
      </c>
      <c r="L490" s="453">
        <v>789</v>
      </c>
      <c r="M490" s="454" t="s">
        <v>1618</v>
      </c>
      <c r="N490" s="455">
        <v>5.87</v>
      </c>
      <c r="O490" s="456" t="s">
        <v>1618</v>
      </c>
      <c r="P490" s="482" t="s">
        <v>1531</v>
      </c>
      <c r="Q490" s="482" t="s">
        <v>1531</v>
      </c>
      <c r="R490" s="483" t="s">
        <v>1413</v>
      </c>
      <c r="S490" s="473" t="s">
        <v>1531</v>
      </c>
      <c r="T490" s="474" t="s">
        <v>1413</v>
      </c>
      <c r="U490" s="473" t="s">
        <v>1531</v>
      </c>
      <c r="V490" s="474" t="s">
        <v>1413</v>
      </c>
      <c r="W490" s="501" t="s">
        <v>1531</v>
      </c>
      <c r="X490" s="502" t="s">
        <v>1413</v>
      </c>
      <c r="Y490" s="492" t="s">
        <v>1531</v>
      </c>
      <c r="Z490" s="493" t="s">
        <v>1413</v>
      </c>
      <c r="AA490" s="394">
        <v>2.0000000000000001E-4</v>
      </c>
      <c r="AB490" s="395" t="s">
        <v>1668</v>
      </c>
      <c r="AC490" s="369"/>
    </row>
    <row r="491" spans="1:29" ht="20.100000000000001" customHeight="1" thickBot="1">
      <c r="A491" s="392" t="s">
        <v>2124</v>
      </c>
      <c r="B491" s="393" t="s">
        <v>2125</v>
      </c>
      <c r="C491" s="400">
        <f>COUNTIF('Chem Props'!$B$6:$B$851,'Parameters Summary'!A491)</f>
        <v>1</v>
      </c>
      <c r="D491" s="400">
        <f>COUNTIF('Tox Summary'!$N$3:$N$792, 'Parameters Summary'!A491)</f>
        <v>1</v>
      </c>
      <c r="E491" s="438">
        <v>188.87899999999999</v>
      </c>
      <c r="F491" s="439" t="s">
        <v>1618</v>
      </c>
      <c r="G491" s="442" t="s">
        <v>1531</v>
      </c>
      <c r="H491" s="442" t="s">
        <v>1531</v>
      </c>
      <c r="I491" s="443" t="s">
        <v>1413</v>
      </c>
      <c r="J491" s="442" t="s">
        <v>1531</v>
      </c>
      <c r="K491" s="443" t="s">
        <v>1413</v>
      </c>
      <c r="L491" s="457">
        <v>173</v>
      </c>
      <c r="M491" s="458" t="s">
        <v>1618</v>
      </c>
      <c r="N491" s="463" t="s">
        <v>1531</v>
      </c>
      <c r="O491" s="464" t="s">
        <v>1413</v>
      </c>
      <c r="P491" s="475">
        <v>5.7716200000000002E-2</v>
      </c>
      <c r="Q491" s="475">
        <v>6.7437000000000003E-6</v>
      </c>
      <c r="R491" s="476" t="s">
        <v>2435</v>
      </c>
      <c r="S491" s="477" t="s">
        <v>1531</v>
      </c>
      <c r="T491" s="478" t="s">
        <v>1413</v>
      </c>
      <c r="U491" s="477" t="s">
        <v>1531</v>
      </c>
      <c r="V491" s="478" t="s">
        <v>1413</v>
      </c>
      <c r="W491" s="499" t="s">
        <v>1531</v>
      </c>
      <c r="X491" s="500" t="s">
        <v>1413</v>
      </c>
      <c r="Y491" s="490" t="s">
        <v>1531</v>
      </c>
      <c r="Z491" s="491" t="s">
        <v>1413</v>
      </c>
      <c r="AA491" s="399" t="s">
        <v>1531</v>
      </c>
      <c r="AB491" s="505" t="s">
        <v>1413</v>
      </c>
      <c r="AC491" s="369"/>
    </row>
    <row r="492" spans="1:29" ht="20.100000000000001" customHeight="1">
      <c r="A492" s="390" t="s">
        <v>1255</v>
      </c>
      <c r="B492" s="391" t="s">
        <v>112</v>
      </c>
      <c r="C492" s="400">
        <f>COUNTIF('Chem Props'!$B$6:$B$851,'Parameters Summary'!A492)</f>
        <v>1</v>
      </c>
      <c r="D492" s="400">
        <f>COUNTIF('Tox Summary'!$N$3:$N$792, 'Parameters Summary'!A492)</f>
        <v>1</v>
      </c>
      <c r="E492" s="434">
        <v>62</v>
      </c>
      <c r="F492" s="435" t="s">
        <v>553</v>
      </c>
      <c r="G492" s="444" t="s">
        <v>1531</v>
      </c>
      <c r="H492" s="444" t="s">
        <v>1531</v>
      </c>
      <c r="I492" s="445" t="s">
        <v>1413</v>
      </c>
      <c r="J492" s="444" t="s">
        <v>1531</v>
      </c>
      <c r="K492" s="445" t="s">
        <v>1413</v>
      </c>
      <c r="L492" s="465" t="s">
        <v>1531</v>
      </c>
      <c r="M492" s="466" t="s">
        <v>1413</v>
      </c>
      <c r="N492" s="461" t="s">
        <v>1531</v>
      </c>
      <c r="O492" s="462" t="s">
        <v>1413</v>
      </c>
      <c r="P492" s="482" t="s">
        <v>1531</v>
      </c>
      <c r="Q492" s="482" t="s">
        <v>1531</v>
      </c>
      <c r="R492" s="483" t="s">
        <v>1413</v>
      </c>
      <c r="S492" s="473" t="s">
        <v>1531</v>
      </c>
      <c r="T492" s="474" t="s">
        <v>1413</v>
      </c>
      <c r="U492" s="473" t="s">
        <v>1531</v>
      </c>
      <c r="V492" s="474" t="s">
        <v>1413</v>
      </c>
      <c r="W492" s="501" t="s">
        <v>1531</v>
      </c>
      <c r="X492" s="502" t="s">
        <v>1413</v>
      </c>
      <c r="Y492" s="492" t="s">
        <v>1531</v>
      </c>
      <c r="Z492" s="493" t="s">
        <v>1413</v>
      </c>
      <c r="AA492" s="394">
        <v>1E-3</v>
      </c>
      <c r="AB492" s="395" t="s">
        <v>1668</v>
      </c>
      <c r="AC492" s="369"/>
    </row>
    <row r="493" spans="1:29" ht="20.100000000000001" customHeight="1">
      <c r="A493" s="390" t="s">
        <v>1322</v>
      </c>
      <c r="B493" s="96" t="s">
        <v>2173</v>
      </c>
      <c r="C493" s="400">
        <f>COUNTIF('Chem Props'!$B$6:$B$851,'Parameters Summary'!A684)</f>
        <v>1</v>
      </c>
      <c r="D493" s="400">
        <f>COUNTIF('Tox Summary'!$N$3:$N$792, 'Parameters Summary'!A684)</f>
        <v>1</v>
      </c>
      <c r="E493" s="446" t="s">
        <v>1531</v>
      </c>
      <c r="F493" s="447" t="s">
        <v>1413</v>
      </c>
      <c r="G493" s="444" t="s">
        <v>1531</v>
      </c>
      <c r="H493" s="444" t="s">
        <v>1531</v>
      </c>
      <c r="I493" s="445" t="s">
        <v>1413</v>
      </c>
      <c r="J493" s="444" t="s">
        <v>1531</v>
      </c>
      <c r="K493" s="445" t="s">
        <v>1413</v>
      </c>
      <c r="L493" s="465" t="s">
        <v>1531</v>
      </c>
      <c r="M493" s="466" t="s">
        <v>1413</v>
      </c>
      <c r="N493" s="461" t="s">
        <v>1531</v>
      </c>
      <c r="O493" s="462" t="s">
        <v>1413</v>
      </c>
      <c r="P493" s="482" t="s">
        <v>1531</v>
      </c>
      <c r="Q493" s="482" t="s">
        <v>1531</v>
      </c>
      <c r="R493" s="483" t="s">
        <v>1413</v>
      </c>
      <c r="S493" s="473" t="s">
        <v>1531</v>
      </c>
      <c r="T493" s="474" t="s">
        <v>1413</v>
      </c>
      <c r="U493" s="473" t="s">
        <v>1531</v>
      </c>
      <c r="V493" s="474" t="s">
        <v>1413</v>
      </c>
      <c r="W493" s="501" t="s">
        <v>1531</v>
      </c>
      <c r="X493" s="502" t="s">
        <v>1413</v>
      </c>
      <c r="Y493" s="492" t="s">
        <v>1531</v>
      </c>
      <c r="Z493" s="493" t="s">
        <v>1413</v>
      </c>
      <c r="AA493" s="394">
        <v>1E-3</v>
      </c>
      <c r="AB493" s="395" t="s">
        <v>1668</v>
      </c>
      <c r="AC493" s="369"/>
    </row>
    <row r="494" spans="1:29" ht="20.100000000000001" customHeight="1" thickBot="1">
      <c r="A494" s="392" t="s">
        <v>1256</v>
      </c>
      <c r="B494" s="393" t="s">
        <v>113</v>
      </c>
      <c r="C494" s="400">
        <f>COUNTIF('Chem Props'!$B$6:$B$851,'Parameters Summary'!A494)</f>
        <v>1</v>
      </c>
      <c r="D494" s="400">
        <f>COUNTIF('Tox Summary'!$N$3:$N$792, 'Parameters Summary'!A494)</f>
        <v>1</v>
      </c>
      <c r="E494" s="438">
        <v>47.01</v>
      </c>
      <c r="F494" s="439" t="s">
        <v>553</v>
      </c>
      <c r="G494" s="442" t="s">
        <v>1531</v>
      </c>
      <c r="H494" s="442" t="s">
        <v>1531</v>
      </c>
      <c r="I494" s="443" t="s">
        <v>1413</v>
      </c>
      <c r="J494" s="442" t="s">
        <v>1531</v>
      </c>
      <c r="K494" s="443" t="s">
        <v>1413</v>
      </c>
      <c r="L494" s="467" t="s">
        <v>1531</v>
      </c>
      <c r="M494" s="468" t="s">
        <v>1413</v>
      </c>
      <c r="N494" s="463" t="s">
        <v>1531</v>
      </c>
      <c r="O494" s="464" t="s">
        <v>1413</v>
      </c>
      <c r="P494" s="479" t="s">
        <v>1531</v>
      </c>
      <c r="Q494" s="479" t="s">
        <v>1531</v>
      </c>
      <c r="R494" s="480" t="s">
        <v>1413</v>
      </c>
      <c r="S494" s="477" t="s">
        <v>1531</v>
      </c>
      <c r="T494" s="478" t="s">
        <v>1413</v>
      </c>
      <c r="U494" s="477" t="s">
        <v>1531</v>
      </c>
      <c r="V494" s="478" t="s">
        <v>1413</v>
      </c>
      <c r="W494" s="499" t="s">
        <v>1531</v>
      </c>
      <c r="X494" s="500" t="s">
        <v>1413</v>
      </c>
      <c r="Y494" s="490" t="s">
        <v>1531</v>
      </c>
      <c r="Z494" s="491" t="s">
        <v>1413</v>
      </c>
      <c r="AA494" s="396">
        <v>1E-3</v>
      </c>
      <c r="AB494" s="397" t="s">
        <v>1668</v>
      </c>
      <c r="AC494" s="369"/>
    </row>
    <row r="495" spans="1:29" ht="20.100000000000001" customHeight="1">
      <c r="A495" s="390" t="s">
        <v>603</v>
      </c>
      <c r="B495" s="391" t="s">
        <v>114</v>
      </c>
      <c r="C495" s="400">
        <f>COUNTIF('Chem Props'!$B$6:$B$851,'Parameters Summary'!A495)</f>
        <v>1</v>
      </c>
      <c r="D495" s="400">
        <f>COUNTIF('Tox Summary'!$N$3:$N$792, 'Parameters Summary'!A495)</f>
        <v>1</v>
      </c>
      <c r="E495" s="434">
        <v>138.13</v>
      </c>
      <c r="F495" s="435" t="s">
        <v>1620</v>
      </c>
      <c r="G495" s="436">
        <v>2.4121000000000002E-6</v>
      </c>
      <c r="H495" s="436">
        <v>5.8999999999999999E-8</v>
      </c>
      <c r="I495" s="437" t="s">
        <v>1620</v>
      </c>
      <c r="J495" s="436">
        <v>2.7699999999999999E-3</v>
      </c>
      <c r="K495" s="437" t="s">
        <v>1620</v>
      </c>
      <c r="L495" s="453">
        <v>71</v>
      </c>
      <c r="M495" s="454" t="s">
        <v>1620</v>
      </c>
      <c r="N495" s="455">
        <v>0.90149999999999997</v>
      </c>
      <c r="O495" s="456" t="s">
        <v>1618</v>
      </c>
      <c r="P495" s="471">
        <v>5.1919300000000002E-2</v>
      </c>
      <c r="Q495" s="471">
        <v>7.4143999999999997E-6</v>
      </c>
      <c r="R495" s="472" t="s">
        <v>2435</v>
      </c>
      <c r="S495" s="473" t="s">
        <v>1531</v>
      </c>
      <c r="T495" s="474" t="s">
        <v>1413</v>
      </c>
      <c r="U495" s="484">
        <v>111.3</v>
      </c>
      <c r="V495" s="484" t="s">
        <v>553</v>
      </c>
      <c r="W495" s="495">
        <v>1.85</v>
      </c>
      <c r="X495" s="496" t="s">
        <v>1620</v>
      </c>
      <c r="Y495" s="486">
        <v>1470</v>
      </c>
      <c r="Z495" s="487" t="s">
        <v>1620</v>
      </c>
      <c r="AA495" s="394">
        <v>4.4600000000000004E-3</v>
      </c>
      <c r="AB495" s="395" t="s">
        <v>553</v>
      </c>
      <c r="AC495" s="369"/>
    </row>
    <row r="496" spans="1:29" ht="20.100000000000001" customHeight="1">
      <c r="A496" s="390" t="s">
        <v>537</v>
      </c>
      <c r="B496" s="391" t="s">
        <v>115</v>
      </c>
      <c r="C496" s="400">
        <f>COUNTIF('Chem Props'!$B$6:$B$851,'Parameters Summary'!A496)</f>
        <v>1</v>
      </c>
      <c r="D496" s="400">
        <f>COUNTIF('Tox Summary'!$N$3:$N$792, 'Parameters Summary'!A496)</f>
        <v>1</v>
      </c>
      <c r="E496" s="434">
        <v>138.13</v>
      </c>
      <c r="F496" s="435" t="s">
        <v>1620</v>
      </c>
      <c r="G496" s="436">
        <v>5.1512999999999999E-8</v>
      </c>
      <c r="H496" s="436">
        <v>1.26E-9</v>
      </c>
      <c r="I496" s="437" t="s">
        <v>1620</v>
      </c>
      <c r="J496" s="436">
        <v>3.1999999999999999E-6</v>
      </c>
      <c r="K496" s="437" t="s">
        <v>553</v>
      </c>
      <c r="L496" s="453">
        <v>146</v>
      </c>
      <c r="M496" s="454" t="s">
        <v>1620</v>
      </c>
      <c r="N496" s="455">
        <v>1.4239999999999999</v>
      </c>
      <c r="O496" s="456" t="s">
        <v>1618</v>
      </c>
      <c r="P496" s="471">
        <v>6.3660099999999997E-2</v>
      </c>
      <c r="Q496" s="471">
        <v>9.7544999999999995E-6</v>
      </c>
      <c r="R496" s="472" t="s">
        <v>2435</v>
      </c>
      <c r="S496" s="473" t="s">
        <v>1531</v>
      </c>
      <c r="T496" s="474" t="s">
        <v>1413</v>
      </c>
      <c r="U496" s="484">
        <v>109.1</v>
      </c>
      <c r="V496" s="484" t="s">
        <v>553</v>
      </c>
      <c r="W496" s="495">
        <v>1.39</v>
      </c>
      <c r="X496" s="496" t="s">
        <v>1620</v>
      </c>
      <c r="Y496" s="486">
        <v>728</v>
      </c>
      <c r="Z496" s="487" t="s">
        <v>1620</v>
      </c>
      <c r="AA496" s="394">
        <v>2.2100000000000002E-3</v>
      </c>
      <c r="AB496" s="395" t="s">
        <v>553</v>
      </c>
      <c r="AC496" s="369"/>
    </row>
    <row r="497" spans="1:29" ht="20.100000000000001" customHeight="1" thickBot="1">
      <c r="A497" s="392" t="s">
        <v>391</v>
      </c>
      <c r="B497" s="393" t="s">
        <v>116</v>
      </c>
      <c r="C497" s="400">
        <f>COUNTIF('Chem Props'!$B$6:$B$851,'Parameters Summary'!A497)</f>
        <v>1</v>
      </c>
      <c r="D497" s="400">
        <f>COUNTIF('Tox Summary'!$N$3:$N$792, 'Parameters Summary'!A497)</f>
        <v>1</v>
      </c>
      <c r="E497" s="438">
        <v>123.11</v>
      </c>
      <c r="F497" s="439" t="s">
        <v>1620</v>
      </c>
      <c r="G497" s="440">
        <v>9.812E-4</v>
      </c>
      <c r="H497" s="440">
        <v>2.4000000000000001E-5</v>
      </c>
      <c r="I497" s="441" t="s">
        <v>1620</v>
      </c>
      <c r="J497" s="440">
        <v>0.245</v>
      </c>
      <c r="K497" s="441" t="s">
        <v>1620</v>
      </c>
      <c r="L497" s="457">
        <v>5.7</v>
      </c>
      <c r="M497" s="458" t="s">
        <v>1620</v>
      </c>
      <c r="N497" s="459">
        <v>1.2037</v>
      </c>
      <c r="O497" s="460" t="s">
        <v>1618</v>
      </c>
      <c r="P497" s="475">
        <v>6.8054000000000003E-2</v>
      </c>
      <c r="Q497" s="475">
        <v>9.4494999999999999E-6</v>
      </c>
      <c r="R497" s="476" t="s">
        <v>2435</v>
      </c>
      <c r="S497" s="477" t="s">
        <v>1531</v>
      </c>
      <c r="T497" s="478" t="s">
        <v>1413</v>
      </c>
      <c r="U497" s="481">
        <v>226.4</v>
      </c>
      <c r="V497" s="481" t="s">
        <v>553</v>
      </c>
      <c r="W497" s="497">
        <v>1.85</v>
      </c>
      <c r="X497" s="498" t="s">
        <v>1620</v>
      </c>
      <c r="Y497" s="488">
        <v>2090</v>
      </c>
      <c r="Z497" s="489" t="s">
        <v>1620</v>
      </c>
      <c r="AA497" s="396">
        <v>5.4099999999999999E-3</v>
      </c>
      <c r="AB497" s="397" t="s">
        <v>553</v>
      </c>
      <c r="AC497" s="369"/>
    </row>
    <row r="498" spans="1:29" ht="20.100000000000001" customHeight="1">
      <c r="A498" s="390" t="s">
        <v>604</v>
      </c>
      <c r="B498" s="391" t="s">
        <v>117</v>
      </c>
      <c r="C498" s="400">
        <f>COUNTIF('Chem Props'!$B$6:$B$851,'Parameters Summary'!A498)</f>
        <v>1</v>
      </c>
      <c r="D498" s="400">
        <f>COUNTIF('Tox Summary'!$N$3:$N$792, 'Parameters Summary'!A498)</f>
        <v>1</v>
      </c>
      <c r="E498" s="434">
        <v>387.3</v>
      </c>
      <c r="F498" s="435" t="s">
        <v>1620</v>
      </c>
      <c r="G498" s="436">
        <v>1.3449999999999999E-21</v>
      </c>
      <c r="H498" s="436">
        <v>3.2900000000000002E-23</v>
      </c>
      <c r="I498" s="437" t="s">
        <v>1620</v>
      </c>
      <c r="J498" s="436">
        <v>1.41E-17</v>
      </c>
      <c r="K498" s="437" t="s">
        <v>1620</v>
      </c>
      <c r="L498" s="453">
        <v>261.99</v>
      </c>
      <c r="M498" s="454" t="s">
        <v>553</v>
      </c>
      <c r="N498" s="461" t="s">
        <v>1531</v>
      </c>
      <c r="O498" s="462" t="s">
        <v>1413</v>
      </c>
      <c r="P498" s="471">
        <v>3.5759300000000001E-2</v>
      </c>
      <c r="Q498" s="471">
        <v>4.1782000000000001E-6</v>
      </c>
      <c r="R498" s="472" t="s">
        <v>2435</v>
      </c>
      <c r="S498" s="473" t="s">
        <v>1531</v>
      </c>
      <c r="T498" s="474" t="s">
        <v>1413</v>
      </c>
      <c r="U498" s="484">
        <v>10</v>
      </c>
      <c r="V498" s="484" t="s">
        <v>553</v>
      </c>
      <c r="W498" s="495">
        <v>-4.5599999999999996</v>
      </c>
      <c r="X498" s="496" t="s">
        <v>1620</v>
      </c>
      <c r="Y498" s="486">
        <v>1000000</v>
      </c>
      <c r="Z498" s="487" t="s">
        <v>1620</v>
      </c>
      <c r="AA498" s="394">
        <v>9.8600000000000003E-9</v>
      </c>
      <c r="AB498" s="395" t="s">
        <v>553</v>
      </c>
      <c r="AC498" s="369"/>
    </row>
    <row r="499" spans="1:29" ht="20.100000000000001" customHeight="1">
      <c r="A499" s="390" t="s">
        <v>1257</v>
      </c>
      <c r="B499" s="391" t="s">
        <v>118</v>
      </c>
      <c r="C499" s="400">
        <f>COUNTIF('Chem Props'!$B$6:$B$851,'Parameters Summary'!A499)</f>
        <v>1</v>
      </c>
      <c r="D499" s="400">
        <f>COUNTIF('Tox Summary'!$N$3:$N$792, 'Parameters Summary'!A499)</f>
        <v>1</v>
      </c>
      <c r="E499" s="434">
        <v>238.16</v>
      </c>
      <c r="F499" s="435" t="s">
        <v>1620</v>
      </c>
      <c r="G499" s="436">
        <v>5.4370000000000002E-11</v>
      </c>
      <c r="H499" s="436">
        <v>1.33E-12</v>
      </c>
      <c r="I499" s="437" t="s">
        <v>1620</v>
      </c>
      <c r="J499" s="436">
        <v>2.7800000000000002E-10</v>
      </c>
      <c r="K499" s="437" t="s">
        <v>1620</v>
      </c>
      <c r="L499" s="453">
        <v>263</v>
      </c>
      <c r="M499" s="454" t="s">
        <v>1620</v>
      </c>
      <c r="N499" s="461" t="s">
        <v>1531</v>
      </c>
      <c r="O499" s="462" t="s">
        <v>1413</v>
      </c>
      <c r="P499" s="471">
        <v>4.9450899999999999E-2</v>
      </c>
      <c r="Q499" s="471">
        <v>5.7779000000000002E-6</v>
      </c>
      <c r="R499" s="472" t="s">
        <v>2435</v>
      </c>
      <c r="S499" s="473" t="s">
        <v>1531</v>
      </c>
      <c r="T499" s="474" t="s">
        <v>1413</v>
      </c>
      <c r="U499" s="484">
        <v>116.8</v>
      </c>
      <c r="V499" s="484" t="s">
        <v>553</v>
      </c>
      <c r="W499" s="495">
        <v>-0.47</v>
      </c>
      <c r="X499" s="496" t="s">
        <v>1620</v>
      </c>
      <c r="Y499" s="486">
        <v>79.5</v>
      </c>
      <c r="Z499" s="487" t="s">
        <v>1620</v>
      </c>
      <c r="AA499" s="394">
        <v>3.5200000000000002E-5</v>
      </c>
      <c r="AB499" s="395" t="s">
        <v>553</v>
      </c>
      <c r="AC499" s="369"/>
    </row>
    <row r="500" spans="1:29" ht="20.100000000000001" customHeight="1" thickBot="1">
      <c r="A500" s="392" t="s">
        <v>1409</v>
      </c>
      <c r="B500" s="393" t="s">
        <v>119</v>
      </c>
      <c r="C500" s="400">
        <f>COUNTIF('Chem Props'!$B$6:$B$851,'Parameters Summary'!A500)</f>
        <v>1</v>
      </c>
      <c r="D500" s="400">
        <f>COUNTIF('Tox Summary'!$N$3:$N$792, 'Parameters Summary'!A500)</f>
        <v>1</v>
      </c>
      <c r="E500" s="438">
        <v>198.14</v>
      </c>
      <c r="F500" s="439" t="s">
        <v>1620</v>
      </c>
      <c r="G500" s="440">
        <v>1.267E-11</v>
      </c>
      <c r="H500" s="440">
        <v>3.0999999999999999E-13</v>
      </c>
      <c r="I500" s="441" t="s">
        <v>1620</v>
      </c>
      <c r="J500" s="440">
        <v>4.3100000000000002E-6</v>
      </c>
      <c r="K500" s="441" t="s">
        <v>1620</v>
      </c>
      <c r="L500" s="457">
        <v>238</v>
      </c>
      <c r="M500" s="458" t="s">
        <v>553</v>
      </c>
      <c r="N500" s="463" t="s">
        <v>1531</v>
      </c>
      <c r="O500" s="464" t="s">
        <v>1413</v>
      </c>
      <c r="P500" s="475">
        <v>5.5903500000000002E-2</v>
      </c>
      <c r="Q500" s="475">
        <v>6.5319000000000001E-6</v>
      </c>
      <c r="R500" s="476" t="s">
        <v>2435</v>
      </c>
      <c r="S500" s="477" t="s">
        <v>1531</v>
      </c>
      <c r="T500" s="478" t="s">
        <v>1413</v>
      </c>
      <c r="U500" s="481">
        <v>349.7</v>
      </c>
      <c r="V500" s="481" t="s">
        <v>553</v>
      </c>
      <c r="W500" s="497">
        <v>0.23</v>
      </c>
      <c r="X500" s="498" t="s">
        <v>1620</v>
      </c>
      <c r="Y500" s="488">
        <v>210</v>
      </c>
      <c r="Z500" s="489" t="s">
        <v>1620</v>
      </c>
      <c r="AA500" s="396">
        <v>1.7200000000000001E-4</v>
      </c>
      <c r="AB500" s="397" t="s">
        <v>553</v>
      </c>
      <c r="AC500" s="369"/>
    </row>
    <row r="501" spans="1:29" ht="20.100000000000001" customHeight="1">
      <c r="A501" s="390" t="s">
        <v>1258</v>
      </c>
      <c r="B501" s="391" t="s">
        <v>120</v>
      </c>
      <c r="C501" s="400">
        <f>COUNTIF('Chem Props'!$B$6:$B$851,'Parameters Summary'!A501)</f>
        <v>1</v>
      </c>
      <c r="D501" s="400">
        <f>COUNTIF('Tox Summary'!$N$3:$N$792, 'Parameters Summary'!A501)</f>
        <v>1</v>
      </c>
      <c r="E501" s="434">
        <v>227.09</v>
      </c>
      <c r="F501" s="435" t="s">
        <v>1620</v>
      </c>
      <c r="G501" s="436">
        <v>3.5404999999999998E-6</v>
      </c>
      <c r="H501" s="436">
        <v>8.6599999999999995E-8</v>
      </c>
      <c r="I501" s="437" t="s">
        <v>553</v>
      </c>
      <c r="J501" s="436">
        <v>4.0000000000000002E-4</v>
      </c>
      <c r="K501" s="437" t="s">
        <v>553</v>
      </c>
      <c r="L501" s="453">
        <v>13.5</v>
      </c>
      <c r="M501" s="454" t="s">
        <v>1620</v>
      </c>
      <c r="N501" s="455">
        <v>1.5931</v>
      </c>
      <c r="O501" s="456" t="s">
        <v>1618</v>
      </c>
      <c r="P501" s="471">
        <v>2.9014999999999999E-2</v>
      </c>
      <c r="Q501" s="471">
        <v>7.7427999999999998E-6</v>
      </c>
      <c r="R501" s="472" t="s">
        <v>2435</v>
      </c>
      <c r="S501" s="473" t="s">
        <v>1531</v>
      </c>
      <c r="T501" s="474" t="s">
        <v>1413</v>
      </c>
      <c r="U501" s="484">
        <v>115.8</v>
      </c>
      <c r="V501" s="484" t="s">
        <v>553</v>
      </c>
      <c r="W501" s="495">
        <v>1.62</v>
      </c>
      <c r="X501" s="496" t="s">
        <v>1620</v>
      </c>
      <c r="Y501" s="486">
        <v>1380</v>
      </c>
      <c r="Z501" s="487" t="s">
        <v>1620</v>
      </c>
      <c r="AA501" s="394">
        <v>9.9400000000000009E-4</v>
      </c>
      <c r="AB501" s="395" t="s">
        <v>553</v>
      </c>
      <c r="AC501" s="369"/>
    </row>
    <row r="502" spans="1:29" ht="20.100000000000001" customHeight="1">
      <c r="A502" s="390" t="s">
        <v>1259</v>
      </c>
      <c r="B502" s="391" t="s">
        <v>121</v>
      </c>
      <c r="C502" s="400">
        <f>COUNTIF('Chem Props'!$B$6:$B$851,'Parameters Summary'!A502)</f>
        <v>1</v>
      </c>
      <c r="D502" s="400">
        <f>COUNTIF('Tox Summary'!$N$3:$N$792, 'Parameters Summary'!A502)</f>
        <v>1</v>
      </c>
      <c r="E502" s="434">
        <v>104.07</v>
      </c>
      <c r="F502" s="435" t="s">
        <v>1620</v>
      </c>
      <c r="G502" s="436">
        <v>1.8189999999999999E-14</v>
      </c>
      <c r="H502" s="436">
        <v>4.4500000000000003E-16</v>
      </c>
      <c r="I502" s="437" t="s">
        <v>1620</v>
      </c>
      <c r="J502" s="436">
        <v>1.43E-11</v>
      </c>
      <c r="K502" s="437" t="s">
        <v>1620</v>
      </c>
      <c r="L502" s="453">
        <v>239</v>
      </c>
      <c r="M502" s="454" t="s">
        <v>553</v>
      </c>
      <c r="N502" s="455">
        <v>2</v>
      </c>
      <c r="O502" s="456" t="s">
        <v>2205</v>
      </c>
      <c r="P502" s="471">
        <v>9.9693699999999996E-2</v>
      </c>
      <c r="Q502" s="471">
        <v>1.42E-5</v>
      </c>
      <c r="R502" s="472" t="s">
        <v>2435</v>
      </c>
      <c r="S502" s="473" t="s">
        <v>1531</v>
      </c>
      <c r="T502" s="474" t="s">
        <v>1413</v>
      </c>
      <c r="U502" s="484">
        <v>20.65</v>
      </c>
      <c r="V502" s="484" t="s">
        <v>553</v>
      </c>
      <c r="W502" s="495">
        <v>-0.89</v>
      </c>
      <c r="X502" s="496" t="s">
        <v>1620</v>
      </c>
      <c r="Y502" s="486">
        <v>4400</v>
      </c>
      <c r="Z502" s="487" t="s">
        <v>1620</v>
      </c>
      <c r="AA502" s="394">
        <v>1.05E-4</v>
      </c>
      <c r="AB502" s="395" t="s">
        <v>553</v>
      </c>
      <c r="AC502" s="369"/>
    </row>
    <row r="503" spans="1:29" ht="20.100000000000001" customHeight="1" thickBot="1">
      <c r="A503" s="392" t="s">
        <v>1260</v>
      </c>
      <c r="B503" s="393" t="s">
        <v>122</v>
      </c>
      <c r="C503" s="400">
        <f>COUNTIF('Chem Props'!$B$6:$B$851,'Parameters Summary'!A503)</f>
        <v>1</v>
      </c>
      <c r="D503" s="400">
        <f>COUNTIF('Tox Summary'!$N$3:$N$792, 'Parameters Summary'!A503)</f>
        <v>1</v>
      </c>
      <c r="E503" s="438">
        <v>61.040999999999997</v>
      </c>
      <c r="F503" s="439" t="s">
        <v>1620</v>
      </c>
      <c r="G503" s="440">
        <v>1.1693000000000001E-3</v>
      </c>
      <c r="H503" s="440">
        <v>2.8600000000000001E-5</v>
      </c>
      <c r="I503" s="441" t="s">
        <v>1620</v>
      </c>
      <c r="J503" s="440">
        <v>35.840000000000003</v>
      </c>
      <c r="K503" s="441" t="s">
        <v>1620</v>
      </c>
      <c r="L503" s="457">
        <v>-28.5</v>
      </c>
      <c r="M503" s="458" t="s">
        <v>1620</v>
      </c>
      <c r="N503" s="459">
        <v>1.1371</v>
      </c>
      <c r="O503" s="460" t="s">
        <v>1618</v>
      </c>
      <c r="P503" s="475">
        <v>0.11928370000000001</v>
      </c>
      <c r="Q503" s="475">
        <v>1.3900000000000001E-5</v>
      </c>
      <c r="R503" s="476" t="s">
        <v>2435</v>
      </c>
      <c r="S503" s="477" t="s">
        <v>1531</v>
      </c>
      <c r="T503" s="478" t="s">
        <v>1413</v>
      </c>
      <c r="U503" s="481">
        <v>10.32</v>
      </c>
      <c r="V503" s="481" t="s">
        <v>553</v>
      </c>
      <c r="W503" s="497">
        <v>-0.35</v>
      </c>
      <c r="X503" s="498" t="s">
        <v>1620</v>
      </c>
      <c r="Y503" s="488">
        <v>111000</v>
      </c>
      <c r="Z503" s="489" t="s">
        <v>1620</v>
      </c>
      <c r="AA503" s="396">
        <v>4.17E-4</v>
      </c>
      <c r="AB503" s="397" t="s">
        <v>553</v>
      </c>
      <c r="AC503" s="369"/>
    </row>
    <row r="504" spans="1:29" ht="20.100000000000001" customHeight="1">
      <c r="A504" s="390" t="s">
        <v>1261</v>
      </c>
      <c r="B504" s="391" t="s">
        <v>123</v>
      </c>
      <c r="C504" s="400">
        <f>COUNTIF('Chem Props'!$B$6:$B$851,'Parameters Summary'!A504)</f>
        <v>1</v>
      </c>
      <c r="D504" s="400">
        <f>COUNTIF('Tox Summary'!$N$3:$N$792, 'Parameters Summary'!A504)</f>
        <v>1</v>
      </c>
      <c r="E504" s="434">
        <v>89.094999999999999</v>
      </c>
      <c r="F504" s="435" t="s">
        <v>1620</v>
      </c>
      <c r="G504" s="436">
        <v>4.8650999999999998E-3</v>
      </c>
      <c r="H504" s="436">
        <v>1.1900000000000001E-4</v>
      </c>
      <c r="I504" s="437" t="s">
        <v>553</v>
      </c>
      <c r="J504" s="436">
        <v>17.21</v>
      </c>
      <c r="K504" s="437" t="s">
        <v>1620</v>
      </c>
      <c r="L504" s="453">
        <v>-91.3</v>
      </c>
      <c r="M504" s="454" t="s">
        <v>1620</v>
      </c>
      <c r="N504" s="455">
        <v>0.98209999999999997</v>
      </c>
      <c r="O504" s="456" t="s">
        <v>1618</v>
      </c>
      <c r="P504" s="471">
        <v>8.4693400000000002E-2</v>
      </c>
      <c r="Q504" s="471">
        <v>1.0200000000000001E-5</v>
      </c>
      <c r="R504" s="472" t="s">
        <v>2435</v>
      </c>
      <c r="S504" s="473" t="s">
        <v>1531</v>
      </c>
      <c r="T504" s="474" t="s">
        <v>1413</v>
      </c>
      <c r="U504" s="484">
        <v>30.8</v>
      </c>
      <c r="V504" s="484" t="s">
        <v>553</v>
      </c>
      <c r="W504" s="495">
        <v>0.93</v>
      </c>
      <c r="X504" s="496" t="s">
        <v>1620</v>
      </c>
      <c r="Y504" s="486">
        <v>17000</v>
      </c>
      <c r="Z504" s="487" t="s">
        <v>1620</v>
      </c>
      <c r="AA504" s="394">
        <v>2.0600000000000002E-3</v>
      </c>
      <c r="AB504" s="395" t="s">
        <v>553</v>
      </c>
      <c r="AC504" s="369"/>
    </row>
    <row r="505" spans="1:29" ht="20.100000000000001" customHeight="1">
      <c r="A505" s="390" t="s">
        <v>1264</v>
      </c>
      <c r="B505" s="391" t="s">
        <v>124</v>
      </c>
      <c r="C505" s="400">
        <f>COUNTIF('Chem Props'!$B$6:$B$851,'Parameters Summary'!A505)</f>
        <v>1</v>
      </c>
      <c r="D505" s="400">
        <f>COUNTIF('Tox Summary'!$N$3:$N$792, 'Parameters Summary'!A505)</f>
        <v>1</v>
      </c>
      <c r="E505" s="434">
        <v>117.11</v>
      </c>
      <c r="F505" s="435" t="s">
        <v>1620</v>
      </c>
      <c r="G505" s="436">
        <v>5.3966000000000002E-9</v>
      </c>
      <c r="H505" s="436">
        <v>1.3200000000000001E-10</v>
      </c>
      <c r="I505" s="437" t="s">
        <v>1620</v>
      </c>
      <c r="J505" s="436">
        <v>1.83E-2</v>
      </c>
      <c r="K505" s="437" t="s">
        <v>1620</v>
      </c>
      <c r="L505" s="453">
        <v>99</v>
      </c>
      <c r="M505" s="454" t="s">
        <v>553</v>
      </c>
      <c r="N505" s="461" t="s">
        <v>1531</v>
      </c>
      <c r="O505" s="462" t="s">
        <v>1413</v>
      </c>
      <c r="P505" s="471">
        <v>7.9376299999999997E-2</v>
      </c>
      <c r="Q505" s="471">
        <v>9.2745000000000007E-6</v>
      </c>
      <c r="R505" s="472" t="s">
        <v>2435</v>
      </c>
      <c r="S505" s="473" t="s">
        <v>1531</v>
      </c>
      <c r="T505" s="474" t="s">
        <v>1413</v>
      </c>
      <c r="U505" s="484">
        <v>20.98</v>
      </c>
      <c r="V505" s="484" t="s">
        <v>553</v>
      </c>
      <c r="W505" s="495">
        <v>0.23</v>
      </c>
      <c r="X505" s="496" t="s">
        <v>1620</v>
      </c>
      <c r="Y505" s="486">
        <v>13000</v>
      </c>
      <c r="Z505" s="487" t="s">
        <v>1620</v>
      </c>
      <c r="AA505" s="394">
        <v>4.8999999999999998E-4</v>
      </c>
      <c r="AB505" s="395" t="s">
        <v>553</v>
      </c>
      <c r="AC505" s="369"/>
    </row>
    <row r="506" spans="1:29" ht="20.100000000000001" customHeight="1" thickBot="1">
      <c r="A506" s="392" t="s">
        <v>605</v>
      </c>
      <c r="B506" s="393" t="s">
        <v>125</v>
      </c>
      <c r="C506" s="400">
        <f>COUNTIF('Chem Props'!$B$6:$B$851,'Parameters Summary'!A506)</f>
        <v>1</v>
      </c>
      <c r="D506" s="400">
        <f>COUNTIF('Tox Summary'!$N$3:$N$792, 'Parameters Summary'!A506)</f>
        <v>1</v>
      </c>
      <c r="E506" s="438">
        <v>103.08</v>
      </c>
      <c r="F506" s="439" t="s">
        <v>1620</v>
      </c>
      <c r="G506" s="440">
        <v>4.0514999999999999E-9</v>
      </c>
      <c r="H506" s="440">
        <v>9.9099999999999999E-11</v>
      </c>
      <c r="I506" s="441" t="s">
        <v>1620</v>
      </c>
      <c r="J506" s="440">
        <v>2.93E-2</v>
      </c>
      <c r="K506" s="441" t="s">
        <v>1620</v>
      </c>
      <c r="L506" s="457">
        <v>123.5</v>
      </c>
      <c r="M506" s="458" t="s">
        <v>553</v>
      </c>
      <c r="N506" s="463" t="s">
        <v>1531</v>
      </c>
      <c r="O506" s="464" t="s">
        <v>1413</v>
      </c>
      <c r="P506" s="475">
        <v>8.6424600000000004E-2</v>
      </c>
      <c r="Q506" s="475">
        <v>1.01E-5</v>
      </c>
      <c r="R506" s="476" t="s">
        <v>2435</v>
      </c>
      <c r="S506" s="477" t="s">
        <v>1531</v>
      </c>
      <c r="T506" s="478" t="s">
        <v>1413</v>
      </c>
      <c r="U506" s="481">
        <v>11</v>
      </c>
      <c r="V506" s="481" t="s">
        <v>553</v>
      </c>
      <c r="W506" s="497">
        <v>-0.03</v>
      </c>
      <c r="X506" s="498" t="s">
        <v>1620</v>
      </c>
      <c r="Y506" s="488">
        <v>14400</v>
      </c>
      <c r="Z506" s="489" t="s">
        <v>1620</v>
      </c>
      <c r="AA506" s="396">
        <v>3.9500000000000001E-4</v>
      </c>
      <c r="AB506" s="397" t="s">
        <v>553</v>
      </c>
      <c r="AC506" s="369"/>
    </row>
    <row r="507" spans="1:29" ht="20.100000000000001" customHeight="1">
      <c r="A507" s="390" t="s">
        <v>1262</v>
      </c>
      <c r="B507" s="391" t="s">
        <v>126</v>
      </c>
      <c r="C507" s="400">
        <f>COUNTIF('Chem Props'!$B$6:$B$851,'Parameters Summary'!A507)</f>
        <v>1</v>
      </c>
      <c r="D507" s="400">
        <f>COUNTIF('Tox Summary'!$N$3:$N$792, 'Parameters Summary'!A507)</f>
        <v>1</v>
      </c>
      <c r="E507" s="434">
        <v>158.25</v>
      </c>
      <c r="F507" s="435" t="s">
        <v>1620</v>
      </c>
      <c r="G507" s="436">
        <v>5.3970000000000005E-4</v>
      </c>
      <c r="H507" s="436">
        <v>1.3200000000000001E-5</v>
      </c>
      <c r="I507" s="437" t="s">
        <v>1620</v>
      </c>
      <c r="J507" s="436">
        <v>4.6899999999999997E-2</v>
      </c>
      <c r="K507" s="437" t="s">
        <v>553</v>
      </c>
      <c r="L507" s="453">
        <v>28.17</v>
      </c>
      <c r="M507" s="454" t="s">
        <v>553</v>
      </c>
      <c r="N507" s="455">
        <v>0.90090000000000003</v>
      </c>
      <c r="O507" s="456" t="s">
        <v>2199</v>
      </c>
      <c r="P507" s="471">
        <v>4.2166299999999997E-2</v>
      </c>
      <c r="Q507" s="471">
        <v>6.8307999999999999E-6</v>
      </c>
      <c r="R507" s="472" t="s">
        <v>2435</v>
      </c>
      <c r="S507" s="473" t="s">
        <v>1531</v>
      </c>
      <c r="T507" s="474" t="s">
        <v>1413</v>
      </c>
      <c r="U507" s="484">
        <v>914.6</v>
      </c>
      <c r="V507" s="484" t="s">
        <v>553</v>
      </c>
      <c r="W507" s="495">
        <v>2.63</v>
      </c>
      <c r="X507" s="496" t="s">
        <v>1620</v>
      </c>
      <c r="Y507" s="486">
        <v>1270</v>
      </c>
      <c r="Z507" s="487" t="s">
        <v>1620</v>
      </c>
      <c r="AA507" s="394">
        <v>1.1299999999999999E-2</v>
      </c>
      <c r="AB507" s="395" t="s">
        <v>553</v>
      </c>
      <c r="AC507" s="369"/>
    </row>
    <row r="508" spans="1:29" ht="20.100000000000001" customHeight="1">
      <c r="A508" s="390" t="s">
        <v>1263</v>
      </c>
      <c r="B508" s="391" t="s">
        <v>127</v>
      </c>
      <c r="C508" s="400">
        <f>COUNTIF('Chem Props'!$B$6:$B$851,'Parameters Summary'!A508)</f>
        <v>1</v>
      </c>
      <c r="D508" s="400">
        <f>COUNTIF('Tox Summary'!$N$3:$N$792, 'Parameters Summary'!A508)</f>
        <v>1</v>
      </c>
      <c r="E508" s="434">
        <v>130.19</v>
      </c>
      <c r="F508" s="435" t="s">
        <v>1620</v>
      </c>
      <c r="G508" s="436">
        <v>2.2000000000000001E-4</v>
      </c>
      <c r="H508" s="436">
        <v>5.3800000000000002E-6</v>
      </c>
      <c r="I508" s="437" t="s">
        <v>1620</v>
      </c>
      <c r="J508" s="436">
        <v>8.5999999999999993E-2</v>
      </c>
      <c r="K508" s="437" t="s">
        <v>1620</v>
      </c>
      <c r="L508" s="453">
        <v>6.81</v>
      </c>
      <c r="M508" s="454" t="s">
        <v>553</v>
      </c>
      <c r="N508" s="455">
        <v>0.9163</v>
      </c>
      <c r="O508" s="456" t="s">
        <v>1618</v>
      </c>
      <c r="P508" s="471">
        <v>5.6439900000000001E-2</v>
      </c>
      <c r="Q508" s="471">
        <v>7.7579999999999992E-6</v>
      </c>
      <c r="R508" s="472" t="s">
        <v>2435</v>
      </c>
      <c r="S508" s="473" t="s">
        <v>1531</v>
      </c>
      <c r="T508" s="474" t="s">
        <v>1413</v>
      </c>
      <c r="U508" s="484">
        <v>275.39999999999998</v>
      </c>
      <c r="V508" s="484" t="s">
        <v>553</v>
      </c>
      <c r="W508" s="495">
        <v>1.36</v>
      </c>
      <c r="X508" s="496" t="s">
        <v>1620</v>
      </c>
      <c r="Y508" s="486">
        <v>13000</v>
      </c>
      <c r="Z508" s="487" t="s">
        <v>1620</v>
      </c>
      <c r="AA508" s="394">
        <v>2.33E-3</v>
      </c>
      <c r="AB508" s="395" t="s">
        <v>553</v>
      </c>
      <c r="AC508" s="369"/>
    </row>
    <row r="509" spans="1:29" ht="20.100000000000001" customHeight="1" thickBot="1">
      <c r="A509" s="392" t="s">
        <v>1265</v>
      </c>
      <c r="B509" s="393" t="s">
        <v>128</v>
      </c>
      <c r="C509" s="400">
        <f>COUNTIF('Chem Props'!$B$6:$B$851,'Parameters Summary'!A509)</f>
        <v>1</v>
      </c>
      <c r="D509" s="400">
        <f>COUNTIF('Tox Summary'!$N$3:$N$792, 'Parameters Summary'!A509)</f>
        <v>1</v>
      </c>
      <c r="E509" s="438">
        <v>134.13999999999999</v>
      </c>
      <c r="F509" s="439" t="s">
        <v>1620</v>
      </c>
      <c r="G509" s="440">
        <v>1.983E-10</v>
      </c>
      <c r="H509" s="440">
        <v>4.8499999999999997E-12</v>
      </c>
      <c r="I509" s="441" t="s">
        <v>1620</v>
      </c>
      <c r="J509" s="440">
        <v>5.0000000000000001E-4</v>
      </c>
      <c r="K509" s="441" t="s">
        <v>1620</v>
      </c>
      <c r="L509" s="457">
        <v>81.52</v>
      </c>
      <c r="M509" s="458" t="s">
        <v>553</v>
      </c>
      <c r="N509" s="463" t="s">
        <v>1531</v>
      </c>
      <c r="O509" s="464" t="s">
        <v>1413</v>
      </c>
      <c r="P509" s="475">
        <v>7.2507199999999994E-2</v>
      </c>
      <c r="Q509" s="475">
        <v>8.4718999999999993E-6</v>
      </c>
      <c r="R509" s="476" t="s">
        <v>2435</v>
      </c>
      <c r="S509" s="477" t="s">
        <v>1531</v>
      </c>
      <c r="T509" s="478" t="s">
        <v>1413</v>
      </c>
      <c r="U509" s="481">
        <v>1</v>
      </c>
      <c r="V509" s="481" t="s">
        <v>553</v>
      </c>
      <c r="W509" s="497">
        <v>-1.28</v>
      </c>
      <c r="X509" s="498" t="s">
        <v>1620</v>
      </c>
      <c r="Y509" s="488">
        <v>1000000</v>
      </c>
      <c r="Z509" s="489" t="s">
        <v>1620</v>
      </c>
      <c r="AA509" s="396">
        <v>2.4700000000000001E-5</v>
      </c>
      <c r="AB509" s="397" t="s">
        <v>1668</v>
      </c>
      <c r="AC509" s="369"/>
    </row>
    <row r="510" spans="1:29" ht="20.100000000000001" customHeight="1">
      <c r="A510" s="390" t="s">
        <v>1266</v>
      </c>
      <c r="B510" s="391" t="s">
        <v>129</v>
      </c>
      <c r="C510" s="400">
        <f>COUNTIF('Chem Props'!$B$6:$B$851,'Parameters Summary'!A510)</f>
        <v>1</v>
      </c>
      <c r="D510" s="400">
        <f>COUNTIF('Tox Summary'!$N$3:$N$792, 'Parameters Summary'!A510)</f>
        <v>1</v>
      </c>
      <c r="E510" s="434">
        <v>102.14</v>
      </c>
      <c r="F510" s="435" t="s">
        <v>1620</v>
      </c>
      <c r="G510" s="436">
        <v>1.484E-4</v>
      </c>
      <c r="H510" s="436">
        <v>3.63E-6</v>
      </c>
      <c r="I510" s="437" t="s">
        <v>1620</v>
      </c>
      <c r="J510" s="436">
        <v>0.86</v>
      </c>
      <c r="K510" s="437" t="s">
        <v>1620</v>
      </c>
      <c r="L510" s="453">
        <v>-15.6</v>
      </c>
      <c r="M510" s="454" t="s">
        <v>553</v>
      </c>
      <c r="N510" s="455">
        <v>0.94220000000000004</v>
      </c>
      <c r="O510" s="456" t="s">
        <v>1618</v>
      </c>
      <c r="P510" s="471">
        <v>7.3841000000000004E-2</v>
      </c>
      <c r="Q510" s="471">
        <v>9.1252000000000003E-6</v>
      </c>
      <c r="R510" s="472" t="s">
        <v>2435</v>
      </c>
      <c r="S510" s="473" t="s">
        <v>1531</v>
      </c>
      <c r="T510" s="474" t="s">
        <v>1413</v>
      </c>
      <c r="U510" s="484">
        <v>82.92</v>
      </c>
      <c r="V510" s="484" t="s">
        <v>553</v>
      </c>
      <c r="W510" s="495">
        <v>0.48</v>
      </c>
      <c r="X510" s="496" t="s">
        <v>1620</v>
      </c>
      <c r="Y510" s="486">
        <v>106000</v>
      </c>
      <c r="Z510" s="487" t="s">
        <v>1620</v>
      </c>
      <c r="AA510" s="394">
        <v>8.7200000000000005E-4</v>
      </c>
      <c r="AB510" s="395" t="s">
        <v>553</v>
      </c>
      <c r="AC510" s="369"/>
    </row>
    <row r="511" spans="1:29" ht="20.100000000000001" customHeight="1">
      <c r="A511" s="390" t="s">
        <v>1267</v>
      </c>
      <c r="B511" s="391" t="s">
        <v>130</v>
      </c>
      <c r="C511" s="400">
        <f>COUNTIF('Chem Props'!$B$6:$B$851,'Parameters Summary'!A511)</f>
        <v>1</v>
      </c>
      <c r="D511" s="400">
        <f>COUNTIF('Tox Summary'!$N$3:$N$792, 'Parameters Summary'!A511)</f>
        <v>1</v>
      </c>
      <c r="E511" s="434">
        <v>74.082999999999998</v>
      </c>
      <c r="F511" s="435" t="s">
        <v>1620</v>
      </c>
      <c r="G511" s="436">
        <v>7.4400000000000006E-5</v>
      </c>
      <c r="H511" s="436">
        <v>1.8199999999999999E-6</v>
      </c>
      <c r="I511" s="437" t="s">
        <v>1620</v>
      </c>
      <c r="J511" s="436">
        <v>2.7</v>
      </c>
      <c r="K511" s="437" t="s">
        <v>1620</v>
      </c>
      <c r="L511" s="453">
        <v>-39.07</v>
      </c>
      <c r="M511" s="454" t="s">
        <v>553</v>
      </c>
      <c r="N511" s="455">
        <v>1.0047999999999999</v>
      </c>
      <c r="O511" s="456" t="s">
        <v>1618</v>
      </c>
      <c r="P511" s="471">
        <v>9.8767400000000005E-2</v>
      </c>
      <c r="Q511" s="471">
        <v>1.15E-5</v>
      </c>
      <c r="R511" s="472" t="s">
        <v>2435</v>
      </c>
      <c r="S511" s="473" t="s">
        <v>1531</v>
      </c>
      <c r="T511" s="474" t="s">
        <v>1413</v>
      </c>
      <c r="U511" s="484">
        <v>22.79</v>
      </c>
      <c r="V511" s="484" t="s">
        <v>553</v>
      </c>
      <c r="W511" s="495">
        <v>-0.56999999999999995</v>
      </c>
      <c r="X511" s="496" t="s">
        <v>1620</v>
      </c>
      <c r="Y511" s="486">
        <v>1000000</v>
      </c>
      <c r="Z511" s="487" t="s">
        <v>1620</v>
      </c>
      <c r="AA511" s="394">
        <v>2.5099999999999998E-4</v>
      </c>
      <c r="AB511" s="395" t="s">
        <v>553</v>
      </c>
      <c r="AC511" s="369"/>
    </row>
    <row r="512" spans="1:29" ht="20.100000000000001" customHeight="1" thickBot="1">
      <c r="A512" s="392" t="s">
        <v>1268</v>
      </c>
      <c r="B512" s="393" t="s">
        <v>131</v>
      </c>
      <c r="C512" s="400">
        <f>COUNTIF('Chem Props'!$B$6:$B$851,'Parameters Summary'!A512)</f>
        <v>1</v>
      </c>
      <c r="D512" s="400">
        <f>COUNTIF('Tox Summary'!$N$3:$N$792, 'Parameters Summary'!A512)</f>
        <v>1</v>
      </c>
      <c r="E512" s="438">
        <v>198.23</v>
      </c>
      <c r="F512" s="439" t="s">
        <v>1620</v>
      </c>
      <c r="G512" s="440">
        <v>4.9499999999999997E-5</v>
      </c>
      <c r="H512" s="440">
        <v>1.2100000000000001E-6</v>
      </c>
      <c r="I512" s="441" t="s">
        <v>1620</v>
      </c>
      <c r="J512" s="440">
        <v>0.1</v>
      </c>
      <c r="K512" s="441" t="s">
        <v>1620</v>
      </c>
      <c r="L512" s="457">
        <v>66.5</v>
      </c>
      <c r="M512" s="458" t="s">
        <v>1620</v>
      </c>
      <c r="N512" s="463" t="s">
        <v>1531</v>
      </c>
      <c r="O512" s="464" t="s">
        <v>1413</v>
      </c>
      <c r="P512" s="475">
        <v>5.5886600000000002E-2</v>
      </c>
      <c r="Q512" s="475">
        <v>6.5298999999999999E-6</v>
      </c>
      <c r="R512" s="476" t="s">
        <v>2435</v>
      </c>
      <c r="S512" s="477" t="s">
        <v>1531</v>
      </c>
      <c r="T512" s="478" t="s">
        <v>1413</v>
      </c>
      <c r="U512" s="481">
        <v>2632</v>
      </c>
      <c r="V512" s="481" t="s">
        <v>553</v>
      </c>
      <c r="W512" s="497">
        <v>3.13</v>
      </c>
      <c r="X512" s="498" t="s">
        <v>1620</v>
      </c>
      <c r="Y512" s="488">
        <v>35</v>
      </c>
      <c r="Z512" s="489" t="s">
        <v>1620</v>
      </c>
      <c r="AA512" s="396">
        <v>1.4500000000000001E-2</v>
      </c>
      <c r="AB512" s="397" t="s">
        <v>553</v>
      </c>
      <c r="AC512" s="369"/>
    </row>
    <row r="513" spans="1:29" ht="20.100000000000001" customHeight="1">
      <c r="A513" s="390" t="s">
        <v>1269</v>
      </c>
      <c r="B513" s="391" t="s">
        <v>132</v>
      </c>
      <c r="C513" s="400">
        <f>COUNTIF('Chem Props'!$B$6:$B$851,'Parameters Summary'!A513)</f>
        <v>1</v>
      </c>
      <c r="D513" s="400">
        <f>COUNTIF('Tox Summary'!$N$3:$N$792, 'Parameters Summary'!A513)</f>
        <v>1</v>
      </c>
      <c r="E513" s="434">
        <v>88.11</v>
      </c>
      <c r="F513" s="435" t="s">
        <v>1620</v>
      </c>
      <c r="G513" s="436">
        <v>5.8900000000000002E-5</v>
      </c>
      <c r="H513" s="436">
        <v>1.44E-6</v>
      </c>
      <c r="I513" s="437" t="s">
        <v>1620</v>
      </c>
      <c r="J513" s="436">
        <v>1.1000000000000001</v>
      </c>
      <c r="K513" s="437" t="s">
        <v>1620</v>
      </c>
      <c r="L513" s="453">
        <v>-27.21</v>
      </c>
      <c r="M513" s="454" t="s">
        <v>553</v>
      </c>
      <c r="N513" s="455">
        <v>0.94479999999999997</v>
      </c>
      <c r="O513" s="456" t="s">
        <v>2199</v>
      </c>
      <c r="P513" s="471">
        <v>8.4054699999999996E-2</v>
      </c>
      <c r="Q513" s="471">
        <v>9.9876000000000007E-6</v>
      </c>
      <c r="R513" s="472" t="s">
        <v>2435</v>
      </c>
      <c r="S513" s="473" t="s">
        <v>1531</v>
      </c>
      <c r="T513" s="474" t="s">
        <v>1413</v>
      </c>
      <c r="U513" s="484">
        <v>43.47</v>
      </c>
      <c r="V513" s="484" t="s">
        <v>553</v>
      </c>
      <c r="W513" s="495">
        <v>0.04</v>
      </c>
      <c r="X513" s="496" t="s">
        <v>1620</v>
      </c>
      <c r="Y513" s="486">
        <v>300000</v>
      </c>
      <c r="Z513" s="487" t="s">
        <v>1620</v>
      </c>
      <c r="AA513" s="394">
        <v>5.3300000000000005E-4</v>
      </c>
      <c r="AB513" s="395" t="s">
        <v>553</v>
      </c>
      <c r="AC513" s="369"/>
    </row>
    <row r="514" spans="1:29" ht="20.100000000000001" customHeight="1">
      <c r="A514" s="390" t="s">
        <v>606</v>
      </c>
      <c r="B514" s="391" t="s">
        <v>133</v>
      </c>
      <c r="C514" s="400">
        <f>COUNTIF('Chem Props'!$B$6:$B$851,'Parameters Summary'!A514)</f>
        <v>1</v>
      </c>
      <c r="D514" s="400">
        <f>COUNTIF('Tox Summary'!$N$3:$N$792, 'Parameters Summary'!A514)</f>
        <v>1</v>
      </c>
      <c r="E514" s="434">
        <v>116.12</v>
      </c>
      <c r="F514" s="435" t="s">
        <v>1620</v>
      </c>
      <c r="G514" s="436">
        <v>1.0016000000000001E-6</v>
      </c>
      <c r="H514" s="436">
        <v>2.4500000000000001E-8</v>
      </c>
      <c r="I514" s="437" t="s">
        <v>1620</v>
      </c>
      <c r="J514" s="436">
        <v>3.5999999999999997E-2</v>
      </c>
      <c r="K514" s="437" t="s">
        <v>1620</v>
      </c>
      <c r="L514" s="453">
        <v>29</v>
      </c>
      <c r="M514" s="454" t="s">
        <v>1620</v>
      </c>
      <c r="N514" s="461" t="s">
        <v>1531</v>
      </c>
      <c r="O514" s="462" t="s">
        <v>1413</v>
      </c>
      <c r="P514" s="471">
        <v>7.9826800000000003E-2</v>
      </c>
      <c r="Q514" s="471">
        <v>9.3270999999999992E-6</v>
      </c>
      <c r="R514" s="472" t="s">
        <v>2435</v>
      </c>
      <c r="S514" s="473" t="s">
        <v>1531</v>
      </c>
      <c r="T514" s="474" t="s">
        <v>1413</v>
      </c>
      <c r="U514" s="484">
        <v>22.51</v>
      </c>
      <c r="V514" s="484" t="s">
        <v>553</v>
      </c>
      <c r="W514" s="495">
        <v>-0.44</v>
      </c>
      <c r="X514" s="496" t="s">
        <v>1620</v>
      </c>
      <c r="Y514" s="486">
        <v>1000000</v>
      </c>
      <c r="Z514" s="487" t="s">
        <v>1620</v>
      </c>
      <c r="AA514" s="394">
        <v>1.7799999999999999E-4</v>
      </c>
      <c r="AB514" s="395" t="s">
        <v>553</v>
      </c>
      <c r="AC514" s="369"/>
    </row>
    <row r="515" spans="1:29" ht="20.100000000000001" customHeight="1" thickBot="1">
      <c r="A515" s="392" t="s">
        <v>607</v>
      </c>
      <c r="B515" s="393" t="s">
        <v>134</v>
      </c>
      <c r="C515" s="400">
        <f>COUNTIF('Chem Props'!$B$6:$B$851,'Parameters Summary'!A515)</f>
        <v>1</v>
      </c>
      <c r="D515" s="400">
        <f>COUNTIF('Tox Summary'!$N$3:$N$792, 'Parameters Summary'!A515)</f>
        <v>1</v>
      </c>
      <c r="E515" s="438">
        <v>114.15</v>
      </c>
      <c r="F515" s="439" t="s">
        <v>1620</v>
      </c>
      <c r="G515" s="440">
        <v>3.4499999999999998E-5</v>
      </c>
      <c r="H515" s="440">
        <v>8.4399999999999999E-7</v>
      </c>
      <c r="I515" s="441" t="s">
        <v>1620</v>
      </c>
      <c r="J515" s="440">
        <v>9.1999999999999998E-2</v>
      </c>
      <c r="K515" s="441" t="s">
        <v>1620</v>
      </c>
      <c r="L515" s="457">
        <v>6.83</v>
      </c>
      <c r="M515" s="458" t="s">
        <v>553</v>
      </c>
      <c r="N515" s="459">
        <v>1.0630999999999999</v>
      </c>
      <c r="O515" s="460" t="s">
        <v>1618</v>
      </c>
      <c r="P515" s="475">
        <v>6.9889999999999994E-2</v>
      </c>
      <c r="Q515" s="475">
        <v>9.1776E-6</v>
      </c>
      <c r="R515" s="476" t="s">
        <v>2435</v>
      </c>
      <c r="S515" s="477" t="s">
        <v>1531</v>
      </c>
      <c r="T515" s="478" t="s">
        <v>1413</v>
      </c>
      <c r="U515" s="481">
        <v>167.5</v>
      </c>
      <c r="V515" s="481" t="s">
        <v>553</v>
      </c>
      <c r="W515" s="497">
        <v>0.36</v>
      </c>
      <c r="X515" s="498" t="s">
        <v>1620</v>
      </c>
      <c r="Y515" s="488">
        <v>76500</v>
      </c>
      <c r="Z515" s="489" t="s">
        <v>1620</v>
      </c>
      <c r="AA515" s="396">
        <v>6.2200000000000005E-4</v>
      </c>
      <c r="AB515" s="397" t="s">
        <v>553</v>
      </c>
      <c r="AC515" s="369"/>
    </row>
    <row r="516" spans="1:29" ht="20.100000000000001" customHeight="1">
      <c r="A516" s="390" t="s">
        <v>1270</v>
      </c>
      <c r="B516" s="391" t="s">
        <v>135</v>
      </c>
      <c r="C516" s="400">
        <f>COUNTIF('Chem Props'!$B$6:$B$851,'Parameters Summary'!A516)</f>
        <v>1</v>
      </c>
      <c r="D516" s="400">
        <f>COUNTIF('Tox Summary'!$N$3:$N$792, 'Parameters Summary'!A516)</f>
        <v>1</v>
      </c>
      <c r="E516" s="434">
        <v>100.12</v>
      </c>
      <c r="F516" s="435" t="s">
        <v>1620</v>
      </c>
      <c r="G516" s="436">
        <v>1.9991999999999998E-6</v>
      </c>
      <c r="H516" s="436">
        <v>4.8900000000000001E-8</v>
      </c>
      <c r="I516" s="437" t="s">
        <v>1620</v>
      </c>
      <c r="J516" s="436">
        <v>0.06</v>
      </c>
      <c r="K516" s="437" t="s">
        <v>1620</v>
      </c>
      <c r="L516" s="453">
        <v>-3.09</v>
      </c>
      <c r="M516" s="454" t="s">
        <v>553</v>
      </c>
      <c r="N516" s="455">
        <v>1.085</v>
      </c>
      <c r="O516" s="456" t="s">
        <v>1618</v>
      </c>
      <c r="P516" s="471">
        <v>7.9971200000000006E-2</v>
      </c>
      <c r="Q516" s="471">
        <v>1.01E-5</v>
      </c>
      <c r="R516" s="472" t="s">
        <v>2435</v>
      </c>
      <c r="S516" s="473" t="s">
        <v>1531</v>
      </c>
      <c r="T516" s="474" t="s">
        <v>1413</v>
      </c>
      <c r="U516" s="484">
        <v>91.91</v>
      </c>
      <c r="V516" s="484" t="s">
        <v>553</v>
      </c>
      <c r="W516" s="495">
        <v>-0.19</v>
      </c>
      <c r="X516" s="496" t="s">
        <v>1620</v>
      </c>
      <c r="Y516" s="486">
        <v>1000000</v>
      </c>
      <c r="Z516" s="487" t="s">
        <v>1620</v>
      </c>
      <c r="AA516" s="394">
        <v>3.21E-4</v>
      </c>
      <c r="AB516" s="395" t="s">
        <v>553</v>
      </c>
      <c r="AC516" s="369"/>
    </row>
    <row r="517" spans="1:29" ht="20.100000000000001" customHeight="1">
      <c r="A517" s="390" t="s">
        <v>538</v>
      </c>
      <c r="B517" s="391" t="s">
        <v>136</v>
      </c>
      <c r="C517" s="400">
        <f>COUNTIF('Chem Props'!$B$6:$B$851,'Parameters Summary'!A517)</f>
        <v>1</v>
      </c>
      <c r="D517" s="400">
        <f>COUNTIF('Tox Summary'!$N$3:$N$792, 'Parameters Summary'!A517)</f>
        <v>1</v>
      </c>
      <c r="E517" s="434">
        <v>137.13999999999999</v>
      </c>
      <c r="F517" s="435" t="s">
        <v>1620</v>
      </c>
      <c r="G517" s="436">
        <v>3.8020000000000003E-4</v>
      </c>
      <c r="H517" s="436">
        <v>9.3000000000000007E-6</v>
      </c>
      <c r="I517" s="437" t="s">
        <v>1620</v>
      </c>
      <c r="J517" s="436">
        <v>0.20499999999999999</v>
      </c>
      <c r="K517" s="437" t="s">
        <v>553</v>
      </c>
      <c r="L517" s="453">
        <v>15.5</v>
      </c>
      <c r="M517" s="454" t="s">
        <v>1620</v>
      </c>
      <c r="N517" s="455">
        <v>1.1580999999999999</v>
      </c>
      <c r="O517" s="456" t="s">
        <v>1618</v>
      </c>
      <c r="P517" s="471">
        <v>5.8686000000000002E-2</v>
      </c>
      <c r="Q517" s="471">
        <v>8.6541000000000007E-6</v>
      </c>
      <c r="R517" s="472" t="s">
        <v>2435</v>
      </c>
      <c r="S517" s="473" t="s">
        <v>1531</v>
      </c>
      <c r="T517" s="474" t="s">
        <v>1413</v>
      </c>
      <c r="U517" s="484">
        <v>363.2</v>
      </c>
      <c r="V517" s="484" t="s">
        <v>553</v>
      </c>
      <c r="W517" s="495">
        <v>2.4500000000000002</v>
      </c>
      <c r="X517" s="496" t="s">
        <v>1620</v>
      </c>
      <c r="Y517" s="486">
        <v>500</v>
      </c>
      <c r="Z517" s="487" t="s">
        <v>1620</v>
      </c>
      <c r="AA517" s="394">
        <v>1.1299999999999999E-2</v>
      </c>
      <c r="AB517" s="395" t="s">
        <v>553</v>
      </c>
      <c r="AC517" s="369"/>
    </row>
    <row r="518" spans="1:29" ht="20.100000000000001" customHeight="1" thickBot="1">
      <c r="A518" s="392" t="s">
        <v>1271</v>
      </c>
      <c r="B518" s="393" t="s">
        <v>137</v>
      </c>
      <c r="C518" s="400">
        <f>COUNTIF('Chem Props'!$B$6:$B$851,'Parameters Summary'!A518)</f>
        <v>1</v>
      </c>
      <c r="D518" s="400">
        <f>COUNTIF('Tox Summary'!$N$3:$N$792, 'Parameters Summary'!A518)</f>
        <v>1</v>
      </c>
      <c r="E518" s="438">
        <v>137.13999999999999</v>
      </c>
      <c r="F518" s="439" t="s">
        <v>1620</v>
      </c>
      <c r="G518" s="440">
        <v>5.1099999999999995E-4</v>
      </c>
      <c r="H518" s="440">
        <v>1.2500000000000001E-5</v>
      </c>
      <c r="I518" s="441" t="s">
        <v>1620</v>
      </c>
      <c r="J518" s="440">
        <v>0.188</v>
      </c>
      <c r="K518" s="441" t="s">
        <v>553</v>
      </c>
      <c r="L518" s="457">
        <v>-10</v>
      </c>
      <c r="M518" s="458" t="s">
        <v>1620</v>
      </c>
      <c r="N518" s="459">
        <v>1.1611</v>
      </c>
      <c r="O518" s="460" t="s">
        <v>1618</v>
      </c>
      <c r="P518" s="475">
        <v>5.87535E-2</v>
      </c>
      <c r="Q518" s="475">
        <v>8.6674999999999996E-6</v>
      </c>
      <c r="R518" s="476" t="s">
        <v>2435</v>
      </c>
      <c r="S518" s="477" t="s">
        <v>1531</v>
      </c>
      <c r="T518" s="478" t="s">
        <v>1413</v>
      </c>
      <c r="U518" s="481">
        <v>370.6</v>
      </c>
      <c r="V518" s="481" t="s">
        <v>553</v>
      </c>
      <c r="W518" s="497">
        <v>2.2999999999999998</v>
      </c>
      <c r="X518" s="498" t="s">
        <v>1620</v>
      </c>
      <c r="Y518" s="488">
        <v>650</v>
      </c>
      <c r="Z518" s="489" t="s">
        <v>1620</v>
      </c>
      <c r="AA518" s="396">
        <v>8.9899999999999997E-3</v>
      </c>
      <c r="AB518" s="397" t="s">
        <v>553</v>
      </c>
      <c r="AC518" s="369"/>
    </row>
    <row r="519" spans="1:29" ht="20.100000000000001" customHeight="1">
      <c r="A519" s="390" t="s">
        <v>1272</v>
      </c>
      <c r="B519" s="391" t="s">
        <v>138</v>
      </c>
      <c r="C519" s="400">
        <f>COUNTIF('Chem Props'!$B$6:$B$851,'Parameters Summary'!A519)</f>
        <v>1</v>
      </c>
      <c r="D519" s="400">
        <f>COUNTIF('Tox Summary'!$N$3:$N$792, 'Parameters Summary'!A519)</f>
        <v>1</v>
      </c>
      <c r="E519" s="434">
        <v>137.13999999999999</v>
      </c>
      <c r="F519" s="435" t="s">
        <v>1620</v>
      </c>
      <c r="G519" s="436">
        <v>2.3020000000000001E-4</v>
      </c>
      <c r="H519" s="436">
        <v>5.6300000000000003E-6</v>
      </c>
      <c r="I519" s="437" t="s">
        <v>1620</v>
      </c>
      <c r="J519" s="436">
        <v>1.5699999999999999E-2</v>
      </c>
      <c r="K519" s="437" t="s">
        <v>553</v>
      </c>
      <c r="L519" s="453">
        <v>51.6</v>
      </c>
      <c r="M519" s="454" t="s">
        <v>1620</v>
      </c>
      <c r="N519" s="455">
        <v>1.1037999999999999</v>
      </c>
      <c r="O519" s="456" t="s">
        <v>1618</v>
      </c>
      <c r="P519" s="471">
        <v>5.74432E-2</v>
      </c>
      <c r="Q519" s="471">
        <v>8.4083000000000005E-6</v>
      </c>
      <c r="R519" s="472" t="s">
        <v>2435</v>
      </c>
      <c r="S519" s="473" t="s">
        <v>1531</v>
      </c>
      <c r="T519" s="474" t="s">
        <v>1413</v>
      </c>
      <c r="U519" s="484">
        <v>363.2</v>
      </c>
      <c r="V519" s="484" t="s">
        <v>553</v>
      </c>
      <c r="W519" s="495">
        <v>2.37</v>
      </c>
      <c r="X519" s="496" t="s">
        <v>1620</v>
      </c>
      <c r="Y519" s="486">
        <v>442</v>
      </c>
      <c r="Z519" s="487" t="s">
        <v>1620</v>
      </c>
      <c r="AA519" s="394">
        <v>0.01</v>
      </c>
      <c r="AB519" s="395" t="s">
        <v>553</v>
      </c>
      <c r="AC519" s="369"/>
    </row>
    <row r="520" spans="1:29" ht="20.100000000000001" customHeight="1">
      <c r="A520" s="390" t="s">
        <v>608</v>
      </c>
      <c r="B520" s="391" t="s">
        <v>139</v>
      </c>
      <c r="C520" s="400">
        <f>COUNTIF('Chem Props'!$B$6:$B$851,'Parameters Summary'!A520)</f>
        <v>1</v>
      </c>
      <c r="D520" s="400">
        <f>COUNTIF('Tox Summary'!$N$3:$N$792, 'Parameters Summary'!A520)</f>
        <v>1</v>
      </c>
      <c r="E520" s="434">
        <v>128.26</v>
      </c>
      <c r="F520" s="435" t="s">
        <v>1620</v>
      </c>
      <c r="G520" s="436">
        <v>139.00245000000001</v>
      </c>
      <c r="H520" s="436">
        <v>3.4</v>
      </c>
      <c r="I520" s="437" t="s">
        <v>553</v>
      </c>
      <c r="J520" s="436">
        <v>4.45</v>
      </c>
      <c r="K520" s="437" t="s">
        <v>1620</v>
      </c>
      <c r="L520" s="453">
        <v>-53.5</v>
      </c>
      <c r="M520" s="454" t="s">
        <v>1620</v>
      </c>
      <c r="N520" s="455">
        <v>0.71919999999999995</v>
      </c>
      <c r="O520" s="456" t="s">
        <v>1618</v>
      </c>
      <c r="P520" s="471">
        <v>5.1431999999999999E-2</v>
      </c>
      <c r="Q520" s="471">
        <v>6.7689999999999999E-6</v>
      </c>
      <c r="R520" s="472" t="s">
        <v>2435</v>
      </c>
      <c r="S520" s="473" t="s">
        <v>1531</v>
      </c>
      <c r="T520" s="474" t="s">
        <v>1413</v>
      </c>
      <c r="U520" s="484">
        <v>796</v>
      </c>
      <c r="V520" s="484" t="s">
        <v>553</v>
      </c>
      <c r="W520" s="495">
        <v>5.65</v>
      </c>
      <c r="X520" s="496" t="s">
        <v>1620</v>
      </c>
      <c r="Y520" s="486">
        <v>0.22</v>
      </c>
      <c r="Z520" s="487" t="s">
        <v>1620</v>
      </c>
      <c r="AA520" s="394">
        <v>1.7</v>
      </c>
      <c r="AB520" s="395" t="s">
        <v>553</v>
      </c>
      <c r="AC520" s="369"/>
    </row>
    <row r="521" spans="1:29" ht="20.100000000000001" customHeight="1" thickBot="1">
      <c r="A521" s="392" t="s">
        <v>1273</v>
      </c>
      <c r="B521" s="393" t="s">
        <v>140</v>
      </c>
      <c r="C521" s="400">
        <f>COUNTIF('Chem Props'!$B$6:$B$851,'Parameters Summary'!A521)</f>
        <v>1</v>
      </c>
      <c r="D521" s="400">
        <f>COUNTIF('Tox Summary'!$N$3:$N$792, 'Parameters Summary'!A521)</f>
        <v>1</v>
      </c>
      <c r="E521" s="438">
        <v>303.67</v>
      </c>
      <c r="F521" s="439" t="s">
        <v>1620</v>
      </c>
      <c r="G521" s="440">
        <v>1.4022999999999999E-8</v>
      </c>
      <c r="H521" s="440">
        <v>3.43E-10</v>
      </c>
      <c r="I521" s="441" t="s">
        <v>553</v>
      </c>
      <c r="J521" s="440">
        <v>2.8900000000000001E-8</v>
      </c>
      <c r="K521" s="441" t="s">
        <v>1620</v>
      </c>
      <c r="L521" s="457">
        <v>184</v>
      </c>
      <c r="M521" s="458" t="s">
        <v>1620</v>
      </c>
      <c r="N521" s="463" t="s">
        <v>1531</v>
      </c>
      <c r="O521" s="464" t="s">
        <v>1413</v>
      </c>
      <c r="P521" s="475">
        <v>4.2055099999999998E-2</v>
      </c>
      <c r="Q521" s="475">
        <v>4.9138000000000003E-6</v>
      </c>
      <c r="R521" s="476" t="s">
        <v>2435</v>
      </c>
      <c r="S521" s="477" t="s">
        <v>1531</v>
      </c>
      <c r="T521" s="478" t="s">
        <v>1413</v>
      </c>
      <c r="U521" s="481">
        <v>3118</v>
      </c>
      <c r="V521" s="481" t="s">
        <v>553</v>
      </c>
      <c r="W521" s="497">
        <v>2.2999999999999998</v>
      </c>
      <c r="X521" s="498" t="s">
        <v>1620</v>
      </c>
      <c r="Y521" s="488">
        <v>33.700000000000003</v>
      </c>
      <c r="Z521" s="489" t="s">
        <v>1620</v>
      </c>
      <c r="AA521" s="396">
        <v>1.0499999999999999E-3</v>
      </c>
      <c r="AB521" s="397" t="s">
        <v>553</v>
      </c>
      <c r="AC521" s="369"/>
    </row>
    <row r="522" spans="1:29" ht="20.100000000000001" customHeight="1">
      <c r="A522" s="390" t="s">
        <v>1274</v>
      </c>
      <c r="B522" s="391" t="s">
        <v>142</v>
      </c>
      <c r="C522" s="400">
        <f>COUNTIF('Chem Props'!$B$6:$B$851,'Parameters Summary'!A522)</f>
        <v>1</v>
      </c>
      <c r="D522" s="400">
        <f>COUNTIF('Tox Summary'!$N$3:$N$792, 'Parameters Summary'!A522)</f>
        <v>1</v>
      </c>
      <c r="E522" s="434">
        <v>801.38</v>
      </c>
      <c r="F522" s="435" t="s">
        <v>1620</v>
      </c>
      <c r="G522" s="436">
        <v>3.0581E-6</v>
      </c>
      <c r="H522" s="436">
        <v>7.4799999999999995E-8</v>
      </c>
      <c r="I522" s="437" t="s">
        <v>1620</v>
      </c>
      <c r="J522" s="436">
        <v>1.2699999999999999E-2</v>
      </c>
      <c r="K522" s="437" t="s">
        <v>553</v>
      </c>
      <c r="L522" s="453">
        <v>200</v>
      </c>
      <c r="M522" s="454" t="s">
        <v>1620</v>
      </c>
      <c r="N522" s="461" t="s">
        <v>1531</v>
      </c>
      <c r="O522" s="462" t="s">
        <v>1413</v>
      </c>
      <c r="P522" s="471">
        <v>2.2022199999999999E-2</v>
      </c>
      <c r="Q522" s="471">
        <v>2.5731E-6</v>
      </c>
      <c r="R522" s="472" t="s">
        <v>2435</v>
      </c>
      <c r="S522" s="473" t="s">
        <v>1531</v>
      </c>
      <c r="T522" s="474" t="s">
        <v>1413</v>
      </c>
      <c r="U522" s="484">
        <v>98980</v>
      </c>
      <c r="V522" s="484" t="s">
        <v>553</v>
      </c>
      <c r="W522" s="495">
        <v>8.7100000000000009</v>
      </c>
      <c r="X522" s="496" t="s">
        <v>1620</v>
      </c>
      <c r="Y522" s="486">
        <v>1.11E-8</v>
      </c>
      <c r="Z522" s="487" t="s">
        <v>1620</v>
      </c>
      <c r="AA522" s="394">
        <v>3.0599999999999999E-2</v>
      </c>
      <c r="AB522" s="395" t="s">
        <v>553</v>
      </c>
      <c r="AC522" s="369"/>
    </row>
    <row r="523" spans="1:29" ht="20.100000000000001" customHeight="1">
      <c r="A523" s="390" t="s">
        <v>2047</v>
      </c>
      <c r="B523" s="391" t="s">
        <v>143</v>
      </c>
      <c r="C523" s="400">
        <f>COUNTIF('Chem Props'!$B$6:$B$851,'Parameters Summary'!A523)</f>
        <v>1</v>
      </c>
      <c r="D523" s="400">
        <f>COUNTIF('Tox Summary'!$N$3:$N$792, 'Parameters Summary'!A523)</f>
        <v>1</v>
      </c>
      <c r="E523" s="434">
        <v>296.16000000000003</v>
      </c>
      <c r="F523" s="435" t="s">
        <v>1620</v>
      </c>
      <c r="G523" s="436">
        <v>3.5445999999999999E-8</v>
      </c>
      <c r="H523" s="436">
        <v>8.67E-10</v>
      </c>
      <c r="I523" s="437" t="s">
        <v>1620</v>
      </c>
      <c r="J523" s="436">
        <v>3.2999999999999998E-14</v>
      </c>
      <c r="K523" s="437" t="s">
        <v>1620</v>
      </c>
      <c r="L523" s="453">
        <v>286</v>
      </c>
      <c r="M523" s="454" t="s">
        <v>1618</v>
      </c>
      <c r="N523" s="461" t="s">
        <v>1531</v>
      </c>
      <c r="O523" s="462" t="s">
        <v>1413</v>
      </c>
      <c r="P523" s="471">
        <v>4.2763099999999998E-2</v>
      </c>
      <c r="Q523" s="471">
        <v>4.9965000000000004E-6</v>
      </c>
      <c r="R523" s="472" t="s">
        <v>2435</v>
      </c>
      <c r="S523" s="473" t="s">
        <v>1531</v>
      </c>
      <c r="T523" s="474" t="s">
        <v>1413</v>
      </c>
      <c r="U523" s="484">
        <v>531.6</v>
      </c>
      <c r="V523" s="484" t="s">
        <v>553</v>
      </c>
      <c r="W523" s="495">
        <v>0.16</v>
      </c>
      <c r="X523" s="496" t="s">
        <v>1620</v>
      </c>
      <c r="Y523" s="486">
        <v>5</v>
      </c>
      <c r="Z523" s="487" t="s">
        <v>1620</v>
      </c>
      <c r="AA523" s="394">
        <v>4.3600000000000003E-5</v>
      </c>
      <c r="AB523" s="395" t="s">
        <v>553</v>
      </c>
      <c r="AC523" s="369"/>
    </row>
    <row r="524" spans="1:29" ht="20.100000000000001" customHeight="1" thickBot="1">
      <c r="A524" s="392" t="s">
        <v>1275</v>
      </c>
      <c r="B524" s="393" t="s">
        <v>144</v>
      </c>
      <c r="C524" s="400">
        <f>COUNTIF('Chem Props'!$B$6:$B$851,'Parameters Summary'!A524)</f>
        <v>1</v>
      </c>
      <c r="D524" s="400">
        <f>COUNTIF('Tox Summary'!$N$3:$N$792, 'Parameters Summary'!A524)</f>
        <v>1</v>
      </c>
      <c r="E524" s="438">
        <v>286.25</v>
      </c>
      <c r="F524" s="439" t="s">
        <v>1620</v>
      </c>
      <c r="G524" s="440">
        <v>1.5401E-8</v>
      </c>
      <c r="H524" s="440">
        <v>3.767E-10</v>
      </c>
      <c r="I524" s="441" t="s">
        <v>1620</v>
      </c>
      <c r="J524" s="440">
        <v>1E-3</v>
      </c>
      <c r="K524" s="441" t="s">
        <v>1620</v>
      </c>
      <c r="L524" s="457">
        <v>17</v>
      </c>
      <c r="M524" s="458" t="s">
        <v>1620</v>
      </c>
      <c r="N524" s="459">
        <v>1.0900000000000001</v>
      </c>
      <c r="O524" s="460" t="s">
        <v>1618</v>
      </c>
      <c r="P524" s="475">
        <v>2.1539900000000001E-2</v>
      </c>
      <c r="Q524" s="475">
        <v>5.3664E-6</v>
      </c>
      <c r="R524" s="476" t="s">
        <v>2435</v>
      </c>
      <c r="S524" s="477" t="s">
        <v>1531</v>
      </c>
      <c r="T524" s="478" t="s">
        <v>1413</v>
      </c>
      <c r="U524" s="481">
        <v>20.12</v>
      </c>
      <c r="V524" s="481" t="s">
        <v>553</v>
      </c>
      <c r="W524" s="497">
        <v>-1.01</v>
      </c>
      <c r="X524" s="498" t="s">
        <v>1620</v>
      </c>
      <c r="Y524" s="488">
        <v>1000000</v>
      </c>
      <c r="Z524" s="489" t="s">
        <v>1620</v>
      </c>
      <c r="AA524" s="396">
        <v>8.3000000000000002E-6</v>
      </c>
      <c r="AB524" s="397" t="s">
        <v>553</v>
      </c>
      <c r="AC524" s="369"/>
    </row>
    <row r="525" spans="1:29" ht="20.100000000000001" customHeight="1">
      <c r="A525" s="390" t="s">
        <v>1276</v>
      </c>
      <c r="B525" s="391" t="s">
        <v>145</v>
      </c>
      <c r="C525" s="400">
        <f>COUNTIF('Chem Props'!$B$6:$B$851,'Parameters Summary'!A525)</f>
        <v>1</v>
      </c>
      <c r="D525" s="400">
        <f>COUNTIF('Tox Summary'!$N$3:$N$792, 'Parameters Summary'!A525)</f>
        <v>1</v>
      </c>
      <c r="E525" s="434">
        <v>346.36</v>
      </c>
      <c r="F525" s="435" t="s">
        <v>1620</v>
      </c>
      <c r="G525" s="436">
        <v>7.8087000000000003E-8</v>
      </c>
      <c r="H525" s="436">
        <v>1.9099999999999998E-9</v>
      </c>
      <c r="I525" s="437" t="s">
        <v>1620</v>
      </c>
      <c r="J525" s="436">
        <v>9.7499999999999996E-9</v>
      </c>
      <c r="K525" s="437" t="s">
        <v>1620</v>
      </c>
      <c r="L525" s="453">
        <v>141</v>
      </c>
      <c r="M525" s="454" t="s">
        <v>1620</v>
      </c>
      <c r="N525" s="461" t="s">
        <v>1531</v>
      </c>
      <c r="O525" s="462" t="s">
        <v>1413</v>
      </c>
      <c r="P525" s="471">
        <v>3.8524299999999997E-2</v>
      </c>
      <c r="Q525" s="471">
        <v>4.5013000000000004E-6</v>
      </c>
      <c r="R525" s="472" t="s">
        <v>2435</v>
      </c>
      <c r="S525" s="473" t="s">
        <v>1531</v>
      </c>
      <c r="T525" s="474" t="s">
        <v>1413</v>
      </c>
      <c r="U525" s="484">
        <v>825.4</v>
      </c>
      <c r="V525" s="484" t="s">
        <v>553</v>
      </c>
      <c r="W525" s="495">
        <v>3.73</v>
      </c>
      <c r="X525" s="496" t="s">
        <v>1620</v>
      </c>
      <c r="Y525" s="486">
        <v>2.5</v>
      </c>
      <c r="Z525" s="487" t="s">
        <v>1620</v>
      </c>
      <c r="AA525" s="394">
        <v>5.3699999999999998E-3</v>
      </c>
      <c r="AB525" s="395" t="s">
        <v>553</v>
      </c>
      <c r="AC525" s="369"/>
    </row>
    <row r="526" spans="1:29" ht="20.100000000000001" customHeight="1">
      <c r="A526" s="390" t="s">
        <v>1277</v>
      </c>
      <c r="B526" s="391" t="s">
        <v>146</v>
      </c>
      <c r="C526" s="400">
        <f>COUNTIF('Chem Props'!$B$6:$B$851,'Parameters Summary'!A526)</f>
        <v>1</v>
      </c>
      <c r="D526" s="400">
        <f>COUNTIF('Tox Summary'!$N$3:$N$792, 'Parameters Summary'!A526)</f>
        <v>1</v>
      </c>
      <c r="E526" s="434">
        <v>345.23</v>
      </c>
      <c r="F526" s="435" t="s">
        <v>1620</v>
      </c>
      <c r="G526" s="436">
        <v>2.9722000000000001E-6</v>
      </c>
      <c r="H526" s="436">
        <v>7.2699999999999996E-8</v>
      </c>
      <c r="I526" s="437" t="s">
        <v>553</v>
      </c>
      <c r="J526" s="436">
        <v>1.12E-7</v>
      </c>
      <c r="K526" s="437" t="s">
        <v>1620</v>
      </c>
      <c r="L526" s="453">
        <v>90</v>
      </c>
      <c r="M526" s="454" t="s">
        <v>1620</v>
      </c>
      <c r="N526" s="461" t="s">
        <v>1531</v>
      </c>
      <c r="O526" s="462" t="s">
        <v>1413</v>
      </c>
      <c r="P526" s="471">
        <v>3.8608400000000001E-2</v>
      </c>
      <c r="Q526" s="471">
        <v>4.5110999999999999E-6</v>
      </c>
      <c r="R526" s="472" t="s">
        <v>2435</v>
      </c>
      <c r="S526" s="473" t="s">
        <v>1531</v>
      </c>
      <c r="T526" s="474" t="s">
        <v>1413</v>
      </c>
      <c r="U526" s="484">
        <v>4996</v>
      </c>
      <c r="V526" s="484" t="s">
        <v>553</v>
      </c>
      <c r="W526" s="495">
        <v>4.8</v>
      </c>
      <c r="X526" s="496" t="s">
        <v>1620</v>
      </c>
      <c r="Y526" s="486">
        <v>0.7</v>
      </c>
      <c r="Z526" s="487" t="s">
        <v>1620</v>
      </c>
      <c r="AA526" s="394">
        <v>2.8000000000000001E-2</v>
      </c>
      <c r="AB526" s="395" t="s">
        <v>553</v>
      </c>
      <c r="AC526" s="370"/>
    </row>
    <row r="527" spans="1:29" ht="20.100000000000001" customHeight="1" thickBot="1">
      <c r="A527" s="392" t="s">
        <v>1278</v>
      </c>
      <c r="B527" s="393" t="s">
        <v>147</v>
      </c>
      <c r="C527" s="400">
        <f>COUNTIF('Chem Props'!$B$6:$B$851,'Parameters Summary'!A527)</f>
        <v>1</v>
      </c>
      <c r="D527" s="400">
        <f>COUNTIF('Tox Summary'!$N$3:$N$792, 'Parameters Summary'!A527)</f>
        <v>1</v>
      </c>
      <c r="E527" s="438">
        <v>219.26</v>
      </c>
      <c r="F527" s="439" t="s">
        <v>1620</v>
      </c>
      <c r="G527" s="440">
        <v>9.6892999999999996E-9</v>
      </c>
      <c r="H527" s="440">
        <v>2.3700000000000001E-10</v>
      </c>
      <c r="I527" s="441" t="s">
        <v>553</v>
      </c>
      <c r="J527" s="440">
        <v>2.3000000000000001E-4</v>
      </c>
      <c r="K527" s="441" t="s">
        <v>1620</v>
      </c>
      <c r="L527" s="457">
        <v>101</v>
      </c>
      <c r="M527" s="458" t="s">
        <v>1620</v>
      </c>
      <c r="N527" s="459">
        <v>0.97</v>
      </c>
      <c r="O527" s="460" t="s">
        <v>1618</v>
      </c>
      <c r="P527" s="475">
        <v>2.34696E-2</v>
      </c>
      <c r="Q527" s="475">
        <v>5.8715999999999998E-6</v>
      </c>
      <c r="R527" s="476" t="s">
        <v>2435</v>
      </c>
      <c r="S527" s="477" t="s">
        <v>1531</v>
      </c>
      <c r="T527" s="478" t="s">
        <v>1413</v>
      </c>
      <c r="U527" s="481">
        <v>10</v>
      </c>
      <c r="V527" s="481" t="s">
        <v>553</v>
      </c>
      <c r="W527" s="497">
        <v>-0.47</v>
      </c>
      <c r="X527" s="498" t="s">
        <v>1620</v>
      </c>
      <c r="Y527" s="488">
        <v>280000</v>
      </c>
      <c r="Z527" s="489" t="s">
        <v>1620</v>
      </c>
      <c r="AA527" s="396">
        <v>4.49E-5</v>
      </c>
      <c r="AB527" s="397" t="s">
        <v>553</v>
      </c>
      <c r="AC527" s="369"/>
    </row>
    <row r="528" spans="1:29" ht="20.100000000000001" customHeight="1">
      <c r="A528" s="390" t="s">
        <v>2316</v>
      </c>
      <c r="B528" s="391" t="s">
        <v>955</v>
      </c>
      <c r="C528" s="400">
        <f>COUNTIF('Chem Props'!$B$6:$B$851,'Parameters Summary'!A528)</f>
        <v>1</v>
      </c>
      <c r="D528" s="400">
        <f>COUNTIF('Tox Summary'!$N$3:$N$792, 'Parameters Summary'!A528)</f>
        <v>1</v>
      </c>
      <c r="E528" s="434">
        <v>361.71</v>
      </c>
      <c r="F528" s="435" t="s">
        <v>1620</v>
      </c>
      <c r="G528" s="436">
        <v>3.3500000000000001E-5</v>
      </c>
      <c r="H528" s="436">
        <v>8.1999999999999998E-7</v>
      </c>
      <c r="I528" s="437" t="s">
        <v>553</v>
      </c>
      <c r="J528" s="436">
        <v>1.9999999999999999E-7</v>
      </c>
      <c r="K528" s="437" t="s">
        <v>1620</v>
      </c>
      <c r="L528" s="453">
        <v>84</v>
      </c>
      <c r="M528" s="454" t="s">
        <v>1620</v>
      </c>
      <c r="N528" s="455">
        <v>1.35</v>
      </c>
      <c r="O528" s="456" t="s">
        <v>1618</v>
      </c>
      <c r="P528" s="471">
        <v>2.1124199999999999E-2</v>
      </c>
      <c r="Q528" s="471">
        <v>5.3021999999999998E-6</v>
      </c>
      <c r="R528" s="472" t="s">
        <v>2435</v>
      </c>
      <c r="S528" s="473" t="s">
        <v>1531</v>
      </c>
      <c r="T528" s="474" t="s">
        <v>1413</v>
      </c>
      <c r="U528" s="484">
        <v>39900</v>
      </c>
      <c r="V528" s="484" t="s">
        <v>553</v>
      </c>
      <c r="W528" s="495">
        <v>4.7300000000000004</v>
      </c>
      <c r="X528" s="496" t="s">
        <v>1620</v>
      </c>
      <c r="Y528" s="486">
        <v>0.11600000000000001</v>
      </c>
      <c r="Z528" s="487" t="s">
        <v>1620</v>
      </c>
      <c r="AA528" s="394">
        <v>2.0400000000000001E-2</v>
      </c>
      <c r="AB528" s="395" t="s">
        <v>553</v>
      </c>
      <c r="AC528" s="369"/>
    </row>
    <row r="529" spans="1:29" ht="20.100000000000001" customHeight="1">
      <c r="A529" s="390" t="s">
        <v>1279</v>
      </c>
      <c r="B529" s="391" t="s">
        <v>148</v>
      </c>
      <c r="C529" s="400">
        <f>COUNTIF('Chem Props'!$B$6:$B$851,'Parameters Summary'!A529)</f>
        <v>1</v>
      </c>
      <c r="D529" s="400">
        <f>COUNTIF('Tox Summary'!$N$3:$N$792, 'Parameters Summary'!A529)</f>
        <v>1</v>
      </c>
      <c r="E529" s="434">
        <v>293.8</v>
      </c>
      <c r="F529" s="435" t="s">
        <v>1620</v>
      </c>
      <c r="G529" s="436">
        <v>3.3850999999999998E-9</v>
      </c>
      <c r="H529" s="436">
        <v>8.2800000000000001E-11</v>
      </c>
      <c r="I529" s="437" t="s">
        <v>553</v>
      </c>
      <c r="J529" s="436">
        <v>7.4999999999999993E-9</v>
      </c>
      <c r="K529" s="437" t="s">
        <v>1620</v>
      </c>
      <c r="L529" s="453">
        <v>165.5</v>
      </c>
      <c r="M529" s="454" t="s">
        <v>1620</v>
      </c>
      <c r="N529" s="455">
        <v>1.22</v>
      </c>
      <c r="O529" s="456" t="s">
        <v>1618</v>
      </c>
      <c r="P529" s="471">
        <v>2.24275E-2</v>
      </c>
      <c r="Q529" s="471">
        <v>5.6527000000000001E-6</v>
      </c>
      <c r="R529" s="472" t="s">
        <v>2435</v>
      </c>
      <c r="S529" s="473" t="s">
        <v>1531</v>
      </c>
      <c r="T529" s="474" t="s">
        <v>1413</v>
      </c>
      <c r="U529" s="484">
        <v>922.9</v>
      </c>
      <c r="V529" s="484" t="s">
        <v>553</v>
      </c>
      <c r="W529" s="495">
        <v>3.2</v>
      </c>
      <c r="X529" s="496" t="s">
        <v>1620</v>
      </c>
      <c r="Y529" s="486">
        <v>26</v>
      </c>
      <c r="Z529" s="487" t="s">
        <v>1620</v>
      </c>
      <c r="AA529" s="394">
        <v>4.7099999999999998E-3</v>
      </c>
      <c r="AB529" s="395" t="s">
        <v>553</v>
      </c>
      <c r="AC529" s="369"/>
    </row>
    <row r="530" spans="1:29" ht="20.100000000000001" customHeight="1" thickBot="1">
      <c r="A530" s="392" t="s">
        <v>1281</v>
      </c>
      <c r="B530" s="393" t="s">
        <v>149</v>
      </c>
      <c r="C530" s="400">
        <f>COUNTIF('Chem Props'!$B$6:$B$851,'Parameters Summary'!A530)</f>
        <v>1</v>
      </c>
      <c r="D530" s="400">
        <f>COUNTIF('Tox Summary'!$N$3:$N$792, 'Parameters Summary'!A530)</f>
        <v>1</v>
      </c>
      <c r="E530" s="438">
        <v>257.16000000000003</v>
      </c>
      <c r="F530" s="439" t="s">
        <v>1620</v>
      </c>
      <c r="G530" s="440">
        <v>1.316E-11</v>
      </c>
      <c r="H530" s="440">
        <v>3.2199999999999999E-13</v>
      </c>
      <c r="I530" s="441" t="s">
        <v>1620</v>
      </c>
      <c r="J530" s="440">
        <v>7.4999999999999997E-8</v>
      </c>
      <c r="K530" s="441" t="s">
        <v>1620</v>
      </c>
      <c r="L530" s="457">
        <v>300</v>
      </c>
      <c r="M530" s="458" t="s">
        <v>553</v>
      </c>
      <c r="N530" s="463" t="s">
        <v>1531</v>
      </c>
      <c r="O530" s="464" t="s">
        <v>1413</v>
      </c>
      <c r="P530" s="475">
        <v>4.6984100000000001E-2</v>
      </c>
      <c r="Q530" s="475">
        <v>5.4897000000000001E-6</v>
      </c>
      <c r="R530" s="476" t="s">
        <v>2435</v>
      </c>
      <c r="S530" s="477" t="s">
        <v>1531</v>
      </c>
      <c r="T530" s="478" t="s">
        <v>1413</v>
      </c>
      <c r="U530" s="481">
        <v>6780</v>
      </c>
      <c r="V530" s="481" t="s">
        <v>553</v>
      </c>
      <c r="W530" s="497">
        <v>-4.5</v>
      </c>
      <c r="X530" s="498" t="s">
        <v>1620</v>
      </c>
      <c r="Y530" s="488">
        <v>620000</v>
      </c>
      <c r="Z530" s="489" t="s">
        <v>1620</v>
      </c>
      <c r="AA530" s="396">
        <v>5.7700000000000001E-8</v>
      </c>
      <c r="AB530" s="397" t="s">
        <v>553</v>
      </c>
      <c r="AC530" s="369"/>
    </row>
    <row r="531" spans="1:29" ht="20.100000000000001" customHeight="1">
      <c r="A531" s="390" t="s">
        <v>1282</v>
      </c>
      <c r="B531" s="391" t="s">
        <v>150</v>
      </c>
      <c r="C531" s="400">
        <f>COUNTIF('Chem Props'!$B$6:$B$851,'Parameters Summary'!A531)</f>
        <v>1</v>
      </c>
      <c r="D531" s="400">
        <f>COUNTIF('Tox Summary'!$N$3:$N$792, 'Parameters Summary'!A531)</f>
        <v>1</v>
      </c>
      <c r="E531" s="434">
        <v>291.26</v>
      </c>
      <c r="F531" s="435" t="s">
        <v>1620</v>
      </c>
      <c r="G531" s="436">
        <v>1.22E-5</v>
      </c>
      <c r="H531" s="436">
        <v>2.9799999999999999E-7</v>
      </c>
      <c r="I531" s="437" t="s">
        <v>1620</v>
      </c>
      <c r="J531" s="436">
        <v>6.6800000000000004E-6</v>
      </c>
      <c r="K531" s="437" t="s">
        <v>1620</v>
      </c>
      <c r="L531" s="453">
        <v>6.1</v>
      </c>
      <c r="M531" s="454" t="s">
        <v>1620</v>
      </c>
      <c r="N531" s="455">
        <v>1.2681</v>
      </c>
      <c r="O531" s="456" t="s">
        <v>1618</v>
      </c>
      <c r="P531" s="471">
        <v>2.2948900000000001E-2</v>
      </c>
      <c r="Q531" s="471">
        <v>5.8155999999999999E-6</v>
      </c>
      <c r="R531" s="472" t="s">
        <v>2435</v>
      </c>
      <c r="S531" s="473" t="s">
        <v>1531</v>
      </c>
      <c r="T531" s="474" t="s">
        <v>1413</v>
      </c>
      <c r="U531" s="484">
        <v>2422</v>
      </c>
      <c r="V531" s="484" t="s">
        <v>553</v>
      </c>
      <c r="W531" s="495">
        <v>3.83</v>
      </c>
      <c r="X531" s="496" t="s">
        <v>1620</v>
      </c>
      <c r="Y531" s="486">
        <v>11</v>
      </c>
      <c r="Z531" s="487" t="s">
        <v>1620</v>
      </c>
      <c r="AA531" s="394">
        <v>1.2800000000000001E-2</v>
      </c>
      <c r="AB531" s="395" t="s">
        <v>553</v>
      </c>
      <c r="AC531" s="369"/>
    </row>
    <row r="532" spans="1:29" ht="20.100000000000001" customHeight="1">
      <c r="A532" s="390" t="s">
        <v>1284</v>
      </c>
      <c r="B532" s="391" t="s">
        <v>151</v>
      </c>
      <c r="C532" s="400">
        <f>COUNTIF('Chem Props'!$B$6:$B$851,'Parameters Summary'!A532)</f>
        <v>1</v>
      </c>
      <c r="D532" s="400">
        <f>COUNTIF('Tox Summary'!$N$3:$N$792, 'Parameters Summary'!A532)</f>
        <v>1</v>
      </c>
      <c r="E532" s="434">
        <v>203.35</v>
      </c>
      <c r="F532" s="435" t="s">
        <v>1620</v>
      </c>
      <c r="G532" s="436">
        <v>9.6892999999999996E-3</v>
      </c>
      <c r="H532" s="436">
        <v>2.3699999999999999E-4</v>
      </c>
      <c r="I532" s="437" t="s">
        <v>553</v>
      </c>
      <c r="J532" s="436">
        <v>8.8499999999999995E-2</v>
      </c>
      <c r="K532" s="437" t="s">
        <v>1620</v>
      </c>
      <c r="L532" s="453">
        <v>70.540000000000006</v>
      </c>
      <c r="M532" s="454" t="s">
        <v>553</v>
      </c>
      <c r="N532" s="455">
        <v>0.94579999999999997</v>
      </c>
      <c r="O532" s="456" t="s">
        <v>1618</v>
      </c>
      <c r="P532" s="471">
        <v>2.4144200000000001E-2</v>
      </c>
      <c r="Q532" s="471">
        <v>6.0507000000000004E-6</v>
      </c>
      <c r="R532" s="472" t="s">
        <v>2435</v>
      </c>
      <c r="S532" s="473" t="s">
        <v>1531</v>
      </c>
      <c r="T532" s="474" t="s">
        <v>1413</v>
      </c>
      <c r="U532" s="484">
        <v>299.10000000000002</v>
      </c>
      <c r="V532" s="484" t="s">
        <v>553</v>
      </c>
      <c r="W532" s="495">
        <v>3.83</v>
      </c>
      <c r="X532" s="496" t="s">
        <v>1620</v>
      </c>
      <c r="Y532" s="486">
        <v>100</v>
      </c>
      <c r="Z532" s="487" t="s">
        <v>1620</v>
      </c>
      <c r="AA532" s="394">
        <v>3.9699999999999999E-2</v>
      </c>
      <c r="AB532" s="395" t="s">
        <v>553</v>
      </c>
      <c r="AC532" s="369"/>
    </row>
    <row r="533" spans="1:29" ht="20.100000000000001" customHeight="1" thickBot="1">
      <c r="A533" s="392" t="s">
        <v>1285</v>
      </c>
      <c r="B533" s="393" t="s">
        <v>152</v>
      </c>
      <c r="C533" s="400">
        <f>COUNTIF('Chem Props'!$B$6:$B$851,'Parameters Summary'!A533)</f>
        <v>1</v>
      </c>
      <c r="D533" s="400">
        <f>COUNTIF('Tox Summary'!$N$3:$N$792, 'Parameters Summary'!A533)</f>
        <v>1</v>
      </c>
      <c r="E533" s="438">
        <v>281.31</v>
      </c>
      <c r="F533" s="439" t="s">
        <v>1620</v>
      </c>
      <c r="G533" s="440">
        <v>3.4999999999999997E-5</v>
      </c>
      <c r="H533" s="440">
        <v>8.5600000000000004E-7</v>
      </c>
      <c r="I533" s="441" t="s">
        <v>553</v>
      </c>
      <c r="J533" s="440">
        <v>1.4600000000000001E-5</v>
      </c>
      <c r="K533" s="441" t="s">
        <v>1620</v>
      </c>
      <c r="L533" s="457">
        <v>56</v>
      </c>
      <c r="M533" s="458" t="s">
        <v>1620</v>
      </c>
      <c r="N533" s="459">
        <v>1.19</v>
      </c>
      <c r="O533" s="460" t="s">
        <v>1618</v>
      </c>
      <c r="P533" s="475">
        <v>2.26727E-2</v>
      </c>
      <c r="Q533" s="475">
        <v>5.716E-6</v>
      </c>
      <c r="R533" s="476" t="s">
        <v>2435</v>
      </c>
      <c r="S533" s="477" t="s">
        <v>1531</v>
      </c>
      <c r="T533" s="478" t="s">
        <v>1413</v>
      </c>
      <c r="U533" s="481">
        <v>5615</v>
      </c>
      <c r="V533" s="481" t="s">
        <v>553</v>
      </c>
      <c r="W533" s="497">
        <v>5.2</v>
      </c>
      <c r="X533" s="498" t="s">
        <v>1620</v>
      </c>
      <c r="Y533" s="488">
        <v>0.33</v>
      </c>
      <c r="Z533" s="489" t="s">
        <v>1620</v>
      </c>
      <c r="AA533" s="396">
        <v>0.115</v>
      </c>
      <c r="AB533" s="397" t="s">
        <v>553</v>
      </c>
      <c r="AC533" s="369"/>
    </row>
    <row r="534" spans="1:29" ht="20.100000000000001" customHeight="1">
      <c r="A534" s="390" t="s">
        <v>1286</v>
      </c>
      <c r="B534" s="391" t="s">
        <v>153</v>
      </c>
      <c r="C534" s="400">
        <f>COUNTIF('Chem Props'!$B$6:$B$851,'Parameters Summary'!A534)</f>
        <v>1</v>
      </c>
      <c r="D534" s="400">
        <f>COUNTIF('Tox Summary'!$N$3:$N$792, 'Parameters Summary'!A534)</f>
        <v>1</v>
      </c>
      <c r="E534" s="434">
        <v>564.69000000000005</v>
      </c>
      <c r="F534" s="435" t="s">
        <v>1620</v>
      </c>
      <c r="G534" s="436">
        <v>4.4153999999999999E-3</v>
      </c>
      <c r="H534" s="436">
        <v>1.08E-4</v>
      </c>
      <c r="I534" s="437" t="s">
        <v>1620</v>
      </c>
      <c r="J534" s="436">
        <v>3.1E-8</v>
      </c>
      <c r="K534" s="437" t="s">
        <v>553</v>
      </c>
      <c r="L534" s="453">
        <v>-5</v>
      </c>
      <c r="M534" s="454" t="s">
        <v>1620</v>
      </c>
      <c r="N534" s="461" t="s">
        <v>1531</v>
      </c>
      <c r="O534" s="462" t="s">
        <v>1413</v>
      </c>
      <c r="P534" s="471">
        <v>2.78108E-2</v>
      </c>
      <c r="Q534" s="471">
        <v>3.2495E-6</v>
      </c>
      <c r="R534" s="472" t="s">
        <v>2435</v>
      </c>
      <c r="S534" s="473" t="s">
        <v>1531</v>
      </c>
      <c r="T534" s="474" t="s">
        <v>1413</v>
      </c>
      <c r="U534" s="484">
        <v>21660</v>
      </c>
      <c r="V534" s="484" t="s">
        <v>553</v>
      </c>
      <c r="W534" s="495">
        <v>6.84</v>
      </c>
      <c r="X534" s="496" t="s">
        <v>1620</v>
      </c>
      <c r="Y534" s="486">
        <v>2.3999999999999998E-3</v>
      </c>
      <c r="Z534" s="487" t="s">
        <v>1620</v>
      </c>
      <c r="AA534" s="394">
        <v>3.73E-2</v>
      </c>
      <c r="AB534" s="395" t="s">
        <v>553</v>
      </c>
      <c r="AC534" s="369"/>
    </row>
    <row r="535" spans="1:29" ht="20.100000000000001" customHeight="1">
      <c r="A535" s="390" t="s">
        <v>539</v>
      </c>
      <c r="B535" s="391" t="s">
        <v>154</v>
      </c>
      <c r="C535" s="400">
        <f>COUNTIF('Chem Props'!$B$6:$B$851,'Parameters Summary'!A535)</f>
        <v>1</v>
      </c>
      <c r="D535" s="400">
        <f>COUNTIF('Tox Summary'!$N$3:$N$792, 'Parameters Summary'!A535)</f>
        <v>1</v>
      </c>
      <c r="E535" s="434">
        <v>564.69000000000005</v>
      </c>
      <c r="F535" s="435" t="s">
        <v>1620</v>
      </c>
      <c r="G535" s="436">
        <v>4.8199999999999999E-5</v>
      </c>
      <c r="H535" s="436">
        <v>1.1799999999999999E-6</v>
      </c>
      <c r="I535" s="437" t="s">
        <v>1620</v>
      </c>
      <c r="J535" s="436">
        <v>3.1E-8</v>
      </c>
      <c r="K535" s="437" t="s">
        <v>553</v>
      </c>
      <c r="L535" s="453">
        <v>-5</v>
      </c>
      <c r="M535" s="454" t="s">
        <v>553</v>
      </c>
      <c r="N535" s="455">
        <v>2.2799999999999998</v>
      </c>
      <c r="O535" s="456" t="s">
        <v>2437</v>
      </c>
      <c r="P535" s="471">
        <v>2.164E-2</v>
      </c>
      <c r="Q535" s="471">
        <v>5.5584E-6</v>
      </c>
      <c r="R535" s="472" t="s">
        <v>2435</v>
      </c>
      <c r="S535" s="473" t="s">
        <v>1531</v>
      </c>
      <c r="T535" s="474" t="s">
        <v>1413</v>
      </c>
      <c r="U535" s="484">
        <v>21660</v>
      </c>
      <c r="V535" s="484" t="s">
        <v>553</v>
      </c>
      <c r="W535" s="495">
        <v>7.66</v>
      </c>
      <c r="X535" s="496" t="s">
        <v>1620</v>
      </c>
      <c r="Y535" s="486">
        <v>7.86E-5</v>
      </c>
      <c r="Z535" s="487" t="s">
        <v>1620</v>
      </c>
      <c r="AA535" s="394">
        <v>3.73E-2</v>
      </c>
      <c r="AB535" s="395" t="s">
        <v>553</v>
      </c>
      <c r="AC535" s="369"/>
    </row>
    <row r="536" spans="1:29" ht="20.100000000000001" customHeight="1" thickBot="1">
      <c r="A536" s="392" t="s">
        <v>1287</v>
      </c>
      <c r="B536" s="393" t="s">
        <v>155</v>
      </c>
      <c r="C536" s="400">
        <f>COUNTIF('Chem Props'!$B$6:$B$851,'Parameters Summary'!A536)</f>
        <v>1</v>
      </c>
      <c r="D536" s="400">
        <f>COUNTIF('Tox Summary'!$N$3:$N$792, 'Parameters Summary'!A536)</f>
        <v>1</v>
      </c>
      <c r="E536" s="438">
        <v>250.34</v>
      </c>
      <c r="F536" s="439" t="s">
        <v>1620</v>
      </c>
      <c r="G536" s="440">
        <v>2.87408E-2</v>
      </c>
      <c r="H536" s="440">
        <v>7.0299999999999996E-4</v>
      </c>
      <c r="I536" s="441" t="s">
        <v>1620</v>
      </c>
      <c r="J536" s="440">
        <v>1.01E-3</v>
      </c>
      <c r="K536" s="441" t="s">
        <v>553</v>
      </c>
      <c r="L536" s="457">
        <v>86</v>
      </c>
      <c r="M536" s="458" t="s">
        <v>1620</v>
      </c>
      <c r="N536" s="459">
        <v>1.8342000000000001</v>
      </c>
      <c r="O536" s="460" t="s">
        <v>1618</v>
      </c>
      <c r="P536" s="475">
        <v>2.94332E-2</v>
      </c>
      <c r="Q536" s="475">
        <v>7.9472999999999993E-6</v>
      </c>
      <c r="R536" s="476" t="s">
        <v>2435</v>
      </c>
      <c r="S536" s="477" t="s">
        <v>1531</v>
      </c>
      <c r="T536" s="478" t="s">
        <v>1413</v>
      </c>
      <c r="U536" s="481">
        <v>3708</v>
      </c>
      <c r="V536" s="481" t="s">
        <v>553</v>
      </c>
      <c r="W536" s="497">
        <v>5.17</v>
      </c>
      <c r="X536" s="498" t="s">
        <v>1620</v>
      </c>
      <c r="Y536" s="488">
        <v>0.83099999999999996</v>
      </c>
      <c r="Z536" s="489" t="s">
        <v>1620</v>
      </c>
      <c r="AA536" s="396">
        <v>0.16800000000000001</v>
      </c>
      <c r="AB536" s="397" t="s">
        <v>553</v>
      </c>
      <c r="AC536" s="369"/>
    </row>
    <row r="537" spans="1:29" ht="20.100000000000001" customHeight="1">
      <c r="A537" s="390" t="s">
        <v>540</v>
      </c>
      <c r="B537" s="391" t="s">
        <v>156</v>
      </c>
      <c r="C537" s="400">
        <f>COUNTIF('Chem Props'!$B$6:$B$851,'Parameters Summary'!A537)</f>
        <v>1</v>
      </c>
      <c r="D537" s="400">
        <f>COUNTIF('Tox Summary'!$N$3:$N$792, 'Parameters Summary'!A537)</f>
        <v>1</v>
      </c>
      <c r="E537" s="434">
        <v>202.3</v>
      </c>
      <c r="F537" s="435" t="s">
        <v>1620</v>
      </c>
      <c r="G537" s="436">
        <v>7.93132E-2</v>
      </c>
      <c r="H537" s="436">
        <v>1.9400000000000001E-3</v>
      </c>
      <c r="I537" s="437" t="s">
        <v>553</v>
      </c>
      <c r="J537" s="436">
        <v>3.5</v>
      </c>
      <c r="K537" s="437" t="s">
        <v>1620</v>
      </c>
      <c r="L537" s="453">
        <v>-28.78</v>
      </c>
      <c r="M537" s="454" t="s">
        <v>1620</v>
      </c>
      <c r="N537" s="455">
        <v>1.6796</v>
      </c>
      <c r="O537" s="456" t="s">
        <v>1618</v>
      </c>
      <c r="P537" s="471">
        <v>3.1516700000000002E-2</v>
      </c>
      <c r="Q537" s="471">
        <v>8.5663999999999998E-6</v>
      </c>
      <c r="R537" s="472" t="s">
        <v>2435</v>
      </c>
      <c r="S537" s="473" t="s">
        <v>1531</v>
      </c>
      <c r="T537" s="474" t="s">
        <v>1413</v>
      </c>
      <c r="U537" s="484">
        <v>136.19999999999999</v>
      </c>
      <c r="V537" s="484" t="s">
        <v>553</v>
      </c>
      <c r="W537" s="495">
        <v>3.22</v>
      </c>
      <c r="X537" s="496" t="s">
        <v>1620</v>
      </c>
      <c r="Y537" s="486">
        <v>490</v>
      </c>
      <c r="Z537" s="487" t="s">
        <v>1620</v>
      </c>
      <c r="AA537" s="394">
        <v>1.5800000000000002E-2</v>
      </c>
      <c r="AB537" s="395" t="s">
        <v>553</v>
      </c>
      <c r="AC537" s="369"/>
    </row>
    <row r="538" spans="1:29" ht="20.100000000000001" customHeight="1">
      <c r="A538" s="390" t="s">
        <v>1288</v>
      </c>
      <c r="B538" s="391" t="s">
        <v>157</v>
      </c>
      <c r="C538" s="400">
        <f>COUNTIF('Chem Props'!$B$6:$B$851,'Parameters Summary'!A538)</f>
        <v>1</v>
      </c>
      <c r="D538" s="400">
        <f>COUNTIF('Tox Summary'!$N$3:$N$792, 'Parameters Summary'!A538)</f>
        <v>1</v>
      </c>
      <c r="E538" s="434">
        <v>295.33999999999997</v>
      </c>
      <c r="F538" s="435" t="s">
        <v>1620</v>
      </c>
      <c r="G538" s="436">
        <v>1.807E-3</v>
      </c>
      <c r="H538" s="436">
        <v>4.4199999999999997E-5</v>
      </c>
      <c r="I538" s="437" t="s">
        <v>553</v>
      </c>
      <c r="J538" s="436">
        <v>5.0000000000000002E-5</v>
      </c>
      <c r="K538" s="437" t="s">
        <v>1620</v>
      </c>
      <c r="L538" s="453">
        <v>144</v>
      </c>
      <c r="M538" s="454" t="s">
        <v>1620</v>
      </c>
      <c r="N538" s="455">
        <v>1.718</v>
      </c>
      <c r="O538" s="456" t="s">
        <v>1618</v>
      </c>
      <c r="P538" s="471">
        <v>2.6274200000000001E-2</v>
      </c>
      <c r="Q538" s="471">
        <v>6.9198000000000002E-6</v>
      </c>
      <c r="R538" s="472" t="s">
        <v>2435</v>
      </c>
      <c r="S538" s="473" t="s">
        <v>1531</v>
      </c>
      <c r="T538" s="474" t="s">
        <v>1413</v>
      </c>
      <c r="U538" s="484">
        <v>5996</v>
      </c>
      <c r="V538" s="484" t="s">
        <v>553</v>
      </c>
      <c r="W538" s="495">
        <v>4.6399999999999997</v>
      </c>
      <c r="X538" s="496" t="s">
        <v>1620</v>
      </c>
      <c r="Y538" s="486">
        <v>0.44</v>
      </c>
      <c r="Z538" s="487" t="s">
        <v>1620</v>
      </c>
      <c r="AA538" s="394">
        <v>4.1799999999999997E-2</v>
      </c>
      <c r="AB538" s="395" t="s">
        <v>553</v>
      </c>
      <c r="AC538" s="369"/>
    </row>
    <row r="539" spans="1:29" ht="20.100000000000001" customHeight="1" thickBot="1">
      <c r="A539" s="392" t="s">
        <v>393</v>
      </c>
      <c r="B539" s="393" t="s">
        <v>158</v>
      </c>
      <c r="C539" s="400">
        <f>COUNTIF('Chem Props'!$B$6:$B$851,'Parameters Summary'!A539)</f>
        <v>1</v>
      </c>
      <c r="D539" s="400">
        <f>COUNTIF('Tox Summary'!$N$3:$N$792, 'Parameters Summary'!A539)</f>
        <v>1</v>
      </c>
      <c r="E539" s="438">
        <v>266.33999999999997</v>
      </c>
      <c r="F539" s="439" t="s">
        <v>1620</v>
      </c>
      <c r="G539" s="440">
        <v>1.0016000000000001E-6</v>
      </c>
      <c r="H539" s="440">
        <v>2.4500000000000001E-8</v>
      </c>
      <c r="I539" s="441" t="s">
        <v>1620</v>
      </c>
      <c r="J539" s="440">
        <v>1.1E-4</v>
      </c>
      <c r="K539" s="441" t="s">
        <v>1620</v>
      </c>
      <c r="L539" s="457">
        <v>174</v>
      </c>
      <c r="M539" s="458" t="s">
        <v>1620</v>
      </c>
      <c r="N539" s="459">
        <v>1.978</v>
      </c>
      <c r="O539" s="460" t="s">
        <v>1618</v>
      </c>
      <c r="P539" s="475">
        <v>2.9519699999999999E-2</v>
      </c>
      <c r="Q539" s="475">
        <v>8.0121000000000008E-6</v>
      </c>
      <c r="R539" s="476" t="s">
        <v>2435</v>
      </c>
      <c r="S539" s="477" t="s">
        <v>1531</v>
      </c>
      <c r="T539" s="478" t="s">
        <v>1413</v>
      </c>
      <c r="U539" s="481">
        <v>592</v>
      </c>
      <c r="V539" s="481" t="s">
        <v>557</v>
      </c>
      <c r="W539" s="497">
        <v>5.12</v>
      </c>
      <c r="X539" s="498" t="s">
        <v>1620</v>
      </c>
      <c r="Y539" s="488">
        <v>14</v>
      </c>
      <c r="Z539" s="489" t="s">
        <v>1620</v>
      </c>
      <c r="AA539" s="396">
        <v>0.127</v>
      </c>
      <c r="AB539" s="397" t="s">
        <v>553</v>
      </c>
      <c r="AC539" s="369"/>
    </row>
    <row r="540" spans="1:29" ht="20.100000000000001" customHeight="1">
      <c r="A540" s="390" t="s">
        <v>1575</v>
      </c>
      <c r="B540" s="391" t="s">
        <v>1576</v>
      </c>
      <c r="C540" s="400">
        <f>COUNTIF('Chem Props'!$B$6:$B$851,'Parameters Summary'!A540)</f>
        <v>1</v>
      </c>
      <c r="D540" s="400">
        <f>COUNTIF('Tox Summary'!$N$3:$N$792, 'Parameters Summary'!A540)</f>
        <v>1</v>
      </c>
      <c r="E540" s="434">
        <v>316.14</v>
      </c>
      <c r="F540" s="435" t="s">
        <v>1620</v>
      </c>
      <c r="G540" s="436">
        <v>5.3966000000000002E-8</v>
      </c>
      <c r="H540" s="436">
        <v>1.32E-9</v>
      </c>
      <c r="I540" s="437" t="s">
        <v>1620</v>
      </c>
      <c r="J540" s="436">
        <v>5.45E-9</v>
      </c>
      <c r="K540" s="437" t="s">
        <v>553</v>
      </c>
      <c r="L540" s="453">
        <v>140.5</v>
      </c>
      <c r="M540" s="454" t="s">
        <v>1620</v>
      </c>
      <c r="N540" s="455">
        <v>1.7729999999999999</v>
      </c>
      <c r="O540" s="456" t="s">
        <v>1618</v>
      </c>
      <c r="P540" s="471">
        <v>2.5756000000000001E-2</v>
      </c>
      <c r="Q540" s="471">
        <v>6.7696999999999997E-6</v>
      </c>
      <c r="R540" s="472" t="s">
        <v>2435</v>
      </c>
      <c r="S540" s="473" t="s">
        <v>1531</v>
      </c>
      <c r="T540" s="474" t="s">
        <v>1413</v>
      </c>
      <c r="U540" s="484">
        <v>647.9</v>
      </c>
      <c r="V540" s="484" t="s">
        <v>553</v>
      </c>
      <c r="W540" s="495">
        <v>2.38</v>
      </c>
      <c r="X540" s="496" t="s">
        <v>1620</v>
      </c>
      <c r="Y540" s="486">
        <v>43</v>
      </c>
      <c r="Z540" s="487" t="s">
        <v>1620</v>
      </c>
      <c r="AA540" s="394">
        <v>1.01E-3</v>
      </c>
      <c r="AB540" s="395" t="s">
        <v>553</v>
      </c>
      <c r="AC540" s="369"/>
    </row>
    <row r="541" spans="1:29" ht="20.100000000000001" customHeight="1">
      <c r="A541" s="390" t="s">
        <v>609</v>
      </c>
      <c r="B541" s="391" t="s">
        <v>159</v>
      </c>
      <c r="C541" s="400">
        <f>COUNTIF('Chem Props'!$B$6:$B$851,'Parameters Summary'!A541)</f>
        <v>1</v>
      </c>
      <c r="D541" s="400">
        <f>COUNTIF('Tox Summary'!$N$3:$N$792, 'Parameters Summary'!A541)</f>
        <v>1</v>
      </c>
      <c r="E541" s="434">
        <v>72.150999999999996</v>
      </c>
      <c r="F541" s="435" t="s">
        <v>1620</v>
      </c>
      <c r="G541" s="436">
        <v>51.103842999999998</v>
      </c>
      <c r="H541" s="436">
        <v>1.25</v>
      </c>
      <c r="I541" s="437" t="s">
        <v>1620</v>
      </c>
      <c r="J541" s="436">
        <v>514</v>
      </c>
      <c r="K541" s="437" t="s">
        <v>1620</v>
      </c>
      <c r="L541" s="453">
        <v>-129.69999999999999</v>
      </c>
      <c r="M541" s="454" t="s">
        <v>1620</v>
      </c>
      <c r="N541" s="455">
        <v>0.62619999999999998</v>
      </c>
      <c r="O541" s="456" t="s">
        <v>1618</v>
      </c>
      <c r="P541" s="471">
        <v>8.2129300000000002E-2</v>
      </c>
      <c r="Q541" s="471">
        <v>8.7973999999999998E-6</v>
      </c>
      <c r="R541" s="472" t="s">
        <v>2435</v>
      </c>
      <c r="S541" s="473" t="s">
        <v>1531</v>
      </c>
      <c r="T541" s="474" t="s">
        <v>1413</v>
      </c>
      <c r="U541" s="484">
        <v>72.17</v>
      </c>
      <c r="V541" s="484" t="s">
        <v>553</v>
      </c>
      <c r="W541" s="495">
        <v>3.39</v>
      </c>
      <c r="X541" s="496" t="s">
        <v>1620</v>
      </c>
      <c r="Y541" s="486">
        <v>38</v>
      </c>
      <c r="Z541" s="487" t="s">
        <v>1620</v>
      </c>
      <c r="AA541" s="394">
        <v>0.11</v>
      </c>
      <c r="AB541" s="395" t="s">
        <v>553</v>
      </c>
      <c r="AC541" s="369"/>
    </row>
    <row r="542" spans="1:29" ht="20.100000000000001" customHeight="1" thickBot="1">
      <c r="A542" s="392" t="s">
        <v>1577</v>
      </c>
      <c r="B542" s="393" t="s">
        <v>1413</v>
      </c>
      <c r="C542" s="400">
        <f>COUNTIF('Chem Props'!$B$6:$B$851,'Parameters Summary'!A542)</f>
        <v>0</v>
      </c>
      <c r="D542" s="400">
        <f>COUNTIF('Tox Summary'!$N$3:$N$792, 'Parameters Summary'!A542)</f>
        <v>1</v>
      </c>
      <c r="E542" s="448" t="s">
        <v>1531</v>
      </c>
      <c r="F542" s="449" t="s">
        <v>1413</v>
      </c>
      <c r="G542" s="442" t="s">
        <v>1531</v>
      </c>
      <c r="H542" s="442" t="s">
        <v>1531</v>
      </c>
      <c r="I542" s="443" t="s">
        <v>1413</v>
      </c>
      <c r="J542" s="442" t="s">
        <v>1531</v>
      </c>
      <c r="K542" s="443" t="s">
        <v>1413</v>
      </c>
      <c r="L542" s="467" t="s">
        <v>1531</v>
      </c>
      <c r="M542" s="468" t="s">
        <v>1413</v>
      </c>
      <c r="N542" s="463" t="s">
        <v>1531</v>
      </c>
      <c r="O542" s="464" t="s">
        <v>1413</v>
      </c>
      <c r="P542" s="479" t="s">
        <v>1531</v>
      </c>
      <c r="Q542" s="479" t="s">
        <v>1531</v>
      </c>
      <c r="R542" s="480" t="s">
        <v>1413</v>
      </c>
      <c r="S542" s="477" t="s">
        <v>1531</v>
      </c>
      <c r="T542" s="478" t="s">
        <v>1413</v>
      </c>
      <c r="U542" s="477" t="s">
        <v>1531</v>
      </c>
      <c r="V542" s="478" t="s">
        <v>1413</v>
      </c>
      <c r="W542" s="499" t="s">
        <v>1531</v>
      </c>
      <c r="X542" s="500" t="s">
        <v>1413</v>
      </c>
      <c r="Y542" s="490" t="s">
        <v>1531</v>
      </c>
      <c r="Z542" s="491" t="s">
        <v>1413</v>
      </c>
      <c r="AA542" s="399" t="s">
        <v>1531</v>
      </c>
      <c r="AB542" s="505" t="s">
        <v>1413</v>
      </c>
      <c r="AC542" s="369"/>
    </row>
    <row r="543" spans="1:29" ht="20.100000000000001" customHeight="1">
      <c r="A543" s="390" t="s">
        <v>2376</v>
      </c>
      <c r="B543" s="391" t="s">
        <v>661</v>
      </c>
      <c r="C543" s="400">
        <f>COUNTIF('Chem Props'!$B$6:$B$851,'Parameters Summary'!A543)</f>
        <v>1</v>
      </c>
      <c r="D543" s="400">
        <f>COUNTIF('Tox Summary'!$N$3:$N$792, 'Parameters Summary'!A543)</f>
        <v>1</v>
      </c>
      <c r="E543" s="434">
        <v>117.49</v>
      </c>
      <c r="F543" s="435" t="s">
        <v>1620</v>
      </c>
      <c r="G543" s="444" t="s">
        <v>1531</v>
      </c>
      <c r="H543" s="444" t="s">
        <v>1531</v>
      </c>
      <c r="I543" s="445" t="s">
        <v>1413</v>
      </c>
      <c r="J543" s="444" t="s">
        <v>1531</v>
      </c>
      <c r="K543" s="445" t="s">
        <v>1413</v>
      </c>
      <c r="L543" s="465" t="s">
        <v>1531</v>
      </c>
      <c r="M543" s="466" t="s">
        <v>1413</v>
      </c>
      <c r="N543" s="455">
        <v>1.95</v>
      </c>
      <c r="O543" s="456" t="s">
        <v>1618</v>
      </c>
      <c r="P543" s="482" t="s">
        <v>1531</v>
      </c>
      <c r="Q543" s="482" t="s">
        <v>1531</v>
      </c>
      <c r="R543" s="483" t="s">
        <v>1413</v>
      </c>
      <c r="S543" s="473" t="s">
        <v>1531</v>
      </c>
      <c r="T543" s="474" t="s">
        <v>1413</v>
      </c>
      <c r="U543" s="473" t="s">
        <v>1531</v>
      </c>
      <c r="V543" s="474" t="s">
        <v>1413</v>
      </c>
      <c r="W543" s="501" t="s">
        <v>1531</v>
      </c>
      <c r="X543" s="502" t="s">
        <v>1413</v>
      </c>
      <c r="Y543" s="486">
        <v>245000</v>
      </c>
      <c r="Z543" s="487" t="s">
        <v>1620</v>
      </c>
      <c r="AA543" s="394">
        <v>1E-3</v>
      </c>
      <c r="AB543" s="395" t="s">
        <v>1668</v>
      </c>
      <c r="AC543" s="369"/>
    </row>
    <row r="544" spans="1:29" ht="20.100000000000001" customHeight="1">
      <c r="A544" s="390" t="s">
        <v>2377</v>
      </c>
      <c r="B544" s="391" t="s">
        <v>44</v>
      </c>
      <c r="C544" s="400">
        <f>COUNTIF('Chem Props'!$B$6:$B$851,'Parameters Summary'!A544)</f>
        <v>1</v>
      </c>
      <c r="D544" s="400">
        <f>COUNTIF('Tox Summary'!$N$3:$N$792, 'Parameters Summary'!A544)</f>
        <v>1</v>
      </c>
      <c r="E544" s="434">
        <v>106.392</v>
      </c>
      <c r="F544" s="435" t="s">
        <v>1618</v>
      </c>
      <c r="G544" s="444" t="s">
        <v>1531</v>
      </c>
      <c r="H544" s="444" t="s">
        <v>1531</v>
      </c>
      <c r="I544" s="445" t="s">
        <v>1413</v>
      </c>
      <c r="J544" s="444" t="s">
        <v>1531</v>
      </c>
      <c r="K544" s="445" t="s">
        <v>1413</v>
      </c>
      <c r="L544" s="453">
        <v>236</v>
      </c>
      <c r="M544" s="454" t="s">
        <v>1618</v>
      </c>
      <c r="N544" s="455">
        <v>2.4279999999999999</v>
      </c>
      <c r="O544" s="456" t="s">
        <v>1618</v>
      </c>
      <c r="P544" s="482" t="s">
        <v>1531</v>
      </c>
      <c r="Q544" s="482" t="s">
        <v>1531</v>
      </c>
      <c r="R544" s="483" t="s">
        <v>1413</v>
      </c>
      <c r="S544" s="473" t="s">
        <v>1531</v>
      </c>
      <c r="T544" s="474" t="s">
        <v>1413</v>
      </c>
      <c r="U544" s="473" t="s">
        <v>1531</v>
      </c>
      <c r="V544" s="474" t="s">
        <v>1413</v>
      </c>
      <c r="W544" s="501" t="s">
        <v>1531</v>
      </c>
      <c r="X544" s="502" t="s">
        <v>1413</v>
      </c>
      <c r="Y544" s="486">
        <v>587000</v>
      </c>
      <c r="Z544" s="487" t="s">
        <v>1618</v>
      </c>
      <c r="AA544" s="394">
        <v>1E-3</v>
      </c>
      <c r="AB544" s="395" t="s">
        <v>1668</v>
      </c>
      <c r="AC544" s="370"/>
    </row>
    <row r="545" spans="1:29" ht="20.100000000000001" customHeight="1" thickBot="1">
      <c r="A545" s="392" t="s">
        <v>2378</v>
      </c>
      <c r="B545" s="393" t="s">
        <v>160</v>
      </c>
      <c r="C545" s="400">
        <f>COUNTIF('Chem Props'!$B$6:$B$851,'Parameters Summary'!A545)</f>
        <v>1</v>
      </c>
      <c r="D545" s="400">
        <f>COUNTIF('Tox Summary'!$N$3:$N$792, 'Parameters Summary'!A545)</f>
        <v>1</v>
      </c>
      <c r="E545" s="438">
        <v>117.49</v>
      </c>
      <c r="F545" s="439" t="s">
        <v>1618</v>
      </c>
      <c r="G545" s="442" t="s">
        <v>1531</v>
      </c>
      <c r="H545" s="442" t="s">
        <v>1531</v>
      </c>
      <c r="I545" s="443" t="s">
        <v>1413</v>
      </c>
      <c r="J545" s="442" t="s">
        <v>1531</v>
      </c>
      <c r="K545" s="443" t="s">
        <v>1413</v>
      </c>
      <c r="L545" s="467" t="s">
        <v>1531</v>
      </c>
      <c r="M545" s="468" t="s">
        <v>1413</v>
      </c>
      <c r="N545" s="463" t="s">
        <v>1531</v>
      </c>
      <c r="O545" s="464" t="s">
        <v>1413</v>
      </c>
      <c r="P545" s="479" t="s">
        <v>1531</v>
      </c>
      <c r="Q545" s="479" t="s">
        <v>1531</v>
      </c>
      <c r="R545" s="480" t="s">
        <v>1413</v>
      </c>
      <c r="S545" s="477" t="s">
        <v>1531</v>
      </c>
      <c r="T545" s="478" t="s">
        <v>1413</v>
      </c>
      <c r="U545" s="477" t="s">
        <v>1531</v>
      </c>
      <c r="V545" s="478" t="s">
        <v>1413</v>
      </c>
      <c r="W545" s="499" t="s">
        <v>1531</v>
      </c>
      <c r="X545" s="500" t="s">
        <v>1413</v>
      </c>
      <c r="Y545" s="488">
        <v>245000</v>
      </c>
      <c r="Z545" s="489" t="s">
        <v>1618</v>
      </c>
      <c r="AA545" s="396">
        <v>1E-3</v>
      </c>
      <c r="AB545" s="397" t="s">
        <v>1668</v>
      </c>
      <c r="AC545" s="369"/>
    </row>
    <row r="546" spans="1:29" ht="20.100000000000001" customHeight="1">
      <c r="A546" s="390" t="s">
        <v>2379</v>
      </c>
      <c r="B546" s="391" t="s">
        <v>220</v>
      </c>
      <c r="C546" s="400">
        <f>COUNTIF('Chem Props'!$B$6:$B$851,'Parameters Summary'!A546)</f>
        <v>1</v>
      </c>
      <c r="D546" s="400">
        <f>COUNTIF('Tox Summary'!$N$3:$N$792, 'Parameters Summary'!A546)</f>
        <v>1</v>
      </c>
      <c r="E546" s="434">
        <v>138.55000000000001</v>
      </c>
      <c r="F546" s="435" t="s">
        <v>1620</v>
      </c>
      <c r="G546" s="444" t="s">
        <v>1531</v>
      </c>
      <c r="H546" s="444" t="s">
        <v>1531</v>
      </c>
      <c r="I546" s="445" t="s">
        <v>1413</v>
      </c>
      <c r="J546" s="444" t="s">
        <v>1531</v>
      </c>
      <c r="K546" s="445" t="s">
        <v>1413</v>
      </c>
      <c r="L546" s="453">
        <v>525</v>
      </c>
      <c r="M546" s="454" t="s">
        <v>1620</v>
      </c>
      <c r="N546" s="455">
        <v>2.52</v>
      </c>
      <c r="O546" s="456" t="s">
        <v>1618</v>
      </c>
      <c r="P546" s="482" t="s">
        <v>1531</v>
      </c>
      <c r="Q546" s="482" t="s">
        <v>1531</v>
      </c>
      <c r="R546" s="483" t="s">
        <v>1413</v>
      </c>
      <c r="S546" s="473" t="s">
        <v>1531</v>
      </c>
      <c r="T546" s="474" t="s">
        <v>1413</v>
      </c>
      <c r="U546" s="473" t="s">
        <v>1531</v>
      </c>
      <c r="V546" s="474" t="s">
        <v>1413</v>
      </c>
      <c r="W546" s="501" t="s">
        <v>1531</v>
      </c>
      <c r="X546" s="502" t="s">
        <v>1413</v>
      </c>
      <c r="Y546" s="486">
        <v>15000</v>
      </c>
      <c r="Z546" s="487" t="s">
        <v>1620</v>
      </c>
      <c r="AA546" s="394">
        <v>2E-3</v>
      </c>
      <c r="AB546" s="395" t="s">
        <v>1668</v>
      </c>
      <c r="AC546" s="369"/>
    </row>
    <row r="547" spans="1:29" ht="20.100000000000001" customHeight="1">
      <c r="A547" s="390" t="s">
        <v>2380</v>
      </c>
      <c r="B547" s="391" t="s">
        <v>262</v>
      </c>
      <c r="C547" s="400">
        <f>COUNTIF('Chem Props'!$B$6:$B$851,'Parameters Summary'!A547)</f>
        <v>1</v>
      </c>
      <c r="D547" s="400">
        <f>COUNTIF('Tox Summary'!$N$3:$N$792, 'Parameters Summary'!A547)</f>
        <v>1</v>
      </c>
      <c r="E547" s="434">
        <v>122.44</v>
      </c>
      <c r="F547" s="435" t="s">
        <v>1620</v>
      </c>
      <c r="G547" s="444" t="s">
        <v>1531</v>
      </c>
      <c r="H547" s="444" t="s">
        <v>1531</v>
      </c>
      <c r="I547" s="445" t="s">
        <v>1413</v>
      </c>
      <c r="J547" s="444" t="s">
        <v>1531</v>
      </c>
      <c r="K547" s="445" t="s">
        <v>1413</v>
      </c>
      <c r="L547" s="453">
        <v>480</v>
      </c>
      <c r="M547" s="454" t="s">
        <v>553</v>
      </c>
      <c r="N547" s="455">
        <v>2.52</v>
      </c>
      <c r="O547" s="456" t="s">
        <v>1618</v>
      </c>
      <c r="P547" s="482" t="s">
        <v>1531</v>
      </c>
      <c r="Q547" s="482" t="s">
        <v>1531</v>
      </c>
      <c r="R547" s="483" t="s">
        <v>1413</v>
      </c>
      <c r="S547" s="473" t="s">
        <v>1531</v>
      </c>
      <c r="T547" s="474" t="s">
        <v>1413</v>
      </c>
      <c r="U547" s="473" t="s">
        <v>1531</v>
      </c>
      <c r="V547" s="474" t="s">
        <v>1413</v>
      </c>
      <c r="W547" s="501" t="s">
        <v>1531</v>
      </c>
      <c r="X547" s="502" t="s">
        <v>1413</v>
      </c>
      <c r="Y547" s="486">
        <v>2100000</v>
      </c>
      <c r="Z547" s="487" t="s">
        <v>1620</v>
      </c>
      <c r="AA547" s="394">
        <v>1E-3</v>
      </c>
      <c r="AB547" s="395" t="s">
        <v>1668</v>
      </c>
      <c r="AC547" s="369"/>
    </row>
    <row r="548" spans="1:29" ht="20.100000000000001" customHeight="1" thickBot="1">
      <c r="A548" s="392" t="s">
        <v>2429</v>
      </c>
      <c r="B548" s="393" t="s">
        <v>2126</v>
      </c>
      <c r="C548" s="400">
        <f>COUNTIF('Chem Props'!$B$6:$B$851,'Parameters Summary'!A548)</f>
        <v>1</v>
      </c>
      <c r="D548" s="400">
        <f>COUNTIF('Tox Summary'!$N$3:$N$792, 'Parameters Summary'!A548)</f>
        <v>1</v>
      </c>
      <c r="E548" s="438">
        <v>300.10000000000002</v>
      </c>
      <c r="F548" s="439" t="s">
        <v>1620</v>
      </c>
      <c r="G548" s="442" t="s">
        <v>1531</v>
      </c>
      <c r="H548" s="442" t="s">
        <v>1531</v>
      </c>
      <c r="I548" s="443" t="s">
        <v>1413</v>
      </c>
      <c r="J548" s="442" t="s">
        <v>1531</v>
      </c>
      <c r="K548" s="443" t="s">
        <v>1413</v>
      </c>
      <c r="L548" s="467" t="s">
        <v>1531</v>
      </c>
      <c r="M548" s="468" t="s">
        <v>1413</v>
      </c>
      <c r="N548" s="459">
        <v>1.8480000000000001</v>
      </c>
      <c r="O548" s="460" t="s">
        <v>2206</v>
      </c>
      <c r="P548" s="475">
        <v>2.6954100000000002E-2</v>
      </c>
      <c r="Q548" s="475">
        <v>7.1602999999999999E-6</v>
      </c>
      <c r="R548" s="476" t="s">
        <v>2435</v>
      </c>
      <c r="S548" s="477" t="s">
        <v>1531</v>
      </c>
      <c r="T548" s="478" t="s">
        <v>1413</v>
      </c>
      <c r="U548" s="481">
        <v>61.66</v>
      </c>
      <c r="V548" s="481" t="s">
        <v>2530</v>
      </c>
      <c r="W548" s="499" t="s">
        <v>1531</v>
      </c>
      <c r="X548" s="500" t="s">
        <v>1413</v>
      </c>
      <c r="Y548" s="488">
        <v>56600</v>
      </c>
      <c r="Z548" s="489" t="s">
        <v>2438</v>
      </c>
      <c r="AA548" s="399" t="s">
        <v>1531</v>
      </c>
      <c r="AB548" s="505" t="s">
        <v>1413</v>
      </c>
      <c r="AC548" s="369"/>
    </row>
    <row r="549" spans="1:29" ht="20.100000000000001" customHeight="1">
      <c r="A549" s="390" t="s">
        <v>2453</v>
      </c>
      <c r="B549" s="391" t="s">
        <v>2454</v>
      </c>
      <c r="C549" s="400">
        <f>COUNTIF('Chem Props'!$B$6:$B$851,'Parameters Summary'!A549)</f>
        <v>1</v>
      </c>
      <c r="D549" s="400">
        <f>COUNTIF('Tox Summary'!$N$3:$N$792, 'Parameters Summary'!A549)</f>
        <v>1</v>
      </c>
      <c r="E549" s="434">
        <v>299.10000000000002</v>
      </c>
      <c r="F549" s="435" t="s">
        <v>2470</v>
      </c>
      <c r="G549" s="444" t="s">
        <v>1531</v>
      </c>
      <c r="H549" s="444" t="s">
        <v>1531</v>
      </c>
      <c r="I549" s="445" t="s">
        <v>1413</v>
      </c>
      <c r="J549" s="444" t="s">
        <v>1531</v>
      </c>
      <c r="K549" s="445" t="s">
        <v>1413</v>
      </c>
      <c r="L549" s="465" t="s">
        <v>1531</v>
      </c>
      <c r="M549" s="466" t="s">
        <v>1413</v>
      </c>
      <c r="N549" s="455">
        <v>1.8480000000000001</v>
      </c>
      <c r="O549" s="456" t="s">
        <v>2206</v>
      </c>
      <c r="P549" s="471">
        <v>2.6999499999999999E-2</v>
      </c>
      <c r="Q549" s="471">
        <v>7.1747000000000001E-6</v>
      </c>
      <c r="R549" s="472" t="s">
        <v>2435</v>
      </c>
      <c r="S549" s="473" t="s">
        <v>1531</v>
      </c>
      <c r="T549" s="474" t="s">
        <v>1413</v>
      </c>
      <c r="U549" s="484">
        <v>61.66</v>
      </c>
      <c r="V549" s="484" t="s">
        <v>2530</v>
      </c>
      <c r="W549" s="501" t="s">
        <v>1531</v>
      </c>
      <c r="X549" s="502" t="s">
        <v>1413</v>
      </c>
      <c r="Y549" s="486">
        <v>56600</v>
      </c>
      <c r="Z549" s="487" t="s">
        <v>2438</v>
      </c>
      <c r="AA549" s="398" t="s">
        <v>1531</v>
      </c>
      <c r="AB549" s="504" t="s">
        <v>1413</v>
      </c>
      <c r="AC549" s="369"/>
    </row>
    <row r="550" spans="1:29" ht="20.100000000000001" customHeight="1">
      <c r="A550" s="390" t="s">
        <v>1289</v>
      </c>
      <c r="B550" s="391" t="s">
        <v>161</v>
      </c>
      <c r="C550" s="400">
        <f>COUNTIF('Chem Props'!$B$6:$B$851,'Parameters Summary'!A550)</f>
        <v>1</v>
      </c>
      <c r="D550" s="400">
        <f>COUNTIF('Tox Summary'!$N$3:$N$792, 'Parameters Summary'!A550)</f>
        <v>1</v>
      </c>
      <c r="E550" s="434">
        <v>391.3</v>
      </c>
      <c r="F550" s="435" t="s">
        <v>1620</v>
      </c>
      <c r="G550" s="436">
        <v>7.6500000000000003E-5</v>
      </c>
      <c r="H550" s="436">
        <v>1.8700000000000001E-6</v>
      </c>
      <c r="I550" s="437" t="s">
        <v>553</v>
      </c>
      <c r="J550" s="436">
        <v>2.18E-8</v>
      </c>
      <c r="K550" s="437" t="s">
        <v>1620</v>
      </c>
      <c r="L550" s="453">
        <v>34</v>
      </c>
      <c r="M550" s="454" t="s">
        <v>1620</v>
      </c>
      <c r="N550" s="455">
        <v>1.23</v>
      </c>
      <c r="O550" s="456" t="s">
        <v>1618</v>
      </c>
      <c r="P550" s="471">
        <v>1.9375699999999999E-2</v>
      </c>
      <c r="Q550" s="471">
        <v>4.7831E-6</v>
      </c>
      <c r="R550" s="472" t="s">
        <v>2435</v>
      </c>
      <c r="S550" s="473" t="s">
        <v>1531</v>
      </c>
      <c r="T550" s="474" t="s">
        <v>1413</v>
      </c>
      <c r="U550" s="484">
        <v>118800</v>
      </c>
      <c r="V550" s="484" t="s">
        <v>553</v>
      </c>
      <c r="W550" s="495">
        <v>6.5</v>
      </c>
      <c r="X550" s="496" t="s">
        <v>1620</v>
      </c>
      <c r="Y550" s="486">
        <v>6.0000000000000001E-3</v>
      </c>
      <c r="Z550" s="487" t="s">
        <v>1620</v>
      </c>
      <c r="AA550" s="394">
        <v>0.20799999999999999</v>
      </c>
      <c r="AB550" s="395" t="s">
        <v>553</v>
      </c>
      <c r="AC550" s="369"/>
    </row>
    <row r="551" spans="1:29" ht="20.100000000000001" customHeight="1" thickBot="1">
      <c r="A551" s="392" t="s">
        <v>610</v>
      </c>
      <c r="B551" s="393" t="s">
        <v>162</v>
      </c>
      <c r="C551" s="400">
        <f>COUNTIF('Chem Props'!$B$6:$B$851,'Parameters Summary'!A551)</f>
        <v>1</v>
      </c>
      <c r="D551" s="400">
        <f>COUNTIF('Tox Summary'!$N$3:$N$792, 'Parameters Summary'!A551)</f>
        <v>1</v>
      </c>
      <c r="E551" s="438">
        <v>179.22</v>
      </c>
      <c r="F551" s="439" t="s">
        <v>1620</v>
      </c>
      <c r="G551" s="440">
        <v>8.7080999999999997E-9</v>
      </c>
      <c r="H551" s="440">
        <v>2.1299999999999999E-10</v>
      </c>
      <c r="I551" s="441" t="s">
        <v>553</v>
      </c>
      <c r="J551" s="440">
        <v>6.92E-7</v>
      </c>
      <c r="K551" s="441" t="s">
        <v>1620</v>
      </c>
      <c r="L551" s="457">
        <v>137.5</v>
      </c>
      <c r="M551" s="458" t="s">
        <v>1620</v>
      </c>
      <c r="N551" s="463" t="s">
        <v>1531</v>
      </c>
      <c r="O551" s="464" t="s">
        <v>1413</v>
      </c>
      <c r="P551" s="475">
        <v>5.9771699999999997E-2</v>
      </c>
      <c r="Q551" s="475">
        <v>6.9839000000000002E-6</v>
      </c>
      <c r="R551" s="476" t="s">
        <v>2435</v>
      </c>
      <c r="S551" s="477" t="s">
        <v>1531</v>
      </c>
      <c r="T551" s="478" t="s">
        <v>1413</v>
      </c>
      <c r="U551" s="481">
        <v>40.99</v>
      </c>
      <c r="V551" s="481" t="s">
        <v>553</v>
      </c>
      <c r="W551" s="497">
        <v>1.58</v>
      </c>
      <c r="X551" s="498" t="s">
        <v>1620</v>
      </c>
      <c r="Y551" s="488">
        <v>766</v>
      </c>
      <c r="Z551" s="489" t="s">
        <v>1620</v>
      </c>
      <c r="AA551" s="396">
        <v>1.73E-3</v>
      </c>
      <c r="AB551" s="397" t="s">
        <v>553</v>
      </c>
      <c r="AC551" s="369"/>
    </row>
    <row r="552" spans="1:29" ht="20.100000000000001" customHeight="1">
      <c r="A552" s="390" t="s">
        <v>1290</v>
      </c>
      <c r="B552" s="391" t="s">
        <v>163</v>
      </c>
      <c r="C552" s="400">
        <f>COUNTIF('Chem Props'!$B$6:$B$851,'Parameters Summary'!A552)</f>
        <v>1</v>
      </c>
      <c r="D552" s="400">
        <f>COUNTIF('Tox Summary'!$N$3:$N$792, 'Parameters Summary'!A552)</f>
        <v>1</v>
      </c>
      <c r="E552" s="434">
        <v>300.32</v>
      </c>
      <c r="F552" s="435" t="s">
        <v>1620</v>
      </c>
      <c r="G552" s="436">
        <v>3.4380000000000002E-11</v>
      </c>
      <c r="H552" s="436">
        <v>8.4099999999999995E-13</v>
      </c>
      <c r="I552" s="437" t="s">
        <v>553</v>
      </c>
      <c r="J552" s="436">
        <v>9.9999999999999994E-12</v>
      </c>
      <c r="K552" s="437" t="s">
        <v>1620</v>
      </c>
      <c r="L552" s="453">
        <v>143</v>
      </c>
      <c r="M552" s="454" t="s">
        <v>1620</v>
      </c>
      <c r="N552" s="461" t="s">
        <v>1531</v>
      </c>
      <c r="O552" s="462" t="s">
        <v>1413</v>
      </c>
      <c r="P552" s="471">
        <v>4.2367299999999997E-2</v>
      </c>
      <c r="Q552" s="471">
        <v>4.9502999999999999E-6</v>
      </c>
      <c r="R552" s="472" t="s">
        <v>2435</v>
      </c>
      <c r="S552" s="473" t="s">
        <v>1531</v>
      </c>
      <c r="T552" s="474" t="s">
        <v>1413</v>
      </c>
      <c r="U552" s="484">
        <v>2594</v>
      </c>
      <c r="V552" s="484" t="s">
        <v>553</v>
      </c>
      <c r="W552" s="495">
        <v>3.59</v>
      </c>
      <c r="X552" s="496" t="s">
        <v>1620</v>
      </c>
      <c r="Y552" s="486">
        <v>4.7</v>
      </c>
      <c r="Z552" s="487" t="s">
        <v>1620</v>
      </c>
      <c r="AA552" s="394">
        <v>7.8600000000000007E-3</v>
      </c>
      <c r="AB552" s="395" t="s">
        <v>553</v>
      </c>
      <c r="AC552" s="369"/>
    </row>
    <row r="553" spans="1:29" ht="20.100000000000001" customHeight="1">
      <c r="A553" s="390" t="s">
        <v>394</v>
      </c>
      <c r="B553" s="391" t="s">
        <v>164</v>
      </c>
      <c r="C553" s="400">
        <f>COUNTIF('Chem Props'!$B$6:$B$851,'Parameters Summary'!A553)</f>
        <v>1</v>
      </c>
      <c r="D553" s="400">
        <f>COUNTIF('Tox Summary'!$N$3:$N$792, 'Parameters Summary'!A553)</f>
        <v>1</v>
      </c>
      <c r="E553" s="434">
        <v>94.114000000000004</v>
      </c>
      <c r="F553" s="435" t="s">
        <v>1620</v>
      </c>
      <c r="G553" s="436">
        <v>1.36E-5</v>
      </c>
      <c r="H553" s="436">
        <v>3.3299999999999998E-7</v>
      </c>
      <c r="I553" s="437" t="s">
        <v>1620</v>
      </c>
      <c r="J553" s="436">
        <v>0.35</v>
      </c>
      <c r="K553" s="437" t="s">
        <v>1620</v>
      </c>
      <c r="L553" s="453">
        <v>40.9</v>
      </c>
      <c r="M553" s="454" t="s">
        <v>1620</v>
      </c>
      <c r="N553" s="455">
        <v>1.0545</v>
      </c>
      <c r="O553" s="456" t="s">
        <v>1618</v>
      </c>
      <c r="P553" s="471">
        <v>8.3398299999999995E-2</v>
      </c>
      <c r="Q553" s="471">
        <v>1.03E-5</v>
      </c>
      <c r="R553" s="472" t="s">
        <v>2435</v>
      </c>
      <c r="S553" s="473" t="s">
        <v>1531</v>
      </c>
      <c r="T553" s="474" t="s">
        <v>1413</v>
      </c>
      <c r="U553" s="484">
        <v>187.2</v>
      </c>
      <c r="V553" s="484" t="s">
        <v>553</v>
      </c>
      <c r="W553" s="495">
        <v>1.46</v>
      </c>
      <c r="X553" s="496" t="s">
        <v>1620</v>
      </c>
      <c r="Y553" s="486">
        <v>82800</v>
      </c>
      <c r="Z553" s="487" t="s">
        <v>1620</v>
      </c>
      <c r="AA553" s="394">
        <v>4.3400000000000001E-3</v>
      </c>
      <c r="AB553" s="395" t="s">
        <v>553</v>
      </c>
      <c r="AC553" s="369"/>
    </row>
    <row r="554" spans="1:29" ht="20.100000000000001" customHeight="1" thickBot="1">
      <c r="A554" s="392" t="s">
        <v>2430</v>
      </c>
      <c r="B554" s="393" t="s">
        <v>679</v>
      </c>
      <c r="C554" s="400">
        <f>COUNTIF('Chem Props'!$B$6:$B$851,'Parameters Summary'!A554)</f>
        <v>1</v>
      </c>
      <c r="D554" s="400">
        <f>COUNTIF('Tox Summary'!$N$3:$N$792, 'Parameters Summary'!A554)</f>
        <v>1</v>
      </c>
      <c r="E554" s="438">
        <v>209.25</v>
      </c>
      <c r="F554" s="439" t="s">
        <v>1620</v>
      </c>
      <c r="G554" s="440">
        <v>5.8462999999999999E-8</v>
      </c>
      <c r="H554" s="440">
        <v>1.43E-9</v>
      </c>
      <c r="I554" s="441" t="s">
        <v>553</v>
      </c>
      <c r="J554" s="440">
        <v>2.0999999999999999E-5</v>
      </c>
      <c r="K554" s="441" t="s">
        <v>1620</v>
      </c>
      <c r="L554" s="457">
        <v>90</v>
      </c>
      <c r="M554" s="458" t="s">
        <v>1620</v>
      </c>
      <c r="N554" s="459">
        <v>1.1200000000000001</v>
      </c>
      <c r="O554" s="460" t="s">
        <v>1618</v>
      </c>
      <c r="P554" s="475">
        <v>2.57445E-2</v>
      </c>
      <c r="Q554" s="475">
        <v>6.5826999999999997E-6</v>
      </c>
      <c r="R554" s="476" t="s">
        <v>2435</v>
      </c>
      <c r="S554" s="477" t="s">
        <v>1531</v>
      </c>
      <c r="T554" s="478" t="s">
        <v>1413</v>
      </c>
      <c r="U554" s="481">
        <v>59.95</v>
      </c>
      <c r="V554" s="481" t="s">
        <v>553</v>
      </c>
      <c r="W554" s="497">
        <v>1.52</v>
      </c>
      <c r="X554" s="498" t="s">
        <v>1620</v>
      </c>
      <c r="Y554" s="488">
        <v>1860</v>
      </c>
      <c r="Z554" s="489" t="s">
        <v>1620</v>
      </c>
      <c r="AA554" s="396">
        <v>1.07E-3</v>
      </c>
      <c r="AB554" s="397" t="s">
        <v>553</v>
      </c>
      <c r="AC554" s="369"/>
    </row>
    <row r="555" spans="1:29" ht="20.100000000000001" customHeight="1">
      <c r="A555" s="390" t="s">
        <v>1578</v>
      </c>
      <c r="B555" s="391" t="s">
        <v>1579</v>
      </c>
      <c r="C555" s="400">
        <f>COUNTIF('Chem Props'!$B$6:$B$851,'Parameters Summary'!A555)</f>
        <v>1</v>
      </c>
      <c r="D555" s="400">
        <f>COUNTIF('Tox Summary'!$N$3:$N$792, 'Parameters Summary'!A555)</f>
        <v>1</v>
      </c>
      <c r="E555" s="434">
        <v>199.28</v>
      </c>
      <c r="F555" s="435" t="s">
        <v>1620</v>
      </c>
      <c r="G555" s="436">
        <v>1.1447E-6</v>
      </c>
      <c r="H555" s="436">
        <v>2.7999999999999999E-8</v>
      </c>
      <c r="I555" s="437" t="s">
        <v>1620</v>
      </c>
      <c r="J555" s="436">
        <v>8.8999999999999995E-7</v>
      </c>
      <c r="K555" s="437" t="s">
        <v>1620</v>
      </c>
      <c r="L555" s="453">
        <v>187.5</v>
      </c>
      <c r="M555" s="454" t="s">
        <v>1620</v>
      </c>
      <c r="N555" s="455">
        <v>1.34</v>
      </c>
      <c r="O555" s="456" t="s">
        <v>2199</v>
      </c>
      <c r="P555" s="471">
        <v>2.8997499999999999E-2</v>
      </c>
      <c r="Q555" s="471">
        <v>7.5483999999999996E-6</v>
      </c>
      <c r="R555" s="472" t="s">
        <v>2435</v>
      </c>
      <c r="S555" s="473" t="s">
        <v>1531</v>
      </c>
      <c r="T555" s="474" t="s">
        <v>1413</v>
      </c>
      <c r="U555" s="484">
        <v>1475</v>
      </c>
      <c r="V555" s="484" t="s">
        <v>553</v>
      </c>
      <c r="W555" s="495">
        <v>4.1500000000000004</v>
      </c>
      <c r="X555" s="496" t="s">
        <v>1620</v>
      </c>
      <c r="Y555" s="486">
        <v>1.59</v>
      </c>
      <c r="Z555" s="487" t="s">
        <v>1620</v>
      </c>
      <c r="AA555" s="394">
        <v>6.83E-2</v>
      </c>
      <c r="AB555" s="395" t="s">
        <v>553</v>
      </c>
      <c r="AC555" s="369"/>
    </row>
    <row r="556" spans="1:29" ht="20.100000000000001" customHeight="1">
      <c r="A556" s="390" t="s">
        <v>2455</v>
      </c>
      <c r="B556" s="391" t="s">
        <v>2456</v>
      </c>
      <c r="C556" s="400">
        <f>COUNTIF('Chem Props'!$B$6:$B$851,'Parameters Summary'!A556)</f>
        <v>1</v>
      </c>
      <c r="D556" s="400">
        <f>COUNTIF('Tox Summary'!$N$3:$N$792, 'Parameters Summary'!A556)</f>
        <v>1</v>
      </c>
      <c r="E556" s="434">
        <v>135.19</v>
      </c>
      <c r="F556" s="435" t="s">
        <v>1620</v>
      </c>
      <c r="G556" s="436">
        <v>0.12142269999999999</v>
      </c>
      <c r="H556" s="436">
        <v>2.97E-3</v>
      </c>
      <c r="I556" s="437" t="s">
        <v>553</v>
      </c>
      <c r="J556" s="436">
        <v>1.5</v>
      </c>
      <c r="K556" s="437" t="s">
        <v>1620</v>
      </c>
      <c r="L556" s="453">
        <v>-21</v>
      </c>
      <c r="M556" s="454" t="s">
        <v>1620</v>
      </c>
      <c r="N556" s="455">
        <v>1.1303000000000001</v>
      </c>
      <c r="O556" s="456" t="s">
        <v>1618</v>
      </c>
      <c r="P556" s="471">
        <v>5.9149599999999997E-2</v>
      </c>
      <c r="Q556" s="471">
        <v>8.6023999999999992E-6</v>
      </c>
      <c r="R556" s="472" t="s">
        <v>2435</v>
      </c>
      <c r="S556" s="473" t="s">
        <v>1531</v>
      </c>
      <c r="T556" s="474" t="s">
        <v>1413</v>
      </c>
      <c r="U556" s="484">
        <v>218.8</v>
      </c>
      <c r="V556" s="484" t="s">
        <v>553</v>
      </c>
      <c r="W556" s="495">
        <v>3.28</v>
      </c>
      <c r="X556" s="496" t="s">
        <v>1620</v>
      </c>
      <c r="Y556" s="486">
        <v>89.9</v>
      </c>
      <c r="Z556" s="487" t="s">
        <v>1620</v>
      </c>
      <c r="AA556" s="394">
        <v>4.1300000000000003E-2</v>
      </c>
      <c r="AB556" s="395" t="s">
        <v>553</v>
      </c>
      <c r="AC556" s="369"/>
    </row>
    <row r="557" spans="1:29" ht="20.100000000000001" customHeight="1" thickBot="1">
      <c r="A557" s="392" t="s">
        <v>1291</v>
      </c>
      <c r="B557" s="393" t="s">
        <v>165</v>
      </c>
      <c r="C557" s="400">
        <f>COUNTIF('Chem Props'!$B$6:$B$851,'Parameters Summary'!A557)</f>
        <v>1</v>
      </c>
      <c r="D557" s="400">
        <f>COUNTIF('Tox Summary'!$N$3:$N$792, 'Parameters Summary'!A557)</f>
        <v>1</v>
      </c>
      <c r="E557" s="438">
        <v>108.14</v>
      </c>
      <c r="F557" s="439" t="s">
        <v>1620</v>
      </c>
      <c r="G557" s="440">
        <v>5.1103999999999999E-8</v>
      </c>
      <c r="H557" s="440">
        <v>1.25E-9</v>
      </c>
      <c r="I557" s="441" t="s">
        <v>553</v>
      </c>
      <c r="J557" s="440">
        <v>2.0899999999999998E-3</v>
      </c>
      <c r="K557" s="441" t="s">
        <v>553</v>
      </c>
      <c r="L557" s="457">
        <v>63.5</v>
      </c>
      <c r="M557" s="458" t="s">
        <v>1620</v>
      </c>
      <c r="N557" s="459">
        <v>1.0096000000000001</v>
      </c>
      <c r="O557" s="460" t="s">
        <v>1618</v>
      </c>
      <c r="P557" s="475">
        <v>7.2115200000000004E-2</v>
      </c>
      <c r="Q557" s="475">
        <v>9.1911000000000008E-6</v>
      </c>
      <c r="R557" s="476" t="s">
        <v>2435</v>
      </c>
      <c r="S557" s="477" t="s">
        <v>1531</v>
      </c>
      <c r="T557" s="478" t="s">
        <v>1413</v>
      </c>
      <c r="U557" s="481">
        <v>33.83</v>
      </c>
      <c r="V557" s="481" t="s">
        <v>553</v>
      </c>
      <c r="W557" s="497">
        <v>-0.33</v>
      </c>
      <c r="X557" s="498" t="s">
        <v>1620</v>
      </c>
      <c r="Y557" s="488">
        <v>238000</v>
      </c>
      <c r="Z557" s="489" t="s">
        <v>1620</v>
      </c>
      <c r="AA557" s="396">
        <v>2.34E-4</v>
      </c>
      <c r="AB557" s="397" t="s">
        <v>553</v>
      </c>
      <c r="AC557" s="369"/>
    </row>
    <row r="558" spans="1:29" ht="20.100000000000001" customHeight="1">
      <c r="A558" s="390" t="s">
        <v>1292</v>
      </c>
      <c r="B558" s="391" t="s">
        <v>166</v>
      </c>
      <c r="C558" s="400">
        <f>COUNTIF('Chem Props'!$B$6:$B$851,'Parameters Summary'!A558)</f>
        <v>1</v>
      </c>
      <c r="D558" s="400">
        <f>COUNTIF('Tox Summary'!$N$3:$N$792, 'Parameters Summary'!A558)</f>
        <v>1</v>
      </c>
      <c r="E558" s="434">
        <v>108.14</v>
      </c>
      <c r="F558" s="435" t="s">
        <v>1620</v>
      </c>
      <c r="G558" s="436">
        <v>2.9436E-7</v>
      </c>
      <c r="H558" s="436">
        <v>7.2E-9</v>
      </c>
      <c r="I558" s="437" t="s">
        <v>553</v>
      </c>
      <c r="J558" s="436">
        <v>2.0600000000000002E-3</v>
      </c>
      <c r="K558" s="437" t="s">
        <v>553</v>
      </c>
      <c r="L558" s="453">
        <v>102.5</v>
      </c>
      <c r="M558" s="454" t="s">
        <v>1620</v>
      </c>
      <c r="N558" s="461" t="s">
        <v>1531</v>
      </c>
      <c r="O558" s="462" t="s">
        <v>1413</v>
      </c>
      <c r="P558" s="471">
        <v>8.3707199999999995E-2</v>
      </c>
      <c r="Q558" s="471">
        <v>9.7805000000000006E-6</v>
      </c>
      <c r="R558" s="472" t="s">
        <v>2435</v>
      </c>
      <c r="S558" s="473" t="s">
        <v>1531</v>
      </c>
      <c r="T558" s="474" t="s">
        <v>1413</v>
      </c>
      <c r="U558" s="484">
        <v>34.520000000000003</v>
      </c>
      <c r="V558" s="484" t="s">
        <v>553</v>
      </c>
      <c r="W558" s="495">
        <v>0.15</v>
      </c>
      <c r="X558" s="496" t="s">
        <v>1620</v>
      </c>
      <c r="Y558" s="486">
        <v>40400</v>
      </c>
      <c r="Z558" s="487" t="s">
        <v>1620</v>
      </c>
      <c r="AA558" s="394">
        <v>4.8700000000000002E-4</v>
      </c>
      <c r="AB558" s="395" t="s">
        <v>553</v>
      </c>
      <c r="AC558" s="369"/>
    </row>
    <row r="559" spans="1:29" ht="20.100000000000001" customHeight="1">
      <c r="A559" s="390" t="s">
        <v>1293</v>
      </c>
      <c r="B559" s="391" t="s">
        <v>167</v>
      </c>
      <c r="C559" s="400">
        <f>COUNTIF('Chem Props'!$B$6:$B$851,'Parameters Summary'!A559)</f>
        <v>1</v>
      </c>
      <c r="D559" s="400">
        <f>COUNTIF('Tox Summary'!$N$3:$N$792, 'Parameters Summary'!A559)</f>
        <v>1</v>
      </c>
      <c r="E559" s="434">
        <v>108.14</v>
      </c>
      <c r="F559" s="435" t="s">
        <v>1620</v>
      </c>
      <c r="G559" s="436">
        <v>2.7514000000000001E-8</v>
      </c>
      <c r="H559" s="436">
        <v>6.7299999999999995E-10</v>
      </c>
      <c r="I559" s="437" t="s">
        <v>1620</v>
      </c>
      <c r="J559" s="436">
        <v>5.0000000000000001E-3</v>
      </c>
      <c r="K559" s="437" t="s">
        <v>1620</v>
      </c>
      <c r="L559" s="453">
        <v>146</v>
      </c>
      <c r="M559" s="454" t="s">
        <v>1620</v>
      </c>
      <c r="N559" s="461" t="s">
        <v>1531</v>
      </c>
      <c r="O559" s="462" t="s">
        <v>1413</v>
      </c>
      <c r="P559" s="471">
        <v>8.3707199999999995E-2</v>
      </c>
      <c r="Q559" s="471">
        <v>9.7805000000000006E-6</v>
      </c>
      <c r="R559" s="472" t="s">
        <v>2435</v>
      </c>
      <c r="S559" s="473" t="s">
        <v>1531</v>
      </c>
      <c r="T559" s="474" t="s">
        <v>1413</v>
      </c>
      <c r="U559" s="484">
        <v>33.83</v>
      </c>
      <c r="V559" s="484" t="s">
        <v>553</v>
      </c>
      <c r="W559" s="495">
        <v>-0.3</v>
      </c>
      <c r="X559" s="496" t="s">
        <v>1620</v>
      </c>
      <c r="Y559" s="486">
        <v>37000</v>
      </c>
      <c r="Z559" s="487" t="s">
        <v>1620</v>
      </c>
      <c r="AA559" s="394">
        <v>2.4499999999999999E-4</v>
      </c>
      <c r="AB559" s="395" t="s">
        <v>553</v>
      </c>
      <c r="AC559" s="369"/>
    </row>
    <row r="560" spans="1:29" ht="20.100000000000001" customHeight="1" thickBot="1">
      <c r="A560" s="392" t="s">
        <v>1294</v>
      </c>
      <c r="B560" s="393" t="s">
        <v>168</v>
      </c>
      <c r="C560" s="400">
        <f>COUNTIF('Chem Props'!$B$6:$B$851,'Parameters Summary'!A560)</f>
        <v>1</v>
      </c>
      <c r="D560" s="400">
        <f>COUNTIF('Tox Summary'!$N$3:$N$792, 'Parameters Summary'!A560)</f>
        <v>1</v>
      </c>
      <c r="E560" s="438">
        <v>170.21</v>
      </c>
      <c r="F560" s="439" t="s">
        <v>1620</v>
      </c>
      <c r="G560" s="440">
        <v>4.2899999999999999E-5</v>
      </c>
      <c r="H560" s="440">
        <v>1.0499999999999999E-6</v>
      </c>
      <c r="I560" s="441" t="s">
        <v>553</v>
      </c>
      <c r="J560" s="440">
        <v>2E-3</v>
      </c>
      <c r="K560" s="441" t="s">
        <v>553</v>
      </c>
      <c r="L560" s="457">
        <v>59</v>
      </c>
      <c r="M560" s="458" t="s">
        <v>1620</v>
      </c>
      <c r="N560" s="459">
        <v>1.2130000000000001</v>
      </c>
      <c r="O560" s="460" t="s">
        <v>1618</v>
      </c>
      <c r="P560" s="475">
        <v>4.2092200000000003E-2</v>
      </c>
      <c r="Q560" s="475">
        <v>7.8161999999999998E-6</v>
      </c>
      <c r="R560" s="476" t="s">
        <v>2435</v>
      </c>
      <c r="S560" s="477" t="s">
        <v>1531</v>
      </c>
      <c r="T560" s="478" t="s">
        <v>1413</v>
      </c>
      <c r="U560" s="481">
        <v>6722</v>
      </c>
      <c r="V560" s="481" t="s">
        <v>553</v>
      </c>
      <c r="W560" s="497">
        <v>3.09</v>
      </c>
      <c r="X560" s="498" t="s">
        <v>1620</v>
      </c>
      <c r="Y560" s="488">
        <v>700</v>
      </c>
      <c r="Z560" s="489" t="s">
        <v>1620</v>
      </c>
      <c r="AA560" s="396">
        <v>1.9599999999999999E-2</v>
      </c>
      <c r="AB560" s="397" t="s">
        <v>553</v>
      </c>
      <c r="AC560" s="369"/>
    </row>
    <row r="561" spans="1:29" ht="20.100000000000001" customHeight="1">
      <c r="A561" s="390" t="s">
        <v>1295</v>
      </c>
      <c r="B561" s="391" t="s">
        <v>169</v>
      </c>
      <c r="C561" s="400">
        <f>COUNTIF('Chem Props'!$B$6:$B$851,'Parameters Summary'!A561)</f>
        <v>1</v>
      </c>
      <c r="D561" s="400">
        <f>COUNTIF('Tox Summary'!$N$3:$N$792, 'Parameters Summary'!A561)</f>
        <v>1</v>
      </c>
      <c r="E561" s="434">
        <v>260.38</v>
      </c>
      <c r="F561" s="435" t="s">
        <v>1620</v>
      </c>
      <c r="G561" s="436">
        <v>1.7870000000000001E-4</v>
      </c>
      <c r="H561" s="436">
        <v>4.3699999999999997E-6</v>
      </c>
      <c r="I561" s="437" t="s">
        <v>553</v>
      </c>
      <c r="J561" s="436">
        <v>6.38E-4</v>
      </c>
      <c r="K561" s="437" t="s">
        <v>1620</v>
      </c>
      <c r="L561" s="453">
        <v>-15</v>
      </c>
      <c r="M561" s="454" t="s">
        <v>1618</v>
      </c>
      <c r="N561" s="455">
        <v>1.1599999999999999</v>
      </c>
      <c r="O561" s="456" t="s">
        <v>1618</v>
      </c>
      <c r="P561" s="471">
        <v>2.3326800000000002E-2</v>
      </c>
      <c r="Q561" s="471">
        <v>5.8962999999999998E-6</v>
      </c>
      <c r="R561" s="472" t="s">
        <v>2435</v>
      </c>
      <c r="S561" s="473" t="s">
        <v>1531</v>
      </c>
      <c r="T561" s="474" t="s">
        <v>1413</v>
      </c>
      <c r="U561" s="484">
        <v>459.8</v>
      </c>
      <c r="V561" s="484" t="s">
        <v>553</v>
      </c>
      <c r="W561" s="495">
        <v>3.56</v>
      </c>
      <c r="X561" s="496" t="s">
        <v>1620</v>
      </c>
      <c r="Y561" s="486">
        <v>50</v>
      </c>
      <c r="Z561" s="487" t="s">
        <v>1620</v>
      </c>
      <c r="AA561" s="394">
        <v>1.26E-2</v>
      </c>
      <c r="AB561" s="395" t="s">
        <v>553</v>
      </c>
      <c r="AC561" s="369"/>
    </row>
    <row r="562" spans="1:29" ht="20.100000000000001" customHeight="1">
      <c r="A562" s="390" t="s">
        <v>1296</v>
      </c>
      <c r="B562" s="391" t="s">
        <v>170</v>
      </c>
      <c r="C562" s="400">
        <f>COUNTIF('Chem Props'!$B$6:$B$851,'Parameters Summary'!A562)</f>
        <v>1</v>
      </c>
      <c r="D562" s="400">
        <f>COUNTIF('Tox Summary'!$N$3:$N$792, 'Parameters Summary'!A562)</f>
        <v>1</v>
      </c>
      <c r="E562" s="434">
        <v>98.917000000000002</v>
      </c>
      <c r="F562" s="435" t="s">
        <v>1620</v>
      </c>
      <c r="G562" s="436">
        <v>0.68274729999999995</v>
      </c>
      <c r="H562" s="436">
        <v>1.67E-2</v>
      </c>
      <c r="I562" s="437" t="s">
        <v>1620</v>
      </c>
      <c r="J562" s="436">
        <v>1418</v>
      </c>
      <c r="K562" s="437" t="s">
        <v>1620</v>
      </c>
      <c r="L562" s="453">
        <v>-118</v>
      </c>
      <c r="M562" s="454" t="s">
        <v>1620</v>
      </c>
      <c r="N562" s="455">
        <v>1.3718999999999999</v>
      </c>
      <c r="O562" s="456" t="s">
        <v>1618</v>
      </c>
      <c r="P562" s="471">
        <v>8.9328199999999996E-2</v>
      </c>
      <c r="Q562" s="471">
        <v>1.17E-5</v>
      </c>
      <c r="R562" s="472" t="s">
        <v>2435</v>
      </c>
      <c r="S562" s="473" t="s">
        <v>1531</v>
      </c>
      <c r="T562" s="474" t="s">
        <v>1413</v>
      </c>
      <c r="U562" s="484">
        <v>1</v>
      </c>
      <c r="V562" s="484" t="s">
        <v>553</v>
      </c>
      <c r="W562" s="495">
        <v>-0.71</v>
      </c>
      <c r="X562" s="496" t="s">
        <v>1620</v>
      </c>
      <c r="Y562" s="486">
        <v>6825.5</v>
      </c>
      <c r="Z562" s="487" t="s">
        <v>1622</v>
      </c>
      <c r="AA562" s="394">
        <v>1.47E-4</v>
      </c>
      <c r="AB562" s="395" t="s">
        <v>553</v>
      </c>
      <c r="AC562" s="369"/>
    </row>
    <row r="563" spans="1:29" ht="20.100000000000001" customHeight="1" thickBot="1">
      <c r="A563" s="392" t="s">
        <v>1297</v>
      </c>
      <c r="B563" s="393" t="s">
        <v>171</v>
      </c>
      <c r="C563" s="400">
        <f>COUNTIF('Chem Props'!$B$6:$B$851,'Parameters Summary'!A563)</f>
        <v>1</v>
      </c>
      <c r="D563" s="400">
        <f>COUNTIF('Tox Summary'!$N$3:$N$792, 'Parameters Summary'!A563)</f>
        <v>1</v>
      </c>
      <c r="E563" s="438">
        <v>317.32</v>
      </c>
      <c r="F563" s="439" t="s">
        <v>1620</v>
      </c>
      <c r="G563" s="440">
        <v>3.4260000000000001E-7</v>
      </c>
      <c r="H563" s="440">
        <v>8.3799999999999996E-9</v>
      </c>
      <c r="I563" s="441" t="s">
        <v>553</v>
      </c>
      <c r="J563" s="440">
        <v>4.8999999999999997E-7</v>
      </c>
      <c r="K563" s="441" t="s">
        <v>1620</v>
      </c>
      <c r="L563" s="457">
        <v>72</v>
      </c>
      <c r="M563" s="458" t="s">
        <v>1620</v>
      </c>
      <c r="N563" s="463" t="s">
        <v>1531</v>
      </c>
      <c r="O563" s="464" t="s">
        <v>1413</v>
      </c>
      <c r="P563" s="475">
        <v>4.0840300000000003E-2</v>
      </c>
      <c r="Q563" s="475">
        <v>4.7719E-6</v>
      </c>
      <c r="R563" s="476" t="s">
        <v>2435</v>
      </c>
      <c r="S563" s="477" t="s">
        <v>1531</v>
      </c>
      <c r="T563" s="478" t="s">
        <v>1413</v>
      </c>
      <c r="U563" s="481">
        <v>10</v>
      </c>
      <c r="V563" s="481" t="s">
        <v>553</v>
      </c>
      <c r="W563" s="497">
        <v>2.78</v>
      </c>
      <c r="X563" s="498" t="s">
        <v>1620</v>
      </c>
      <c r="Y563" s="488">
        <v>24.4</v>
      </c>
      <c r="Z563" s="489" t="s">
        <v>1620</v>
      </c>
      <c r="AA563" s="396">
        <v>1.83E-3</v>
      </c>
      <c r="AB563" s="397" t="s">
        <v>553</v>
      </c>
      <c r="AC563" s="369"/>
    </row>
    <row r="564" spans="1:29" ht="20.100000000000001" customHeight="1">
      <c r="A564" s="390" t="s">
        <v>1580</v>
      </c>
      <c r="B564" s="391" t="s">
        <v>1413</v>
      </c>
      <c r="C564" s="400">
        <f>COUNTIF('Chem Props'!$B$6:$B$851,'Parameters Summary'!A564)</f>
        <v>0</v>
      </c>
      <c r="D564" s="400">
        <f>COUNTIF('Tox Summary'!$N$3:$N$792, 'Parameters Summary'!A564)</f>
        <v>1</v>
      </c>
      <c r="E564" s="446" t="s">
        <v>1531</v>
      </c>
      <c r="F564" s="447" t="s">
        <v>1413</v>
      </c>
      <c r="G564" s="444" t="s">
        <v>1531</v>
      </c>
      <c r="H564" s="444" t="s">
        <v>1531</v>
      </c>
      <c r="I564" s="445" t="s">
        <v>1413</v>
      </c>
      <c r="J564" s="444" t="s">
        <v>1531</v>
      </c>
      <c r="K564" s="445" t="s">
        <v>1413</v>
      </c>
      <c r="L564" s="465" t="s">
        <v>1531</v>
      </c>
      <c r="M564" s="466" t="s">
        <v>1413</v>
      </c>
      <c r="N564" s="461" t="s">
        <v>1531</v>
      </c>
      <c r="O564" s="462" t="s">
        <v>1413</v>
      </c>
      <c r="P564" s="482" t="s">
        <v>1531</v>
      </c>
      <c r="Q564" s="482" t="s">
        <v>1531</v>
      </c>
      <c r="R564" s="483" t="s">
        <v>1413</v>
      </c>
      <c r="S564" s="473" t="s">
        <v>1531</v>
      </c>
      <c r="T564" s="474" t="s">
        <v>1413</v>
      </c>
      <c r="U564" s="473" t="s">
        <v>1531</v>
      </c>
      <c r="V564" s="474" t="s">
        <v>1413</v>
      </c>
      <c r="W564" s="501" t="s">
        <v>1531</v>
      </c>
      <c r="X564" s="502" t="s">
        <v>1413</v>
      </c>
      <c r="Y564" s="492" t="s">
        <v>1531</v>
      </c>
      <c r="Z564" s="493" t="s">
        <v>1413</v>
      </c>
      <c r="AA564" s="398" t="s">
        <v>1531</v>
      </c>
      <c r="AB564" s="504" t="s">
        <v>1413</v>
      </c>
      <c r="AC564" s="369"/>
    </row>
    <row r="565" spans="1:29" ht="20.100000000000001" customHeight="1">
      <c r="A565" s="390" t="s">
        <v>2381</v>
      </c>
      <c r="B565" s="391" t="s">
        <v>1581</v>
      </c>
      <c r="C565" s="400">
        <f>COUNTIF('Chem Props'!$B$6:$B$851,'Parameters Summary'!A565)</f>
        <v>1</v>
      </c>
      <c r="D565" s="400">
        <f>COUNTIF('Tox Summary'!$N$3:$N$792, 'Parameters Summary'!A565)</f>
        <v>1</v>
      </c>
      <c r="E565" s="434">
        <v>263.89999999999998</v>
      </c>
      <c r="F565" s="435" t="s">
        <v>1618</v>
      </c>
      <c r="G565" s="444" t="s">
        <v>1531</v>
      </c>
      <c r="H565" s="444" t="s">
        <v>1531</v>
      </c>
      <c r="I565" s="445" t="s">
        <v>1413</v>
      </c>
      <c r="J565" s="444" t="s">
        <v>1531</v>
      </c>
      <c r="K565" s="445" t="s">
        <v>1413</v>
      </c>
      <c r="L565" s="465" t="s">
        <v>1531</v>
      </c>
      <c r="M565" s="466" t="s">
        <v>1413</v>
      </c>
      <c r="N565" s="455">
        <v>2.7789999999999999</v>
      </c>
      <c r="O565" s="456" t="s">
        <v>1618</v>
      </c>
      <c r="P565" s="482" t="s">
        <v>1531</v>
      </c>
      <c r="Q565" s="482" t="s">
        <v>1531</v>
      </c>
      <c r="R565" s="483" t="s">
        <v>1413</v>
      </c>
      <c r="S565" s="473" t="s">
        <v>1531</v>
      </c>
      <c r="T565" s="474" t="s">
        <v>1413</v>
      </c>
      <c r="U565" s="473" t="s">
        <v>1531</v>
      </c>
      <c r="V565" s="474" t="s">
        <v>1413</v>
      </c>
      <c r="W565" s="501" t="s">
        <v>1531</v>
      </c>
      <c r="X565" s="502" t="s">
        <v>1413</v>
      </c>
      <c r="Y565" s="492" t="s">
        <v>1531</v>
      </c>
      <c r="Z565" s="493" t="s">
        <v>1413</v>
      </c>
      <c r="AA565" s="394">
        <v>1E-3</v>
      </c>
      <c r="AB565" s="395" t="s">
        <v>1668</v>
      </c>
      <c r="AC565" s="369"/>
    </row>
    <row r="566" spans="1:29" ht="20.100000000000001" customHeight="1" thickBot="1">
      <c r="A566" s="392" t="s">
        <v>2382</v>
      </c>
      <c r="B566" s="393" t="s">
        <v>1582</v>
      </c>
      <c r="C566" s="400">
        <f>COUNTIF('Chem Props'!$B$6:$B$851,'Parameters Summary'!A566)</f>
        <v>1</v>
      </c>
      <c r="D566" s="400">
        <f>COUNTIF('Tox Summary'!$N$3:$N$792, 'Parameters Summary'!A566)</f>
        <v>1</v>
      </c>
      <c r="E566" s="448" t="s">
        <v>1531</v>
      </c>
      <c r="F566" s="449" t="s">
        <v>1413</v>
      </c>
      <c r="G566" s="442" t="s">
        <v>1531</v>
      </c>
      <c r="H566" s="442" t="s">
        <v>1531</v>
      </c>
      <c r="I566" s="443" t="s">
        <v>1413</v>
      </c>
      <c r="J566" s="442" t="s">
        <v>1531</v>
      </c>
      <c r="K566" s="443" t="s">
        <v>1413</v>
      </c>
      <c r="L566" s="467" t="s">
        <v>1531</v>
      </c>
      <c r="M566" s="468" t="s">
        <v>1413</v>
      </c>
      <c r="N566" s="463" t="s">
        <v>1531</v>
      </c>
      <c r="O566" s="464" t="s">
        <v>1413</v>
      </c>
      <c r="P566" s="479" t="s">
        <v>1531</v>
      </c>
      <c r="Q566" s="479" t="s">
        <v>1531</v>
      </c>
      <c r="R566" s="480" t="s">
        <v>1413</v>
      </c>
      <c r="S566" s="477" t="s">
        <v>1531</v>
      </c>
      <c r="T566" s="478" t="s">
        <v>1413</v>
      </c>
      <c r="U566" s="477" t="s">
        <v>1531</v>
      </c>
      <c r="V566" s="478" t="s">
        <v>1413</v>
      </c>
      <c r="W566" s="499" t="s">
        <v>1531</v>
      </c>
      <c r="X566" s="500" t="s">
        <v>1413</v>
      </c>
      <c r="Y566" s="490" t="s">
        <v>1531</v>
      </c>
      <c r="Z566" s="491" t="s">
        <v>1413</v>
      </c>
      <c r="AA566" s="396">
        <v>1E-3</v>
      </c>
      <c r="AB566" s="397" t="s">
        <v>1668</v>
      </c>
      <c r="AC566" s="369"/>
    </row>
    <row r="567" spans="1:29" ht="20.100000000000001" customHeight="1">
      <c r="A567" s="390" t="s">
        <v>2383</v>
      </c>
      <c r="B567" s="391" t="s">
        <v>1583</v>
      </c>
      <c r="C567" s="400">
        <f>COUNTIF('Chem Props'!$B$6:$B$851,'Parameters Summary'!A567)</f>
        <v>1</v>
      </c>
      <c r="D567" s="400">
        <f>COUNTIF('Tox Summary'!$N$3:$N$792, 'Parameters Summary'!A567)</f>
        <v>1</v>
      </c>
      <c r="E567" s="434">
        <v>254.1</v>
      </c>
      <c r="F567" s="435" t="s">
        <v>1618</v>
      </c>
      <c r="G567" s="444" t="s">
        <v>1531</v>
      </c>
      <c r="H567" s="444" t="s">
        <v>1531</v>
      </c>
      <c r="I567" s="445" t="s">
        <v>1413</v>
      </c>
      <c r="J567" s="444" t="s">
        <v>1531</v>
      </c>
      <c r="K567" s="445" t="s">
        <v>1413</v>
      </c>
      <c r="L567" s="453">
        <v>1230</v>
      </c>
      <c r="M567" s="454" t="s">
        <v>1618</v>
      </c>
      <c r="N567" s="455">
        <v>3.09</v>
      </c>
      <c r="O567" s="456" t="s">
        <v>1618</v>
      </c>
      <c r="P567" s="482" t="s">
        <v>1531</v>
      </c>
      <c r="Q567" s="482" t="s">
        <v>1531</v>
      </c>
      <c r="R567" s="483" t="s">
        <v>1413</v>
      </c>
      <c r="S567" s="473" t="s">
        <v>1531</v>
      </c>
      <c r="T567" s="474" t="s">
        <v>1413</v>
      </c>
      <c r="U567" s="473" t="s">
        <v>1531</v>
      </c>
      <c r="V567" s="474" t="s">
        <v>1413</v>
      </c>
      <c r="W567" s="501" t="s">
        <v>1531</v>
      </c>
      <c r="X567" s="502" t="s">
        <v>1413</v>
      </c>
      <c r="Y567" s="492" t="s">
        <v>1531</v>
      </c>
      <c r="Z567" s="493" t="s">
        <v>1413</v>
      </c>
      <c r="AA567" s="394">
        <v>1E-3</v>
      </c>
      <c r="AB567" s="395" t="s">
        <v>1668</v>
      </c>
      <c r="AC567" s="369"/>
    </row>
    <row r="568" spans="1:29" ht="20.100000000000001" customHeight="1">
      <c r="A568" s="390" t="s">
        <v>2384</v>
      </c>
      <c r="B568" s="391" t="s">
        <v>1584</v>
      </c>
      <c r="C568" s="400">
        <f>COUNTIF('Chem Props'!$B$6:$B$851,'Parameters Summary'!A568)</f>
        <v>1</v>
      </c>
      <c r="D568" s="400">
        <f>COUNTIF('Tox Summary'!$N$3:$N$792, 'Parameters Summary'!A568)</f>
        <v>1</v>
      </c>
      <c r="E568" s="434">
        <v>132.06</v>
      </c>
      <c r="F568" s="435" t="s">
        <v>553</v>
      </c>
      <c r="G568" s="444" t="s">
        <v>1531</v>
      </c>
      <c r="H568" s="444" t="s">
        <v>1531</v>
      </c>
      <c r="I568" s="445" t="s">
        <v>1413</v>
      </c>
      <c r="J568" s="444" t="s">
        <v>1531</v>
      </c>
      <c r="K568" s="445" t="s">
        <v>1413</v>
      </c>
      <c r="L568" s="465" t="s">
        <v>1531</v>
      </c>
      <c r="M568" s="466" t="s">
        <v>1413</v>
      </c>
      <c r="N568" s="461" t="s">
        <v>1531</v>
      </c>
      <c r="O568" s="462" t="s">
        <v>1413</v>
      </c>
      <c r="P568" s="482" t="s">
        <v>1531</v>
      </c>
      <c r="Q568" s="482" t="s">
        <v>1531</v>
      </c>
      <c r="R568" s="483" t="s">
        <v>1413</v>
      </c>
      <c r="S568" s="473" t="s">
        <v>1531</v>
      </c>
      <c r="T568" s="474" t="s">
        <v>1413</v>
      </c>
      <c r="U568" s="473" t="s">
        <v>1531</v>
      </c>
      <c r="V568" s="474" t="s">
        <v>1413</v>
      </c>
      <c r="W568" s="501" t="s">
        <v>1531</v>
      </c>
      <c r="X568" s="502" t="s">
        <v>1413</v>
      </c>
      <c r="Y568" s="492" t="s">
        <v>1531</v>
      </c>
      <c r="Z568" s="493" t="s">
        <v>1413</v>
      </c>
      <c r="AA568" s="394">
        <v>1E-3</v>
      </c>
      <c r="AB568" s="395" t="s">
        <v>1668</v>
      </c>
      <c r="AC568" s="369"/>
    </row>
    <row r="569" spans="1:29" ht="20.100000000000001" customHeight="1" thickBot="1">
      <c r="A569" s="392" t="s">
        <v>2385</v>
      </c>
      <c r="B569" s="393" t="s">
        <v>1585</v>
      </c>
      <c r="C569" s="400">
        <f>COUNTIF('Chem Props'!$B$6:$B$851,'Parameters Summary'!A569)</f>
        <v>1</v>
      </c>
      <c r="D569" s="400">
        <f>COUNTIF('Tox Summary'!$N$3:$N$792, 'Parameters Summary'!A569)</f>
        <v>1</v>
      </c>
      <c r="E569" s="438">
        <v>136.06</v>
      </c>
      <c r="F569" s="439" t="s">
        <v>553</v>
      </c>
      <c r="G569" s="442" t="s">
        <v>1531</v>
      </c>
      <c r="H569" s="442" t="s">
        <v>1531</v>
      </c>
      <c r="I569" s="443" t="s">
        <v>1413</v>
      </c>
      <c r="J569" s="442" t="s">
        <v>1531</v>
      </c>
      <c r="K569" s="443" t="s">
        <v>1413</v>
      </c>
      <c r="L569" s="467" t="s">
        <v>1531</v>
      </c>
      <c r="M569" s="468" t="s">
        <v>1413</v>
      </c>
      <c r="N569" s="463" t="s">
        <v>1531</v>
      </c>
      <c r="O569" s="464" t="s">
        <v>1413</v>
      </c>
      <c r="P569" s="479" t="s">
        <v>1531</v>
      </c>
      <c r="Q569" s="479" t="s">
        <v>1531</v>
      </c>
      <c r="R569" s="480" t="s">
        <v>1413</v>
      </c>
      <c r="S569" s="477" t="s">
        <v>1531</v>
      </c>
      <c r="T569" s="478" t="s">
        <v>1413</v>
      </c>
      <c r="U569" s="477" t="s">
        <v>1531</v>
      </c>
      <c r="V569" s="478" t="s">
        <v>1413</v>
      </c>
      <c r="W569" s="499" t="s">
        <v>1531</v>
      </c>
      <c r="X569" s="500" t="s">
        <v>1413</v>
      </c>
      <c r="Y569" s="490" t="s">
        <v>1531</v>
      </c>
      <c r="Z569" s="491" t="s">
        <v>1413</v>
      </c>
      <c r="AA569" s="396">
        <v>1E-3</v>
      </c>
      <c r="AB569" s="397" t="s">
        <v>1668</v>
      </c>
      <c r="AC569" s="369"/>
    </row>
    <row r="570" spans="1:29" ht="20.100000000000001" customHeight="1">
      <c r="A570" s="390" t="s">
        <v>2386</v>
      </c>
      <c r="B570" s="391" t="s">
        <v>1586</v>
      </c>
      <c r="C570" s="400">
        <f>COUNTIF('Chem Props'!$B$6:$B$851,'Parameters Summary'!A570)</f>
        <v>1</v>
      </c>
      <c r="D570" s="400">
        <f>COUNTIF('Tox Summary'!$N$3:$N$792, 'Parameters Summary'!A570)</f>
        <v>1</v>
      </c>
      <c r="E570" s="434">
        <v>174.33</v>
      </c>
      <c r="F570" s="435" t="s">
        <v>1618</v>
      </c>
      <c r="G570" s="444" t="s">
        <v>1531</v>
      </c>
      <c r="H570" s="444" t="s">
        <v>1531</v>
      </c>
      <c r="I570" s="445" t="s">
        <v>1413</v>
      </c>
      <c r="J570" s="444" t="s">
        <v>1531</v>
      </c>
      <c r="K570" s="445" t="s">
        <v>1413</v>
      </c>
      <c r="L570" s="465" t="s">
        <v>1531</v>
      </c>
      <c r="M570" s="466" t="s">
        <v>1413</v>
      </c>
      <c r="N570" s="455">
        <v>2.1230000000000002</v>
      </c>
      <c r="O570" s="456" t="s">
        <v>1618</v>
      </c>
      <c r="P570" s="482" t="s">
        <v>1531</v>
      </c>
      <c r="Q570" s="482" t="s">
        <v>1531</v>
      </c>
      <c r="R570" s="483" t="s">
        <v>1413</v>
      </c>
      <c r="S570" s="473" t="s">
        <v>1531</v>
      </c>
      <c r="T570" s="474" t="s">
        <v>1413</v>
      </c>
      <c r="U570" s="473" t="s">
        <v>1531</v>
      </c>
      <c r="V570" s="474" t="s">
        <v>1413</v>
      </c>
      <c r="W570" s="501" t="s">
        <v>1531</v>
      </c>
      <c r="X570" s="502" t="s">
        <v>1413</v>
      </c>
      <c r="Y570" s="492" t="s">
        <v>1531</v>
      </c>
      <c r="Z570" s="493" t="s">
        <v>1413</v>
      </c>
      <c r="AA570" s="394">
        <v>1E-3</v>
      </c>
      <c r="AB570" s="395" t="s">
        <v>1668</v>
      </c>
      <c r="AC570" s="369"/>
    </row>
    <row r="571" spans="1:29" ht="20.100000000000001" customHeight="1">
      <c r="A571" s="390" t="s">
        <v>2387</v>
      </c>
      <c r="B571" s="391" t="s">
        <v>1587</v>
      </c>
      <c r="C571" s="400">
        <f>COUNTIF('Chem Props'!$B$6:$B$851,'Parameters Summary'!A571)</f>
        <v>1</v>
      </c>
      <c r="D571" s="400">
        <f>COUNTIF('Tox Summary'!$N$3:$N$792, 'Parameters Summary'!A571)</f>
        <v>1</v>
      </c>
      <c r="E571" s="434">
        <v>174.18</v>
      </c>
      <c r="F571" s="435" t="s">
        <v>553</v>
      </c>
      <c r="G571" s="444" t="s">
        <v>1531</v>
      </c>
      <c r="H571" s="444" t="s">
        <v>1531</v>
      </c>
      <c r="I571" s="445" t="s">
        <v>1413</v>
      </c>
      <c r="J571" s="444" t="s">
        <v>1531</v>
      </c>
      <c r="K571" s="445" t="s">
        <v>1413</v>
      </c>
      <c r="L571" s="465" t="s">
        <v>1531</v>
      </c>
      <c r="M571" s="466" t="s">
        <v>1413</v>
      </c>
      <c r="N571" s="461" t="s">
        <v>1531</v>
      </c>
      <c r="O571" s="462" t="s">
        <v>1413</v>
      </c>
      <c r="P571" s="482" t="s">
        <v>1531</v>
      </c>
      <c r="Q571" s="482" t="s">
        <v>1531</v>
      </c>
      <c r="R571" s="483" t="s">
        <v>1413</v>
      </c>
      <c r="S571" s="473" t="s">
        <v>1531</v>
      </c>
      <c r="T571" s="474" t="s">
        <v>1413</v>
      </c>
      <c r="U571" s="473" t="s">
        <v>1531</v>
      </c>
      <c r="V571" s="474" t="s">
        <v>1413</v>
      </c>
      <c r="W571" s="501" t="s">
        <v>1531</v>
      </c>
      <c r="X571" s="502" t="s">
        <v>1413</v>
      </c>
      <c r="Y571" s="492" t="s">
        <v>1531</v>
      </c>
      <c r="Z571" s="493" t="s">
        <v>1413</v>
      </c>
      <c r="AA571" s="394">
        <v>1E-3</v>
      </c>
      <c r="AB571" s="395" t="s">
        <v>1668</v>
      </c>
      <c r="AC571" s="369"/>
    </row>
    <row r="572" spans="1:29" ht="20.100000000000001" customHeight="1" thickBot="1">
      <c r="A572" s="392" t="s">
        <v>2388</v>
      </c>
      <c r="B572" s="393" t="s">
        <v>1588</v>
      </c>
      <c r="C572" s="400">
        <f>COUNTIF('Chem Props'!$B$6:$B$851,'Parameters Summary'!A572)</f>
        <v>1</v>
      </c>
      <c r="D572" s="400">
        <f>COUNTIF('Tox Summary'!$N$3:$N$792, 'Parameters Summary'!A572)</f>
        <v>1</v>
      </c>
      <c r="E572" s="438">
        <v>141.96</v>
      </c>
      <c r="F572" s="439" t="s">
        <v>553</v>
      </c>
      <c r="G572" s="442" t="s">
        <v>1531</v>
      </c>
      <c r="H572" s="442" t="s">
        <v>1531</v>
      </c>
      <c r="I572" s="443" t="s">
        <v>1413</v>
      </c>
      <c r="J572" s="442" t="s">
        <v>1531</v>
      </c>
      <c r="K572" s="443" t="s">
        <v>1413</v>
      </c>
      <c r="L572" s="467" t="s">
        <v>1531</v>
      </c>
      <c r="M572" s="468" t="s">
        <v>1413</v>
      </c>
      <c r="N572" s="463" t="s">
        <v>1531</v>
      </c>
      <c r="O572" s="464" t="s">
        <v>1413</v>
      </c>
      <c r="P572" s="479" t="s">
        <v>1531</v>
      </c>
      <c r="Q572" s="479" t="s">
        <v>1531</v>
      </c>
      <c r="R572" s="480" t="s">
        <v>1413</v>
      </c>
      <c r="S572" s="477" t="s">
        <v>1531</v>
      </c>
      <c r="T572" s="478" t="s">
        <v>1413</v>
      </c>
      <c r="U572" s="477" t="s">
        <v>1531</v>
      </c>
      <c r="V572" s="478" t="s">
        <v>1413</v>
      </c>
      <c r="W572" s="499" t="s">
        <v>1531</v>
      </c>
      <c r="X572" s="500" t="s">
        <v>1413</v>
      </c>
      <c r="Y572" s="490" t="s">
        <v>1531</v>
      </c>
      <c r="Z572" s="491" t="s">
        <v>1413</v>
      </c>
      <c r="AA572" s="396">
        <v>1E-3</v>
      </c>
      <c r="AB572" s="397" t="s">
        <v>1668</v>
      </c>
      <c r="AC572" s="369"/>
    </row>
    <row r="573" spans="1:29" ht="20.100000000000001" customHeight="1">
      <c r="A573" s="390" t="s">
        <v>2389</v>
      </c>
      <c r="B573" s="391" t="s">
        <v>1589</v>
      </c>
      <c r="C573" s="400">
        <f>COUNTIF('Chem Props'!$B$6:$B$851,'Parameters Summary'!A573)</f>
        <v>1</v>
      </c>
      <c r="D573" s="400">
        <f>COUNTIF('Tox Summary'!$N$3:$N$792, 'Parameters Summary'!A573)</f>
        <v>1</v>
      </c>
      <c r="E573" s="434">
        <v>317.94</v>
      </c>
      <c r="F573" s="435" t="s">
        <v>1618</v>
      </c>
      <c r="G573" s="444" t="s">
        <v>1531</v>
      </c>
      <c r="H573" s="444" t="s">
        <v>1531</v>
      </c>
      <c r="I573" s="445" t="s">
        <v>1413</v>
      </c>
      <c r="J573" s="444" t="s">
        <v>1531</v>
      </c>
      <c r="K573" s="445" t="s">
        <v>1413</v>
      </c>
      <c r="L573" s="465" t="s">
        <v>1531</v>
      </c>
      <c r="M573" s="466" t="s">
        <v>1413</v>
      </c>
      <c r="N573" s="461" t="s">
        <v>1531</v>
      </c>
      <c r="O573" s="462" t="s">
        <v>1413</v>
      </c>
      <c r="P573" s="482" t="s">
        <v>1531</v>
      </c>
      <c r="Q573" s="482" t="s">
        <v>1531</v>
      </c>
      <c r="R573" s="483" t="s">
        <v>1413</v>
      </c>
      <c r="S573" s="473" t="s">
        <v>1531</v>
      </c>
      <c r="T573" s="474" t="s">
        <v>1413</v>
      </c>
      <c r="U573" s="473" t="s">
        <v>1531</v>
      </c>
      <c r="V573" s="474" t="s">
        <v>1413</v>
      </c>
      <c r="W573" s="501" t="s">
        <v>1531</v>
      </c>
      <c r="X573" s="502" t="s">
        <v>1413</v>
      </c>
      <c r="Y573" s="492" t="s">
        <v>1531</v>
      </c>
      <c r="Z573" s="493" t="s">
        <v>1413</v>
      </c>
      <c r="AA573" s="394">
        <v>1E-3</v>
      </c>
      <c r="AB573" s="395" t="s">
        <v>1668</v>
      </c>
      <c r="AC573" s="369"/>
    </row>
    <row r="574" spans="1:29" ht="20.100000000000001" customHeight="1">
      <c r="A574" s="390" t="s">
        <v>2390</v>
      </c>
      <c r="B574" s="391" t="s">
        <v>1590</v>
      </c>
      <c r="C574" s="400">
        <f>COUNTIF('Chem Props'!$B$6:$B$851,'Parameters Summary'!A574)</f>
        <v>1</v>
      </c>
      <c r="D574" s="400">
        <f>COUNTIF('Tox Summary'!$N$3:$N$792, 'Parameters Summary'!A574)</f>
        <v>1</v>
      </c>
      <c r="E574" s="434">
        <v>115.03</v>
      </c>
      <c r="F574" s="435" t="s">
        <v>553</v>
      </c>
      <c r="G574" s="444" t="s">
        <v>1531</v>
      </c>
      <c r="H574" s="444" t="s">
        <v>1531</v>
      </c>
      <c r="I574" s="445" t="s">
        <v>1413</v>
      </c>
      <c r="J574" s="444" t="s">
        <v>1531</v>
      </c>
      <c r="K574" s="445" t="s">
        <v>1413</v>
      </c>
      <c r="L574" s="465" t="s">
        <v>1531</v>
      </c>
      <c r="M574" s="466" t="s">
        <v>1413</v>
      </c>
      <c r="N574" s="461" t="s">
        <v>1531</v>
      </c>
      <c r="O574" s="462" t="s">
        <v>1413</v>
      </c>
      <c r="P574" s="482" t="s">
        <v>1531</v>
      </c>
      <c r="Q574" s="482" t="s">
        <v>1531</v>
      </c>
      <c r="R574" s="483" t="s">
        <v>1413</v>
      </c>
      <c r="S574" s="473" t="s">
        <v>1531</v>
      </c>
      <c r="T574" s="474" t="s">
        <v>1413</v>
      </c>
      <c r="U574" s="473" t="s">
        <v>1531</v>
      </c>
      <c r="V574" s="474" t="s">
        <v>1413</v>
      </c>
      <c r="W574" s="501" t="s">
        <v>1531</v>
      </c>
      <c r="X574" s="502" t="s">
        <v>1413</v>
      </c>
      <c r="Y574" s="492" t="s">
        <v>1531</v>
      </c>
      <c r="Z574" s="493" t="s">
        <v>1413</v>
      </c>
      <c r="AA574" s="394">
        <v>1E-3</v>
      </c>
      <c r="AB574" s="395" t="s">
        <v>1668</v>
      </c>
      <c r="AC574" s="369"/>
    </row>
    <row r="575" spans="1:29" ht="20.100000000000001" customHeight="1" thickBot="1">
      <c r="A575" s="392" t="s">
        <v>2391</v>
      </c>
      <c r="B575" s="393" t="s">
        <v>1591</v>
      </c>
      <c r="C575" s="400">
        <f>COUNTIF('Chem Props'!$B$6:$B$851,'Parameters Summary'!A575)</f>
        <v>1</v>
      </c>
      <c r="D575" s="400">
        <f>COUNTIF('Tox Summary'!$N$3:$N$792, 'Parameters Summary'!A575)</f>
        <v>1</v>
      </c>
      <c r="E575" s="438">
        <v>234.05</v>
      </c>
      <c r="F575" s="439" t="s">
        <v>553</v>
      </c>
      <c r="G575" s="442" t="s">
        <v>1531</v>
      </c>
      <c r="H575" s="442" t="s">
        <v>1531</v>
      </c>
      <c r="I575" s="443" t="s">
        <v>1413</v>
      </c>
      <c r="J575" s="442" t="s">
        <v>1531</v>
      </c>
      <c r="K575" s="443" t="s">
        <v>1413</v>
      </c>
      <c r="L575" s="467" t="s">
        <v>1531</v>
      </c>
      <c r="M575" s="468" t="s">
        <v>1413</v>
      </c>
      <c r="N575" s="463" t="s">
        <v>1531</v>
      </c>
      <c r="O575" s="464" t="s">
        <v>1413</v>
      </c>
      <c r="P575" s="479" t="s">
        <v>1531</v>
      </c>
      <c r="Q575" s="479" t="s">
        <v>1531</v>
      </c>
      <c r="R575" s="480" t="s">
        <v>1413</v>
      </c>
      <c r="S575" s="477" t="s">
        <v>1531</v>
      </c>
      <c r="T575" s="478" t="s">
        <v>1413</v>
      </c>
      <c r="U575" s="477" t="s">
        <v>1531</v>
      </c>
      <c r="V575" s="478" t="s">
        <v>1413</v>
      </c>
      <c r="W575" s="499" t="s">
        <v>1531</v>
      </c>
      <c r="X575" s="500" t="s">
        <v>1413</v>
      </c>
      <c r="Y575" s="490" t="s">
        <v>1531</v>
      </c>
      <c r="Z575" s="491" t="s">
        <v>1413</v>
      </c>
      <c r="AA575" s="396">
        <v>1E-3</v>
      </c>
      <c r="AB575" s="397" t="s">
        <v>1668</v>
      </c>
      <c r="AC575" s="369"/>
    </row>
    <row r="576" spans="1:29" ht="20.100000000000001" customHeight="1">
      <c r="A576" s="390" t="s">
        <v>2392</v>
      </c>
      <c r="B576" s="391" t="s">
        <v>1592</v>
      </c>
      <c r="C576" s="400">
        <f>COUNTIF('Chem Props'!$B$6:$B$851,'Parameters Summary'!A576)</f>
        <v>1</v>
      </c>
      <c r="D576" s="400">
        <f>COUNTIF('Tox Summary'!$N$3:$N$792, 'Parameters Summary'!A576)</f>
        <v>1</v>
      </c>
      <c r="E576" s="434">
        <v>120.28</v>
      </c>
      <c r="F576" s="435" t="s">
        <v>1618</v>
      </c>
      <c r="G576" s="444" t="s">
        <v>1531</v>
      </c>
      <c r="H576" s="444" t="s">
        <v>1531</v>
      </c>
      <c r="I576" s="445" t="s">
        <v>1413</v>
      </c>
      <c r="J576" s="444" t="s">
        <v>1531</v>
      </c>
      <c r="K576" s="445" t="s">
        <v>1413</v>
      </c>
      <c r="L576" s="465" t="s">
        <v>1531</v>
      </c>
      <c r="M576" s="466" t="s">
        <v>1413</v>
      </c>
      <c r="N576" s="461" t="s">
        <v>1531</v>
      </c>
      <c r="O576" s="462" t="s">
        <v>1413</v>
      </c>
      <c r="P576" s="482" t="s">
        <v>1531</v>
      </c>
      <c r="Q576" s="482" t="s">
        <v>1531</v>
      </c>
      <c r="R576" s="483" t="s">
        <v>1413</v>
      </c>
      <c r="S576" s="473" t="s">
        <v>1531</v>
      </c>
      <c r="T576" s="474" t="s">
        <v>1413</v>
      </c>
      <c r="U576" s="473" t="s">
        <v>1531</v>
      </c>
      <c r="V576" s="474" t="s">
        <v>1413</v>
      </c>
      <c r="W576" s="501" t="s">
        <v>1531</v>
      </c>
      <c r="X576" s="502" t="s">
        <v>1413</v>
      </c>
      <c r="Y576" s="492" t="s">
        <v>1531</v>
      </c>
      <c r="Z576" s="493" t="s">
        <v>1413</v>
      </c>
      <c r="AA576" s="394">
        <v>1E-3</v>
      </c>
      <c r="AB576" s="395" t="s">
        <v>1668</v>
      </c>
      <c r="AC576" s="369"/>
    </row>
    <row r="577" spans="1:29" ht="20.100000000000001" customHeight="1">
      <c r="A577" s="390" t="s">
        <v>2393</v>
      </c>
      <c r="B577" s="391" t="s">
        <v>1593</v>
      </c>
      <c r="C577" s="400">
        <f>COUNTIF('Chem Props'!$B$6:$B$851,'Parameters Summary'!A577)</f>
        <v>1</v>
      </c>
      <c r="D577" s="400">
        <f>COUNTIF('Tox Summary'!$N$3:$N$792, 'Parameters Summary'!A577)</f>
        <v>1</v>
      </c>
      <c r="E577" s="434">
        <v>136.09</v>
      </c>
      <c r="F577" s="435" t="s">
        <v>553</v>
      </c>
      <c r="G577" s="444" t="s">
        <v>1531</v>
      </c>
      <c r="H577" s="444" t="s">
        <v>1531</v>
      </c>
      <c r="I577" s="445" t="s">
        <v>1413</v>
      </c>
      <c r="J577" s="444" t="s">
        <v>1531</v>
      </c>
      <c r="K577" s="445" t="s">
        <v>1413</v>
      </c>
      <c r="L577" s="465" t="s">
        <v>1531</v>
      </c>
      <c r="M577" s="466" t="s">
        <v>1413</v>
      </c>
      <c r="N577" s="461" t="s">
        <v>1531</v>
      </c>
      <c r="O577" s="462" t="s">
        <v>1413</v>
      </c>
      <c r="P577" s="482" t="s">
        <v>1531</v>
      </c>
      <c r="Q577" s="482" t="s">
        <v>1531</v>
      </c>
      <c r="R577" s="483" t="s">
        <v>1413</v>
      </c>
      <c r="S577" s="473" t="s">
        <v>1531</v>
      </c>
      <c r="T577" s="474" t="s">
        <v>1413</v>
      </c>
      <c r="U577" s="473" t="s">
        <v>1531</v>
      </c>
      <c r="V577" s="474" t="s">
        <v>1413</v>
      </c>
      <c r="W577" s="501" t="s">
        <v>1531</v>
      </c>
      <c r="X577" s="502" t="s">
        <v>1413</v>
      </c>
      <c r="Y577" s="492" t="s">
        <v>1531</v>
      </c>
      <c r="Z577" s="493" t="s">
        <v>1413</v>
      </c>
      <c r="AA577" s="394">
        <v>1E-3</v>
      </c>
      <c r="AB577" s="395" t="s">
        <v>1668</v>
      </c>
      <c r="AC577" s="369"/>
    </row>
    <row r="578" spans="1:29" ht="20.100000000000001" customHeight="1" thickBot="1">
      <c r="A578" s="392" t="s">
        <v>2360</v>
      </c>
      <c r="B578" s="393" t="s">
        <v>1594</v>
      </c>
      <c r="C578" s="400">
        <f>COUNTIF('Chem Props'!$B$6:$B$851,'Parameters Summary'!A578)</f>
        <v>1</v>
      </c>
      <c r="D578" s="400">
        <f>COUNTIF('Tox Summary'!$N$3:$N$792, 'Parameters Summary'!A578)</f>
        <v>1</v>
      </c>
      <c r="E578" s="438">
        <v>119.98</v>
      </c>
      <c r="F578" s="439" t="s">
        <v>1620</v>
      </c>
      <c r="G578" s="442" t="s">
        <v>1531</v>
      </c>
      <c r="H578" s="442" t="s">
        <v>1531</v>
      </c>
      <c r="I578" s="443" t="s">
        <v>1413</v>
      </c>
      <c r="J578" s="442" t="s">
        <v>1531</v>
      </c>
      <c r="K578" s="443" t="s">
        <v>1413</v>
      </c>
      <c r="L578" s="457">
        <v>60</v>
      </c>
      <c r="M578" s="458" t="s">
        <v>1620</v>
      </c>
      <c r="N578" s="463" t="s">
        <v>1531</v>
      </c>
      <c r="O578" s="464" t="s">
        <v>1413</v>
      </c>
      <c r="P578" s="479" t="s">
        <v>1531</v>
      </c>
      <c r="Q578" s="479" t="s">
        <v>1531</v>
      </c>
      <c r="R578" s="480" t="s">
        <v>1413</v>
      </c>
      <c r="S578" s="477" t="s">
        <v>1531</v>
      </c>
      <c r="T578" s="478" t="s">
        <v>1413</v>
      </c>
      <c r="U578" s="477" t="s">
        <v>1531</v>
      </c>
      <c r="V578" s="478" t="s">
        <v>1413</v>
      </c>
      <c r="W578" s="499" t="s">
        <v>1531</v>
      </c>
      <c r="X578" s="500" t="s">
        <v>1413</v>
      </c>
      <c r="Y578" s="488">
        <v>486900</v>
      </c>
      <c r="Z578" s="489" t="s">
        <v>1620</v>
      </c>
      <c r="AA578" s="396">
        <v>1E-3</v>
      </c>
      <c r="AB578" s="397" t="s">
        <v>1668</v>
      </c>
      <c r="AC578" s="370"/>
    </row>
    <row r="579" spans="1:29" ht="20.100000000000001" customHeight="1">
      <c r="A579" s="390" t="s">
        <v>2394</v>
      </c>
      <c r="B579" s="391" t="s">
        <v>1595</v>
      </c>
      <c r="C579" s="400">
        <f>COUNTIF('Chem Props'!$B$6:$B$851,'Parameters Summary'!A579)</f>
        <v>1</v>
      </c>
      <c r="D579" s="400">
        <f>COUNTIF('Tox Summary'!$N$3:$N$792, 'Parameters Summary'!A579)</f>
        <v>1</v>
      </c>
      <c r="E579" s="434">
        <v>257.95999999999998</v>
      </c>
      <c r="F579" s="435" t="s">
        <v>553</v>
      </c>
      <c r="G579" s="444" t="s">
        <v>1531</v>
      </c>
      <c r="H579" s="444" t="s">
        <v>1531</v>
      </c>
      <c r="I579" s="445" t="s">
        <v>1413</v>
      </c>
      <c r="J579" s="444" t="s">
        <v>1531</v>
      </c>
      <c r="K579" s="445" t="s">
        <v>1413</v>
      </c>
      <c r="L579" s="465" t="s">
        <v>1531</v>
      </c>
      <c r="M579" s="466" t="s">
        <v>1413</v>
      </c>
      <c r="N579" s="461" t="s">
        <v>1531</v>
      </c>
      <c r="O579" s="462" t="s">
        <v>1413</v>
      </c>
      <c r="P579" s="482" t="s">
        <v>1531</v>
      </c>
      <c r="Q579" s="482" t="s">
        <v>1531</v>
      </c>
      <c r="R579" s="483" t="s">
        <v>1413</v>
      </c>
      <c r="S579" s="473" t="s">
        <v>1531</v>
      </c>
      <c r="T579" s="474" t="s">
        <v>1413</v>
      </c>
      <c r="U579" s="473" t="s">
        <v>1531</v>
      </c>
      <c r="V579" s="474" t="s">
        <v>1413</v>
      </c>
      <c r="W579" s="501" t="s">
        <v>1531</v>
      </c>
      <c r="X579" s="502" t="s">
        <v>1413</v>
      </c>
      <c r="Y579" s="492" t="s">
        <v>1531</v>
      </c>
      <c r="Z579" s="493" t="s">
        <v>1413</v>
      </c>
      <c r="AA579" s="394">
        <v>1E-3</v>
      </c>
      <c r="AB579" s="395" t="s">
        <v>1668</v>
      </c>
      <c r="AC579" s="369"/>
    </row>
    <row r="580" spans="1:29" ht="20.100000000000001" customHeight="1">
      <c r="A580" s="390" t="s">
        <v>2395</v>
      </c>
      <c r="B580" s="391" t="s">
        <v>1596</v>
      </c>
      <c r="C580" s="400">
        <f>COUNTIF('Chem Props'!$B$6:$B$851,'Parameters Summary'!A580)</f>
        <v>1</v>
      </c>
      <c r="D580" s="400">
        <f>COUNTIF('Tox Summary'!$N$3:$N$792, 'Parameters Summary'!A580)</f>
        <v>1</v>
      </c>
      <c r="E580" s="434">
        <v>448.40679</v>
      </c>
      <c r="F580" s="435" t="s">
        <v>2199</v>
      </c>
      <c r="G580" s="444" t="s">
        <v>1531</v>
      </c>
      <c r="H580" s="444" t="s">
        <v>1531</v>
      </c>
      <c r="I580" s="445" t="s">
        <v>1413</v>
      </c>
      <c r="J580" s="444" t="s">
        <v>1531</v>
      </c>
      <c r="K580" s="445" t="s">
        <v>1413</v>
      </c>
      <c r="L580" s="465" t="s">
        <v>1531</v>
      </c>
      <c r="M580" s="466" t="s">
        <v>1413</v>
      </c>
      <c r="N580" s="461" t="s">
        <v>1531</v>
      </c>
      <c r="O580" s="462" t="s">
        <v>1413</v>
      </c>
      <c r="P580" s="482" t="s">
        <v>1531</v>
      </c>
      <c r="Q580" s="482" t="s">
        <v>1531</v>
      </c>
      <c r="R580" s="483" t="s">
        <v>1413</v>
      </c>
      <c r="S580" s="473" t="s">
        <v>1531</v>
      </c>
      <c r="T580" s="474" t="s">
        <v>1413</v>
      </c>
      <c r="U580" s="473" t="s">
        <v>1531</v>
      </c>
      <c r="V580" s="474" t="s">
        <v>1413</v>
      </c>
      <c r="W580" s="501" t="s">
        <v>1531</v>
      </c>
      <c r="X580" s="502" t="s">
        <v>1413</v>
      </c>
      <c r="Y580" s="492" t="s">
        <v>1531</v>
      </c>
      <c r="Z580" s="493" t="s">
        <v>1413</v>
      </c>
      <c r="AA580" s="394">
        <v>1E-3</v>
      </c>
      <c r="AB580" s="395" t="s">
        <v>1668</v>
      </c>
      <c r="AC580" s="369"/>
    </row>
    <row r="581" spans="1:29" ht="20.100000000000001" customHeight="1" thickBot="1">
      <c r="A581" s="392" t="s">
        <v>2396</v>
      </c>
      <c r="B581" s="393" t="s">
        <v>1597</v>
      </c>
      <c r="C581" s="400">
        <f>COUNTIF('Chem Props'!$B$6:$B$851,'Parameters Summary'!A581)</f>
        <v>1</v>
      </c>
      <c r="D581" s="400">
        <f>COUNTIF('Tox Summary'!$N$3:$N$792, 'Parameters Summary'!A581)</f>
        <v>1</v>
      </c>
      <c r="E581" s="438">
        <v>221.94</v>
      </c>
      <c r="F581" s="439" t="s">
        <v>553</v>
      </c>
      <c r="G581" s="442" t="s">
        <v>1531</v>
      </c>
      <c r="H581" s="442" t="s">
        <v>1531</v>
      </c>
      <c r="I581" s="443" t="s">
        <v>1413</v>
      </c>
      <c r="J581" s="442" t="s">
        <v>1531</v>
      </c>
      <c r="K581" s="443" t="s">
        <v>1413</v>
      </c>
      <c r="L581" s="467" t="s">
        <v>1531</v>
      </c>
      <c r="M581" s="468" t="s">
        <v>1413</v>
      </c>
      <c r="N581" s="463" t="s">
        <v>1531</v>
      </c>
      <c r="O581" s="464" t="s">
        <v>1413</v>
      </c>
      <c r="P581" s="479" t="s">
        <v>1531</v>
      </c>
      <c r="Q581" s="479" t="s">
        <v>1531</v>
      </c>
      <c r="R581" s="480" t="s">
        <v>1413</v>
      </c>
      <c r="S581" s="477" t="s">
        <v>1531</v>
      </c>
      <c r="T581" s="478" t="s">
        <v>1413</v>
      </c>
      <c r="U581" s="477" t="s">
        <v>1531</v>
      </c>
      <c r="V581" s="478" t="s">
        <v>1413</v>
      </c>
      <c r="W581" s="499" t="s">
        <v>1531</v>
      </c>
      <c r="X581" s="500" t="s">
        <v>1413</v>
      </c>
      <c r="Y581" s="490" t="s">
        <v>1531</v>
      </c>
      <c r="Z581" s="491" t="s">
        <v>1413</v>
      </c>
      <c r="AA581" s="396">
        <v>1E-3</v>
      </c>
      <c r="AB581" s="397" t="s">
        <v>1668</v>
      </c>
      <c r="AC581" s="369"/>
    </row>
    <row r="582" spans="1:29" ht="20.100000000000001" customHeight="1">
      <c r="A582" s="390" t="s">
        <v>2397</v>
      </c>
      <c r="B582" s="391" t="s">
        <v>1598</v>
      </c>
      <c r="C582" s="400">
        <f>COUNTIF('Chem Props'!$B$6:$B$851,'Parameters Summary'!A582)</f>
        <v>1</v>
      </c>
      <c r="D582" s="400">
        <f>COUNTIF('Tox Summary'!$N$3:$N$792, 'Parameters Summary'!A582)</f>
        <v>1</v>
      </c>
      <c r="E582" s="434">
        <v>144.94266999999999</v>
      </c>
      <c r="F582" s="435" t="s">
        <v>2199</v>
      </c>
      <c r="G582" s="444" t="s">
        <v>1531</v>
      </c>
      <c r="H582" s="444" t="s">
        <v>1531</v>
      </c>
      <c r="I582" s="445" t="s">
        <v>1413</v>
      </c>
      <c r="J582" s="444" t="s">
        <v>1531</v>
      </c>
      <c r="K582" s="445" t="s">
        <v>1413</v>
      </c>
      <c r="L582" s="465" t="s">
        <v>1531</v>
      </c>
      <c r="M582" s="466" t="s">
        <v>1413</v>
      </c>
      <c r="N582" s="461" t="s">
        <v>1531</v>
      </c>
      <c r="O582" s="462" t="s">
        <v>1413</v>
      </c>
      <c r="P582" s="482" t="s">
        <v>1531</v>
      </c>
      <c r="Q582" s="482" t="s">
        <v>1531</v>
      </c>
      <c r="R582" s="483" t="s">
        <v>1413</v>
      </c>
      <c r="S582" s="473" t="s">
        <v>1531</v>
      </c>
      <c r="T582" s="474" t="s">
        <v>1413</v>
      </c>
      <c r="U582" s="473" t="s">
        <v>1531</v>
      </c>
      <c r="V582" s="474" t="s">
        <v>1413</v>
      </c>
      <c r="W582" s="501" t="s">
        <v>1531</v>
      </c>
      <c r="X582" s="502" t="s">
        <v>1413</v>
      </c>
      <c r="Y582" s="492" t="s">
        <v>1531</v>
      </c>
      <c r="Z582" s="493" t="s">
        <v>1413</v>
      </c>
      <c r="AA582" s="394">
        <v>1E-3</v>
      </c>
      <c r="AB582" s="395" t="s">
        <v>1668</v>
      </c>
      <c r="AC582" s="369"/>
    </row>
    <row r="583" spans="1:29" ht="20.100000000000001" customHeight="1">
      <c r="A583" s="390" t="s">
        <v>2398</v>
      </c>
      <c r="B583" s="391" t="s">
        <v>1599</v>
      </c>
      <c r="C583" s="400">
        <f>COUNTIF('Chem Props'!$B$6:$B$851,'Parameters Summary'!A583)</f>
        <v>1</v>
      </c>
      <c r="D583" s="400">
        <f>COUNTIF('Tox Summary'!$N$3:$N$792, 'Parameters Summary'!A583)</f>
        <v>1</v>
      </c>
      <c r="E583" s="446" t="s">
        <v>1531</v>
      </c>
      <c r="F583" s="447" t="s">
        <v>1413</v>
      </c>
      <c r="G583" s="444" t="s">
        <v>1531</v>
      </c>
      <c r="H583" s="444" t="s">
        <v>1531</v>
      </c>
      <c r="I583" s="445" t="s">
        <v>1413</v>
      </c>
      <c r="J583" s="444" t="s">
        <v>1531</v>
      </c>
      <c r="K583" s="445" t="s">
        <v>1413</v>
      </c>
      <c r="L583" s="465" t="s">
        <v>1531</v>
      </c>
      <c r="M583" s="466" t="s">
        <v>1413</v>
      </c>
      <c r="N583" s="461" t="s">
        <v>1531</v>
      </c>
      <c r="O583" s="462" t="s">
        <v>1413</v>
      </c>
      <c r="P583" s="482" t="s">
        <v>1531</v>
      </c>
      <c r="Q583" s="482" t="s">
        <v>1531</v>
      </c>
      <c r="R583" s="483" t="s">
        <v>1413</v>
      </c>
      <c r="S583" s="473" t="s">
        <v>1531</v>
      </c>
      <c r="T583" s="474" t="s">
        <v>1413</v>
      </c>
      <c r="U583" s="473" t="s">
        <v>1531</v>
      </c>
      <c r="V583" s="474" t="s">
        <v>1413</v>
      </c>
      <c r="W583" s="501" t="s">
        <v>1531</v>
      </c>
      <c r="X583" s="502" t="s">
        <v>1413</v>
      </c>
      <c r="Y583" s="492" t="s">
        <v>1531</v>
      </c>
      <c r="Z583" s="493" t="s">
        <v>1413</v>
      </c>
      <c r="AA583" s="394">
        <v>1E-3</v>
      </c>
      <c r="AB583" s="395" t="s">
        <v>1668</v>
      </c>
      <c r="AC583" s="369"/>
    </row>
    <row r="584" spans="1:29" ht="20.100000000000001" customHeight="1" thickBot="1">
      <c r="A584" s="392" t="s">
        <v>2399</v>
      </c>
      <c r="B584" s="393" t="s">
        <v>1600</v>
      </c>
      <c r="C584" s="400">
        <f>COUNTIF('Chem Props'!$B$6:$B$851,'Parameters Summary'!A584)</f>
        <v>1</v>
      </c>
      <c r="D584" s="400">
        <f>COUNTIF('Tox Summary'!$N$3:$N$792, 'Parameters Summary'!A584)</f>
        <v>1</v>
      </c>
      <c r="E584" s="438">
        <v>949.88</v>
      </c>
      <c r="F584" s="439" t="s">
        <v>2471</v>
      </c>
      <c r="G584" s="442" t="s">
        <v>1531</v>
      </c>
      <c r="H584" s="442" t="s">
        <v>1531</v>
      </c>
      <c r="I584" s="443" t="s">
        <v>1413</v>
      </c>
      <c r="J584" s="442" t="s">
        <v>1531</v>
      </c>
      <c r="K584" s="443" t="s">
        <v>1413</v>
      </c>
      <c r="L584" s="467" t="s">
        <v>1531</v>
      </c>
      <c r="M584" s="468" t="s">
        <v>1413</v>
      </c>
      <c r="N584" s="463" t="s">
        <v>1531</v>
      </c>
      <c r="O584" s="464" t="s">
        <v>1413</v>
      </c>
      <c r="P584" s="479" t="s">
        <v>1531</v>
      </c>
      <c r="Q584" s="479" t="s">
        <v>1531</v>
      </c>
      <c r="R584" s="480" t="s">
        <v>1413</v>
      </c>
      <c r="S584" s="477" t="s">
        <v>1531</v>
      </c>
      <c r="T584" s="478" t="s">
        <v>1413</v>
      </c>
      <c r="U584" s="477" t="s">
        <v>1531</v>
      </c>
      <c r="V584" s="478" t="s">
        <v>1413</v>
      </c>
      <c r="W584" s="499" t="s">
        <v>1531</v>
      </c>
      <c r="X584" s="500" t="s">
        <v>1413</v>
      </c>
      <c r="Y584" s="490" t="s">
        <v>1531</v>
      </c>
      <c r="Z584" s="491" t="s">
        <v>1413</v>
      </c>
      <c r="AA584" s="396">
        <v>1E-3</v>
      </c>
      <c r="AB584" s="397" t="s">
        <v>1668</v>
      </c>
      <c r="AC584" s="369"/>
    </row>
    <row r="585" spans="1:29" ht="20.100000000000001" customHeight="1">
      <c r="A585" s="390" t="s">
        <v>2400</v>
      </c>
      <c r="B585" s="391" t="s">
        <v>1601</v>
      </c>
      <c r="C585" s="400">
        <f>COUNTIF('Chem Props'!$B$6:$B$851,'Parameters Summary'!A585)</f>
        <v>1</v>
      </c>
      <c r="D585" s="400">
        <f>COUNTIF('Tox Summary'!$N$3:$N$792, 'Parameters Summary'!A585)</f>
        <v>1</v>
      </c>
      <c r="E585" s="434">
        <v>611.16999999999996</v>
      </c>
      <c r="F585" s="435" t="s">
        <v>1618</v>
      </c>
      <c r="G585" s="444" t="s">
        <v>1531</v>
      </c>
      <c r="H585" s="444" t="s">
        <v>1531</v>
      </c>
      <c r="I585" s="445" t="s">
        <v>1413</v>
      </c>
      <c r="J585" s="444" t="s">
        <v>1531</v>
      </c>
      <c r="K585" s="445" t="s">
        <v>1413</v>
      </c>
      <c r="L585" s="465" t="s">
        <v>1531</v>
      </c>
      <c r="M585" s="466" t="s">
        <v>1413</v>
      </c>
      <c r="N585" s="461" t="s">
        <v>1531</v>
      </c>
      <c r="O585" s="462" t="s">
        <v>1413</v>
      </c>
      <c r="P585" s="482" t="s">
        <v>1531</v>
      </c>
      <c r="Q585" s="482" t="s">
        <v>1531</v>
      </c>
      <c r="R585" s="483" t="s">
        <v>1413</v>
      </c>
      <c r="S585" s="473" t="s">
        <v>1531</v>
      </c>
      <c r="T585" s="474" t="s">
        <v>1413</v>
      </c>
      <c r="U585" s="473" t="s">
        <v>1531</v>
      </c>
      <c r="V585" s="474" t="s">
        <v>1413</v>
      </c>
      <c r="W585" s="501" t="s">
        <v>1531</v>
      </c>
      <c r="X585" s="502" t="s">
        <v>1413</v>
      </c>
      <c r="Y585" s="492" t="s">
        <v>1531</v>
      </c>
      <c r="Z585" s="493" t="s">
        <v>1413</v>
      </c>
      <c r="AA585" s="394">
        <v>1E-3</v>
      </c>
      <c r="AB585" s="395" t="s">
        <v>1668</v>
      </c>
      <c r="AC585" s="369"/>
    </row>
    <row r="586" spans="1:29" ht="20.100000000000001" customHeight="1">
      <c r="A586" s="390" t="s">
        <v>2401</v>
      </c>
      <c r="B586" s="391" t="s">
        <v>1602</v>
      </c>
      <c r="C586" s="400">
        <f>COUNTIF('Chem Props'!$B$6:$B$851,'Parameters Summary'!A586)</f>
        <v>1</v>
      </c>
      <c r="D586" s="400">
        <f>COUNTIF('Tox Summary'!$N$3:$N$792, 'Parameters Summary'!A586)</f>
        <v>1</v>
      </c>
      <c r="E586" s="434">
        <v>359.92</v>
      </c>
      <c r="F586" s="435" t="s">
        <v>553</v>
      </c>
      <c r="G586" s="444" t="s">
        <v>1531</v>
      </c>
      <c r="H586" s="444" t="s">
        <v>1531</v>
      </c>
      <c r="I586" s="445" t="s">
        <v>1413</v>
      </c>
      <c r="J586" s="444" t="s">
        <v>1531</v>
      </c>
      <c r="K586" s="445" t="s">
        <v>1413</v>
      </c>
      <c r="L586" s="465" t="s">
        <v>1531</v>
      </c>
      <c r="M586" s="466" t="s">
        <v>1413</v>
      </c>
      <c r="N586" s="461" t="s">
        <v>1531</v>
      </c>
      <c r="O586" s="462" t="s">
        <v>1413</v>
      </c>
      <c r="P586" s="482" t="s">
        <v>1531</v>
      </c>
      <c r="Q586" s="482" t="s">
        <v>1531</v>
      </c>
      <c r="R586" s="483" t="s">
        <v>1413</v>
      </c>
      <c r="S586" s="473" t="s">
        <v>1531</v>
      </c>
      <c r="T586" s="474" t="s">
        <v>1413</v>
      </c>
      <c r="U586" s="473" t="s">
        <v>1531</v>
      </c>
      <c r="V586" s="474" t="s">
        <v>1413</v>
      </c>
      <c r="W586" s="501" t="s">
        <v>1531</v>
      </c>
      <c r="X586" s="502" t="s">
        <v>1413</v>
      </c>
      <c r="Y586" s="492" t="s">
        <v>1531</v>
      </c>
      <c r="Z586" s="493" t="s">
        <v>1413</v>
      </c>
      <c r="AA586" s="394">
        <v>1E-3</v>
      </c>
      <c r="AB586" s="395" t="s">
        <v>1668</v>
      </c>
      <c r="AC586" s="369"/>
    </row>
    <row r="587" spans="1:29" ht="20.100000000000001" customHeight="1" thickBot="1">
      <c r="A587" s="392" t="s">
        <v>2402</v>
      </c>
      <c r="B587" s="393" t="s">
        <v>1603</v>
      </c>
      <c r="C587" s="400">
        <f>COUNTIF('Chem Props'!$B$6:$B$851,'Parameters Summary'!A587)</f>
        <v>1</v>
      </c>
      <c r="D587" s="400">
        <f>COUNTIF('Tox Summary'!$N$3:$N$792, 'Parameters Summary'!A587)</f>
        <v>1</v>
      </c>
      <c r="E587" s="438">
        <v>305.89</v>
      </c>
      <c r="F587" s="439" t="s">
        <v>553</v>
      </c>
      <c r="G587" s="442" t="s">
        <v>1531</v>
      </c>
      <c r="H587" s="442" t="s">
        <v>1531</v>
      </c>
      <c r="I587" s="443" t="s">
        <v>1413</v>
      </c>
      <c r="J587" s="442" t="s">
        <v>1531</v>
      </c>
      <c r="K587" s="443" t="s">
        <v>1413</v>
      </c>
      <c r="L587" s="467" t="s">
        <v>1531</v>
      </c>
      <c r="M587" s="468" t="s">
        <v>1413</v>
      </c>
      <c r="N587" s="463" t="s">
        <v>1531</v>
      </c>
      <c r="O587" s="464" t="s">
        <v>1413</v>
      </c>
      <c r="P587" s="479" t="s">
        <v>1531</v>
      </c>
      <c r="Q587" s="479" t="s">
        <v>1531</v>
      </c>
      <c r="R587" s="480" t="s">
        <v>1413</v>
      </c>
      <c r="S587" s="477" t="s">
        <v>1531</v>
      </c>
      <c r="T587" s="478" t="s">
        <v>1413</v>
      </c>
      <c r="U587" s="477" t="s">
        <v>1531</v>
      </c>
      <c r="V587" s="478" t="s">
        <v>1413</v>
      </c>
      <c r="W587" s="499" t="s">
        <v>1531</v>
      </c>
      <c r="X587" s="500" t="s">
        <v>1413</v>
      </c>
      <c r="Y587" s="490" t="s">
        <v>1531</v>
      </c>
      <c r="Z587" s="491" t="s">
        <v>1413</v>
      </c>
      <c r="AA587" s="396">
        <v>1E-3</v>
      </c>
      <c r="AB587" s="397" t="s">
        <v>1668</v>
      </c>
      <c r="AC587" s="369"/>
    </row>
    <row r="588" spans="1:29" ht="20.100000000000001" customHeight="1">
      <c r="A588" s="390" t="s">
        <v>2403</v>
      </c>
      <c r="B588" s="391" t="s">
        <v>1604</v>
      </c>
      <c r="C588" s="400">
        <f>COUNTIF('Chem Props'!$B$6:$B$851,'Parameters Summary'!A588)</f>
        <v>1</v>
      </c>
      <c r="D588" s="400">
        <f>COUNTIF('Tox Summary'!$N$3:$N$792, 'Parameters Summary'!A588)</f>
        <v>1</v>
      </c>
      <c r="E588" s="434">
        <v>367.86</v>
      </c>
      <c r="F588" s="435" t="s">
        <v>553</v>
      </c>
      <c r="G588" s="444" t="s">
        <v>1531</v>
      </c>
      <c r="H588" s="444" t="s">
        <v>1531</v>
      </c>
      <c r="I588" s="445" t="s">
        <v>1413</v>
      </c>
      <c r="J588" s="444" t="s">
        <v>1531</v>
      </c>
      <c r="K588" s="445" t="s">
        <v>1413</v>
      </c>
      <c r="L588" s="465" t="s">
        <v>1531</v>
      </c>
      <c r="M588" s="466" t="s">
        <v>1413</v>
      </c>
      <c r="N588" s="461" t="s">
        <v>1531</v>
      </c>
      <c r="O588" s="462" t="s">
        <v>1413</v>
      </c>
      <c r="P588" s="482" t="s">
        <v>1531</v>
      </c>
      <c r="Q588" s="482" t="s">
        <v>1531</v>
      </c>
      <c r="R588" s="483" t="s">
        <v>1413</v>
      </c>
      <c r="S588" s="473" t="s">
        <v>1531</v>
      </c>
      <c r="T588" s="474" t="s">
        <v>1413</v>
      </c>
      <c r="U588" s="473" t="s">
        <v>1531</v>
      </c>
      <c r="V588" s="474" t="s">
        <v>1413</v>
      </c>
      <c r="W588" s="501" t="s">
        <v>1531</v>
      </c>
      <c r="X588" s="502" t="s">
        <v>1413</v>
      </c>
      <c r="Y588" s="492" t="s">
        <v>1531</v>
      </c>
      <c r="Z588" s="493" t="s">
        <v>1413</v>
      </c>
      <c r="AA588" s="394">
        <v>1E-3</v>
      </c>
      <c r="AB588" s="395" t="s">
        <v>1668</v>
      </c>
      <c r="AC588" s="369"/>
    </row>
    <row r="589" spans="1:29" ht="20.100000000000001" customHeight="1">
      <c r="A589" s="390" t="s">
        <v>2404</v>
      </c>
      <c r="B589" s="391" t="s">
        <v>1605</v>
      </c>
      <c r="C589" s="400">
        <f>COUNTIF('Chem Props'!$B$6:$B$851,'Parameters Summary'!A589)</f>
        <v>1</v>
      </c>
      <c r="D589" s="400">
        <f>COUNTIF('Tox Summary'!$N$3:$N$792, 'Parameters Summary'!A589)</f>
        <v>1</v>
      </c>
      <c r="E589" s="434">
        <v>330.35</v>
      </c>
      <c r="F589" s="435" t="s">
        <v>1620</v>
      </c>
      <c r="G589" s="444" t="s">
        <v>1531</v>
      </c>
      <c r="H589" s="444" t="s">
        <v>1531</v>
      </c>
      <c r="I589" s="445" t="s">
        <v>1413</v>
      </c>
      <c r="J589" s="444" t="s">
        <v>1531</v>
      </c>
      <c r="K589" s="445" t="s">
        <v>1413</v>
      </c>
      <c r="L589" s="465" t="s">
        <v>1531</v>
      </c>
      <c r="M589" s="466" t="s">
        <v>1413</v>
      </c>
      <c r="N589" s="461" t="s">
        <v>1531</v>
      </c>
      <c r="O589" s="462" t="s">
        <v>1413</v>
      </c>
      <c r="P589" s="482" t="s">
        <v>1531</v>
      </c>
      <c r="Q589" s="482" t="s">
        <v>1531</v>
      </c>
      <c r="R589" s="483" t="s">
        <v>1413</v>
      </c>
      <c r="S589" s="473" t="s">
        <v>1531</v>
      </c>
      <c r="T589" s="474" t="s">
        <v>1413</v>
      </c>
      <c r="U589" s="473" t="s">
        <v>1531</v>
      </c>
      <c r="V589" s="474" t="s">
        <v>1413</v>
      </c>
      <c r="W589" s="501" t="s">
        <v>1531</v>
      </c>
      <c r="X589" s="502" t="s">
        <v>1413</v>
      </c>
      <c r="Y589" s="492" t="s">
        <v>1531</v>
      </c>
      <c r="Z589" s="493" t="s">
        <v>1413</v>
      </c>
      <c r="AA589" s="394">
        <v>1E-3</v>
      </c>
      <c r="AB589" s="395" t="s">
        <v>1668</v>
      </c>
      <c r="AC589" s="369"/>
    </row>
    <row r="590" spans="1:29" ht="20.100000000000001" customHeight="1" thickBot="1">
      <c r="A590" s="392" t="s">
        <v>2361</v>
      </c>
      <c r="B590" s="393" t="s">
        <v>1606</v>
      </c>
      <c r="C590" s="400">
        <f>COUNTIF('Chem Props'!$B$6:$B$851,'Parameters Summary'!A590)</f>
        <v>1</v>
      </c>
      <c r="D590" s="400">
        <f>COUNTIF('Tox Summary'!$N$3:$N$792, 'Parameters Summary'!A590)</f>
        <v>1</v>
      </c>
      <c r="E590" s="438">
        <v>265.89999999999998</v>
      </c>
      <c r="F590" s="439" t="s">
        <v>1620</v>
      </c>
      <c r="G590" s="442" t="s">
        <v>1531</v>
      </c>
      <c r="H590" s="442" t="s">
        <v>1531</v>
      </c>
      <c r="I590" s="443" t="s">
        <v>1413</v>
      </c>
      <c r="J590" s="442" t="s">
        <v>1531</v>
      </c>
      <c r="K590" s="443" t="s">
        <v>1413</v>
      </c>
      <c r="L590" s="457">
        <v>79.5</v>
      </c>
      <c r="M590" s="458" t="s">
        <v>1620</v>
      </c>
      <c r="N590" s="463" t="s">
        <v>1531</v>
      </c>
      <c r="O590" s="464" t="s">
        <v>1413</v>
      </c>
      <c r="P590" s="479" t="s">
        <v>1531</v>
      </c>
      <c r="Q590" s="479" t="s">
        <v>1531</v>
      </c>
      <c r="R590" s="480" t="s">
        <v>1413</v>
      </c>
      <c r="S590" s="477" t="s">
        <v>1531</v>
      </c>
      <c r="T590" s="478" t="s">
        <v>1413</v>
      </c>
      <c r="U590" s="477" t="s">
        <v>1531</v>
      </c>
      <c r="V590" s="478" t="s">
        <v>1413</v>
      </c>
      <c r="W590" s="499" t="s">
        <v>1531</v>
      </c>
      <c r="X590" s="500" t="s">
        <v>1413</v>
      </c>
      <c r="Y590" s="488">
        <v>81400</v>
      </c>
      <c r="Z590" s="489" t="s">
        <v>1620</v>
      </c>
      <c r="AA590" s="396">
        <v>1E-3</v>
      </c>
      <c r="AB590" s="397" t="s">
        <v>1668</v>
      </c>
      <c r="AC590" s="370"/>
    </row>
    <row r="591" spans="1:29" ht="20.100000000000001" customHeight="1">
      <c r="A591" s="390" t="s">
        <v>2405</v>
      </c>
      <c r="B591" s="391" t="s">
        <v>1607</v>
      </c>
      <c r="C591" s="400">
        <f>COUNTIF('Chem Props'!$B$6:$B$851,'Parameters Summary'!A591)</f>
        <v>1</v>
      </c>
      <c r="D591" s="400">
        <f>COUNTIF('Tox Summary'!$N$3:$N$792, 'Parameters Summary'!A591)</f>
        <v>1</v>
      </c>
      <c r="E591" s="434">
        <v>887.89584000000002</v>
      </c>
      <c r="F591" s="435" t="s">
        <v>2199</v>
      </c>
      <c r="G591" s="444" t="s">
        <v>1531</v>
      </c>
      <c r="H591" s="444" t="s">
        <v>1531</v>
      </c>
      <c r="I591" s="445" t="s">
        <v>1413</v>
      </c>
      <c r="J591" s="444" t="s">
        <v>1531</v>
      </c>
      <c r="K591" s="445" t="s">
        <v>1413</v>
      </c>
      <c r="L591" s="465" t="s">
        <v>1531</v>
      </c>
      <c r="M591" s="466" t="s">
        <v>1413</v>
      </c>
      <c r="N591" s="461" t="s">
        <v>1531</v>
      </c>
      <c r="O591" s="462" t="s">
        <v>1413</v>
      </c>
      <c r="P591" s="482" t="s">
        <v>1531</v>
      </c>
      <c r="Q591" s="482" t="s">
        <v>1531</v>
      </c>
      <c r="R591" s="483" t="s">
        <v>1413</v>
      </c>
      <c r="S591" s="473" t="s">
        <v>1531</v>
      </c>
      <c r="T591" s="474" t="s">
        <v>1413</v>
      </c>
      <c r="U591" s="473" t="s">
        <v>1531</v>
      </c>
      <c r="V591" s="474" t="s">
        <v>1413</v>
      </c>
      <c r="W591" s="501" t="s">
        <v>1531</v>
      </c>
      <c r="X591" s="502" t="s">
        <v>1413</v>
      </c>
      <c r="Y591" s="492" t="s">
        <v>1531</v>
      </c>
      <c r="Z591" s="493" t="s">
        <v>1413</v>
      </c>
      <c r="AA591" s="394">
        <v>1E-3</v>
      </c>
      <c r="AB591" s="395" t="s">
        <v>1668</v>
      </c>
      <c r="AC591" s="370"/>
    </row>
    <row r="592" spans="1:29" ht="20.100000000000001" customHeight="1">
      <c r="A592" s="390" t="s">
        <v>2406</v>
      </c>
      <c r="B592" s="391" t="s">
        <v>1608</v>
      </c>
      <c r="C592" s="400">
        <f>COUNTIF('Chem Props'!$B$6:$B$851,'Parameters Summary'!A592)</f>
        <v>1</v>
      </c>
      <c r="D592" s="400">
        <f>COUNTIF('Tox Summary'!$N$3:$N$792, 'Parameters Summary'!A592)</f>
        <v>1</v>
      </c>
      <c r="E592" s="434">
        <v>310.18</v>
      </c>
      <c r="F592" s="435" t="s">
        <v>1618</v>
      </c>
      <c r="G592" s="444" t="s">
        <v>1531</v>
      </c>
      <c r="H592" s="444" t="s">
        <v>1531</v>
      </c>
      <c r="I592" s="445" t="s">
        <v>1413</v>
      </c>
      <c r="J592" s="444" t="s">
        <v>1531</v>
      </c>
      <c r="K592" s="445" t="s">
        <v>1413</v>
      </c>
      <c r="L592" s="453">
        <v>1670</v>
      </c>
      <c r="M592" s="454" t="s">
        <v>1618</v>
      </c>
      <c r="N592" s="455">
        <v>3.14</v>
      </c>
      <c r="O592" s="456" t="s">
        <v>1618</v>
      </c>
      <c r="P592" s="482" t="s">
        <v>1531</v>
      </c>
      <c r="Q592" s="482" t="s">
        <v>1531</v>
      </c>
      <c r="R592" s="483" t="s">
        <v>1413</v>
      </c>
      <c r="S592" s="473" t="s">
        <v>1531</v>
      </c>
      <c r="T592" s="474" t="s">
        <v>1413</v>
      </c>
      <c r="U592" s="473" t="s">
        <v>1531</v>
      </c>
      <c r="V592" s="474" t="s">
        <v>1413</v>
      </c>
      <c r="W592" s="501" t="s">
        <v>1531</v>
      </c>
      <c r="X592" s="502" t="s">
        <v>1413</v>
      </c>
      <c r="Y592" s="492" t="s">
        <v>1531</v>
      </c>
      <c r="Z592" s="493" t="s">
        <v>1413</v>
      </c>
      <c r="AA592" s="394">
        <v>1E-3</v>
      </c>
      <c r="AB592" s="395" t="s">
        <v>1668</v>
      </c>
      <c r="AC592" s="369"/>
    </row>
    <row r="593" spans="1:29" ht="20.100000000000001" customHeight="1" thickBot="1">
      <c r="A593" s="392" t="s">
        <v>2407</v>
      </c>
      <c r="B593" s="393" t="s">
        <v>1609</v>
      </c>
      <c r="C593" s="400">
        <f>COUNTIF('Chem Props'!$B$6:$B$851,'Parameters Summary'!A593)</f>
        <v>1</v>
      </c>
      <c r="D593" s="400">
        <f>COUNTIF('Tox Summary'!$N$3:$N$792, 'Parameters Summary'!A593)</f>
        <v>1</v>
      </c>
      <c r="E593" s="438">
        <v>262.86</v>
      </c>
      <c r="F593" s="439" t="s">
        <v>1618</v>
      </c>
      <c r="G593" s="442" t="s">
        <v>1531</v>
      </c>
      <c r="H593" s="442" t="s">
        <v>1531</v>
      </c>
      <c r="I593" s="443" t="s">
        <v>1413</v>
      </c>
      <c r="J593" s="442" t="s">
        <v>1531</v>
      </c>
      <c r="K593" s="443" t="s">
        <v>1413</v>
      </c>
      <c r="L593" s="457">
        <v>1184</v>
      </c>
      <c r="M593" s="458" t="s">
        <v>1618</v>
      </c>
      <c r="N593" s="463" t="s">
        <v>1531</v>
      </c>
      <c r="O593" s="464" t="s">
        <v>1413</v>
      </c>
      <c r="P593" s="479" t="s">
        <v>1531</v>
      </c>
      <c r="Q593" s="479" t="s">
        <v>1531</v>
      </c>
      <c r="R593" s="480" t="s">
        <v>1413</v>
      </c>
      <c r="S593" s="477" t="s">
        <v>1531</v>
      </c>
      <c r="T593" s="478" t="s">
        <v>1413</v>
      </c>
      <c r="U593" s="477" t="s">
        <v>1531</v>
      </c>
      <c r="V593" s="478" t="s">
        <v>1413</v>
      </c>
      <c r="W593" s="499" t="s">
        <v>1531</v>
      </c>
      <c r="X593" s="500" t="s">
        <v>1413</v>
      </c>
      <c r="Y593" s="490" t="s">
        <v>1531</v>
      </c>
      <c r="Z593" s="491" t="s">
        <v>1413</v>
      </c>
      <c r="AA593" s="396">
        <v>1E-3</v>
      </c>
      <c r="AB593" s="397" t="s">
        <v>1668</v>
      </c>
      <c r="AC593" s="369"/>
    </row>
    <row r="594" spans="1:29" ht="20.100000000000001" customHeight="1">
      <c r="A594" s="390" t="s">
        <v>2408</v>
      </c>
      <c r="B594" s="391" t="s">
        <v>1610</v>
      </c>
      <c r="C594" s="400">
        <f>COUNTIF('Chem Props'!$B$6:$B$851,'Parameters Summary'!A594)</f>
        <v>1</v>
      </c>
      <c r="D594" s="400">
        <f>COUNTIF('Tox Summary'!$N$3:$N$792, 'Parameters Summary'!A594)</f>
        <v>0</v>
      </c>
      <c r="E594" s="434">
        <v>212.27</v>
      </c>
      <c r="F594" s="435" t="s">
        <v>553</v>
      </c>
      <c r="G594" s="444" t="s">
        <v>1531</v>
      </c>
      <c r="H594" s="444" t="s">
        <v>1531</v>
      </c>
      <c r="I594" s="445" t="s">
        <v>1413</v>
      </c>
      <c r="J594" s="444" t="s">
        <v>1531</v>
      </c>
      <c r="K594" s="445" t="s">
        <v>1413</v>
      </c>
      <c r="L594" s="465" t="s">
        <v>1531</v>
      </c>
      <c r="M594" s="466" t="s">
        <v>1413</v>
      </c>
      <c r="N594" s="461" t="s">
        <v>1531</v>
      </c>
      <c r="O594" s="462" t="s">
        <v>1413</v>
      </c>
      <c r="P594" s="482" t="s">
        <v>1531</v>
      </c>
      <c r="Q594" s="482" t="s">
        <v>1531</v>
      </c>
      <c r="R594" s="483" t="s">
        <v>1413</v>
      </c>
      <c r="S594" s="473" t="s">
        <v>1531</v>
      </c>
      <c r="T594" s="474" t="s">
        <v>1413</v>
      </c>
      <c r="U594" s="473" t="s">
        <v>1531</v>
      </c>
      <c r="V594" s="474" t="s">
        <v>1413</v>
      </c>
      <c r="W594" s="501" t="s">
        <v>1531</v>
      </c>
      <c r="X594" s="502" t="s">
        <v>1413</v>
      </c>
      <c r="Y594" s="492" t="s">
        <v>1531</v>
      </c>
      <c r="Z594" s="493" t="s">
        <v>1413</v>
      </c>
      <c r="AA594" s="394">
        <v>1E-3</v>
      </c>
      <c r="AB594" s="395" t="s">
        <v>1668</v>
      </c>
      <c r="AC594" s="369"/>
    </row>
    <row r="595" spans="1:29" ht="20.100000000000001" customHeight="1">
      <c r="A595" s="390" t="s">
        <v>2362</v>
      </c>
      <c r="B595" s="391" t="s">
        <v>1611</v>
      </c>
      <c r="C595" s="400">
        <f>COUNTIF('Chem Props'!$B$6:$B$851,'Parameters Summary'!A595)</f>
        <v>1</v>
      </c>
      <c r="D595" s="400">
        <f>COUNTIF('Tox Summary'!$N$3:$N$792, 'Parameters Summary'!A595)</f>
        <v>0</v>
      </c>
      <c r="E595" s="434">
        <v>163.94</v>
      </c>
      <c r="F595" s="435" t="s">
        <v>1620</v>
      </c>
      <c r="G595" s="444" t="s">
        <v>1531</v>
      </c>
      <c r="H595" s="444" t="s">
        <v>1531</v>
      </c>
      <c r="I595" s="445" t="s">
        <v>1413</v>
      </c>
      <c r="J595" s="444" t="s">
        <v>1531</v>
      </c>
      <c r="K595" s="445" t="s">
        <v>1413</v>
      </c>
      <c r="L595" s="453">
        <v>75</v>
      </c>
      <c r="M595" s="454" t="s">
        <v>1620</v>
      </c>
      <c r="N595" s="461" t="s">
        <v>1531</v>
      </c>
      <c r="O595" s="462" t="s">
        <v>1413</v>
      </c>
      <c r="P595" s="482" t="s">
        <v>1531</v>
      </c>
      <c r="Q595" s="482" t="s">
        <v>1531</v>
      </c>
      <c r="R595" s="483" t="s">
        <v>1413</v>
      </c>
      <c r="S595" s="473" t="s">
        <v>1531</v>
      </c>
      <c r="T595" s="474" t="s">
        <v>1413</v>
      </c>
      <c r="U595" s="473" t="s">
        <v>1531</v>
      </c>
      <c r="V595" s="474" t="s">
        <v>1413</v>
      </c>
      <c r="W595" s="501" t="s">
        <v>1531</v>
      </c>
      <c r="X595" s="502" t="s">
        <v>1413</v>
      </c>
      <c r="Y595" s="492" t="s">
        <v>1531</v>
      </c>
      <c r="Z595" s="493" t="s">
        <v>1413</v>
      </c>
      <c r="AA595" s="394">
        <v>1E-3</v>
      </c>
      <c r="AB595" s="395" t="s">
        <v>1668</v>
      </c>
      <c r="AC595" s="369"/>
    </row>
    <row r="596" spans="1:29" ht="20.100000000000001" customHeight="1" thickBot="1">
      <c r="A596" s="392" t="s">
        <v>1298</v>
      </c>
      <c r="B596" s="393" t="s">
        <v>172</v>
      </c>
      <c r="C596" s="400">
        <f>COUNTIF('Chem Props'!$B$6:$B$851,'Parameters Summary'!A596)</f>
        <v>1</v>
      </c>
      <c r="D596" s="400">
        <f>COUNTIF('Tox Summary'!$N$3:$N$792, 'Parameters Summary'!A596)</f>
        <v>1</v>
      </c>
      <c r="E596" s="438">
        <v>33.997999999999998</v>
      </c>
      <c r="F596" s="439" t="s">
        <v>1620</v>
      </c>
      <c r="G596" s="440">
        <v>0.998</v>
      </c>
      <c r="H596" s="440">
        <v>2.4400000000000002E-2</v>
      </c>
      <c r="I596" s="441" t="s">
        <v>1620</v>
      </c>
      <c r="J596" s="440">
        <v>29300</v>
      </c>
      <c r="K596" s="441" t="s">
        <v>1620</v>
      </c>
      <c r="L596" s="457">
        <v>-133</v>
      </c>
      <c r="M596" s="458" t="s">
        <v>1620</v>
      </c>
      <c r="N596" s="459">
        <v>1.39</v>
      </c>
      <c r="O596" s="460" t="s">
        <v>1618</v>
      </c>
      <c r="P596" s="475">
        <v>0.1882017</v>
      </c>
      <c r="Q596" s="475">
        <v>2.23E-5</v>
      </c>
      <c r="R596" s="476" t="s">
        <v>2435</v>
      </c>
      <c r="S596" s="477" t="s">
        <v>1531</v>
      </c>
      <c r="T596" s="478" t="s">
        <v>1413</v>
      </c>
      <c r="U596" s="477" t="s">
        <v>1531</v>
      </c>
      <c r="V596" s="478" t="s">
        <v>1413</v>
      </c>
      <c r="W596" s="497">
        <v>-0.27</v>
      </c>
      <c r="X596" s="498" t="s">
        <v>1620</v>
      </c>
      <c r="Y596" s="488">
        <v>260000</v>
      </c>
      <c r="Z596" s="489" t="s">
        <v>1621</v>
      </c>
      <c r="AA596" s="396">
        <v>1E-3</v>
      </c>
      <c r="AB596" s="397" t="s">
        <v>1668</v>
      </c>
      <c r="AC596" s="369"/>
    </row>
    <row r="597" spans="1:29" ht="20.100000000000001" customHeight="1">
      <c r="A597" s="390" t="s">
        <v>1299</v>
      </c>
      <c r="B597" s="391" t="s">
        <v>173</v>
      </c>
      <c r="C597" s="400">
        <f>COUNTIF('Chem Props'!$B$6:$B$851,'Parameters Summary'!A597)</f>
        <v>1</v>
      </c>
      <c r="D597" s="400">
        <f>COUNTIF('Tox Summary'!$N$3:$N$792, 'Parameters Summary'!A597)</f>
        <v>1</v>
      </c>
      <c r="E597" s="434">
        <v>97.995000000000005</v>
      </c>
      <c r="F597" s="435" t="s">
        <v>1620</v>
      </c>
      <c r="G597" s="444" t="s">
        <v>1531</v>
      </c>
      <c r="H597" s="444" t="s">
        <v>1531</v>
      </c>
      <c r="I597" s="445" t="s">
        <v>1413</v>
      </c>
      <c r="J597" s="436">
        <v>0.03</v>
      </c>
      <c r="K597" s="437" t="s">
        <v>2204</v>
      </c>
      <c r="L597" s="453">
        <v>42.35</v>
      </c>
      <c r="M597" s="454" t="s">
        <v>1620</v>
      </c>
      <c r="N597" s="455">
        <v>1.8340000000000001</v>
      </c>
      <c r="O597" s="456" t="s">
        <v>1621</v>
      </c>
      <c r="P597" s="482" t="s">
        <v>1531</v>
      </c>
      <c r="Q597" s="482" t="s">
        <v>1531</v>
      </c>
      <c r="R597" s="483" t="s">
        <v>1413</v>
      </c>
      <c r="S597" s="473" t="s">
        <v>1531</v>
      </c>
      <c r="T597" s="474" t="s">
        <v>1413</v>
      </c>
      <c r="U597" s="473" t="s">
        <v>1531</v>
      </c>
      <c r="V597" s="474" t="s">
        <v>1413</v>
      </c>
      <c r="W597" s="501" t="s">
        <v>1531</v>
      </c>
      <c r="X597" s="502" t="s">
        <v>1413</v>
      </c>
      <c r="Y597" s="486">
        <v>5480000</v>
      </c>
      <c r="Z597" s="487" t="s">
        <v>1618</v>
      </c>
      <c r="AA597" s="394">
        <v>1E-3</v>
      </c>
      <c r="AB597" s="395" t="s">
        <v>1668</v>
      </c>
      <c r="AC597" s="369"/>
    </row>
    <row r="598" spans="1:29" ht="20.100000000000001" customHeight="1">
      <c r="A598" s="390" t="s">
        <v>1300</v>
      </c>
      <c r="B598" s="391" t="s">
        <v>174</v>
      </c>
      <c r="C598" s="400">
        <f>COUNTIF('Chem Props'!$B$6:$B$851,'Parameters Summary'!A598)</f>
        <v>1</v>
      </c>
      <c r="D598" s="400">
        <f>COUNTIF('Tox Summary'!$N$3:$N$792, 'Parameters Summary'!A598)</f>
        <v>1</v>
      </c>
      <c r="E598" s="434">
        <v>30.974</v>
      </c>
      <c r="F598" s="435" t="s">
        <v>1622</v>
      </c>
      <c r="G598" s="436">
        <v>8.5999999999999993E-2</v>
      </c>
      <c r="H598" s="436">
        <v>2.1099999999999999E-3</v>
      </c>
      <c r="I598" s="437" t="s">
        <v>2273</v>
      </c>
      <c r="J598" s="436">
        <v>2.5000000000000001E-2</v>
      </c>
      <c r="K598" s="437" t="s">
        <v>2273</v>
      </c>
      <c r="L598" s="453">
        <v>44.1</v>
      </c>
      <c r="M598" s="454" t="s">
        <v>2273</v>
      </c>
      <c r="N598" s="455">
        <v>1.82</v>
      </c>
      <c r="O598" s="456" t="s">
        <v>2273</v>
      </c>
      <c r="P598" s="471">
        <v>0.21936549999999999</v>
      </c>
      <c r="Q598" s="471">
        <v>2.7699999999999999E-5</v>
      </c>
      <c r="R598" s="472" t="s">
        <v>2435</v>
      </c>
      <c r="S598" s="484">
        <v>3.5</v>
      </c>
      <c r="T598" s="484" t="s">
        <v>2155</v>
      </c>
      <c r="U598" s="484">
        <v>1122</v>
      </c>
      <c r="V598" s="484" t="s">
        <v>2273</v>
      </c>
      <c r="W598" s="495">
        <v>3.08</v>
      </c>
      <c r="X598" s="496" t="s">
        <v>2273</v>
      </c>
      <c r="Y598" s="486">
        <v>3</v>
      </c>
      <c r="Z598" s="487" t="s">
        <v>2273</v>
      </c>
      <c r="AA598" s="394">
        <v>1E-3</v>
      </c>
      <c r="AB598" s="395" t="s">
        <v>1668</v>
      </c>
      <c r="AC598" s="369"/>
    </row>
    <row r="599" spans="1:29" ht="20.100000000000001" customHeight="1" thickBot="1">
      <c r="A599" s="392" t="s">
        <v>2048</v>
      </c>
      <c r="B599" s="393" t="s">
        <v>1413</v>
      </c>
      <c r="C599" s="400">
        <f>COUNTIF('Chem Props'!$B$6:$B$851,'Parameters Summary'!A599)</f>
        <v>0</v>
      </c>
      <c r="D599" s="400">
        <f>COUNTIF('Tox Summary'!$N$3:$N$792, 'Parameters Summary'!A599)</f>
        <v>1</v>
      </c>
      <c r="E599" s="448" t="s">
        <v>1531</v>
      </c>
      <c r="F599" s="449" t="s">
        <v>1413</v>
      </c>
      <c r="G599" s="442" t="s">
        <v>1531</v>
      </c>
      <c r="H599" s="442" t="s">
        <v>1531</v>
      </c>
      <c r="I599" s="443" t="s">
        <v>1413</v>
      </c>
      <c r="J599" s="442" t="s">
        <v>1531</v>
      </c>
      <c r="K599" s="443" t="s">
        <v>1413</v>
      </c>
      <c r="L599" s="467" t="s">
        <v>1531</v>
      </c>
      <c r="M599" s="468" t="s">
        <v>1413</v>
      </c>
      <c r="N599" s="463" t="s">
        <v>1531</v>
      </c>
      <c r="O599" s="464" t="s">
        <v>1413</v>
      </c>
      <c r="P599" s="479" t="s">
        <v>1531</v>
      </c>
      <c r="Q599" s="479" t="s">
        <v>1531</v>
      </c>
      <c r="R599" s="480" t="s">
        <v>1413</v>
      </c>
      <c r="S599" s="477" t="s">
        <v>1531</v>
      </c>
      <c r="T599" s="478" t="s">
        <v>1413</v>
      </c>
      <c r="U599" s="477" t="s">
        <v>1531</v>
      </c>
      <c r="V599" s="478" t="s">
        <v>1413</v>
      </c>
      <c r="W599" s="499" t="s">
        <v>1531</v>
      </c>
      <c r="X599" s="500" t="s">
        <v>1413</v>
      </c>
      <c r="Y599" s="490" t="s">
        <v>1531</v>
      </c>
      <c r="Z599" s="491" t="s">
        <v>1413</v>
      </c>
      <c r="AA599" s="399" t="s">
        <v>1531</v>
      </c>
      <c r="AB599" s="505" t="s">
        <v>1413</v>
      </c>
      <c r="AC599" s="369"/>
    </row>
    <row r="600" spans="1:29" ht="20.100000000000001" customHeight="1">
      <c r="A600" s="390" t="s">
        <v>2340</v>
      </c>
      <c r="B600" s="391" t="s">
        <v>699</v>
      </c>
      <c r="C600" s="400">
        <f>COUNTIF('Chem Props'!$B$6:$B$851,'Parameters Summary'!A600)</f>
        <v>1</v>
      </c>
      <c r="D600" s="400">
        <f>COUNTIF('Tox Summary'!$N$3:$N$792, 'Parameters Summary'!A600)</f>
        <v>1</v>
      </c>
      <c r="E600" s="434">
        <v>390.57</v>
      </c>
      <c r="F600" s="435" t="s">
        <v>1620</v>
      </c>
      <c r="G600" s="436">
        <v>1.1E-5</v>
      </c>
      <c r="H600" s="436">
        <v>2.7000000000000001E-7</v>
      </c>
      <c r="I600" s="437" t="s">
        <v>553</v>
      </c>
      <c r="J600" s="436">
        <v>1.42E-7</v>
      </c>
      <c r="K600" s="437" t="s">
        <v>1620</v>
      </c>
      <c r="L600" s="453">
        <v>-55</v>
      </c>
      <c r="M600" s="454" t="s">
        <v>1620</v>
      </c>
      <c r="N600" s="455">
        <v>0.98099999999999998</v>
      </c>
      <c r="O600" s="456" t="s">
        <v>1618</v>
      </c>
      <c r="P600" s="471">
        <v>1.7340299999999999E-2</v>
      </c>
      <c r="Q600" s="471">
        <v>4.1806999999999996E-6</v>
      </c>
      <c r="R600" s="472" t="s">
        <v>2435</v>
      </c>
      <c r="S600" s="473" t="s">
        <v>1531</v>
      </c>
      <c r="T600" s="474" t="s">
        <v>1413</v>
      </c>
      <c r="U600" s="484">
        <v>119600</v>
      </c>
      <c r="V600" s="484" t="s">
        <v>553</v>
      </c>
      <c r="W600" s="495">
        <v>7.6</v>
      </c>
      <c r="X600" s="496" t="s">
        <v>1620</v>
      </c>
      <c r="Y600" s="486">
        <v>0.27</v>
      </c>
      <c r="Z600" s="487" t="s">
        <v>1620</v>
      </c>
      <c r="AA600" s="394">
        <v>1.1299999999999999</v>
      </c>
      <c r="AB600" s="395" t="s">
        <v>553</v>
      </c>
      <c r="AC600" s="369"/>
    </row>
    <row r="601" spans="1:29" ht="20.100000000000001" customHeight="1">
      <c r="A601" s="390" t="s">
        <v>2302</v>
      </c>
      <c r="B601" s="391" t="s">
        <v>715</v>
      </c>
      <c r="C601" s="400">
        <f>COUNTIF('Chem Props'!$B$6:$B$851,'Parameters Summary'!A601)</f>
        <v>1</v>
      </c>
      <c r="D601" s="400">
        <f>COUNTIF('Tox Summary'!$N$3:$N$792, 'Parameters Summary'!A601)</f>
        <v>1</v>
      </c>
      <c r="E601" s="434">
        <v>312.37</v>
      </c>
      <c r="F601" s="435" t="s">
        <v>1620</v>
      </c>
      <c r="G601" s="436">
        <v>5.1499999999999998E-5</v>
      </c>
      <c r="H601" s="436">
        <v>1.26E-6</v>
      </c>
      <c r="I601" s="437" t="s">
        <v>553</v>
      </c>
      <c r="J601" s="436">
        <v>8.2500000000000006E-6</v>
      </c>
      <c r="K601" s="437" t="s">
        <v>1620</v>
      </c>
      <c r="L601" s="453">
        <v>-35</v>
      </c>
      <c r="M601" s="454" t="s">
        <v>2199</v>
      </c>
      <c r="N601" s="455">
        <v>1.119</v>
      </c>
      <c r="O601" s="456" t="s">
        <v>1618</v>
      </c>
      <c r="P601" s="471">
        <v>2.08319E-2</v>
      </c>
      <c r="Q601" s="471">
        <v>5.1733000000000001E-6</v>
      </c>
      <c r="R601" s="472" t="s">
        <v>2435</v>
      </c>
      <c r="S601" s="473" t="s">
        <v>1531</v>
      </c>
      <c r="T601" s="474" t="s">
        <v>1413</v>
      </c>
      <c r="U601" s="484">
        <v>7155</v>
      </c>
      <c r="V601" s="484" t="s">
        <v>553</v>
      </c>
      <c r="W601" s="495">
        <v>4.7300000000000004</v>
      </c>
      <c r="X601" s="496" t="s">
        <v>1620</v>
      </c>
      <c r="Y601" s="486">
        <v>2.69</v>
      </c>
      <c r="Z601" s="487" t="s">
        <v>1620</v>
      </c>
      <c r="AA601" s="394">
        <v>3.85E-2</v>
      </c>
      <c r="AB601" s="395" t="s">
        <v>553</v>
      </c>
      <c r="AC601" s="369"/>
    </row>
    <row r="602" spans="1:29" ht="20.100000000000001" customHeight="1" thickBot="1">
      <c r="A602" s="392" t="s">
        <v>2341</v>
      </c>
      <c r="B602" s="393" t="s">
        <v>719</v>
      </c>
      <c r="C602" s="400">
        <f>COUNTIF('Chem Props'!$B$6:$B$851,'Parameters Summary'!A602)</f>
        <v>1</v>
      </c>
      <c r="D602" s="400">
        <f>COUNTIF('Tox Summary'!$N$3:$N$792, 'Parameters Summary'!A602)</f>
        <v>1</v>
      </c>
      <c r="E602" s="438">
        <v>336.39</v>
      </c>
      <c r="F602" s="439" t="s">
        <v>1620</v>
      </c>
      <c r="G602" s="440">
        <v>8.4219E-7</v>
      </c>
      <c r="H602" s="440">
        <v>2.0599999999999999E-8</v>
      </c>
      <c r="I602" s="441" t="s">
        <v>1620</v>
      </c>
      <c r="J602" s="440">
        <v>7.0700000000000001E-6</v>
      </c>
      <c r="K602" s="441" t="s">
        <v>1620</v>
      </c>
      <c r="L602" s="457">
        <v>-35</v>
      </c>
      <c r="M602" s="458" t="s">
        <v>1620</v>
      </c>
      <c r="N602" s="459">
        <v>1.1000000000000001</v>
      </c>
      <c r="O602" s="460" t="s">
        <v>1619</v>
      </c>
      <c r="P602" s="475">
        <v>1.98663E-2</v>
      </c>
      <c r="Q602" s="475">
        <v>4.8977999999999999E-6</v>
      </c>
      <c r="R602" s="476" t="s">
        <v>2435</v>
      </c>
      <c r="S602" s="477" t="s">
        <v>1531</v>
      </c>
      <c r="T602" s="478" t="s">
        <v>1413</v>
      </c>
      <c r="U602" s="481">
        <v>11240</v>
      </c>
      <c r="V602" s="481" t="s">
        <v>553</v>
      </c>
      <c r="W602" s="497">
        <v>4.1500000000000004</v>
      </c>
      <c r="X602" s="498" t="s">
        <v>1620</v>
      </c>
      <c r="Y602" s="488">
        <v>8.8000000000000007</v>
      </c>
      <c r="Z602" s="489" t="s">
        <v>1620</v>
      </c>
      <c r="AA602" s="396">
        <v>1.1599999999999999E-2</v>
      </c>
      <c r="AB602" s="397" t="s">
        <v>553</v>
      </c>
      <c r="AC602" s="369"/>
    </row>
    <row r="603" spans="1:29" ht="20.100000000000001" customHeight="1">
      <c r="A603" s="390" t="s">
        <v>2342</v>
      </c>
      <c r="B603" s="391" t="s">
        <v>823</v>
      </c>
      <c r="C603" s="400">
        <f>COUNTIF('Chem Props'!$B$6:$B$851,'Parameters Summary'!A603)</f>
        <v>1</v>
      </c>
      <c r="D603" s="400">
        <f>COUNTIF('Tox Summary'!$N$3:$N$792, 'Parameters Summary'!A603)</f>
        <v>1</v>
      </c>
      <c r="E603" s="434">
        <v>278.35000000000002</v>
      </c>
      <c r="F603" s="435" t="s">
        <v>1620</v>
      </c>
      <c r="G603" s="436">
        <v>7.3999999999999996E-5</v>
      </c>
      <c r="H603" s="436">
        <v>1.81E-6</v>
      </c>
      <c r="I603" s="437" t="s">
        <v>1620</v>
      </c>
      <c r="J603" s="436">
        <v>2.0100000000000001E-5</v>
      </c>
      <c r="K603" s="437" t="s">
        <v>1620</v>
      </c>
      <c r="L603" s="453">
        <v>-35</v>
      </c>
      <c r="M603" s="454" t="s">
        <v>1620</v>
      </c>
      <c r="N603" s="455">
        <v>1.0465</v>
      </c>
      <c r="O603" s="456" t="s">
        <v>1618</v>
      </c>
      <c r="P603" s="471">
        <v>2.1436199999999999E-2</v>
      </c>
      <c r="Q603" s="471">
        <v>5.3255000000000001E-6</v>
      </c>
      <c r="R603" s="472" t="s">
        <v>2435</v>
      </c>
      <c r="S603" s="473" t="s">
        <v>1531</v>
      </c>
      <c r="T603" s="474" t="s">
        <v>1413</v>
      </c>
      <c r="U603" s="484">
        <v>1157</v>
      </c>
      <c r="V603" s="484" t="s">
        <v>553</v>
      </c>
      <c r="W603" s="495">
        <v>4.5</v>
      </c>
      <c r="X603" s="496" t="s">
        <v>1620</v>
      </c>
      <c r="Y603" s="486">
        <v>11.2</v>
      </c>
      <c r="Z603" s="487" t="s">
        <v>1620</v>
      </c>
      <c r="AA603" s="394">
        <v>4.2000000000000003E-2</v>
      </c>
      <c r="AB603" s="395" t="s">
        <v>553</v>
      </c>
      <c r="AC603" s="369"/>
    </row>
    <row r="604" spans="1:29" ht="20.100000000000001" customHeight="1">
      <c r="A604" s="390" t="s">
        <v>2343</v>
      </c>
      <c r="B604" s="391" t="s">
        <v>850</v>
      </c>
      <c r="C604" s="400">
        <f>COUNTIF('Chem Props'!$B$6:$B$851,'Parameters Summary'!A604)</f>
        <v>1</v>
      </c>
      <c r="D604" s="400">
        <f>COUNTIF('Tox Summary'!$N$3:$N$792, 'Parameters Summary'!A604)</f>
        <v>1</v>
      </c>
      <c r="E604" s="434">
        <v>222.24</v>
      </c>
      <c r="F604" s="435" t="s">
        <v>1620</v>
      </c>
      <c r="G604" s="436">
        <v>2.4899999999999999E-5</v>
      </c>
      <c r="H604" s="436">
        <v>6.0999999999999998E-7</v>
      </c>
      <c r="I604" s="437" t="s">
        <v>553</v>
      </c>
      <c r="J604" s="436">
        <v>2.0999999999999999E-3</v>
      </c>
      <c r="K604" s="437" t="s">
        <v>1620</v>
      </c>
      <c r="L604" s="453">
        <v>-40.5</v>
      </c>
      <c r="M604" s="454" t="s">
        <v>1620</v>
      </c>
      <c r="N604" s="455">
        <v>1.232</v>
      </c>
      <c r="O604" s="456" t="s">
        <v>1618</v>
      </c>
      <c r="P604" s="471">
        <v>2.6074099999999999E-2</v>
      </c>
      <c r="Q604" s="471">
        <v>6.7227E-6</v>
      </c>
      <c r="R604" s="472" t="s">
        <v>2435</v>
      </c>
      <c r="S604" s="473" t="s">
        <v>1531</v>
      </c>
      <c r="T604" s="474" t="s">
        <v>1413</v>
      </c>
      <c r="U604" s="484">
        <v>104.9</v>
      </c>
      <c r="V604" s="484" t="s">
        <v>553</v>
      </c>
      <c r="W604" s="495">
        <v>2.42</v>
      </c>
      <c r="X604" s="496" t="s">
        <v>1620</v>
      </c>
      <c r="Y604" s="486">
        <v>1080</v>
      </c>
      <c r="Z604" s="487" t="s">
        <v>1620</v>
      </c>
      <c r="AA604" s="394">
        <v>3.5999999999999999E-3</v>
      </c>
      <c r="AB604" s="395" t="s">
        <v>553</v>
      </c>
      <c r="AC604" s="369"/>
    </row>
    <row r="605" spans="1:29" ht="20.100000000000001" customHeight="1" thickBot="1">
      <c r="A605" s="392" t="s">
        <v>2331</v>
      </c>
      <c r="B605" s="393" t="s">
        <v>876</v>
      </c>
      <c r="C605" s="400">
        <f>COUNTIF('Chem Props'!$B$6:$B$851,'Parameters Summary'!A605)</f>
        <v>1</v>
      </c>
      <c r="D605" s="400">
        <f>COUNTIF('Tox Summary'!$N$3:$N$792, 'Parameters Summary'!A605)</f>
        <v>1</v>
      </c>
      <c r="E605" s="438">
        <v>194.19</v>
      </c>
      <c r="F605" s="439" t="s">
        <v>1620</v>
      </c>
      <c r="G605" s="440">
        <v>5.4783000000000002E-3</v>
      </c>
      <c r="H605" s="440">
        <v>1.34E-4</v>
      </c>
      <c r="I605" s="441" t="s">
        <v>553</v>
      </c>
      <c r="J605" s="440">
        <v>0.01</v>
      </c>
      <c r="K605" s="441" t="s">
        <v>1620</v>
      </c>
      <c r="L605" s="457">
        <v>141</v>
      </c>
      <c r="M605" s="458" t="s">
        <v>1620</v>
      </c>
      <c r="N605" s="459">
        <v>1.075</v>
      </c>
      <c r="O605" s="460" t="s">
        <v>1618</v>
      </c>
      <c r="P605" s="475">
        <v>2.85329E-2</v>
      </c>
      <c r="Q605" s="475">
        <v>6.7170999999999996E-6</v>
      </c>
      <c r="R605" s="476" t="s">
        <v>2435</v>
      </c>
      <c r="S605" s="477" t="s">
        <v>1531</v>
      </c>
      <c r="T605" s="478" t="s">
        <v>1413</v>
      </c>
      <c r="U605" s="481">
        <v>30.96</v>
      </c>
      <c r="V605" s="481" t="s">
        <v>553</v>
      </c>
      <c r="W605" s="497">
        <v>2.25</v>
      </c>
      <c r="X605" s="498" t="s">
        <v>1620</v>
      </c>
      <c r="Y605" s="488">
        <v>19</v>
      </c>
      <c r="Z605" s="489" t="s">
        <v>1620</v>
      </c>
      <c r="AA605" s="396">
        <v>3.9899999999999996E-3</v>
      </c>
      <c r="AB605" s="397" t="s">
        <v>553</v>
      </c>
      <c r="AC605" s="369"/>
    </row>
    <row r="606" spans="1:29" ht="20.100000000000001" customHeight="1">
      <c r="A606" s="390" t="s">
        <v>2344</v>
      </c>
      <c r="B606" s="391" t="s">
        <v>2001</v>
      </c>
      <c r="C606" s="400">
        <f>COUNTIF('Chem Props'!$B$6:$B$851,'Parameters Summary'!A606)</f>
        <v>1</v>
      </c>
      <c r="D606" s="400">
        <f>COUNTIF('Tox Summary'!$N$3:$N$792, 'Parameters Summary'!A606)</f>
        <v>1</v>
      </c>
      <c r="E606" s="434">
        <v>390.57</v>
      </c>
      <c r="F606" s="435" t="s">
        <v>1620</v>
      </c>
      <c r="G606" s="436">
        <v>1.0509999999999999E-4</v>
      </c>
      <c r="H606" s="436">
        <v>2.57E-6</v>
      </c>
      <c r="I606" s="437" t="s">
        <v>553</v>
      </c>
      <c r="J606" s="436">
        <v>9.9999999999999995E-8</v>
      </c>
      <c r="K606" s="437" t="s">
        <v>1620</v>
      </c>
      <c r="L606" s="453">
        <v>25</v>
      </c>
      <c r="M606" s="454" t="s">
        <v>1620</v>
      </c>
      <c r="N606" s="461" t="s">
        <v>1531</v>
      </c>
      <c r="O606" s="462" t="s">
        <v>1413</v>
      </c>
      <c r="P606" s="471">
        <v>3.5559399999999998E-2</v>
      </c>
      <c r="Q606" s="471">
        <v>4.1547999999999996E-6</v>
      </c>
      <c r="R606" s="472" t="s">
        <v>2435</v>
      </c>
      <c r="S606" s="473" t="s">
        <v>1531</v>
      </c>
      <c r="T606" s="474" t="s">
        <v>1413</v>
      </c>
      <c r="U606" s="484">
        <v>140800</v>
      </c>
      <c r="V606" s="484" t="s">
        <v>553</v>
      </c>
      <c r="W606" s="495">
        <v>8.1</v>
      </c>
      <c r="X606" s="496" t="s">
        <v>1620</v>
      </c>
      <c r="Y606" s="486">
        <v>2.1999999999999999E-2</v>
      </c>
      <c r="Z606" s="487" t="s">
        <v>1620</v>
      </c>
      <c r="AA606" s="394">
        <v>2.4300000000000002</v>
      </c>
      <c r="AB606" s="395" t="s">
        <v>553</v>
      </c>
      <c r="AC606" s="369"/>
    </row>
    <row r="607" spans="1:29" ht="20.100000000000001" customHeight="1">
      <c r="A607" s="390" t="s">
        <v>2345</v>
      </c>
      <c r="B607" s="391" t="s">
        <v>175</v>
      </c>
      <c r="C607" s="400">
        <f>COUNTIF('Chem Props'!$B$6:$B$851,'Parameters Summary'!A607)</f>
        <v>1</v>
      </c>
      <c r="D607" s="400">
        <f>COUNTIF('Tox Summary'!$N$3:$N$792, 'Parameters Summary'!A607)</f>
        <v>1</v>
      </c>
      <c r="E607" s="434">
        <v>166.13</v>
      </c>
      <c r="F607" s="435" t="s">
        <v>1620</v>
      </c>
      <c r="G607" s="436">
        <v>1.5860000000000001E-11</v>
      </c>
      <c r="H607" s="436">
        <v>3.8800000000000001E-13</v>
      </c>
      <c r="I607" s="437" t="s">
        <v>1620</v>
      </c>
      <c r="J607" s="436">
        <v>9.2E-6</v>
      </c>
      <c r="K607" s="437" t="s">
        <v>553</v>
      </c>
      <c r="L607" s="453">
        <v>402</v>
      </c>
      <c r="M607" s="454" t="s">
        <v>1619</v>
      </c>
      <c r="N607" s="455">
        <v>1.51</v>
      </c>
      <c r="O607" s="456" t="s">
        <v>1621</v>
      </c>
      <c r="P607" s="471">
        <v>4.8722700000000001E-2</v>
      </c>
      <c r="Q607" s="471">
        <v>9.0445999999999998E-6</v>
      </c>
      <c r="R607" s="472" t="s">
        <v>2435</v>
      </c>
      <c r="S607" s="473" t="s">
        <v>1531</v>
      </c>
      <c r="T607" s="474" t="s">
        <v>1413</v>
      </c>
      <c r="U607" s="484">
        <v>79.239999999999995</v>
      </c>
      <c r="V607" s="484" t="s">
        <v>553</v>
      </c>
      <c r="W607" s="495">
        <v>2</v>
      </c>
      <c r="X607" s="496" t="s">
        <v>1620</v>
      </c>
      <c r="Y607" s="486">
        <v>15</v>
      </c>
      <c r="Z607" s="487" t="s">
        <v>1620</v>
      </c>
      <c r="AA607" s="394">
        <v>3.9100000000000003E-3</v>
      </c>
      <c r="AB607" s="395" t="s">
        <v>553</v>
      </c>
      <c r="AC607" s="369"/>
    </row>
    <row r="608" spans="1:29" ht="20.100000000000001" customHeight="1" thickBot="1">
      <c r="A608" s="392" t="s">
        <v>2346</v>
      </c>
      <c r="B608" s="393" t="s">
        <v>176</v>
      </c>
      <c r="C608" s="400">
        <f>COUNTIF('Chem Props'!$B$6:$B$851,'Parameters Summary'!A608)</f>
        <v>1</v>
      </c>
      <c r="D608" s="400">
        <f>COUNTIF('Tox Summary'!$N$3:$N$792, 'Parameters Summary'!A608)</f>
        <v>1</v>
      </c>
      <c r="E608" s="438">
        <v>148.12</v>
      </c>
      <c r="F608" s="439" t="s">
        <v>1620</v>
      </c>
      <c r="G608" s="440">
        <v>6.6639000000000003E-7</v>
      </c>
      <c r="H608" s="440">
        <v>1.63E-8</v>
      </c>
      <c r="I608" s="441" t="s">
        <v>553</v>
      </c>
      <c r="J608" s="440">
        <v>5.1699999999999999E-4</v>
      </c>
      <c r="K608" s="441" t="s">
        <v>553</v>
      </c>
      <c r="L608" s="457">
        <v>130.80000000000001</v>
      </c>
      <c r="M608" s="458" t="s">
        <v>1620</v>
      </c>
      <c r="N608" s="459">
        <v>1.5269999999999999</v>
      </c>
      <c r="O608" s="460" t="s">
        <v>1618</v>
      </c>
      <c r="P608" s="475">
        <v>5.9479499999999998E-2</v>
      </c>
      <c r="Q608" s="475">
        <v>9.7544999999999995E-6</v>
      </c>
      <c r="R608" s="476" t="s">
        <v>2435</v>
      </c>
      <c r="S608" s="477" t="s">
        <v>1531</v>
      </c>
      <c r="T608" s="478" t="s">
        <v>1413</v>
      </c>
      <c r="U608" s="481">
        <v>10</v>
      </c>
      <c r="V608" s="481" t="s">
        <v>553</v>
      </c>
      <c r="W608" s="497">
        <v>1.6</v>
      </c>
      <c r="X608" s="498" t="s">
        <v>1620</v>
      </c>
      <c r="Y608" s="488">
        <v>6200</v>
      </c>
      <c r="Z608" s="489" t="s">
        <v>1620</v>
      </c>
      <c r="AA608" s="396">
        <v>2.6700000000000001E-3</v>
      </c>
      <c r="AB608" s="397" t="s">
        <v>553</v>
      </c>
      <c r="AC608" s="369"/>
    </row>
    <row r="609" spans="1:29" ht="20.100000000000001" customHeight="1">
      <c r="A609" s="390" t="s">
        <v>1301</v>
      </c>
      <c r="B609" s="391" t="s">
        <v>177</v>
      </c>
      <c r="C609" s="400">
        <f>COUNTIF('Chem Props'!$B$6:$B$851,'Parameters Summary'!A609)</f>
        <v>1</v>
      </c>
      <c r="D609" s="400">
        <f>COUNTIF('Tox Summary'!$N$3:$N$792, 'Parameters Summary'!A609)</f>
        <v>1</v>
      </c>
      <c r="E609" s="434">
        <v>241.46</v>
      </c>
      <c r="F609" s="435" t="s">
        <v>1620</v>
      </c>
      <c r="G609" s="436">
        <v>2.1789999999999999E-12</v>
      </c>
      <c r="H609" s="436">
        <v>5.3299999999999998E-14</v>
      </c>
      <c r="I609" s="437" t="s">
        <v>553</v>
      </c>
      <c r="J609" s="436">
        <v>7.2100000000000002E-11</v>
      </c>
      <c r="K609" s="437" t="s">
        <v>1620</v>
      </c>
      <c r="L609" s="453">
        <v>218.5</v>
      </c>
      <c r="M609" s="454" t="s">
        <v>1620</v>
      </c>
      <c r="N609" s="461" t="s">
        <v>1531</v>
      </c>
      <c r="O609" s="462" t="s">
        <v>1413</v>
      </c>
      <c r="P609" s="471">
        <v>4.8999300000000003E-2</v>
      </c>
      <c r="Q609" s="471">
        <v>5.7251999999999998E-6</v>
      </c>
      <c r="R609" s="472" t="s">
        <v>2435</v>
      </c>
      <c r="S609" s="473" t="s">
        <v>1531</v>
      </c>
      <c r="T609" s="474" t="s">
        <v>1413</v>
      </c>
      <c r="U609" s="484">
        <v>38.770000000000003</v>
      </c>
      <c r="V609" s="484" t="s">
        <v>553</v>
      </c>
      <c r="W609" s="495">
        <v>1.9</v>
      </c>
      <c r="X609" s="496" t="s">
        <v>1620</v>
      </c>
      <c r="Y609" s="486">
        <v>430</v>
      </c>
      <c r="Z609" s="487" t="s">
        <v>1620</v>
      </c>
      <c r="AA609" s="394">
        <v>1.2700000000000001E-3</v>
      </c>
      <c r="AB609" s="395" t="s">
        <v>553</v>
      </c>
      <c r="AC609" s="369"/>
    </row>
    <row r="610" spans="1:29" ht="20.100000000000001" customHeight="1">
      <c r="A610" s="390" t="s">
        <v>541</v>
      </c>
      <c r="B610" s="391" t="s">
        <v>178</v>
      </c>
      <c r="C610" s="400">
        <f>COUNTIF('Chem Props'!$B$6:$B$851,'Parameters Summary'!A610)</f>
        <v>1</v>
      </c>
      <c r="D610" s="400">
        <f>COUNTIF('Tox Summary'!$N$3:$N$792, 'Parameters Summary'!A610)</f>
        <v>1</v>
      </c>
      <c r="E610" s="434">
        <v>199.12</v>
      </c>
      <c r="F610" s="435" t="s">
        <v>1620</v>
      </c>
      <c r="G610" s="436">
        <v>3.986E-10</v>
      </c>
      <c r="H610" s="436">
        <v>9.7500000000000003E-12</v>
      </c>
      <c r="I610" s="437" t="s">
        <v>1620</v>
      </c>
      <c r="J610" s="436">
        <v>4.1600000000000002E-7</v>
      </c>
      <c r="K610" s="437" t="s">
        <v>1620</v>
      </c>
      <c r="L610" s="453">
        <v>169</v>
      </c>
      <c r="M610" s="454" t="s">
        <v>1620</v>
      </c>
      <c r="N610" s="461" t="s">
        <v>1531</v>
      </c>
      <c r="O610" s="462" t="s">
        <v>1413</v>
      </c>
      <c r="P610" s="471">
        <v>5.5719900000000003E-2</v>
      </c>
      <c r="Q610" s="471">
        <v>6.5104000000000004E-6</v>
      </c>
      <c r="R610" s="472" t="s">
        <v>2435</v>
      </c>
      <c r="S610" s="473" t="s">
        <v>1531</v>
      </c>
      <c r="T610" s="474" t="s">
        <v>1413</v>
      </c>
      <c r="U610" s="484">
        <v>226.5</v>
      </c>
      <c r="V610" s="484" t="s">
        <v>553</v>
      </c>
      <c r="W610" s="495">
        <v>0.93</v>
      </c>
      <c r="X610" s="496" t="s">
        <v>1620</v>
      </c>
      <c r="Y610" s="486">
        <v>1400</v>
      </c>
      <c r="Z610" s="487" t="s">
        <v>1620</v>
      </c>
      <c r="AA610" s="394">
        <v>4.9600000000000002E-4</v>
      </c>
      <c r="AB610" s="395" t="s">
        <v>553</v>
      </c>
      <c r="AC610" s="369"/>
    </row>
    <row r="611" spans="1:29" ht="20.100000000000001" customHeight="1" thickBot="1">
      <c r="A611" s="392" t="s">
        <v>2286</v>
      </c>
      <c r="B611" s="393" t="s">
        <v>2285</v>
      </c>
      <c r="C611" s="400">
        <f>COUNTIF('Chem Props'!$B$6:$B$851,'Parameters Summary'!A611)</f>
        <v>1</v>
      </c>
      <c r="D611" s="400">
        <f>COUNTIF('Tox Summary'!$N$3:$N$792, 'Parameters Summary'!A611)</f>
        <v>1</v>
      </c>
      <c r="E611" s="438">
        <v>229.11</v>
      </c>
      <c r="F611" s="439" t="s">
        <v>1620</v>
      </c>
      <c r="G611" s="440">
        <v>6.9499999999999998E-10</v>
      </c>
      <c r="H611" s="440">
        <v>1.6999999999999999E-11</v>
      </c>
      <c r="I611" s="441" t="s">
        <v>553</v>
      </c>
      <c r="J611" s="440">
        <v>7.5000000000000002E-7</v>
      </c>
      <c r="K611" s="441" t="s">
        <v>1620</v>
      </c>
      <c r="L611" s="457">
        <v>122.5</v>
      </c>
      <c r="M611" s="458" t="s">
        <v>1620</v>
      </c>
      <c r="N611" s="459">
        <v>1.7629999999999999</v>
      </c>
      <c r="O611" s="460" t="s">
        <v>1621</v>
      </c>
      <c r="P611" s="475">
        <v>3.02364E-2</v>
      </c>
      <c r="Q611" s="475">
        <v>8.1845999999999995E-6</v>
      </c>
      <c r="R611" s="476" t="s">
        <v>2435</v>
      </c>
      <c r="S611" s="477" t="s">
        <v>1531</v>
      </c>
      <c r="T611" s="478" t="s">
        <v>1413</v>
      </c>
      <c r="U611" s="481">
        <v>2251</v>
      </c>
      <c r="V611" s="481" t="s">
        <v>553</v>
      </c>
      <c r="W611" s="497">
        <v>1.44</v>
      </c>
      <c r="X611" s="498" t="s">
        <v>1620</v>
      </c>
      <c r="Y611" s="488">
        <v>12700</v>
      </c>
      <c r="Z611" s="489" t="s">
        <v>1620</v>
      </c>
      <c r="AA611" s="396">
        <v>6.2100000000000002E-4</v>
      </c>
      <c r="AB611" s="397" t="s">
        <v>553</v>
      </c>
      <c r="AC611" s="369"/>
    </row>
    <row r="612" spans="1:29" ht="20.100000000000001" customHeight="1">
      <c r="A612" s="390" t="s">
        <v>1302</v>
      </c>
      <c r="B612" s="391" t="s">
        <v>179</v>
      </c>
      <c r="C612" s="400">
        <f>COUNTIF('Chem Props'!$B$6:$B$851,'Parameters Summary'!A612)</f>
        <v>1</v>
      </c>
      <c r="D612" s="400">
        <f>COUNTIF('Tox Summary'!$N$3:$N$792, 'Parameters Summary'!A612)</f>
        <v>1</v>
      </c>
      <c r="E612" s="434">
        <v>305.33999999999997</v>
      </c>
      <c r="F612" s="435" t="s">
        <v>1620</v>
      </c>
      <c r="G612" s="436">
        <v>2.87E-5</v>
      </c>
      <c r="H612" s="436">
        <v>7.0100000000000004E-7</v>
      </c>
      <c r="I612" s="437" t="s">
        <v>553</v>
      </c>
      <c r="J612" s="436">
        <v>1.5E-5</v>
      </c>
      <c r="K612" s="437" t="s">
        <v>1620</v>
      </c>
      <c r="L612" s="453">
        <v>15</v>
      </c>
      <c r="M612" s="454" t="s">
        <v>1620</v>
      </c>
      <c r="N612" s="455">
        <v>1.17</v>
      </c>
      <c r="O612" s="456" t="s">
        <v>1618</v>
      </c>
      <c r="P612" s="471">
        <v>2.1541999999999999E-2</v>
      </c>
      <c r="Q612" s="471">
        <v>5.3866000000000002E-6</v>
      </c>
      <c r="R612" s="472" t="s">
        <v>2435</v>
      </c>
      <c r="S612" s="473" t="s">
        <v>1531</v>
      </c>
      <c r="T612" s="474" t="s">
        <v>1413</v>
      </c>
      <c r="U612" s="484">
        <v>374.7</v>
      </c>
      <c r="V612" s="484" t="s">
        <v>553</v>
      </c>
      <c r="W612" s="495">
        <v>4.2</v>
      </c>
      <c r="X612" s="496" t="s">
        <v>1620</v>
      </c>
      <c r="Y612" s="486">
        <v>8.6</v>
      </c>
      <c r="Z612" s="487" t="s">
        <v>1620</v>
      </c>
      <c r="AA612" s="394">
        <v>1.8700000000000001E-2</v>
      </c>
      <c r="AB612" s="395" t="s">
        <v>553</v>
      </c>
      <c r="AC612" s="369"/>
    </row>
    <row r="613" spans="1:29" ht="20.100000000000001" customHeight="1">
      <c r="A613" s="390" t="s">
        <v>1303</v>
      </c>
      <c r="B613" s="391" t="s">
        <v>180</v>
      </c>
      <c r="C613" s="400">
        <f>COUNTIF('Chem Props'!$B$6:$B$851,'Parameters Summary'!A613)</f>
        <v>1</v>
      </c>
      <c r="D613" s="400">
        <f>COUNTIF('Tox Summary'!$N$3:$N$792, 'Parameters Summary'!A613)</f>
        <v>1</v>
      </c>
      <c r="E613" s="446" t="s">
        <v>1531</v>
      </c>
      <c r="F613" s="447" t="s">
        <v>1413</v>
      </c>
      <c r="G613" s="444" t="s">
        <v>1531</v>
      </c>
      <c r="H613" s="444" t="s">
        <v>1531</v>
      </c>
      <c r="I613" s="445" t="s">
        <v>1413</v>
      </c>
      <c r="J613" s="444" t="s">
        <v>1531</v>
      </c>
      <c r="K613" s="445" t="s">
        <v>1413</v>
      </c>
      <c r="L613" s="465" t="s">
        <v>1531</v>
      </c>
      <c r="M613" s="466" t="s">
        <v>1413</v>
      </c>
      <c r="N613" s="461" t="s">
        <v>1531</v>
      </c>
      <c r="O613" s="462" t="s">
        <v>1413</v>
      </c>
      <c r="P613" s="482" t="s">
        <v>1531</v>
      </c>
      <c r="Q613" s="482" t="s">
        <v>1531</v>
      </c>
      <c r="R613" s="483" t="s">
        <v>1413</v>
      </c>
      <c r="S613" s="473" t="s">
        <v>1531</v>
      </c>
      <c r="T613" s="474" t="s">
        <v>1413</v>
      </c>
      <c r="U613" s="473" t="s">
        <v>1531</v>
      </c>
      <c r="V613" s="474" t="s">
        <v>1413</v>
      </c>
      <c r="W613" s="501" t="s">
        <v>1531</v>
      </c>
      <c r="X613" s="502" t="s">
        <v>1413</v>
      </c>
      <c r="Y613" s="492" t="s">
        <v>1531</v>
      </c>
      <c r="Z613" s="493" t="s">
        <v>1413</v>
      </c>
      <c r="AA613" s="398" t="s">
        <v>1531</v>
      </c>
      <c r="AB613" s="504" t="s">
        <v>1413</v>
      </c>
      <c r="AC613" s="369"/>
    </row>
    <row r="614" spans="1:29" ht="20.100000000000001" customHeight="1" thickBot="1">
      <c r="A614" s="392" t="s">
        <v>1283</v>
      </c>
      <c r="B614" s="393" t="s">
        <v>1413</v>
      </c>
      <c r="C614" s="400">
        <f>COUNTIF('Chem Props'!$B$6:$B$851,'Parameters Summary'!A614)</f>
        <v>0</v>
      </c>
      <c r="D614" s="400">
        <f>COUNTIF('Tox Summary'!$N$3:$N$792, 'Parameters Summary'!A614)</f>
        <v>1</v>
      </c>
      <c r="E614" s="448" t="s">
        <v>1531</v>
      </c>
      <c r="F614" s="449" t="s">
        <v>1413</v>
      </c>
      <c r="G614" s="442" t="s">
        <v>1531</v>
      </c>
      <c r="H614" s="442" t="s">
        <v>1531</v>
      </c>
      <c r="I614" s="443" t="s">
        <v>1413</v>
      </c>
      <c r="J614" s="442" t="s">
        <v>1531</v>
      </c>
      <c r="K614" s="443" t="s">
        <v>1413</v>
      </c>
      <c r="L614" s="467" t="s">
        <v>1531</v>
      </c>
      <c r="M614" s="468" t="s">
        <v>1413</v>
      </c>
      <c r="N614" s="463" t="s">
        <v>1531</v>
      </c>
      <c r="O614" s="464" t="s">
        <v>1413</v>
      </c>
      <c r="P614" s="479" t="s">
        <v>1531</v>
      </c>
      <c r="Q614" s="479" t="s">
        <v>1531</v>
      </c>
      <c r="R614" s="480" t="s">
        <v>1413</v>
      </c>
      <c r="S614" s="477" t="s">
        <v>1531</v>
      </c>
      <c r="T614" s="478" t="s">
        <v>1413</v>
      </c>
      <c r="U614" s="477" t="s">
        <v>1531</v>
      </c>
      <c r="V614" s="478" t="s">
        <v>1413</v>
      </c>
      <c r="W614" s="499" t="s">
        <v>1531</v>
      </c>
      <c r="X614" s="500" t="s">
        <v>1413</v>
      </c>
      <c r="Y614" s="490" t="s">
        <v>1531</v>
      </c>
      <c r="Z614" s="491" t="s">
        <v>1413</v>
      </c>
      <c r="AA614" s="399" t="s">
        <v>1531</v>
      </c>
      <c r="AB614" s="505" t="s">
        <v>1413</v>
      </c>
      <c r="AC614" s="369"/>
    </row>
    <row r="615" spans="1:29" ht="20.100000000000001" customHeight="1">
      <c r="A615" s="390" t="s">
        <v>2228</v>
      </c>
      <c r="B615" s="391" t="s">
        <v>181</v>
      </c>
      <c r="C615" s="400">
        <f>COUNTIF('Chem Props'!$B$6:$B$851,'Parameters Summary'!A615)</f>
        <v>1</v>
      </c>
      <c r="D615" s="400">
        <f>COUNTIF('Tox Summary'!$N$3:$N$792, 'Parameters Summary'!A615)</f>
        <v>1</v>
      </c>
      <c r="E615" s="434">
        <v>549.54</v>
      </c>
      <c r="F615" s="435" t="s">
        <v>1620</v>
      </c>
      <c r="G615" s="436">
        <v>8.1765999999999991E-3</v>
      </c>
      <c r="H615" s="436">
        <v>2.0000000000000001E-4</v>
      </c>
      <c r="I615" s="437" t="s">
        <v>553</v>
      </c>
      <c r="J615" s="436">
        <v>4.0000000000000002E-4</v>
      </c>
      <c r="K615" s="437" t="s">
        <v>1620</v>
      </c>
      <c r="L615" s="453">
        <v>100.85</v>
      </c>
      <c r="M615" s="454" t="s">
        <v>553</v>
      </c>
      <c r="N615" s="455">
        <v>1.37</v>
      </c>
      <c r="O615" s="456" t="s">
        <v>2273</v>
      </c>
      <c r="P615" s="471">
        <v>1.7099699999999999E-2</v>
      </c>
      <c r="Q615" s="471">
        <v>4.1620000000000001E-6</v>
      </c>
      <c r="R615" s="472" t="s">
        <v>2435</v>
      </c>
      <c r="S615" s="473" t="s">
        <v>1531</v>
      </c>
      <c r="T615" s="474" t="s">
        <v>1413</v>
      </c>
      <c r="U615" s="484">
        <v>47700</v>
      </c>
      <c r="V615" s="484" t="s">
        <v>553</v>
      </c>
      <c r="W615" s="495">
        <v>5.69</v>
      </c>
      <c r="X615" s="496" t="s">
        <v>1620</v>
      </c>
      <c r="Y615" s="486">
        <v>0.42</v>
      </c>
      <c r="Z615" s="487" t="s">
        <v>1620</v>
      </c>
      <c r="AA615" s="394">
        <v>0.30499999999999999</v>
      </c>
      <c r="AB615" s="395" t="s">
        <v>553</v>
      </c>
      <c r="AC615" s="370"/>
    </row>
    <row r="616" spans="1:29" ht="20.100000000000001" customHeight="1">
      <c r="A616" s="390" t="s">
        <v>2229</v>
      </c>
      <c r="B616" s="391" t="s">
        <v>182</v>
      </c>
      <c r="C616" s="400">
        <f>COUNTIF('Chem Props'!$B$6:$B$851,'Parameters Summary'!A616)</f>
        <v>1</v>
      </c>
      <c r="D616" s="400">
        <f>COUNTIF('Tox Summary'!$N$3:$N$792, 'Parameters Summary'!A616)</f>
        <v>1</v>
      </c>
      <c r="E616" s="434">
        <v>188.66</v>
      </c>
      <c r="F616" s="435" t="s">
        <v>1620</v>
      </c>
      <c r="G616" s="436">
        <v>9.3212999999999994E-3</v>
      </c>
      <c r="H616" s="436">
        <v>2.2800000000000001E-4</v>
      </c>
      <c r="I616" s="437" t="s">
        <v>1620</v>
      </c>
      <c r="J616" s="436">
        <v>6.7000000000000002E-3</v>
      </c>
      <c r="K616" s="437" t="s">
        <v>1620</v>
      </c>
      <c r="L616" s="453">
        <v>34</v>
      </c>
      <c r="M616" s="454" t="s">
        <v>553</v>
      </c>
      <c r="N616" s="455">
        <v>1.18</v>
      </c>
      <c r="O616" s="456" t="s">
        <v>2273</v>
      </c>
      <c r="P616" s="471">
        <v>3.2457899999999998E-2</v>
      </c>
      <c r="Q616" s="471">
        <v>7.2276000000000001E-6</v>
      </c>
      <c r="R616" s="472" t="s">
        <v>2435</v>
      </c>
      <c r="S616" s="473" t="s">
        <v>1531</v>
      </c>
      <c r="T616" s="474" t="s">
        <v>1413</v>
      </c>
      <c r="U616" s="484">
        <v>8397</v>
      </c>
      <c r="V616" s="484" t="s">
        <v>553</v>
      </c>
      <c r="W616" s="495">
        <v>4.6500000000000004</v>
      </c>
      <c r="X616" s="496" t="s">
        <v>1620</v>
      </c>
      <c r="Y616" s="486">
        <v>15</v>
      </c>
      <c r="Z616" s="487" t="s">
        <v>1620</v>
      </c>
      <c r="AA616" s="394">
        <v>0.16800000000000001</v>
      </c>
      <c r="AB616" s="395" t="s">
        <v>553</v>
      </c>
      <c r="AC616" s="369"/>
    </row>
    <row r="617" spans="1:29" ht="20.100000000000001" customHeight="1" thickBot="1">
      <c r="A617" s="392" t="s">
        <v>2230</v>
      </c>
      <c r="B617" s="393" t="s">
        <v>183</v>
      </c>
      <c r="C617" s="400">
        <f>COUNTIF('Chem Props'!$B$6:$B$851,'Parameters Summary'!A617)</f>
        <v>1</v>
      </c>
      <c r="D617" s="400">
        <f>COUNTIF('Tox Summary'!$N$3:$N$792, 'Parameters Summary'!A617)</f>
        <v>1</v>
      </c>
      <c r="E617" s="438">
        <v>188.66</v>
      </c>
      <c r="F617" s="439" t="s">
        <v>1620</v>
      </c>
      <c r="G617" s="440">
        <v>3.0089899999999999E-2</v>
      </c>
      <c r="H617" s="440">
        <v>7.36E-4</v>
      </c>
      <c r="I617" s="441" t="s">
        <v>553</v>
      </c>
      <c r="J617" s="440">
        <v>4.0600000000000002E-3</v>
      </c>
      <c r="K617" s="441" t="s">
        <v>1620</v>
      </c>
      <c r="L617" s="457">
        <v>34</v>
      </c>
      <c r="M617" s="458" t="s">
        <v>553</v>
      </c>
      <c r="N617" s="459">
        <v>1.26</v>
      </c>
      <c r="O617" s="460" t="s">
        <v>2273</v>
      </c>
      <c r="P617" s="475">
        <v>3.3446799999999999E-2</v>
      </c>
      <c r="Q617" s="475">
        <v>7.5177E-6</v>
      </c>
      <c r="R617" s="476" t="s">
        <v>2435</v>
      </c>
      <c r="S617" s="477" t="s">
        <v>1531</v>
      </c>
      <c r="T617" s="478" t="s">
        <v>1413</v>
      </c>
      <c r="U617" s="481">
        <v>8397</v>
      </c>
      <c r="V617" s="481" t="s">
        <v>553</v>
      </c>
      <c r="W617" s="497">
        <v>4.4000000000000004</v>
      </c>
      <c r="X617" s="498" t="s">
        <v>1620</v>
      </c>
      <c r="Y617" s="488">
        <v>1.45</v>
      </c>
      <c r="Z617" s="489" t="s">
        <v>1620</v>
      </c>
      <c r="AA617" s="396">
        <v>0.16800000000000001</v>
      </c>
      <c r="AB617" s="397" t="s">
        <v>553</v>
      </c>
      <c r="AC617" s="369"/>
    </row>
    <row r="618" spans="1:29" ht="20.100000000000001" customHeight="1">
      <c r="A618" s="390" t="s">
        <v>2231</v>
      </c>
      <c r="B618" s="391" t="s">
        <v>184</v>
      </c>
      <c r="C618" s="400">
        <f>COUNTIF('Chem Props'!$B$6:$B$851,'Parameters Summary'!A618)</f>
        <v>1</v>
      </c>
      <c r="D618" s="400">
        <f>COUNTIF('Tox Summary'!$N$3:$N$792, 'Parameters Summary'!A618)</f>
        <v>1</v>
      </c>
      <c r="E618" s="434">
        <v>291.99</v>
      </c>
      <c r="F618" s="435" t="s">
        <v>1620</v>
      </c>
      <c r="G618" s="436">
        <v>1.40229E-2</v>
      </c>
      <c r="H618" s="436">
        <v>3.4299999999999999E-4</v>
      </c>
      <c r="I618" s="437" t="s">
        <v>1620</v>
      </c>
      <c r="J618" s="436">
        <v>8.6299999999999997E-5</v>
      </c>
      <c r="K618" s="437" t="s">
        <v>553</v>
      </c>
      <c r="L618" s="453">
        <v>122.32</v>
      </c>
      <c r="M618" s="454" t="s">
        <v>553</v>
      </c>
      <c r="N618" s="455">
        <v>1.38</v>
      </c>
      <c r="O618" s="456" t="s">
        <v>2273</v>
      </c>
      <c r="P618" s="471">
        <v>2.38564E-2</v>
      </c>
      <c r="Q618" s="471">
        <v>6.1090999999999997E-6</v>
      </c>
      <c r="R618" s="472" t="s">
        <v>2435</v>
      </c>
      <c r="S618" s="473" t="s">
        <v>1531</v>
      </c>
      <c r="T618" s="474" t="s">
        <v>1413</v>
      </c>
      <c r="U618" s="484">
        <v>78100</v>
      </c>
      <c r="V618" s="484" t="s">
        <v>553</v>
      </c>
      <c r="W618" s="495">
        <v>6.34</v>
      </c>
      <c r="X618" s="496" t="s">
        <v>1620</v>
      </c>
      <c r="Y618" s="486">
        <v>0.27700000000000002</v>
      </c>
      <c r="Z618" s="487" t="s">
        <v>1620</v>
      </c>
      <c r="AA618" s="394">
        <v>0.54500000000000004</v>
      </c>
      <c r="AB618" s="395" t="s">
        <v>553</v>
      </c>
      <c r="AC618" s="369"/>
    </row>
    <row r="619" spans="1:29" ht="20.100000000000001" customHeight="1">
      <c r="A619" s="390" t="s">
        <v>2232</v>
      </c>
      <c r="B619" s="391" t="s">
        <v>185</v>
      </c>
      <c r="C619" s="400">
        <f>COUNTIF('Chem Props'!$B$6:$B$851,'Parameters Summary'!A619)</f>
        <v>1</v>
      </c>
      <c r="D619" s="400">
        <f>COUNTIF('Tox Summary'!$N$3:$N$792, 'Parameters Summary'!A619)</f>
        <v>1</v>
      </c>
      <c r="E619" s="434">
        <v>618.42999999999995</v>
      </c>
      <c r="F619" s="435" t="s">
        <v>1620</v>
      </c>
      <c r="G619" s="436">
        <v>1.79886E-2</v>
      </c>
      <c r="H619" s="436">
        <v>4.4000000000000002E-4</v>
      </c>
      <c r="I619" s="437" t="s">
        <v>1620</v>
      </c>
      <c r="J619" s="436">
        <v>4.9399999999999997E-4</v>
      </c>
      <c r="K619" s="437" t="s">
        <v>1620</v>
      </c>
      <c r="L619" s="453">
        <v>122.32</v>
      </c>
      <c r="M619" s="454" t="s">
        <v>553</v>
      </c>
      <c r="N619" s="455">
        <v>1.405</v>
      </c>
      <c r="O619" s="456" t="s">
        <v>2198</v>
      </c>
      <c r="P619" s="471">
        <v>1.6274500000000001E-2</v>
      </c>
      <c r="Q619" s="471">
        <v>3.9364000000000001E-6</v>
      </c>
      <c r="R619" s="472" t="s">
        <v>2435</v>
      </c>
      <c r="S619" s="473" t="s">
        <v>1531</v>
      </c>
      <c r="T619" s="474" t="s">
        <v>1413</v>
      </c>
      <c r="U619" s="484">
        <v>76530</v>
      </c>
      <c r="V619" s="484" t="s">
        <v>553</v>
      </c>
      <c r="W619" s="495">
        <v>6.2</v>
      </c>
      <c r="X619" s="496" t="s">
        <v>1620</v>
      </c>
      <c r="Y619" s="486">
        <v>0.1</v>
      </c>
      <c r="Z619" s="487" t="s">
        <v>1620</v>
      </c>
      <c r="AA619" s="394">
        <v>0.47499999999999998</v>
      </c>
      <c r="AB619" s="395" t="s">
        <v>553</v>
      </c>
      <c r="AC619" s="369"/>
    </row>
    <row r="620" spans="1:29" ht="20.100000000000001" customHeight="1" thickBot="1">
      <c r="A620" s="392" t="s">
        <v>2233</v>
      </c>
      <c r="B620" s="393" t="s">
        <v>186</v>
      </c>
      <c r="C620" s="400">
        <f>COUNTIF('Chem Props'!$B$6:$B$851,'Parameters Summary'!A620)</f>
        <v>1</v>
      </c>
      <c r="D620" s="400">
        <f>COUNTIF('Tox Summary'!$N$3:$N$792, 'Parameters Summary'!A620)</f>
        <v>1</v>
      </c>
      <c r="E620" s="438">
        <v>326.44</v>
      </c>
      <c r="F620" s="439" t="s">
        <v>1620</v>
      </c>
      <c r="G620" s="440">
        <v>1.1569899999999999E-2</v>
      </c>
      <c r="H620" s="440">
        <v>2.8299999999999999E-4</v>
      </c>
      <c r="I620" s="441" t="s">
        <v>1620</v>
      </c>
      <c r="J620" s="440">
        <v>7.7100000000000004E-5</v>
      </c>
      <c r="K620" s="441" t="s">
        <v>1620</v>
      </c>
      <c r="L620" s="457">
        <v>134.6</v>
      </c>
      <c r="M620" s="458" t="s">
        <v>553</v>
      </c>
      <c r="N620" s="459">
        <v>1.54</v>
      </c>
      <c r="O620" s="460" t="s">
        <v>2273</v>
      </c>
      <c r="P620" s="475">
        <v>2.3720499999999999E-2</v>
      </c>
      <c r="Q620" s="475">
        <v>6.1024000000000002E-6</v>
      </c>
      <c r="R620" s="476" t="s">
        <v>2435</v>
      </c>
      <c r="S620" s="477" t="s">
        <v>1531</v>
      </c>
      <c r="T620" s="478" t="s">
        <v>1413</v>
      </c>
      <c r="U620" s="481">
        <v>130500</v>
      </c>
      <c r="V620" s="481" t="s">
        <v>553</v>
      </c>
      <c r="W620" s="497">
        <v>6.5</v>
      </c>
      <c r="X620" s="498" t="s">
        <v>1620</v>
      </c>
      <c r="Y620" s="488">
        <v>4.2999999999999997E-2</v>
      </c>
      <c r="Z620" s="489" t="s">
        <v>1620</v>
      </c>
      <c r="AA620" s="396">
        <v>0.751</v>
      </c>
      <c r="AB620" s="397" t="s">
        <v>553</v>
      </c>
      <c r="AC620" s="369"/>
    </row>
    <row r="621" spans="1:29" ht="20.100000000000001" customHeight="1">
      <c r="A621" s="390" t="s">
        <v>2234</v>
      </c>
      <c r="B621" s="391" t="s">
        <v>187</v>
      </c>
      <c r="C621" s="400">
        <f>COUNTIF('Chem Props'!$B$6:$B$851,'Parameters Summary'!A621)</f>
        <v>1</v>
      </c>
      <c r="D621" s="400">
        <f>COUNTIF('Tox Summary'!$N$3:$N$792, 'Parameters Summary'!A621)</f>
        <v>1</v>
      </c>
      <c r="E621" s="434">
        <v>395.33</v>
      </c>
      <c r="F621" s="435" t="s">
        <v>1620</v>
      </c>
      <c r="G621" s="436">
        <v>1.3736699999999999E-2</v>
      </c>
      <c r="H621" s="436">
        <v>3.3599999999999998E-4</v>
      </c>
      <c r="I621" s="437" t="s">
        <v>1620</v>
      </c>
      <c r="J621" s="436">
        <v>4.0500000000000002E-5</v>
      </c>
      <c r="K621" s="437" t="s">
        <v>1620</v>
      </c>
      <c r="L621" s="453">
        <v>163.56</v>
      </c>
      <c r="M621" s="454" t="s">
        <v>553</v>
      </c>
      <c r="N621" s="455">
        <v>1.62</v>
      </c>
      <c r="O621" s="456" t="s">
        <v>2273</v>
      </c>
      <c r="P621" s="471">
        <v>2.2023899999999999E-2</v>
      </c>
      <c r="Q621" s="471">
        <v>5.6080000000000003E-6</v>
      </c>
      <c r="R621" s="472" t="s">
        <v>2435</v>
      </c>
      <c r="S621" s="473" t="s">
        <v>1531</v>
      </c>
      <c r="T621" s="474" t="s">
        <v>1413</v>
      </c>
      <c r="U621" s="484">
        <v>349700</v>
      </c>
      <c r="V621" s="484" t="s">
        <v>553</v>
      </c>
      <c r="W621" s="495">
        <v>7.55</v>
      </c>
      <c r="X621" s="496" t="s">
        <v>1620</v>
      </c>
      <c r="Y621" s="486">
        <v>1.44E-2</v>
      </c>
      <c r="Z621" s="487" t="s">
        <v>1620</v>
      </c>
      <c r="AA621" s="394">
        <v>0.98599999999999999</v>
      </c>
      <c r="AB621" s="395" t="s">
        <v>553</v>
      </c>
      <c r="AC621" s="369"/>
    </row>
    <row r="622" spans="1:29" ht="20.100000000000001" customHeight="1">
      <c r="A622" s="390" t="s">
        <v>2347</v>
      </c>
      <c r="B622" s="391" t="s">
        <v>2084</v>
      </c>
      <c r="C622" s="400">
        <f>COUNTIF('Chem Props'!$B$6:$B$851,'Parameters Summary'!A622)</f>
        <v>1</v>
      </c>
      <c r="D622" s="400">
        <f>COUNTIF('Tox Summary'!$N$3:$N$792, 'Parameters Summary'!A622)</f>
        <v>1</v>
      </c>
      <c r="E622" s="434">
        <v>291.99</v>
      </c>
      <c r="F622" s="435" t="s">
        <v>1620</v>
      </c>
      <c r="G622" s="436">
        <v>5.1104000000000002E-3</v>
      </c>
      <c r="H622" s="436">
        <v>1.25E-4</v>
      </c>
      <c r="I622" s="437" t="s">
        <v>1620</v>
      </c>
      <c r="J622" s="436">
        <v>8.4500000000000004E-6</v>
      </c>
      <c r="K622" s="437" t="s">
        <v>1620</v>
      </c>
      <c r="L622" s="453">
        <v>122.32</v>
      </c>
      <c r="M622" s="454" t="s">
        <v>553</v>
      </c>
      <c r="N622" s="455">
        <v>1.47</v>
      </c>
      <c r="O622" s="456" t="s">
        <v>2037</v>
      </c>
      <c r="P622" s="471">
        <v>2.4576500000000001E-2</v>
      </c>
      <c r="Q622" s="471">
        <v>6.3450999999999996E-6</v>
      </c>
      <c r="R622" s="472" t="s">
        <v>2435</v>
      </c>
      <c r="S622" s="473" t="s">
        <v>1531</v>
      </c>
      <c r="T622" s="474" t="s">
        <v>1413</v>
      </c>
      <c r="U622" s="484">
        <v>81320</v>
      </c>
      <c r="V622" s="484" t="s">
        <v>553</v>
      </c>
      <c r="W622" s="495">
        <v>6.34</v>
      </c>
      <c r="X622" s="496" t="s">
        <v>1620</v>
      </c>
      <c r="Y622" s="486">
        <v>5.3199999999999997E-2</v>
      </c>
      <c r="Z622" s="487" t="s">
        <v>1620</v>
      </c>
      <c r="AA622" s="394">
        <v>0.58399999999999996</v>
      </c>
      <c r="AB622" s="395" t="s">
        <v>553</v>
      </c>
      <c r="AC622" s="369"/>
    </row>
    <row r="623" spans="1:29" ht="20.100000000000001" customHeight="1" thickBot="1">
      <c r="A623" s="392" t="s">
        <v>2237</v>
      </c>
      <c r="B623" s="393" t="s">
        <v>188</v>
      </c>
      <c r="C623" s="400">
        <f>COUNTIF('Chem Props'!$B$6:$B$851,'Parameters Summary'!A623)</f>
        <v>1</v>
      </c>
      <c r="D623" s="400">
        <f>COUNTIF('Tox Summary'!$N$3:$N$792, 'Parameters Summary'!A623)</f>
        <v>1</v>
      </c>
      <c r="E623" s="438">
        <v>395.33</v>
      </c>
      <c r="F623" s="439" t="s">
        <v>1620</v>
      </c>
      <c r="G623" s="440">
        <v>2.0728000000000001E-3</v>
      </c>
      <c r="H623" s="440">
        <v>5.0699999999999999E-5</v>
      </c>
      <c r="I623" s="441" t="s">
        <v>1620</v>
      </c>
      <c r="J623" s="440">
        <v>1.3E-7</v>
      </c>
      <c r="K623" s="441" t="s">
        <v>1620</v>
      </c>
      <c r="L623" s="457">
        <v>163.56</v>
      </c>
      <c r="M623" s="458" t="s">
        <v>553</v>
      </c>
      <c r="N623" s="459">
        <v>1.6579999999999999</v>
      </c>
      <c r="O623" s="460" t="s">
        <v>2206</v>
      </c>
      <c r="P623" s="475">
        <v>4.2441399999999997E-2</v>
      </c>
      <c r="Q623" s="475">
        <v>5.6864999999999997E-6</v>
      </c>
      <c r="R623" s="476" t="s">
        <v>2435</v>
      </c>
      <c r="S623" s="477" t="s">
        <v>1531</v>
      </c>
      <c r="T623" s="478" t="s">
        <v>1413</v>
      </c>
      <c r="U623" s="481">
        <v>349700</v>
      </c>
      <c r="V623" s="481" t="s">
        <v>553</v>
      </c>
      <c r="W623" s="497">
        <v>8.27</v>
      </c>
      <c r="X623" s="498" t="s">
        <v>1620</v>
      </c>
      <c r="Y623" s="488">
        <v>7.5299999999999998E-4</v>
      </c>
      <c r="Z623" s="489" t="s">
        <v>1620</v>
      </c>
      <c r="AA623" s="396">
        <v>2.96</v>
      </c>
      <c r="AB623" s="397" t="s">
        <v>553</v>
      </c>
      <c r="AC623" s="369"/>
    </row>
    <row r="624" spans="1:29" ht="20.100000000000001" customHeight="1">
      <c r="A624" s="390" t="s">
        <v>2240</v>
      </c>
      <c r="B624" s="391" t="s">
        <v>189</v>
      </c>
      <c r="C624" s="400">
        <f>COUNTIF('Chem Props'!$B$6:$B$851,'Parameters Summary'!A624)</f>
        <v>1</v>
      </c>
      <c r="D624" s="400">
        <f>COUNTIF('Tox Summary'!$N$3:$N$792, 'Parameters Summary'!A624)</f>
        <v>1</v>
      </c>
      <c r="E624" s="434">
        <v>360.88</v>
      </c>
      <c r="F624" s="435" t="s">
        <v>1620</v>
      </c>
      <c r="G624" s="436">
        <v>2.8005E-3</v>
      </c>
      <c r="H624" s="436">
        <v>6.8499999999999998E-5</v>
      </c>
      <c r="I624" s="437" t="s">
        <v>1620</v>
      </c>
      <c r="J624" s="436">
        <v>5.8100000000000003E-7</v>
      </c>
      <c r="K624" s="437" t="s">
        <v>1620</v>
      </c>
      <c r="L624" s="453">
        <v>146.34</v>
      </c>
      <c r="M624" s="454" t="s">
        <v>553</v>
      </c>
      <c r="N624" s="455">
        <v>1.593</v>
      </c>
      <c r="O624" s="456" t="s">
        <v>2206</v>
      </c>
      <c r="P624" s="471">
        <v>4.4421000000000002E-2</v>
      </c>
      <c r="Q624" s="471">
        <v>5.8638999999999999E-6</v>
      </c>
      <c r="R624" s="472" t="s">
        <v>2435</v>
      </c>
      <c r="S624" s="473" t="s">
        <v>1531</v>
      </c>
      <c r="T624" s="474" t="s">
        <v>1413</v>
      </c>
      <c r="U624" s="484">
        <v>209300</v>
      </c>
      <c r="V624" s="484" t="s">
        <v>553</v>
      </c>
      <c r="W624" s="495">
        <v>7.5</v>
      </c>
      <c r="X624" s="496" t="s">
        <v>1620</v>
      </c>
      <c r="Y624" s="486">
        <v>2.225E-3</v>
      </c>
      <c r="Z624" s="487" t="s">
        <v>1620</v>
      </c>
      <c r="AA624" s="394">
        <v>1.43</v>
      </c>
      <c r="AB624" s="395" t="s">
        <v>553</v>
      </c>
      <c r="AC624" s="369"/>
    </row>
    <row r="625" spans="1:29" ht="20.100000000000001" customHeight="1">
      <c r="A625" s="390" t="s">
        <v>2239</v>
      </c>
      <c r="B625" s="391" t="s">
        <v>190</v>
      </c>
      <c r="C625" s="400">
        <f>COUNTIF('Chem Props'!$B$6:$B$851,'Parameters Summary'!A625)</f>
        <v>1</v>
      </c>
      <c r="D625" s="400">
        <f>COUNTIF('Tox Summary'!$N$3:$N$792, 'Parameters Summary'!A625)</f>
        <v>1</v>
      </c>
      <c r="E625" s="434">
        <v>360.88</v>
      </c>
      <c r="F625" s="435" t="s">
        <v>1620</v>
      </c>
      <c r="G625" s="436">
        <v>6.6230999999999998E-3</v>
      </c>
      <c r="H625" s="436">
        <v>1.6200000000000001E-4</v>
      </c>
      <c r="I625" s="437" t="s">
        <v>553</v>
      </c>
      <c r="J625" s="436">
        <v>5.8100000000000003E-7</v>
      </c>
      <c r="K625" s="437" t="s">
        <v>553</v>
      </c>
      <c r="L625" s="453">
        <v>146.34</v>
      </c>
      <c r="M625" s="454" t="s">
        <v>553</v>
      </c>
      <c r="N625" s="455">
        <v>1.593</v>
      </c>
      <c r="O625" s="456" t="s">
        <v>2208</v>
      </c>
      <c r="P625" s="471">
        <v>4.4421000000000002E-2</v>
      </c>
      <c r="Q625" s="471">
        <v>5.8638999999999999E-6</v>
      </c>
      <c r="R625" s="472" t="s">
        <v>2435</v>
      </c>
      <c r="S625" s="473" t="s">
        <v>1531</v>
      </c>
      <c r="T625" s="474" t="s">
        <v>1413</v>
      </c>
      <c r="U625" s="484">
        <v>213600</v>
      </c>
      <c r="V625" s="484" t="s">
        <v>553</v>
      </c>
      <c r="W625" s="495">
        <v>7.6</v>
      </c>
      <c r="X625" s="496" t="s">
        <v>1620</v>
      </c>
      <c r="Y625" s="486">
        <v>1.6469E-3</v>
      </c>
      <c r="Z625" s="487" t="s">
        <v>553</v>
      </c>
      <c r="AA625" s="394">
        <v>1.66</v>
      </c>
      <c r="AB625" s="395" t="s">
        <v>553</v>
      </c>
      <c r="AC625" s="369"/>
    </row>
    <row r="626" spans="1:29" ht="20.100000000000001" customHeight="1" thickBot="1">
      <c r="A626" s="392" t="s">
        <v>2238</v>
      </c>
      <c r="B626" s="393" t="s">
        <v>191</v>
      </c>
      <c r="C626" s="400">
        <f>COUNTIF('Chem Props'!$B$6:$B$851,'Parameters Summary'!A626)</f>
        <v>1</v>
      </c>
      <c r="D626" s="400">
        <f>COUNTIF('Tox Summary'!$N$3:$N$792, 'Parameters Summary'!A626)</f>
        <v>1</v>
      </c>
      <c r="E626" s="438">
        <v>360.88</v>
      </c>
      <c r="F626" s="439" t="s">
        <v>1620</v>
      </c>
      <c r="G626" s="440">
        <v>5.8462999999999996E-3</v>
      </c>
      <c r="H626" s="440">
        <v>1.4300000000000001E-4</v>
      </c>
      <c r="I626" s="441" t="s">
        <v>553</v>
      </c>
      <c r="J626" s="440">
        <v>1.61E-6</v>
      </c>
      <c r="K626" s="441" t="s">
        <v>1620</v>
      </c>
      <c r="L626" s="457">
        <v>146.34</v>
      </c>
      <c r="M626" s="458" t="s">
        <v>553</v>
      </c>
      <c r="N626" s="459">
        <v>1.593</v>
      </c>
      <c r="O626" s="460" t="s">
        <v>2206</v>
      </c>
      <c r="P626" s="475">
        <v>4.4421000000000002E-2</v>
      </c>
      <c r="Q626" s="475">
        <v>5.8638999999999999E-6</v>
      </c>
      <c r="R626" s="476" t="s">
        <v>2435</v>
      </c>
      <c r="S626" s="477" t="s">
        <v>1531</v>
      </c>
      <c r="T626" s="478" t="s">
        <v>1413</v>
      </c>
      <c r="U626" s="481">
        <v>213600</v>
      </c>
      <c r="V626" s="481" t="s">
        <v>553</v>
      </c>
      <c r="W626" s="497">
        <v>7.6</v>
      </c>
      <c r="X626" s="498" t="s">
        <v>1620</v>
      </c>
      <c r="Y626" s="488">
        <v>5.3299999999999997E-3</v>
      </c>
      <c r="Z626" s="489" t="s">
        <v>1620</v>
      </c>
      <c r="AA626" s="396">
        <v>1.66</v>
      </c>
      <c r="AB626" s="397" t="s">
        <v>553</v>
      </c>
      <c r="AC626" s="369"/>
    </row>
    <row r="627" spans="1:29" ht="20.100000000000001" customHeight="1">
      <c r="A627" s="390" t="s">
        <v>2241</v>
      </c>
      <c r="B627" s="391" t="s">
        <v>192</v>
      </c>
      <c r="C627" s="400">
        <f>COUNTIF('Chem Props'!$B$6:$B$851,'Parameters Summary'!A627)</f>
        <v>1</v>
      </c>
      <c r="D627" s="400">
        <f>COUNTIF('Tox Summary'!$N$3:$N$792, 'Parameters Summary'!A627)</f>
        <v>1</v>
      </c>
      <c r="E627" s="434">
        <v>360.88</v>
      </c>
      <c r="F627" s="435" t="s">
        <v>1620</v>
      </c>
      <c r="G627" s="436">
        <v>2.8005E-3</v>
      </c>
      <c r="H627" s="436">
        <v>6.8499999999999998E-5</v>
      </c>
      <c r="I627" s="437" t="s">
        <v>1620</v>
      </c>
      <c r="J627" s="436">
        <v>5.8100000000000003E-7</v>
      </c>
      <c r="K627" s="437" t="s">
        <v>1620</v>
      </c>
      <c r="L627" s="453">
        <v>146.34</v>
      </c>
      <c r="M627" s="454" t="s">
        <v>553</v>
      </c>
      <c r="N627" s="455">
        <v>1.593</v>
      </c>
      <c r="O627" s="456" t="s">
        <v>2206</v>
      </c>
      <c r="P627" s="471">
        <v>4.4421000000000002E-2</v>
      </c>
      <c r="Q627" s="471">
        <v>5.8638999999999999E-6</v>
      </c>
      <c r="R627" s="472" t="s">
        <v>2435</v>
      </c>
      <c r="S627" s="473" t="s">
        <v>1531</v>
      </c>
      <c r="T627" s="474" t="s">
        <v>1413</v>
      </c>
      <c r="U627" s="484">
        <v>209300</v>
      </c>
      <c r="V627" s="484" t="s">
        <v>553</v>
      </c>
      <c r="W627" s="495">
        <v>7.41</v>
      </c>
      <c r="X627" s="496" t="s">
        <v>1620</v>
      </c>
      <c r="Y627" s="486">
        <v>5.1000000000000004E-4</v>
      </c>
      <c r="Z627" s="487" t="s">
        <v>1620</v>
      </c>
      <c r="AA627" s="394">
        <v>1.24</v>
      </c>
      <c r="AB627" s="395" t="s">
        <v>553</v>
      </c>
      <c r="AC627" s="369"/>
    </row>
    <row r="628" spans="1:29" ht="20.100000000000001" customHeight="1">
      <c r="A628" s="390" t="s">
        <v>2248</v>
      </c>
      <c r="B628" s="391" t="s">
        <v>193</v>
      </c>
      <c r="C628" s="400">
        <f>COUNTIF('Chem Props'!$B$6:$B$851,'Parameters Summary'!A628)</f>
        <v>1</v>
      </c>
      <c r="D628" s="400">
        <f>COUNTIF('Tox Summary'!$N$3:$N$792, 'Parameters Summary'!A628)</f>
        <v>1</v>
      </c>
      <c r="E628" s="434">
        <v>326.44</v>
      </c>
      <c r="F628" s="435" t="s">
        <v>553</v>
      </c>
      <c r="G628" s="436">
        <v>7.7678000000000001E-3</v>
      </c>
      <c r="H628" s="436">
        <v>1.9000000000000001E-4</v>
      </c>
      <c r="I628" s="437" t="s">
        <v>553</v>
      </c>
      <c r="J628" s="436">
        <v>5.4700000000000001E-6</v>
      </c>
      <c r="K628" s="437" t="s">
        <v>553</v>
      </c>
      <c r="L628" s="453">
        <v>98</v>
      </c>
      <c r="M628" s="454" t="s">
        <v>553</v>
      </c>
      <c r="N628" s="455">
        <v>1.522</v>
      </c>
      <c r="O628" s="456" t="s">
        <v>2206</v>
      </c>
      <c r="P628" s="471">
        <v>4.6705499999999997E-2</v>
      </c>
      <c r="Q628" s="471">
        <v>6.0595000000000002E-6</v>
      </c>
      <c r="R628" s="472" t="s">
        <v>2435</v>
      </c>
      <c r="S628" s="473" t="s">
        <v>1531</v>
      </c>
      <c r="T628" s="474" t="s">
        <v>1413</v>
      </c>
      <c r="U628" s="484">
        <v>130500</v>
      </c>
      <c r="V628" s="484" t="s">
        <v>553</v>
      </c>
      <c r="W628" s="495">
        <v>6.98</v>
      </c>
      <c r="X628" s="496" t="s">
        <v>553</v>
      </c>
      <c r="Y628" s="486">
        <v>1.6E-2</v>
      </c>
      <c r="Z628" s="487" t="s">
        <v>553</v>
      </c>
      <c r="AA628" s="394">
        <v>1</v>
      </c>
      <c r="AB628" s="395" t="s">
        <v>553</v>
      </c>
      <c r="AC628" s="369"/>
    </row>
    <row r="629" spans="1:29" ht="20.100000000000001" customHeight="1" thickBot="1">
      <c r="A629" s="392" t="s">
        <v>2247</v>
      </c>
      <c r="B629" s="393" t="s">
        <v>194</v>
      </c>
      <c r="C629" s="400">
        <f>COUNTIF('Chem Props'!$B$6:$B$851,'Parameters Summary'!A629)</f>
        <v>1</v>
      </c>
      <c r="D629" s="400">
        <f>COUNTIF('Tox Summary'!$N$3:$N$792, 'Parameters Summary'!A629)</f>
        <v>1</v>
      </c>
      <c r="E629" s="438">
        <v>326.44</v>
      </c>
      <c r="F629" s="439" t="s">
        <v>1620</v>
      </c>
      <c r="G629" s="440">
        <v>1.17743E-2</v>
      </c>
      <c r="H629" s="440">
        <v>2.8800000000000001E-4</v>
      </c>
      <c r="I629" s="441" t="s">
        <v>553</v>
      </c>
      <c r="J629" s="440">
        <v>8.9740000000000008E-6</v>
      </c>
      <c r="K629" s="441" t="s">
        <v>1620</v>
      </c>
      <c r="L629" s="457">
        <v>134.6</v>
      </c>
      <c r="M629" s="458" t="s">
        <v>553</v>
      </c>
      <c r="N629" s="459">
        <v>1.522</v>
      </c>
      <c r="O629" s="460" t="s">
        <v>2206</v>
      </c>
      <c r="P629" s="475">
        <v>4.6705499999999997E-2</v>
      </c>
      <c r="Q629" s="475">
        <v>6.0595000000000002E-6</v>
      </c>
      <c r="R629" s="476" t="s">
        <v>2435</v>
      </c>
      <c r="S629" s="477" t="s">
        <v>1531</v>
      </c>
      <c r="T629" s="478" t="s">
        <v>1413</v>
      </c>
      <c r="U629" s="481">
        <v>127900</v>
      </c>
      <c r="V629" s="481" t="s">
        <v>553</v>
      </c>
      <c r="W629" s="497">
        <v>7.12</v>
      </c>
      <c r="X629" s="498" t="s">
        <v>1620</v>
      </c>
      <c r="Y629" s="488">
        <v>1.34E-2</v>
      </c>
      <c r="Z629" s="489" t="s">
        <v>1620</v>
      </c>
      <c r="AA629" s="396">
        <v>1.24</v>
      </c>
      <c r="AB629" s="397" t="s">
        <v>553</v>
      </c>
      <c r="AC629" s="369"/>
    </row>
    <row r="630" spans="1:29" ht="20.100000000000001" customHeight="1">
      <c r="A630" s="390" t="s">
        <v>2245</v>
      </c>
      <c r="B630" s="391" t="s">
        <v>195</v>
      </c>
      <c r="C630" s="400">
        <f>COUNTIF('Chem Props'!$B$6:$B$851,'Parameters Summary'!A630)</f>
        <v>1</v>
      </c>
      <c r="D630" s="400">
        <f>COUNTIF('Tox Summary'!$N$3:$N$792, 'Parameters Summary'!A630)</f>
        <v>1</v>
      </c>
      <c r="E630" s="434">
        <v>326.44</v>
      </c>
      <c r="F630" s="435" t="s">
        <v>1620</v>
      </c>
      <c r="G630" s="436">
        <v>1.1569899999999999E-2</v>
      </c>
      <c r="H630" s="436">
        <v>2.8299999999999999E-4</v>
      </c>
      <c r="I630" s="437" t="s">
        <v>553</v>
      </c>
      <c r="J630" s="436">
        <v>6.5309999999999998E-6</v>
      </c>
      <c r="K630" s="437" t="s">
        <v>1620</v>
      </c>
      <c r="L630" s="453">
        <v>134.6</v>
      </c>
      <c r="M630" s="454" t="s">
        <v>553</v>
      </c>
      <c r="N630" s="455">
        <v>1.522</v>
      </c>
      <c r="O630" s="456" t="s">
        <v>2206</v>
      </c>
      <c r="P630" s="471">
        <v>4.6705499999999997E-2</v>
      </c>
      <c r="Q630" s="471">
        <v>6.0595000000000002E-6</v>
      </c>
      <c r="R630" s="472" t="s">
        <v>2435</v>
      </c>
      <c r="S630" s="473" t="s">
        <v>1531</v>
      </c>
      <c r="T630" s="474" t="s">
        <v>1413</v>
      </c>
      <c r="U630" s="484">
        <v>130500</v>
      </c>
      <c r="V630" s="484" t="s">
        <v>553</v>
      </c>
      <c r="W630" s="495">
        <v>6.79</v>
      </c>
      <c r="X630" s="496" t="s">
        <v>1620</v>
      </c>
      <c r="Y630" s="486">
        <v>3.3999999999999998E-3</v>
      </c>
      <c r="Z630" s="487" t="s">
        <v>1620</v>
      </c>
      <c r="AA630" s="394">
        <v>0.751</v>
      </c>
      <c r="AB630" s="395" t="s">
        <v>553</v>
      </c>
      <c r="AC630" s="369"/>
    </row>
    <row r="631" spans="1:29" ht="20.100000000000001" customHeight="1">
      <c r="A631" s="390" t="s">
        <v>2246</v>
      </c>
      <c r="B631" s="391" t="s">
        <v>196</v>
      </c>
      <c r="C631" s="400">
        <f>COUNTIF('Chem Props'!$B$6:$B$851,'Parameters Summary'!A631)</f>
        <v>1</v>
      </c>
      <c r="D631" s="400">
        <f>COUNTIF('Tox Summary'!$N$3:$N$792, 'Parameters Summary'!A631)</f>
        <v>1</v>
      </c>
      <c r="E631" s="434">
        <v>326.44</v>
      </c>
      <c r="F631" s="435" t="s">
        <v>1620</v>
      </c>
      <c r="G631" s="436">
        <v>3.7775999999999999E-3</v>
      </c>
      <c r="H631" s="436">
        <v>9.2399999999999996E-5</v>
      </c>
      <c r="I631" s="437" t="s">
        <v>1620</v>
      </c>
      <c r="J631" s="436">
        <v>5.4700000000000001E-6</v>
      </c>
      <c r="K631" s="437" t="s">
        <v>1620</v>
      </c>
      <c r="L631" s="453">
        <v>98</v>
      </c>
      <c r="M631" s="454" t="s">
        <v>1620</v>
      </c>
      <c r="N631" s="455">
        <v>1.522</v>
      </c>
      <c r="O631" s="456" t="s">
        <v>2206</v>
      </c>
      <c r="P631" s="471">
        <v>4.6705499999999997E-2</v>
      </c>
      <c r="Q631" s="471">
        <v>6.0595000000000002E-6</v>
      </c>
      <c r="R631" s="472" t="s">
        <v>2435</v>
      </c>
      <c r="S631" s="473" t="s">
        <v>1531</v>
      </c>
      <c r="T631" s="474" t="s">
        <v>1413</v>
      </c>
      <c r="U631" s="484">
        <v>130500</v>
      </c>
      <c r="V631" s="484" t="s">
        <v>553</v>
      </c>
      <c r="W631" s="495">
        <v>6.98</v>
      </c>
      <c r="X631" s="496" t="s">
        <v>1620</v>
      </c>
      <c r="Y631" s="486">
        <v>1.5980000000000001E-2</v>
      </c>
      <c r="Z631" s="487" t="s">
        <v>1620</v>
      </c>
      <c r="AA631" s="394">
        <v>1</v>
      </c>
      <c r="AB631" s="395" t="s">
        <v>553</v>
      </c>
      <c r="AC631" s="369"/>
    </row>
    <row r="632" spans="1:29" ht="20.100000000000001" customHeight="1" thickBot="1">
      <c r="A632" s="392" t="s">
        <v>2249</v>
      </c>
      <c r="B632" s="393" t="s">
        <v>197</v>
      </c>
      <c r="C632" s="400">
        <f>COUNTIF('Chem Props'!$B$6:$B$851,'Parameters Summary'!A632)</f>
        <v>1</v>
      </c>
      <c r="D632" s="400">
        <f>COUNTIF('Tox Summary'!$N$3:$N$792, 'Parameters Summary'!A632)</f>
        <v>1</v>
      </c>
      <c r="E632" s="438">
        <v>326.44</v>
      </c>
      <c r="F632" s="439" t="s">
        <v>553</v>
      </c>
      <c r="G632" s="440">
        <v>7.7678000000000001E-3</v>
      </c>
      <c r="H632" s="440">
        <v>1.9000000000000001E-4</v>
      </c>
      <c r="I632" s="441" t="s">
        <v>553</v>
      </c>
      <c r="J632" s="440">
        <v>2.2199999999999999E-6</v>
      </c>
      <c r="K632" s="441" t="s">
        <v>553</v>
      </c>
      <c r="L632" s="457">
        <v>134.6</v>
      </c>
      <c r="M632" s="458" t="s">
        <v>553</v>
      </c>
      <c r="N632" s="459">
        <v>1.522</v>
      </c>
      <c r="O632" s="460" t="s">
        <v>2206</v>
      </c>
      <c r="P632" s="475">
        <v>4.6705499999999997E-2</v>
      </c>
      <c r="Q632" s="475">
        <v>6.0595000000000002E-6</v>
      </c>
      <c r="R632" s="476" t="s">
        <v>2435</v>
      </c>
      <c r="S632" s="477" t="s">
        <v>1531</v>
      </c>
      <c r="T632" s="478" t="s">
        <v>1413</v>
      </c>
      <c r="U632" s="481">
        <v>127900</v>
      </c>
      <c r="V632" s="481" t="s">
        <v>553</v>
      </c>
      <c r="W632" s="497">
        <v>6.98</v>
      </c>
      <c r="X632" s="498" t="s">
        <v>553</v>
      </c>
      <c r="Y632" s="488">
        <v>7.3282E-3</v>
      </c>
      <c r="Z632" s="489" t="s">
        <v>553</v>
      </c>
      <c r="AA632" s="396">
        <v>1</v>
      </c>
      <c r="AB632" s="397" t="s">
        <v>553</v>
      </c>
      <c r="AC632" s="369"/>
    </row>
    <row r="633" spans="1:29" ht="20.100000000000001" customHeight="1">
      <c r="A633" s="390" t="s">
        <v>2412</v>
      </c>
      <c r="B633" s="391" t="s">
        <v>2270</v>
      </c>
      <c r="C633" s="400">
        <f>COUNTIF('Chem Props'!$B$6:$B$851,'Parameters Summary'!A633)</f>
        <v>0</v>
      </c>
      <c r="D633" s="400">
        <f>COUNTIF('Tox Summary'!$N$3:$N$792, 'Parameters Summary'!A633)</f>
        <v>1</v>
      </c>
      <c r="E633" s="434">
        <v>291.99</v>
      </c>
      <c r="F633" s="435" t="s">
        <v>1620</v>
      </c>
      <c r="G633" s="436">
        <v>1.6966499999999999E-2</v>
      </c>
      <c r="H633" s="436">
        <v>4.15E-4</v>
      </c>
      <c r="I633" s="437" t="s">
        <v>1620</v>
      </c>
      <c r="J633" s="436">
        <v>4.9399999999999997E-4</v>
      </c>
      <c r="K633" s="437" t="s">
        <v>1620</v>
      </c>
      <c r="L633" s="453">
        <v>122.32</v>
      </c>
      <c r="M633" s="454" t="s">
        <v>553</v>
      </c>
      <c r="N633" s="455">
        <v>1.44</v>
      </c>
      <c r="O633" s="456" t="s">
        <v>2198</v>
      </c>
      <c r="P633" s="471">
        <v>2.4339699999999999E-2</v>
      </c>
      <c r="Q633" s="471">
        <v>6.2670999999999997E-6</v>
      </c>
      <c r="R633" s="472" t="s">
        <v>2435</v>
      </c>
      <c r="S633" s="473" t="s">
        <v>1531</v>
      </c>
      <c r="T633" s="474" t="s">
        <v>1413</v>
      </c>
      <c r="U633" s="484">
        <v>78100</v>
      </c>
      <c r="V633" s="484" t="s">
        <v>553</v>
      </c>
      <c r="W633" s="495">
        <v>7.1</v>
      </c>
      <c r="X633" s="496" t="s">
        <v>1620</v>
      </c>
      <c r="Y633" s="486">
        <v>0.7</v>
      </c>
      <c r="Z633" s="487" t="s">
        <v>1620</v>
      </c>
      <c r="AA633" s="394">
        <v>0.54500000000000004</v>
      </c>
      <c r="AB633" s="395" t="s">
        <v>553</v>
      </c>
      <c r="AC633" s="369"/>
    </row>
    <row r="634" spans="1:29" ht="20.100000000000001" customHeight="1">
      <c r="A634" s="390" t="s">
        <v>2413</v>
      </c>
      <c r="B634" s="391" t="s">
        <v>2270</v>
      </c>
      <c r="C634" s="400">
        <f>COUNTIF('Chem Props'!$B$6:$B$851,'Parameters Summary'!A634)</f>
        <v>0</v>
      </c>
      <c r="D634" s="400">
        <f>COUNTIF('Tox Summary'!$N$3:$N$792, 'Parameters Summary'!A634)</f>
        <v>1</v>
      </c>
      <c r="E634" s="434">
        <v>291.99</v>
      </c>
      <c r="F634" s="435" t="s">
        <v>1620</v>
      </c>
      <c r="G634" s="436">
        <v>1.6966499999999999E-2</v>
      </c>
      <c r="H634" s="436">
        <v>4.15E-4</v>
      </c>
      <c r="I634" s="437" t="s">
        <v>1620</v>
      </c>
      <c r="J634" s="436">
        <v>4.9399999999999997E-4</v>
      </c>
      <c r="K634" s="437" t="s">
        <v>1620</v>
      </c>
      <c r="L634" s="453">
        <v>122.32</v>
      </c>
      <c r="M634" s="454" t="s">
        <v>553</v>
      </c>
      <c r="N634" s="455">
        <v>1.44</v>
      </c>
      <c r="O634" s="456" t="s">
        <v>2198</v>
      </c>
      <c r="P634" s="471">
        <v>2.4339699999999999E-2</v>
      </c>
      <c r="Q634" s="471">
        <v>6.2670999999999997E-6</v>
      </c>
      <c r="R634" s="472" t="s">
        <v>2435</v>
      </c>
      <c r="S634" s="473" t="s">
        <v>1531</v>
      </c>
      <c r="T634" s="474" t="s">
        <v>1413</v>
      </c>
      <c r="U634" s="484">
        <v>78100</v>
      </c>
      <c r="V634" s="484" t="s">
        <v>553</v>
      </c>
      <c r="W634" s="495">
        <v>7.1</v>
      </c>
      <c r="X634" s="496" t="s">
        <v>1620</v>
      </c>
      <c r="Y634" s="486">
        <v>0.7</v>
      </c>
      <c r="Z634" s="487" t="s">
        <v>1620</v>
      </c>
      <c r="AA634" s="394">
        <v>0.54500000000000004</v>
      </c>
      <c r="AB634" s="395" t="s">
        <v>553</v>
      </c>
      <c r="AC634" s="369"/>
    </row>
    <row r="635" spans="1:29" ht="20.100000000000001" customHeight="1" thickBot="1">
      <c r="A635" s="392" t="s">
        <v>2414</v>
      </c>
      <c r="B635" s="393" t="s">
        <v>2270</v>
      </c>
      <c r="C635" s="400">
        <f>COUNTIF('Chem Props'!$B$6:$B$851,'Parameters Summary'!A635)</f>
        <v>0</v>
      </c>
      <c r="D635" s="400">
        <f>COUNTIF('Tox Summary'!$N$3:$N$792, 'Parameters Summary'!A635)</f>
        <v>1</v>
      </c>
      <c r="E635" s="438">
        <v>291.99</v>
      </c>
      <c r="F635" s="439" t="s">
        <v>1620</v>
      </c>
      <c r="G635" s="440">
        <v>1.6966499999999999E-2</v>
      </c>
      <c r="H635" s="440">
        <v>4.15E-4</v>
      </c>
      <c r="I635" s="441" t="s">
        <v>1620</v>
      </c>
      <c r="J635" s="440">
        <v>4.9399999999999997E-4</v>
      </c>
      <c r="K635" s="441" t="s">
        <v>1620</v>
      </c>
      <c r="L635" s="457">
        <v>122.32</v>
      </c>
      <c r="M635" s="458" t="s">
        <v>553</v>
      </c>
      <c r="N635" s="459">
        <v>1.44</v>
      </c>
      <c r="O635" s="460" t="s">
        <v>2198</v>
      </c>
      <c r="P635" s="475">
        <v>2.4339699999999999E-2</v>
      </c>
      <c r="Q635" s="475">
        <v>6.2670999999999997E-6</v>
      </c>
      <c r="R635" s="476" t="s">
        <v>2435</v>
      </c>
      <c r="S635" s="477" t="s">
        <v>1531</v>
      </c>
      <c r="T635" s="478" t="s">
        <v>1413</v>
      </c>
      <c r="U635" s="481">
        <v>78100</v>
      </c>
      <c r="V635" s="481" t="s">
        <v>553</v>
      </c>
      <c r="W635" s="497">
        <v>7.1</v>
      </c>
      <c r="X635" s="498" t="s">
        <v>1620</v>
      </c>
      <c r="Y635" s="488">
        <v>0.7</v>
      </c>
      <c r="Z635" s="489" t="s">
        <v>1620</v>
      </c>
      <c r="AA635" s="396">
        <v>0.54500000000000004</v>
      </c>
      <c r="AB635" s="397" t="s">
        <v>553</v>
      </c>
      <c r="AC635" s="369"/>
    </row>
    <row r="636" spans="1:29" ht="20.100000000000001" customHeight="1">
      <c r="A636" s="390" t="s">
        <v>2324</v>
      </c>
      <c r="B636" s="391" t="s">
        <v>198</v>
      </c>
      <c r="C636" s="400">
        <f>COUNTIF('Chem Props'!$B$6:$B$851,'Parameters Summary'!A636)</f>
        <v>1</v>
      </c>
      <c r="D636" s="400">
        <f>COUNTIF('Tox Summary'!$N$3:$N$792, 'Parameters Summary'!A636)</f>
        <v>1</v>
      </c>
      <c r="E636" s="434">
        <v>291.99</v>
      </c>
      <c r="F636" s="435" t="s">
        <v>1620</v>
      </c>
      <c r="G636" s="436">
        <v>3.8430000000000002E-4</v>
      </c>
      <c r="H636" s="436">
        <v>9.3999999999999998E-6</v>
      </c>
      <c r="I636" s="437" t="s">
        <v>1620</v>
      </c>
      <c r="J636" s="436">
        <v>1.6399999999999999E-5</v>
      </c>
      <c r="K636" s="437" t="s">
        <v>1620</v>
      </c>
      <c r="L636" s="453">
        <v>180</v>
      </c>
      <c r="M636" s="454" t="s">
        <v>1618</v>
      </c>
      <c r="N636" s="461" t="s">
        <v>1531</v>
      </c>
      <c r="O636" s="462" t="s">
        <v>1413</v>
      </c>
      <c r="P636" s="471">
        <v>4.9383900000000001E-2</v>
      </c>
      <c r="Q636" s="471">
        <v>5.0440000000000003E-6</v>
      </c>
      <c r="R636" s="472" t="s">
        <v>2435</v>
      </c>
      <c r="S636" s="473" t="s">
        <v>1531</v>
      </c>
      <c r="T636" s="474" t="s">
        <v>1413</v>
      </c>
      <c r="U636" s="484">
        <v>78100</v>
      </c>
      <c r="V636" s="484" t="s">
        <v>553</v>
      </c>
      <c r="W636" s="495">
        <v>6.63</v>
      </c>
      <c r="X636" s="496" t="s">
        <v>1620</v>
      </c>
      <c r="Y636" s="486">
        <v>5.6899999999999995E-4</v>
      </c>
      <c r="Z636" s="487" t="s">
        <v>1620</v>
      </c>
      <c r="AA636" s="394">
        <v>0.91700000000000004</v>
      </c>
      <c r="AB636" s="395" t="s">
        <v>553</v>
      </c>
      <c r="AC636" s="369"/>
    </row>
    <row r="637" spans="1:29" ht="20.100000000000001" customHeight="1">
      <c r="A637" s="390" t="s">
        <v>2251</v>
      </c>
      <c r="B637" s="391" t="s">
        <v>199</v>
      </c>
      <c r="C637" s="400">
        <f>COUNTIF('Chem Props'!$B$6:$B$851,'Parameters Summary'!A637)</f>
        <v>1</v>
      </c>
      <c r="D637" s="400">
        <f>COUNTIF('Tox Summary'!$N$3:$N$792, 'Parameters Summary'!A637)</f>
        <v>1</v>
      </c>
      <c r="E637" s="434">
        <v>291.99</v>
      </c>
      <c r="F637" s="435" t="s">
        <v>553</v>
      </c>
      <c r="G637" s="436">
        <v>9.1169000000000007E-3</v>
      </c>
      <c r="H637" s="436">
        <v>2.23E-4</v>
      </c>
      <c r="I637" s="437" t="s">
        <v>553</v>
      </c>
      <c r="J637" s="436">
        <v>8.4500000000000004E-6</v>
      </c>
      <c r="K637" s="437" t="s">
        <v>553</v>
      </c>
      <c r="L637" s="453">
        <v>122.32</v>
      </c>
      <c r="M637" s="454" t="s">
        <v>553</v>
      </c>
      <c r="N637" s="455">
        <v>1.4410000000000001</v>
      </c>
      <c r="O637" s="456" t="s">
        <v>2206</v>
      </c>
      <c r="P637" s="471">
        <v>4.9383900000000001E-2</v>
      </c>
      <c r="Q637" s="471">
        <v>6.2697000000000003E-6</v>
      </c>
      <c r="R637" s="472" t="s">
        <v>2435</v>
      </c>
      <c r="S637" s="473" t="s">
        <v>1531</v>
      </c>
      <c r="T637" s="474" t="s">
        <v>1413</v>
      </c>
      <c r="U637" s="484">
        <v>78100</v>
      </c>
      <c r="V637" s="484" t="s">
        <v>553</v>
      </c>
      <c r="W637" s="495">
        <v>6.34</v>
      </c>
      <c r="X637" s="496" t="s">
        <v>553</v>
      </c>
      <c r="Y637" s="486">
        <v>3.2245000000000003E-2</v>
      </c>
      <c r="Z637" s="487" t="s">
        <v>553</v>
      </c>
      <c r="AA637" s="394">
        <v>0.58399999999999996</v>
      </c>
      <c r="AB637" s="395" t="s">
        <v>553</v>
      </c>
      <c r="AC637" s="369"/>
    </row>
    <row r="638" spans="1:29" ht="20.100000000000001" customHeight="1" thickBot="1">
      <c r="A638" s="392" t="s">
        <v>1304</v>
      </c>
      <c r="B638" s="393" t="s">
        <v>200</v>
      </c>
      <c r="C638" s="400">
        <f>COUNTIF('Chem Props'!$B$6:$B$851,'Parameters Summary'!A638)</f>
        <v>1</v>
      </c>
      <c r="D638" s="400">
        <f>COUNTIF('Tox Summary'!$N$3:$N$792, 'Parameters Summary'!A638)</f>
        <v>1</v>
      </c>
      <c r="E638" s="438">
        <v>512.53</v>
      </c>
      <c r="F638" s="439" t="s">
        <v>553</v>
      </c>
      <c r="G638" s="440">
        <v>5.3970000000000001E-10</v>
      </c>
      <c r="H638" s="440">
        <v>1.32E-11</v>
      </c>
      <c r="I638" s="441" t="s">
        <v>553</v>
      </c>
      <c r="J638" s="440">
        <v>5.4100000000000002E-13</v>
      </c>
      <c r="K638" s="441" t="s">
        <v>553</v>
      </c>
      <c r="L638" s="457">
        <v>253.05</v>
      </c>
      <c r="M638" s="458" t="s">
        <v>553</v>
      </c>
      <c r="N638" s="463" t="s">
        <v>1531</v>
      </c>
      <c r="O638" s="464" t="s">
        <v>1413</v>
      </c>
      <c r="P638" s="475">
        <v>2.9666999999999999E-2</v>
      </c>
      <c r="Q638" s="475">
        <v>3.4664E-6</v>
      </c>
      <c r="R638" s="476" t="s">
        <v>2435</v>
      </c>
      <c r="S638" s="477" t="s">
        <v>1531</v>
      </c>
      <c r="T638" s="478" t="s">
        <v>1413</v>
      </c>
      <c r="U638" s="481">
        <v>10000000000</v>
      </c>
      <c r="V638" s="481" t="s">
        <v>553</v>
      </c>
      <c r="W638" s="497">
        <v>10.46</v>
      </c>
      <c r="X638" s="498" t="s">
        <v>553</v>
      </c>
      <c r="Y638" s="488">
        <v>1.7630000000000001E-6</v>
      </c>
      <c r="Z638" s="489" t="s">
        <v>553</v>
      </c>
      <c r="AA638" s="396">
        <v>18.600000000000001</v>
      </c>
      <c r="AB638" s="397" t="s">
        <v>553</v>
      </c>
      <c r="AC638" s="369"/>
    </row>
    <row r="639" spans="1:29" ht="20.100000000000001" customHeight="1">
      <c r="A639" s="390" t="s">
        <v>1280</v>
      </c>
      <c r="B639" s="391" t="s">
        <v>1413</v>
      </c>
      <c r="C639" s="400">
        <f>COUNTIF('Chem Props'!$B$6:$B$851,'Parameters Summary'!A639)</f>
        <v>0</v>
      </c>
      <c r="D639" s="400">
        <f>COUNTIF('Tox Summary'!$N$3:$N$792, 'Parameters Summary'!A639)</f>
        <v>1</v>
      </c>
      <c r="E639" s="446" t="s">
        <v>1531</v>
      </c>
      <c r="F639" s="447" t="s">
        <v>1413</v>
      </c>
      <c r="G639" s="444" t="s">
        <v>1531</v>
      </c>
      <c r="H639" s="444" t="s">
        <v>1531</v>
      </c>
      <c r="I639" s="445" t="s">
        <v>1413</v>
      </c>
      <c r="J639" s="444" t="s">
        <v>1531</v>
      </c>
      <c r="K639" s="445" t="s">
        <v>1413</v>
      </c>
      <c r="L639" s="465" t="s">
        <v>1531</v>
      </c>
      <c r="M639" s="466" t="s">
        <v>1413</v>
      </c>
      <c r="N639" s="461" t="s">
        <v>1531</v>
      </c>
      <c r="O639" s="462" t="s">
        <v>1413</v>
      </c>
      <c r="P639" s="482" t="s">
        <v>1531</v>
      </c>
      <c r="Q639" s="482" t="s">
        <v>1531</v>
      </c>
      <c r="R639" s="483" t="s">
        <v>1413</v>
      </c>
      <c r="S639" s="473" t="s">
        <v>1531</v>
      </c>
      <c r="T639" s="474" t="s">
        <v>1413</v>
      </c>
      <c r="U639" s="473" t="s">
        <v>1531</v>
      </c>
      <c r="V639" s="474" t="s">
        <v>1413</v>
      </c>
      <c r="W639" s="501" t="s">
        <v>1531</v>
      </c>
      <c r="X639" s="502" t="s">
        <v>1413</v>
      </c>
      <c r="Y639" s="492" t="s">
        <v>1531</v>
      </c>
      <c r="Z639" s="493" t="s">
        <v>1413</v>
      </c>
      <c r="AA639" s="398" t="s">
        <v>1531</v>
      </c>
      <c r="AB639" s="504" t="s">
        <v>1413</v>
      </c>
      <c r="AC639" s="369"/>
    </row>
    <row r="640" spans="1:29" ht="20.100000000000001" customHeight="1">
      <c r="A640" s="390" t="s">
        <v>2325</v>
      </c>
      <c r="B640" s="391" t="s">
        <v>201</v>
      </c>
      <c r="C640" s="400">
        <f>COUNTIF('Chem Props'!$B$6:$B$851,'Parameters Summary'!A640)</f>
        <v>1</v>
      </c>
      <c r="D640" s="400">
        <f>COUNTIF('Tox Summary'!$N$3:$N$792, 'Parameters Summary'!A640)</f>
        <v>1</v>
      </c>
      <c r="E640" s="434">
        <v>154.21</v>
      </c>
      <c r="F640" s="435" t="s">
        <v>1620</v>
      </c>
      <c r="G640" s="436">
        <v>7.5224999999999997E-3</v>
      </c>
      <c r="H640" s="436">
        <v>1.84E-4</v>
      </c>
      <c r="I640" s="437" t="s">
        <v>1620</v>
      </c>
      <c r="J640" s="436">
        <v>2.15E-3</v>
      </c>
      <c r="K640" s="437" t="s">
        <v>1620</v>
      </c>
      <c r="L640" s="453">
        <v>93.4</v>
      </c>
      <c r="M640" s="454" t="s">
        <v>1620</v>
      </c>
      <c r="N640" s="455">
        <v>1.222</v>
      </c>
      <c r="O640" s="456" t="s">
        <v>1618</v>
      </c>
      <c r="P640" s="471">
        <v>5.0614300000000001E-2</v>
      </c>
      <c r="Q640" s="471">
        <v>8.3299999999999999E-6</v>
      </c>
      <c r="R640" s="472" t="s">
        <v>2435</v>
      </c>
      <c r="S640" s="473" t="s">
        <v>1531</v>
      </c>
      <c r="T640" s="474" t="s">
        <v>1413</v>
      </c>
      <c r="U640" s="484">
        <v>5027</v>
      </c>
      <c r="V640" s="484" t="s">
        <v>553</v>
      </c>
      <c r="W640" s="495">
        <v>3.92</v>
      </c>
      <c r="X640" s="496" t="s">
        <v>1620</v>
      </c>
      <c r="Y640" s="486">
        <v>3.9</v>
      </c>
      <c r="Z640" s="487" t="s">
        <v>1620</v>
      </c>
      <c r="AA640" s="394">
        <v>8.5999999999999993E-2</v>
      </c>
      <c r="AB640" s="395" t="s">
        <v>553</v>
      </c>
      <c r="AC640" s="369"/>
    </row>
    <row r="641" spans="1:29" ht="20.100000000000001" customHeight="1" thickBot="1">
      <c r="A641" s="392" t="s">
        <v>2326</v>
      </c>
      <c r="B641" s="393" t="s">
        <v>202</v>
      </c>
      <c r="C641" s="400">
        <f>COUNTIF('Chem Props'!$B$6:$B$851,'Parameters Summary'!A641)</f>
        <v>1</v>
      </c>
      <c r="D641" s="400">
        <f>COUNTIF('Tox Summary'!$N$3:$N$792, 'Parameters Summary'!A641)</f>
        <v>1</v>
      </c>
      <c r="E641" s="438">
        <v>178.24</v>
      </c>
      <c r="F641" s="439" t="s">
        <v>1620</v>
      </c>
      <c r="G641" s="440">
        <v>2.2731000000000001E-3</v>
      </c>
      <c r="H641" s="440">
        <v>5.5600000000000003E-5</v>
      </c>
      <c r="I641" s="441" t="s">
        <v>1620</v>
      </c>
      <c r="J641" s="440">
        <v>6.5300000000000002E-6</v>
      </c>
      <c r="K641" s="441" t="s">
        <v>553</v>
      </c>
      <c r="L641" s="457">
        <v>215</v>
      </c>
      <c r="M641" s="458" t="s">
        <v>1620</v>
      </c>
      <c r="N641" s="459">
        <v>1.28</v>
      </c>
      <c r="O641" s="460" t="s">
        <v>1618</v>
      </c>
      <c r="P641" s="475">
        <v>3.89732E-2</v>
      </c>
      <c r="Q641" s="475">
        <v>7.8522999999999993E-6</v>
      </c>
      <c r="R641" s="476" t="s">
        <v>2435</v>
      </c>
      <c r="S641" s="477" t="s">
        <v>1531</v>
      </c>
      <c r="T641" s="478" t="s">
        <v>1413</v>
      </c>
      <c r="U641" s="481">
        <v>16360</v>
      </c>
      <c r="V641" s="481" t="s">
        <v>553</v>
      </c>
      <c r="W641" s="497">
        <v>4.45</v>
      </c>
      <c r="X641" s="498" t="s">
        <v>1620</v>
      </c>
      <c r="Y641" s="488">
        <v>4.3400000000000001E-2</v>
      </c>
      <c r="Z641" s="489" t="s">
        <v>1620</v>
      </c>
      <c r="AA641" s="396">
        <v>0.14199999999999999</v>
      </c>
      <c r="AB641" s="397" t="s">
        <v>553</v>
      </c>
      <c r="AC641" s="369"/>
    </row>
    <row r="642" spans="1:29" ht="20.100000000000001" customHeight="1">
      <c r="A642" s="390" t="s">
        <v>2235</v>
      </c>
      <c r="B642" s="391" t="s">
        <v>203</v>
      </c>
      <c r="C642" s="400">
        <f>COUNTIF('Chem Props'!$B$6:$B$851,'Parameters Summary'!A642)</f>
        <v>1</v>
      </c>
      <c r="D642" s="400">
        <f>COUNTIF('Tox Summary'!$N$3:$N$792, 'Parameters Summary'!A642)</f>
        <v>1</v>
      </c>
      <c r="E642" s="434">
        <v>228.3</v>
      </c>
      <c r="F642" s="435" t="s">
        <v>1620</v>
      </c>
      <c r="G642" s="436">
        <v>4.906E-4</v>
      </c>
      <c r="H642" s="436">
        <v>1.2E-5</v>
      </c>
      <c r="I642" s="437" t="s">
        <v>1620</v>
      </c>
      <c r="J642" s="436">
        <v>2.1E-7</v>
      </c>
      <c r="K642" s="437" t="s">
        <v>1620</v>
      </c>
      <c r="L642" s="453">
        <v>84</v>
      </c>
      <c r="M642" s="454" t="s">
        <v>1620</v>
      </c>
      <c r="N642" s="455">
        <v>1.274</v>
      </c>
      <c r="O642" s="456" t="s">
        <v>2199</v>
      </c>
      <c r="P642" s="471">
        <v>2.61138E-2</v>
      </c>
      <c r="Q642" s="471">
        <v>6.7495000000000003E-6</v>
      </c>
      <c r="R642" s="472" t="s">
        <v>2435</v>
      </c>
      <c r="S642" s="473" t="s">
        <v>1531</v>
      </c>
      <c r="T642" s="474" t="s">
        <v>1413</v>
      </c>
      <c r="U642" s="484">
        <v>176900</v>
      </c>
      <c r="V642" s="484" t="s">
        <v>553</v>
      </c>
      <c r="W642" s="495">
        <v>5.76</v>
      </c>
      <c r="X642" s="496" t="s">
        <v>1620</v>
      </c>
      <c r="Y642" s="486">
        <v>9.4000000000000004E-3</v>
      </c>
      <c r="Z642" s="487" t="s">
        <v>1620</v>
      </c>
      <c r="AA642" s="394">
        <v>0.55200000000000005</v>
      </c>
      <c r="AB642" s="395" t="s">
        <v>553</v>
      </c>
      <c r="AC642" s="369"/>
    </row>
    <row r="643" spans="1:29" ht="20.100000000000001" customHeight="1">
      <c r="A643" s="390" t="s">
        <v>2348</v>
      </c>
      <c r="B643" s="391" t="s">
        <v>204</v>
      </c>
      <c r="C643" s="400">
        <f>COUNTIF('Chem Props'!$B$6:$B$851,'Parameters Summary'!A643)</f>
        <v>1</v>
      </c>
      <c r="D643" s="400">
        <f>COUNTIF('Tox Summary'!$N$3:$N$792, 'Parameters Summary'!A643)</f>
        <v>1</v>
      </c>
      <c r="E643" s="434">
        <v>252.32</v>
      </c>
      <c r="F643" s="435" t="s">
        <v>1620</v>
      </c>
      <c r="G643" s="436">
        <v>8.2993000000000003E-6</v>
      </c>
      <c r="H643" s="436">
        <v>2.03E-7</v>
      </c>
      <c r="I643" s="437" t="s">
        <v>1620</v>
      </c>
      <c r="J643" s="436">
        <v>2.62E-8</v>
      </c>
      <c r="K643" s="437" t="s">
        <v>1620</v>
      </c>
      <c r="L643" s="453">
        <v>166</v>
      </c>
      <c r="M643" s="454" t="s">
        <v>1620</v>
      </c>
      <c r="N643" s="461" t="s">
        <v>1531</v>
      </c>
      <c r="O643" s="462" t="s">
        <v>1413</v>
      </c>
      <c r="P643" s="471">
        <v>4.7583100000000003E-2</v>
      </c>
      <c r="Q643" s="471">
        <v>5.5597000000000003E-6</v>
      </c>
      <c r="R643" s="472" t="s">
        <v>2435</v>
      </c>
      <c r="S643" s="473" t="s">
        <v>1531</v>
      </c>
      <c r="T643" s="474" t="s">
        <v>1413</v>
      </c>
      <c r="U643" s="484">
        <v>599400</v>
      </c>
      <c r="V643" s="484" t="s">
        <v>553</v>
      </c>
      <c r="W643" s="495">
        <v>6.11</v>
      </c>
      <c r="X643" s="496" t="s">
        <v>1620</v>
      </c>
      <c r="Y643" s="486">
        <v>2.5000000000000001E-3</v>
      </c>
      <c r="Z643" s="487" t="s">
        <v>1620</v>
      </c>
      <c r="AA643" s="394">
        <v>0.69</v>
      </c>
      <c r="AB643" s="395" t="s">
        <v>553</v>
      </c>
      <c r="AC643" s="369"/>
    </row>
    <row r="644" spans="1:29" ht="20.100000000000001" customHeight="1" thickBot="1">
      <c r="A644" s="392" t="s">
        <v>2349</v>
      </c>
      <c r="B644" s="393" t="s">
        <v>205</v>
      </c>
      <c r="C644" s="400">
        <f>COUNTIF('Chem Props'!$B$6:$B$851,'Parameters Summary'!A644)</f>
        <v>1</v>
      </c>
      <c r="D644" s="400">
        <f>COUNTIF('Tox Summary'!$N$3:$N$792, 'Parameters Summary'!A644)</f>
        <v>1</v>
      </c>
      <c r="E644" s="438">
        <v>252.32</v>
      </c>
      <c r="F644" s="439" t="s">
        <v>1620</v>
      </c>
      <c r="G644" s="440">
        <v>1.8700000000000001E-5</v>
      </c>
      <c r="H644" s="440">
        <v>4.5699999999999998E-7</v>
      </c>
      <c r="I644" s="441" t="s">
        <v>1620</v>
      </c>
      <c r="J644" s="440">
        <v>5.4899999999999999E-9</v>
      </c>
      <c r="K644" s="441" t="s">
        <v>553</v>
      </c>
      <c r="L644" s="457">
        <v>176.5</v>
      </c>
      <c r="M644" s="458" t="s">
        <v>1620</v>
      </c>
      <c r="N644" s="463" t="s">
        <v>1531</v>
      </c>
      <c r="O644" s="464" t="s">
        <v>1413</v>
      </c>
      <c r="P644" s="475">
        <v>4.7583100000000003E-2</v>
      </c>
      <c r="Q644" s="475">
        <v>5.5597000000000003E-6</v>
      </c>
      <c r="R644" s="476" t="s">
        <v>2435</v>
      </c>
      <c r="S644" s="477" t="s">
        <v>1531</v>
      </c>
      <c r="T644" s="478" t="s">
        <v>1413</v>
      </c>
      <c r="U644" s="481">
        <v>587400</v>
      </c>
      <c r="V644" s="481" t="s">
        <v>553</v>
      </c>
      <c r="W644" s="497">
        <v>6.13</v>
      </c>
      <c r="X644" s="498" t="s">
        <v>1620</v>
      </c>
      <c r="Y644" s="488">
        <v>1.6199999999999999E-3</v>
      </c>
      <c r="Z644" s="489" t="s">
        <v>1620</v>
      </c>
      <c r="AA644" s="396">
        <v>0.71299999999999997</v>
      </c>
      <c r="AB644" s="397" t="s">
        <v>553</v>
      </c>
      <c r="AC644" s="369"/>
    </row>
    <row r="645" spans="1:29" ht="20.100000000000001" customHeight="1">
      <c r="A645" s="390" t="s">
        <v>2350</v>
      </c>
      <c r="B645" s="391" t="s">
        <v>206</v>
      </c>
      <c r="C645" s="400">
        <f>COUNTIF('Chem Props'!$B$6:$B$851,'Parameters Summary'!A645)</f>
        <v>1</v>
      </c>
      <c r="D645" s="400">
        <f>COUNTIF('Tox Summary'!$N$3:$N$792, 'Parameters Summary'!A645)</f>
        <v>1</v>
      </c>
      <c r="E645" s="434">
        <v>252.32</v>
      </c>
      <c r="F645" s="435" t="s">
        <v>1620</v>
      </c>
      <c r="G645" s="436">
        <v>2.69E-5</v>
      </c>
      <c r="H645" s="436">
        <v>6.5700000000000002E-7</v>
      </c>
      <c r="I645" s="437" t="s">
        <v>1620</v>
      </c>
      <c r="J645" s="436">
        <v>4.9999999999999998E-7</v>
      </c>
      <c r="K645" s="437" t="s">
        <v>1620</v>
      </c>
      <c r="L645" s="453">
        <v>168</v>
      </c>
      <c r="M645" s="454" t="s">
        <v>1620</v>
      </c>
      <c r="N645" s="461" t="s">
        <v>1531</v>
      </c>
      <c r="O645" s="462" t="s">
        <v>1413</v>
      </c>
      <c r="P645" s="471">
        <v>4.7583100000000003E-2</v>
      </c>
      <c r="Q645" s="471">
        <v>5.5597000000000003E-6</v>
      </c>
      <c r="R645" s="472" t="s">
        <v>2435</v>
      </c>
      <c r="S645" s="473" t="s">
        <v>1531</v>
      </c>
      <c r="T645" s="474" t="s">
        <v>1413</v>
      </c>
      <c r="U645" s="484">
        <v>599400</v>
      </c>
      <c r="V645" s="484" t="s">
        <v>553</v>
      </c>
      <c r="W645" s="495">
        <v>5.78</v>
      </c>
      <c r="X645" s="496" t="s">
        <v>1620</v>
      </c>
      <c r="Y645" s="486">
        <v>1.5E-3</v>
      </c>
      <c r="Z645" s="487" t="s">
        <v>1620</v>
      </c>
      <c r="AA645" s="394">
        <v>0.41699999999999998</v>
      </c>
      <c r="AB645" s="395" t="s">
        <v>553</v>
      </c>
      <c r="AC645" s="369"/>
    </row>
    <row r="646" spans="1:29" ht="20.100000000000001" customHeight="1">
      <c r="A646" s="390" t="s">
        <v>2351</v>
      </c>
      <c r="B646" s="391" t="s">
        <v>207</v>
      </c>
      <c r="C646" s="400">
        <f>COUNTIF('Chem Props'!$B$6:$B$851,'Parameters Summary'!A646)</f>
        <v>1</v>
      </c>
      <c r="D646" s="400">
        <f>COUNTIF('Tox Summary'!$N$3:$N$792, 'Parameters Summary'!A646)</f>
        <v>1</v>
      </c>
      <c r="E646" s="434">
        <v>252.32</v>
      </c>
      <c r="F646" s="435" t="s">
        <v>1620</v>
      </c>
      <c r="G646" s="436">
        <v>2.3900000000000002E-5</v>
      </c>
      <c r="H646" s="436">
        <v>5.8400000000000004E-7</v>
      </c>
      <c r="I646" s="437" t="s">
        <v>1620</v>
      </c>
      <c r="J646" s="436">
        <v>9.6500000000000008E-10</v>
      </c>
      <c r="K646" s="437" t="s">
        <v>553</v>
      </c>
      <c r="L646" s="453">
        <v>217</v>
      </c>
      <c r="M646" s="454" t="s">
        <v>1620</v>
      </c>
      <c r="N646" s="461" t="s">
        <v>1531</v>
      </c>
      <c r="O646" s="462" t="s">
        <v>1413</v>
      </c>
      <c r="P646" s="471">
        <v>4.7583100000000003E-2</v>
      </c>
      <c r="Q646" s="471">
        <v>5.5597000000000003E-6</v>
      </c>
      <c r="R646" s="472" t="s">
        <v>2435</v>
      </c>
      <c r="S646" s="473" t="s">
        <v>1531</v>
      </c>
      <c r="T646" s="474" t="s">
        <v>1413</v>
      </c>
      <c r="U646" s="484">
        <v>587400</v>
      </c>
      <c r="V646" s="484" t="s">
        <v>553</v>
      </c>
      <c r="W646" s="495">
        <v>6.11</v>
      </c>
      <c r="X646" s="496" t="s">
        <v>1620</v>
      </c>
      <c r="Y646" s="486">
        <v>8.0000000000000004E-4</v>
      </c>
      <c r="Z646" s="487" t="s">
        <v>1620</v>
      </c>
      <c r="AA646" s="394">
        <v>0.69099999999999995</v>
      </c>
      <c r="AB646" s="395" t="s">
        <v>553</v>
      </c>
      <c r="AC646" s="369"/>
    </row>
    <row r="647" spans="1:29" ht="20.100000000000001" customHeight="1" thickBot="1">
      <c r="A647" s="392" t="s">
        <v>2327</v>
      </c>
      <c r="B647" s="393" t="s">
        <v>759</v>
      </c>
      <c r="C647" s="400">
        <f>COUNTIF('Chem Props'!$B$6:$B$851,'Parameters Summary'!A647)</f>
        <v>1</v>
      </c>
      <c r="D647" s="400">
        <f>COUNTIF('Tox Summary'!$N$3:$N$792, 'Parameters Summary'!A647)</f>
        <v>1</v>
      </c>
      <c r="E647" s="438">
        <v>162.62</v>
      </c>
      <c r="F647" s="439" t="s">
        <v>1620</v>
      </c>
      <c r="G647" s="440">
        <v>1.30826E-2</v>
      </c>
      <c r="H647" s="440">
        <v>3.2000000000000003E-4</v>
      </c>
      <c r="I647" s="441" t="s">
        <v>1620</v>
      </c>
      <c r="J647" s="440">
        <v>1.2200000000000001E-2</v>
      </c>
      <c r="K647" s="441" t="s">
        <v>553</v>
      </c>
      <c r="L647" s="457">
        <v>61</v>
      </c>
      <c r="M647" s="458" t="s">
        <v>1620</v>
      </c>
      <c r="N647" s="459">
        <v>1.1376999999999999</v>
      </c>
      <c r="O647" s="460" t="s">
        <v>1618</v>
      </c>
      <c r="P647" s="475">
        <v>4.4691399999999999E-2</v>
      </c>
      <c r="Q647" s="475">
        <v>7.7301000000000007E-6</v>
      </c>
      <c r="R647" s="476" t="s">
        <v>2435</v>
      </c>
      <c r="S647" s="477" t="s">
        <v>1531</v>
      </c>
      <c r="T647" s="478" t="s">
        <v>1413</v>
      </c>
      <c r="U647" s="481">
        <v>2478</v>
      </c>
      <c r="V647" s="481" t="s">
        <v>553</v>
      </c>
      <c r="W647" s="497">
        <v>3.9</v>
      </c>
      <c r="X647" s="498" t="s">
        <v>1620</v>
      </c>
      <c r="Y647" s="488">
        <v>11.7</v>
      </c>
      <c r="Z647" s="489" t="s">
        <v>1620</v>
      </c>
      <c r="AA647" s="396">
        <v>7.4899999999999994E-2</v>
      </c>
      <c r="AB647" s="397" t="s">
        <v>553</v>
      </c>
      <c r="AC647" s="369"/>
    </row>
    <row r="648" spans="1:29" ht="20.100000000000001" customHeight="1">
      <c r="A648" s="390" t="s">
        <v>2352</v>
      </c>
      <c r="B648" s="391" t="s">
        <v>208</v>
      </c>
      <c r="C648" s="400">
        <f>COUNTIF('Chem Props'!$B$6:$B$851,'Parameters Summary'!A648)</f>
        <v>1</v>
      </c>
      <c r="D648" s="400">
        <f>COUNTIF('Tox Summary'!$N$3:$N$792, 'Parameters Summary'!A648)</f>
        <v>1</v>
      </c>
      <c r="E648" s="434">
        <v>228.3</v>
      </c>
      <c r="F648" s="435" t="s">
        <v>1620</v>
      </c>
      <c r="G648" s="436">
        <v>2.1379999999999999E-4</v>
      </c>
      <c r="H648" s="436">
        <v>5.2299999999999999E-6</v>
      </c>
      <c r="I648" s="437" t="s">
        <v>1620</v>
      </c>
      <c r="J648" s="436">
        <v>6.2300000000000002E-9</v>
      </c>
      <c r="K648" s="437" t="s">
        <v>1620</v>
      </c>
      <c r="L648" s="453">
        <v>258.2</v>
      </c>
      <c r="M648" s="454" t="s">
        <v>1620</v>
      </c>
      <c r="N648" s="455">
        <v>1.274</v>
      </c>
      <c r="O648" s="456" t="s">
        <v>1618</v>
      </c>
      <c r="P648" s="471">
        <v>2.61138E-2</v>
      </c>
      <c r="Q648" s="471">
        <v>6.7495000000000003E-6</v>
      </c>
      <c r="R648" s="472" t="s">
        <v>2435</v>
      </c>
      <c r="S648" s="473" t="s">
        <v>1531</v>
      </c>
      <c r="T648" s="474" t="s">
        <v>1413</v>
      </c>
      <c r="U648" s="484">
        <v>180500</v>
      </c>
      <c r="V648" s="484" t="s">
        <v>553</v>
      </c>
      <c r="W648" s="495">
        <v>5.81</v>
      </c>
      <c r="X648" s="496" t="s">
        <v>1620</v>
      </c>
      <c r="Y648" s="486">
        <v>2E-3</v>
      </c>
      <c r="Z648" s="487" t="s">
        <v>1620</v>
      </c>
      <c r="AA648" s="394">
        <v>0.59599999999999997</v>
      </c>
      <c r="AB648" s="395" t="s">
        <v>553</v>
      </c>
      <c r="AC648" s="369"/>
    </row>
    <row r="649" spans="1:29" ht="20.100000000000001" customHeight="1">
      <c r="A649" s="390" t="s">
        <v>2353</v>
      </c>
      <c r="B649" s="391" t="s">
        <v>209</v>
      </c>
      <c r="C649" s="400">
        <f>COUNTIF('Chem Props'!$B$6:$B$851,'Parameters Summary'!A649)</f>
        <v>1</v>
      </c>
      <c r="D649" s="400">
        <f>COUNTIF('Tox Summary'!$N$3:$N$792, 'Parameters Summary'!A649)</f>
        <v>1</v>
      </c>
      <c r="E649" s="434">
        <v>278.36</v>
      </c>
      <c r="F649" s="435" t="s">
        <v>1620</v>
      </c>
      <c r="G649" s="436">
        <v>5.7644999999999996E-6</v>
      </c>
      <c r="H649" s="436">
        <v>1.4100000000000001E-7</v>
      </c>
      <c r="I649" s="437" t="s">
        <v>553</v>
      </c>
      <c r="J649" s="436">
        <v>9.5499999999999991E-10</v>
      </c>
      <c r="K649" s="437" t="s">
        <v>553</v>
      </c>
      <c r="L649" s="453">
        <v>269.5</v>
      </c>
      <c r="M649" s="454" t="s">
        <v>1620</v>
      </c>
      <c r="N649" s="461" t="s">
        <v>1531</v>
      </c>
      <c r="O649" s="462" t="s">
        <v>1413</v>
      </c>
      <c r="P649" s="471">
        <v>4.4567200000000001E-2</v>
      </c>
      <c r="Q649" s="471">
        <v>5.2073000000000001E-6</v>
      </c>
      <c r="R649" s="472" t="s">
        <v>2435</v>
      </c>
      <c r="S649" s="473" t="s">
        <v>1531</v>
      </c>
      <c r="T649" s="474" t="s">
        <v>1413</v>
      </c>
      <c r="U649" s="484">
        <v>1912000</v>
      </c>
      <c r="V649" s="484" t="s">
        <v>553</v>
      </c>
      <c r="W649" s="495">
        <v>6.75</v>
      </c>
      <c r="X649" s="496" t="s">
        <v>1620</v>
      </c>
      <c r="Y649" s="486">
        <v>2.49E-3</v>
      </c>
      <c r="Z649" s="487" t="s">
        <v>1620</v>
      </c>
      <c r="AA649" s="394">
        <v>0.95299999999999996</v>
      </c>
      <c r="AB649" s="395" t="s">
        <v>553</v>
      </c>
      <c r="AC649" s="369"/>
    </row>
    <row r="650" spans="1:29" ht="20.100000000000001" customHeight="1" thickBot="1">
      <c r="A650" s="392" t="s">
        <v>2354</v>
      </c>
      <c r="B650" s="393" t="s">
        <v>210</v>
      </c>
      <c r="C650" s="400">
        <f>COUNTIF('Chem Props'!$B$6:$B$851,'Parameters Summary'!A650)</f>
        <v>1</v>
      </c>
      <c r="D650" s="400">
        <f>COUNTIF('Tox Summary'!$N$3:$N$792, 'Parameters Summary'!A650)</f>
        <v>1</v>
      </c>
      <c r="E650" s="438">
        <v>302.38</v>
      </c>
      <c r="F650" s="439" t="s">
        <v>1620</v>
      </c>
      <c r="G650" s="440">
        <v>5.7645E-7</v>
      </c>
      <c r="H650" s="440">
        <v>1.4100000000000001E-8</v>
      </c>
      <c r="I650" s="441" t="s">
        <v>1620</v>
      </c>
      <c r="J650" s="440">
        <v>7.0300000000000005E-11</v>
      </c>
      <c r="K650" s="441" t="s">
        <v>1620</v>
      </c>
      <c r="L650" s="457">
        <v>233.5</v>
      </c>
      <c r="M650" s="458" t="s">
        <v>1620</v>
      </c>
      <c r="N650" s="463" t="s">
        <v>1531</v>
      </c>
      <c r="O650" s="464" t="s">
        <v>1413</v>
      </c>
      <c r="P650" s="475">
        <v>4.2174700000000002E-2</v>
      </c>
      <c r="Q650" s="475">
        <v>4.9277999999999996E-6</v>
      </c>
      <c r="R650" s="476" t="s">
        <v>2435</v>
      </c>
      <c r="S650" s="477" t="s">
        <v>1531</v>
      </c>
      <c r="T650" s="478" t="s">
        <v>1413</v>
      </c>
      <c r="U650" s="481">
        <v>6479000</v>
      </c>
      <c r="V650" s="481" t="s">
        <v>553</v>
      </c>
      <c r="W650" s="497">
        <v>7.71</v>
      </c>
      <c r="X650" s="498" t="s">
        <v>553</v>
      </c>
      <c r="Y650" s="488">
        <v>8.0199999999999998E-5</v>
      </c>
      <c r="Z650" s="489" t="s">
        <v>1620</v>
      </c>
      <c r="AA650" s="396">
        <v>4.1900000000000004</v>
      </c>
      <c r="AB650" s="397" t="s">
        <v>553</v>
      </c>
      <c r="AC650" s="369"/>
    </row>
    <row r="651" spans="1:29" ht="20.100000000000001" customHeight="1">
      <c r="A651" s="390" t="s">
        <v>2355</v>
      </c>
      <c r="B651" s="391" t="s">
        <v>211</v>
      </c>
      <c r="C651" s="400">
        <f>COUNTIF('Chem Props'!$B$6:$B$851,'Parameters Summary'!A651)</f>
        <v>1</v>
      </c>
      <c r="D651" s="400">
        <f>COUNTIF('Tox Summary'!$N$3:$N$792, 'Parameters Summary'!A651)</f>
        <v>1</v>
      </c>
      <c r="E651" s="434">
        <v>256.35000000000002</v>
      </c>
      <c r="F651" s="435" t="s">
        <v>1620</v>
      </c>
      <c r="G651" s="436">
        <v>1.537E-4</v>
      </c>
      <c r="H651" s="436">
        <v>3.76E-6</v>
      </c>
      <c r="I651" s="437" t="s">
        <v>553</v>
      </c>
      <c r="J651" s="436">
        <v>6.7999999999999995E-7</v>
      </c>
      <c r="K651" s="437" t="s">
        <v>1620</v>
      </c>
      <c r="L651" s="453">
        <v>122.5</v>
      </c>
      <c r="M651" s="454" t="s">
        <v>1620</v>
      </c>
      <c r="N651" s="461" t="s">
        <v>1531</v>
      </c>
      <c r="O651" s="462" t="s">
        <v>1413</v>
      </c>
      <c r="P651" s="471">
        <v>4.7083100000000003E-2</v>
      </c>
      <c r="Q651" s="471">
        <v>5.5013000000000002E-6</v>
      </c>
      <c r="R651" s="472" t="s">
        <v>2435</v>
      </c>
      <c r="S651" s="473" t="s">
        <v>1531</v>
      </c>
      <c r="T651" s="474" t="s">
        <v>1413</v>
      </c>
      <c r="U651" s="484">
        <v>493600</v>
      </c>
      <c r="V651" s="484" t="s">
        <v>553</v>
      </c>
      <c r="W651" s="495">
        <v>5.8</v>
      </c>
      <c r="X651" s="496" t="s">
        <v>1620</v>
      </c>
      <c r="Y651" s="486">
        <v>6.0999999999999999E-2</v>
      </c>
      <c r="Z651" s="487" t="s">
        <v>1620</v>
      </c>
      <c r="AA651" s="394">
        <v>0.40799999999999997</v>
      </c>
      <c r="AB651" s="395" t="s">
        <v>553</v>
      </c>
      <c r="AC651" s="369"/>
    </row>
    <row r="652" spans="1:29" ht="20.100000000000001" customHeight="1">
      <c r="A652" s="390" t="s">
        <v>2356</v>
      </c>
      <c r="B652" s="391" t="s">
        <v>212</v>
      </c>
      <c r="C652" s="400">
        <f>COUNTIF('Chem Props'!$B$6:$B$851,'Parameters Summary'!A652)</f>
        <v>1</v>
      </c>
      <c r="D652" s="400">
        <f>COUNTIF('Tox Summary'!$N$3:$N$792, 'Parameters Summary'!A652)</f>
        <v>1</v>
      </c>
      <c r="E652" s="434">
        <v>202.26</v>
      </c>
      <c r="F652" s="435" t="s">
        <v>1620</v>
      </c>
      <c r="G652" s="436">
        <v>3.6220000000000002E-4</v>
      </c>
      <c r="H652" s="436">
        <v>8.8599999999999999E-6</v>
      </c>
      <c r="I652" s="437" t="s">
        <v>1620</v>
      </c>
      <c r="J652" s="436">
        <v>9.2199999999999998E-6</v>
      </c>
      <c r="K652" s="437" t="s">
        <v>1620</v>
      </c>
      <c r="L652" s="453">
        <v>107.8</v>
      </c>
      <c r="M652" s="454" t="s">
        <v>1620</v>
      </c>
      <c r="N652" s="455">
        <v>1.252</v>
      </c>
      <c r="O652" s="456" t="s">
        <v>1618</v>
      </c>
      <c r="P652" s="471">
        <v>2.7595700000000001E-2</v>
      </c>
      <c r="Q652" s="471">
        <v>7.1826999999999999E-6</v>
      </c>
      <c r="R652" s="472" t="s">
        <v>2435</v>
      </c>
      <c r="S652" s="473" t="s">
        <v>1531</v>
      </c>
      <c r="T652" s="474" t="s">
        <v>1413</v>
      </c>
      <c r="U652" s="484">
        <v>55450</v>
      </c>
      <c r="V652" s="484" t="s">
        <v>553</v>
      </c>
      <c r="W652" s="495">
        <v>5.16</v>
      </c>
      <c r="X652" s="496" t="s">
        <v>1620</v>
      </c>
      <c r="Y652" s="486">
        <v>0.26</v>
      </c>
      <c r="Z652" s="487" t="s">
        <v>1620</v>
      </c>
      <c r="AA652" s="394">
        <v>0.308</v>
      </c>
      <c r="AB652" s="395" t="s">
        <v>553</v>
      </c>
      <c r="AC652" s="369"/>
    </row>
    <row r="653" spans="1:29" ht="20.100000000000001" customHeight="1" thickBot="1">
      <c r="A653" s="392" t="s">
        <v>2332</v>
      </c>
      <c r="B653" s="393" t="s">
        <v>213</v>
      </c>
      <c r="C653" s="400">
        <f>COUNTIF('Chem Props'!$B$6:$B$851,'Parameters Summary'!A653)</f>
        <v>1</v>
      </c>
      <c r="D653" s="400">
        <f>COUNTIF('Tox Summary'!$N$3:$N$792, 'Parameters Summary'!A653)</f>
        <v>1</v>
      </c>
      <c r="E653" s="438">
        <v>166.22</v>
      </c>
      <c r="F653" s="439" t="s">
        <v>1620</v>
      </c>
      <c r="G653" s="440">
        <v>3.9329999999999999E-3</v>
      </c>
      <c r="H653" s="440">
        <v>9.6199999999999994E-5</v>
      </c>
      <c r="I653" s="441" t="s">
        <v>1620</v>
      </c>
      <c r="J653" s="440">
        <v>5.9999999999999995E-4</v>
      </c>
      <c r="K653" s="441" t="s">
        <v>1620</v>
      </c>
      <c r="L653" s="457">
        <v>114.8</v>
      </c>
      <c r="M653" s="458" t="s">
        <v>1620</v>
      </c>
      <c r="N653" s="459">
        <v>1.2030000000000001</v>
      </c>
      <c r="O653" s="460" t="s">
        <v>1618</v>
      </c>
      <c r="P653" s="475">
        <v>4.3974300000000001E-2</v>
      </c>
      <c r="Q653" s="475">
        <v>7.8890000000000002E-6</v>
      </c>
      <c r="R653" s="476" t="s">
        <v>2435</v>
      </c>
      <c r="S653" s="477" t="s">
        <v>1531</v>
      </c>
      <c r="T653" s="478" t="s">
        <v>1413</v>
      </c>
      <c r="U653" s="481">
        <v>9160</v>
      </c>
      <c r="V653" s="481" t="s">
        <v>553</v>
      </c>
      <c r="W653" s="497">
        <v>4.18</v>
      </c>
      <c r="X653" s="498" t="s">
        <v>1620</v>
      </c>
      <c r="Y653" s="488">
        <v>1.69</v>
      </c>
      <c r="Z653" s="489" t="s">
        <v>1620</v>
      </c>
      <c r="AA653" s="396">
        <v>0.11</v>
      </c>
      <c r="AB653" s="397" t="s">
        <v>553</v>
      </c>
      <c r="AC653" s="369"/>
    </row>
    <row r="654" spans="1:29" ht="20.100000000000001" customHeight="1">
      <c r="A654" s="390" t="s">
        <v>2357</v>
      </c>
      <c r="B654" s="391" t="s">
        <v>214</v>
      </c>
      <c r="C654" s="400">
        <f>COUNTIF('Chem Props'!$B$6:$B$851,'Parameters Summary'!A654)</f>
        <v>1</v>
      </c>
      <c r="D654" s="400">
        <f>COUNTIF('Tox Summary'!$N$3:$N$792, 'Parameters Summary'!A654)</f>
        <v>1</v>
      </c>
      <c r="E654" s="434">
        <v>276.33999999999997</v>
      </c>
      <c r="F654" s="435" t="s">
        <v>1620</v>
      </c>
      <c r="G654" s="436">
        <v>1.42E-5</v>
      </c>
      <c r="H654" s="436">
        <v>3.4799999999999999E-7</v>
      </c>
      <c r="I654" s="437" t="s">
        <v>1620</v>
      </c>
      <c r="J654" s="436">
        <v>1.2500000000000001E-10</v>
      </c>
      <c r="K654" s="437" t="s">
        <v>1620</v>
      </c>
      <c r="L654" s="453">
        <v>163.6</v>
      </c>
      <c r="M654" s="454" t="s">
        <v>1620</v>
      </c>
      <c r="N654" s="461" t="s">
        <v>1531</v>
      </c>
      <c r="O654" s="462" t="s">
        <v>1413</v>
      </c>
      <c r="P654" s="471">
        <v>4.4784200000000003E-2</v>
      </c>
      <c r="Q654" s="471">
        <v>5.2326999999999999E-6</v>
      </c>
      <c r="R654" s="472" t="s">
        <v>2435</v>
      </c>
      <c r="S654" s="473" t="s">
        <v>1531</v>
      </c>
      <c r="T654" s="474" t="s">
        <v>1413</v>
      </c>
      <c r="U654" s="484">
        <v>1951000</v>
      </c>
      <c r="V654" s="484" t="s">
        <v>553</v>
      </c>
      <c r="W654" s="495">
        <v>6.7</v>
      </c>
      <c r="X654" s="496" t="s">
        <v>1620</v>
      </c>
      <c r="Y654" s="486">
        <v>1.9000000000000001E-4</v>
      </c>
      <c r="Z654" s="487" t="s">
        <v>1620</v>
      </c>
      <c r="AA654" s="394">
        <v>1.24</v>
      </c>
      <c r="AB654" s="395" t="s">
        <v>553</v>
      </c>
      <c r="AC654" s="369"/>
    </row>
    <row r="655" spans="1:29" ht="20.100000000000001" customHeight="1">
      <c r="A655" s="390" t="s">
        <v>2334</v>
      </c>
      <c r="B655" s="391" t="s">
        <v>215</v>
      </c>
      <c r="C655" s="400">
        <f>COUNTIF('Chem Props'!$B$6:$B$851,'Parameters Summary'!A655)</f>
        <v>1</v>
      </c>
      <c r="D655" s="400">
        <f>COUNTIF('Tox Summary'!$N$3:$N$792, 'Parameters Summary'!A655)</f>
        <v>1</v>
      </c>
      <c r="E655" s="434">
        <v>142.19999999999999</v>
      </c>
      <c r="F655" s="435" t="s">
        <v>1620</v>
      </c>
      <c r="G655" s="436">
        <v>2.1013899999999999E-2</v>
      </c>
      <c r="H655" s="436">
        <v>5.1400000000000003E-4</v>
      </c>
      <c r="I655" s="437" t="s">
        <v>1620</v>
      </c>
      <c r="J655" s="436">
        <v>6.7000000000000004E-2</v>
      </c>
      <c r="K655" s="437" t="s">
        <v>1620</v>
      </c>
      <c r="L655" s="453">
        <v>-30.4</v>
      </c>
      <c r="M655" s="454" t="s">
        <v>1620</v>
      </c>
      <c r="N655" s="455">
        <v>1.0202</v>
      </c>
      <c r="O655" s="456" t="s">
        <v>1618</v>
      </c>
      <c r="P655" s="471">
        <v>5.2770499999999998E-2</v>
      </c>
      <c r="Q655" s="471">
        <v>7.8476999999999994E-6</v>
      </c>
      <c r="R655" s="472" t="s">
        <v>2435</v>
      </c>
      <c r="S655" s="473" t="s">
        <v>1531</v>
      </c>
      <c r="T655" s="474" t="s">
        <v>1413</v>
      </c>
      <c r="U655" s="484">
        <v>2528</v>
      </c>
      <c r="V655" s="484" t="s">
        <v>553</v>
      </c>
      <c r="W655" s="495">
        <v>3.87</v>
      </c>
      <c r="X655" s="496" t="s">
        <v>1620</v>
      </c>
      <c r="Y655" s="486">
        <v>25.8</v>
      </c>
      <c r="Z655" s="487" t="s">
        <v>1620</v>
      </c>
      <c r="AA655" s="394">
        <v>9.3100000000000002E-2</v>
      </c>
      <c r="AB655" s="395" t="s">
        <v>553</v>
      </c>
      <c r="AC655" s="369"/>
    </row>
    <row r="656" spans="1:29" ht="20.100000000000001" customHeight="1" thickBot="1">
      <c r="A656" s="392" t="s">
        <v>2335</v>
      </c>
      <c r="B656" s="393" t="s">
        <v>216</v>
      </c>
      <c r="C656" s="400">
        <f>COUNTIF('Chem Props'!$B$6:$B$851,'Parameters Summary'!A656)</f>
        <v>1</v>
      </c>
      <c r="D656" s="400">
        <f>COUNTIF('Tox Summary'!$N$3:$N$792, 'Parameters Summary'!A656)</f>
        <v>1</v>
      </c>
      <c r="E656" s="438">
        <v>142.19999999999999</v>
      </c>
      <c r="F656" s="439" t="s">
        <v>1620</v>
      </c>
      <c r="G656" s="440">
        <v>2.1177399999999999E-2</v>
      </c>
      <c r="H656" s="440">
        <v>5.1800000000000001E-4</v>
      </c>
      <c r="I656" s="441" t="s">
        <v>1620</v>
      </c>
      <c r="J656" s="440">
        <v>5.5E-2</v>
      </c>
      <c r="K656" s="441" t="s">
        <v>1620</v>
      </c>
      <c r="L656" s="457">
        <v>34.4</v>
      </c>
      <c r="M656" s="458" t="s">
        <v>1620</v>
      </c>
      <c r="N656" s="459">
        <v>1.0058</v>
      </c>
      <c r="O656" s="460" t="s">
        <v>1618</v>
      </c>
      <c r="P656" s="475">
        <v>5.2431899999999997E-2</v>
      </c>
      <c r="Q656" s="475">
        <v>7.7811000000000008E-6</v>
      </c>
      <c r="R656" s="476" t="s">
        <v>2435</v>
      </c>
      <c r="S656" s="477" t="s">
        <v>1531</v>
      </c>
      <c r="T656" s="478" t="s">
        <v>1413</v>
      </c>
      <c r="U656" s="481">
        <v>2478</v>
      </c>
      <c r="V656" s="481" t="s">
        <v>553</v>
      </c>
      <c r="W656" s="497">
        <v>3.86</v>
      </c>
      <c r="X656" s="498" t="s">
        <v>1620</v>
      </c>
      <c r="Y656" s="488">
        <v>24.6</v>
      </c>
      <c r="Z656" s="489" t="s">
        <v>1620</v>
      </c>
      <c r="AA656" s="396">
        <v>9.1700000000000004E-2</v>
      </c>
      <c r="AB656" s="397" t="s">
        <v>553</v>
      </c>
      <c r="AC656" s="369"/>
    </row>
    <row r="657" spans="1:29" ht="20.100000000000001" customHeight="1">
      <c r="A657" s="390" t="s">
        <v>2244</v>
      </c>
      <c r="B657" s="391" t="s">
        <v>217</v>
      </c>
      <c r="C657" s="400">
        <f>COUNTIF('Chem Props'!$B$6:$B$851,'Parameters Summary'!A657)</f>
        <v>1</v>
      </c>
      <c r="D657" s="400">
        <f>COUNTIF('Tox Summary'!$N$3:$N$792, 'Parameters Summary'!A657)</f>
        <v>1</v>
      </c>
      <c r="E657" s="434">
        <v>128.18</v>
      </c>
      <c r="F657" s="435" t="s">
        <v>1620</v>
      </c>
      <c r="G657" s="436">
        <v>1.79886E-2</v>
      </c>
      <c r="H657" s="436">
        <v>4.4000000000000002E-4</v>
      </c>
      <c r="I657" s="437" t="s">
        <v>1620</v>
      </c>
      <c r="J657" s="436">
        <v>8.5000000000000006E-2</v>
      </c>
      <c r="K657" s="437" t="s">
        <v>1620</v>
      </c>
      <c r="L657" s="453">
        <v>80.2</v>
      </c>
      <c r="M657" s="454" t="s">
        <v>1620</v>
      </c>
      <c r="N657" s="455">
        <v>1.0253000000000001</v>
      </c>
      <c r="O657" s="456" t="s">
        <v>1618</v>
      </c>
      <c r="P657" s="471">
        <v>6.0499400000000002E-2</v>
      </c>
      <c r="Q657" s="471">
        <v>8.3769999999999996E-6</v>
      </c>
      <c r="R657" s="472" t="s">
        <v>2435</v>
      </c>
      <c r="S657" s="473" t="s">
        <v>1531</v>
      </c>
      <c r="T657" s="474" t="s">
        <v>1413</v>
      </c>
      <c r="U657" s="484">
        <v>1544</v>
      </c>
      <c r="V657" s="484" t="s">
        <v>553</v>
      </c>
      <c r="W657" s="495">
        <v>3.3</v>
      </c>
      <c r="X657" s="496" t="s">
        <v>1620</v>
      </c>
      <c r="Y657" s="486">
        <v>31</v>
      </c>
      <c r="Z657" s="487" t="s">
        <v>1620</v>
      </c>
      <c r="AA657" s="394">
        <v>4.6600000000000003E-2</v>
      </c>
      <c r="AB657" s="395" t="s">
        <v>553</v>
      </c>
      <c r="AC657" s="369"/>
    </row>
    <row r="658" spans="1:29" ht="20.100000000000001" customHeight="1">
      <c r="A658" s="390" t="s">
        <v>2358</v>
      </c>
      <c r="B658" s="391" t="s">
        <v>218</v>
      </c>
      <c r="C658" s="400">
        <f>COUNTIF('Chem Props'!$B$6:$B$851,'Parameters Summary'!A658)</f>
        <v>1</v>
      </c>
      <c r="D658" s="400">
        <f>COUNTIF('Tox Summary'!$N$3:$N$792, 'Parameters Summary'!A658)</f>
        <v>1</v>
      </c>
      <c r="E658" s="434">
        <v>249.27</v>
      </c>
      <c r="F658" s="435" t="s">
        <v>1620</v>
      </c>
      <c r="G658" s="436">
        <v>1.0016000000000001E-6</v>
      </c>
      <c r="H658" s="436">
        <v>2.4500000000000001E-8</v>
      </c>
      <c r="I658" s="437" t="s">
        <v>1620</v>
      </c>
      <c r="J658" s="436">
        <v>5.5199999999999998E-8</v>
      </c>
      <c r="K658" s="437" t="s">
        <v>1620</v>
      </c>
      <c r="L658" s="453">
        <v>190</v>
      </c>
      <c r="M658" s="454" t="s">
        <v>1620</v>
      </c>
      <c r="N658" s="461" t="s">
        <v>1531</v>
      </c>
      <c r="O658" s="462" t="s">
        <v>1413</v>
      </c>
      <c r="P658" s="471">
        <v>4.7970400000000003E-2</v>
      </c>
      <c r="Q658" s="471">
        <v>5.6049999999999997E-6</v>
      </c>
      <c r="R658" s="472" t="s">
        <v>2435</v>
      </c>
      <c r="S658" s="473" t="s">
        <v>1531</v>
      </c>
      <c r="T658" s="474" t="s">
        <v>1413</v>
      </c>
      <c r="U658" s="484">
        <v>86110</v>
      </c>
      <c r="V658" s="484" t="s">
        <v>553</v>
      </c>
      <c r="W658" s="495">
        <v>4.75</v>
      </c>
      <c r="X658" s="496" t="s">
        <v>1620</v>
      </c>
      <c r="Y658" s="486">
        <v>6.7900000000000002E-2</v>
      </c>
      <c r="Z658" s="487" t="s">
        <v>1620</v>
      </c>
      <c r="AA658" s="394">
        <v>9.2200000000000004E-2</v>
      </c>
      <c r="AB658" s="395" t="s">
        <v>553</v>
      </c>
      <c r="AC658" s="369"/>
    </row>
    <row r="659" spans="1:29" ht="20.100000000000001" customHeight="1" thickBot="1">
      <c r="A659" s="392" t="s">
        <v>2336</v>
      </c>
      <c r="B659" s="393" t="s">
        <v>219</v>
      </c>
      <c r="C659" s="400">
        <f>COUNTIF('Chem Props'!$B$6:$B$851,'Parameters Summary'!A659)</f>
        <v>1</v>
      </c>
      <c r="D659" s="400">
        <f>COUNTIF('Tox Summary'!$N$3:$N$792, 'Parameters Summary'!A659)</f>
        <v>1</v>
      </c>
      <c r="E659" s="438">
        <v>202.26</v>
      </c>
      <c r="F659" s="439" t="s">
        <v>1620</v>
      </c>
      <c r="G659" s="440">
        <v>4.8650000000000001E-4</v>
      </c>
      <c r="H659" s="440">
        <v>1.19E-5</v>
      </c>
      <c r="I659" s="441" t="s">
        <v>1620</v>
      </c>
      <c r="J659" s="440">
        <v>4.5000000000000001E-6</v>
      </c>
      <c r="K659" s="441" t="s">
        <v>1620</v>
      </c>
      <c r="L659" s="457">
        <v>151.19999999999999</v>
      </c>
      <c r="M659" s="458" t="s">
        <v>1620</v>
      </c>
      <c r="N659" s="459">
        <v>1.2709999999999999</v>
      </c>
      <c r="O659" s="460" t="s">
        <v>1618</v>
      </c>
      <c r="P659" s="475">
        <v>2.7787300000000001E-2</v>
      </c>
      <c r="Q659" s="475">
        <v>7.2478999999999997E-6</v>
      </c>
      <c r="R659" s="476" t="s">
        <v>2435</v>
      </c>
      <c r="S659" s="477" t="s">
        <v>1531</v>
      </c>
      <c r="T659" s="478" t="s">
        <v>1413</v>
      </c>
      <c r="U659" s="481">
        <v>54340</v>
      </c>
      <c r="V659" s="481" t="s">
        <v>553</v>
      </c>
      <c r="W659" s="497">
        <v>4.88</v>
      </c>
      <c r="X659" s="498" t="s">
        <v>1620</v>
      </c>
      <c r="Y659" s="488">
        <v>0.13500000000000001</v>
      </c>
      <c r="Z659" s="489" t="s">
        <v>1620</v>
      </c>
      <c r="AA659" s="396">
        <v>0.20100000000000001</v>
      </c>
      <c r="AB659" s="397" t="s">
        <v>553</v>
      </c>
      <c r="AC659" s="369"/>
    </row>
    <row r="660" spans="1:29" ht="20.100000000000001" customHeight="1">
      <c r="A660" s="390" t="s">
        <v>2127</v>
      </c>
      <c r="B660" s="391" t="s">
        <v>2128</v>
      </c>
      <c r="C660" s="400">
        <f>COUNTIF('Chem Props'!$B$6:$B$851,'Parameters Summary'!A660)</f>
        <v>1</v>
      </c>
      <c r="D660" s="400">
        <f>COUNTIF('Tox Summary'!$N$3:$N$792, 'Parameters Summary'!A660)</f>
        <v>1</v>
      </c>
      <c r="E660" s="434">
        <v>338.19</v>
      </c>
      <c r="F660" s="435" t="s">
        <v>553</v>
      </c>
      <c r="G660" s="436">
        <v>3.59E-11</v>
      </c>
      <c r="H660" s="436">
        <v>8.7899999999999999E-13</v>
      </c>
      <c r="I660" s="437" t="s">
        <v>2438</v>
      </c>
      <c r="J660" s="436">
        <v>9.1500000000000005E-8</v>
      </c>
      <c r="K660" s="437" t="s">
        <v>2438</v>
      </c>
      <c r="L660" s="453">
        <v>270.39999999999998</v>
      </c>
      <c r="M660" s="454" t="s">
        <v>2438</v>
      </c>
      <c r="N660" s="461" t="s">
        <v>1531</v>
      </c>
      <c r="O660" s="462" t="s">
        <v>1413</v>
      </c>
      <c r="P660" s="471">
        <v>3.9142299999999998E-2</v>
      </c>
      <c r="Q660" s="471">
        <v>4.5735000000000003E-6</v>
      </c>
      <c r="R660" s="472" t="s">
        <v>2435</v>
      </c>
      <c r="S660" s="473" t="s">
        <v>1531</v>
      </c>
      <c r="T660" s="474" t="s">
        <v>1413</v>
      </c>
      <c r="U660" s="473" t="s">
        <v>1531</v>
      </c>
      <c r="V660" s="474" t="s">
        <v>1413</v>
      </c>
      <c r="W660" s="501" t="s">
        <v>1531</v>
      </c>
      <c r="X660" s="502" t="s">
        <v>1413</v>
      </c>
      <c r="Y660" s="486">
        <v>46200</v>
      </c>
      <c r="Z660" s="487" t="s">
        <v>2438</v>
      </c>
      <c r="AA660" s="398" t="s">
        <v>1531</v>
      </c>
      <c r="AB660" s="504" t="s">
        <v>1413</v>
      </c>
      <c r="AC660" s="369"/>
    </row>
    <row r="661" spans="1:29" ht="20.100000000000001" customHeight="1">
      <c r="A661" s="390" t="s">
        <v>1305</v>
      </c>
      <c r="B661" s="391" t="s">
        <v>221</v>
      </c>
      <c r="C661" s="400">
        <f>COUNTIF('Chem Props'!$B$6:$B$851,'Parameters Summary'!A661)</f>
        <v>1</v>
      </c>
      <c r="D661" s="400">
        <f>COUNTIF('Tox Summary'!$N$3:$N$792, 'Parameters Summary'!A661)</f>
        <v>1</v>
      </c>
      <c r="E661" s="434">
        <v>376.67</v>
      </c>
      <c r="F661" s="435" t="s">
        <v>1620</v>
      </c>
      <c r="G661" s="436">
        <v>6.7047999999999995E-7</v>
      </c>
      <c r="H661" s="436">
        <v>1.6400000000000001E-8</v>
      </c>
      <c r="I661" s="437" t="s">
        <v>553</v>
      </c>
      <c r="J661" s="436">
        <v>1.13E-6</v>
      </c>
      <c r="K661" s="437" t="s">
        <v>1620</v>
      </c>
      <c r="L661" s="453">
        <v>48</v>
      </c>
      <c r="M661" s="454" t="s">
        <v>1620</v>
      </c>
      <c r="N661" s="461" t="s">
        <v>1531</v>
      </c>
      <c r="O661" s="462" t="s">
        <v>1413</v>
      </c>
      <c r="P661" s="471">
        <v>3.64289E-2</v>
      </c>
      <c r="Q661" s="471">
        <v>4.2563999999999996E-6</v>
      </c>
      <c r="R661" s="472" t="s">
        <v>2435</v>
      </c>
      <c r="S661" s="473" t="s">
        <v>1531</v>
      </c>
      <c r="T661" s="474" t="s">
        <v>1413</v>
      </c>
      <c r="U661" s="484">
        <v>2425</v>
      </c>
      <c r="V661" s="484" t="s">
        <v>553</v>
      </c>
      <c r="W661" s="495">
        <v>4.0999999999999996</v>
      </c>
      <c r="X661" s="496" t="s">
        <v>1620</v>
      </c>
      <c r="Y661" s="486">
        <v>34</v>
      </c>
      <c r="Z661" s="487" t="s">
        <v>1620</v>
      </c>
      <c r="AA661" s="394">
        <v>6.4000000000000003E-3</v>
      </c>
      <c r="AB661" s="395" t="s">
        <v>553</v>
      </c>
      <c r="AC661" s="369"/>
    </row>
    <row r="662" spans="1:29" ht="20.100000000000001" customHeight="1" thickBot="1">
      <c r="A662" s="392" t="s">
        <v>1306</v>
      </c>
      <c r="B662" s="393" t="s">
        <v>222</v>
      </c>
      <c r="C662" s="400">
        <f>COUNTIF('Chem Props'!$B$6:$B$851,'Parameters Summary'!A662)</f>
        <v>1</v>
      </c>
      <c r="D662" s="400">
        <f>COUNTIF('Tox Summary'!$N$3:$N$792, 'Parameters Summary'!A662)</f>
        <v>1</v>
      </c>
      <c r="E662" s="438">
        <v>347.3</v>
      </c>
      <c r="F662" s="439" t="s">
        <v>1620</v>
      </c>
      <c r="G662" s="440">
        <v>1.18561E-2</v>
      </c>
      <c r="H662" s="440">
        <v>2.9E-4</v>
      </c>
      <c r="I662" s="441" t="s">
        <v>553</v>
      </c>
      <c r="J662" s="440">
        <v>6.3E-5</v>
      </c>
      <c r="K662" s="441" t="s">
        <v>1620</v>
      </c>
      <c r="L662" s="457">
        <v>32.299999999999997</v>
      </c>
      <c r="M662" s="458" t="s">
        <v>1620</v>
      </c>
      <c r="N662" s="459">
        <v>1.38</v>
      </c>
      <c r="O662" s="460" t="s">
        <v>2198</v>
      </c>
      <c r="P662" s="475">
        <v>2.18047E-2</v>
      </c>
      <c r="Q662" s="475">
        <v>5.5052000000000002E-6</v>
      </c>
      <c r="R662" s="476" t="s">
        <v>2435</v>
      </c>
      <c r="S662" s="477" t="s">
        <v>1531</v>
      </c>
      <c r="T662" s="478" t="s">
        <v>1413</v>
      </c>
      <c r="U662" s="481">
        <v>30520</v>
      </c>
      <c r="V662" s="481" t="s">
        <v>553</v>
      </c>
      <c r="W662" s="497">
        <v>5.58</v>
      </c>
      <c r="X662" s="498" t="s">
        <v>1620</v>
      </c>
      <c r="Y662" s="488">
        <v>0.1</v>
      </c>
      <c r="Z662" s="489" t="s">
        <v>1620</v>
      </c>
      <c r="AA662" s="396">
        <v>0.09</v>
      </c>
      <c r="AB662" s="397" t="s">
        <v>553</v>
      </c>
      <c r="AC662" s="369"/>
    </row>
    <row r="663" spans="1:29" ht="20.100000000000001" customHeight="1">
      <c r="A663" s="390" t="s">
        <v>1307</v>
      </c>
      <c r="B663" s="391" t="s">
        <v>223</v>
      </c>
      <c r="C663" s="400">
        <f>COUNTIF('Chem Props'!$B$6:$B$851,'Parameters Summary'!A663)</f>
        <v>1</v>
      </c>
      <c r="D663" s="400">
        <f>COUNTIF('Tox Summary'!$N$3:$N$792, 'Parameters Summary'!A663)</f>
        <v>1</v>
      </c>
      <c r="E663" s="434">
        <v>225.3</v>
      </c>
      <c r="F663" s="435" t="s">
        <v>1620</v>
      </c>
      <c r="G663" s="436">
        <v>3.7163E-8</v>
      </c>
      <c r="H663" s="436">
        <v>9.0899999999999996E-10</v>
      </c>
      <c r="I663" s="437" t="s">
        <v>553</v>
      </c>
      <c r="J663" s="436">
        <v>2.3E-6</v>
      </c>
      <c r="K663" s="437" t="s">
        <v>1620</v>
      </c>
      <c r="L663" s="453">
        <v>91</v>
      </c>
      <c r="M663" s="454" t="s">
        <v>1620</v>
      </c>
      <c r="N663" s="461" t="s">
        <v>1531</v>
      </c>
      <c r="O663" s="462" t="s">
        <v>1413</v>
      </c>
      <c r="P663" s="471">
        <v>5.1315199999999998E-2</v>
      </c>
      <c r="Q663" s="471">
        <v>5.9958000000000003E-6</v>
      </c>
      <c r="R663" s="472" t="s">
        <v>2435</v>
      </c>
      <c r="S663" s="473" t="s">
        <v>1531</v>
      </c>
      <c r="T663" s="474" t="s">
        <v>1413</v>
      </c>
      <c r="U663" s="484">
        <v>137.4</v>
      </c>
      <c r="V663" s="484" t="s">
        <v>553</v>
      </c>
      <c r="W663" s="495">
        <v>2.99</v>
      </c>
      <c r="X663" s="496" t="s">
        <v>1620</v>
      </c>
      <c r="Y663" s="486">
        <v>750</v>
      </c>
      <c r="Z663" s="487" t="s">
        <v>1620</v>
      </c>
      <c r="AA663" s="394">
        <v>8.2699999999999996E-3</v>
      </c>
      <c r="AB663" s="395" t="s">
        <v>553</v>
      </c>
      <c r="AC663" s="369"/>
    </row>
    <row r="664" spans="1:29" ht="20.100000000000001" customHeight="1">
      <c r="A664" s="390" t="s">
        <v>1308</v>
      </c>
      <c r="B664" s="391" t="s">
        <v>224</v>
      </c>
      <c r="C664" s="400">
        <f>COUNTIF('Chem Props'!$B$6:$B$851,'Parameters Summary'!A664)</f>
        <v>1</v>
      </c>
      <c r="D664" s="400">
        <f>COUNTIF('Tox Summary'!$N$3:$N$792, 'Parameters Summary'!A664)</f>
        <v>1</v>
      </c>
      <c r="E664" s="434">
        <v>241.36</v>
      </c>
      <c r="F664" s="435" t="s">
        <v>1620</v>
      </c>
      <c r="G664" s="436">
        <v>4.8650999999999998E-7</v>
      </c>
      <c r="H664" s="436">
        <v>1.1900000000000001E-8</v>
      </c>
      <c r="I664" s="437" t="s">
        <v>553</v>
      </c>
      <c r="J664" s="436">
        <v>1.24E-6</v>
      </c>
      <c r="K664" s="437" t="s">
        <v>1620</v>
      </c>
      <c r="L664" s="453">
        <v>119</v>
      </c>
      <c r="M664" s="454" t="s">
        <v>1620</v>
      </c>
      <c r="N664" s="455">
        <v>1.157</v>
      </c>
      <c r="O664" s="456" t="s">
        <v>1618</v>
      </c>
      <c r="P664" s="471">
        <v>2.4246E-2</v>
      </c>
      <c r="Q664" s="471">
        <v>6.1612999999999998E-6</v>
      </c>
      <c r="R664" s="472" t="s">
        <v>2435</v>
      </c>
      <c r="S664" s="473" t="s">
        <v>1531</v>
      </c>
      <c r="T664" s="474" t="s">
        <v>1413</v>
      </c>
      <c r="U664" s="484">
        <v>656.4</v>
      </c>
      <c r="V664" s="484" t="s">
        <v>553</v>
      </c>
      <c r="W664" s="495">
        <v>3.51</v>
      </c>
      <c r="X664" s="496" t="s">
        <v>1620</v>
      </c>
      <c r="Y664" s="486">
        <v>33</v>
      </c>
      <c r="Z664" s="487" t="s">
        <v>1620</v>
      </c>
      <c r="AA664" s="394">
        <v>1.49E-2</v>
      </c>
      <c r="AB664" s="395" t="s">
        <v>553</v>
      </c>
      <c r="AC664" s="369"/>
    </row>
    <row r="665" spans="1:29" ht="20.100000000000001" customHeight="1" thickBot="1">
      <c r="A665" s="392" t="s">
        <v>1309</v>
      </c>
      <c r="B665" s="393" t="s">
        <v>225</v>
      </c>
      <c r="C665" s="400">
        <f>COUNTIF('Chem Props'!$B$6:$B$851,'Parameters Summary'!A665)</f>
        <v>1</v>
      </c>
      <c r="D665" s="400">
        <f>COUNTIF('Tox Summary'!$N$3:$N$792, 'Parameters Summary'!A665)</f>
        <v>1</v>
      </c>
      <c r="E665" s="438">
        <v>211.69</v>
      </c>
      <c r="F665" s="439" t="s">
        <v>1620</v>
      </c>
      <c r="G665" s="440">
        <v>1.47E-5</v>
      </c>
      <c r="H665" s="440">
        <v>3.5999999999999999E-7</v>
      </c>
      <c r="I665" s="441" t="s">
        <v>553</v>
      </c>
      <c r="J665" s="440">
        <v>2.3000000000000001E-4</v>
      </c>
      <c r="K665" s="441" t="s">
        <v>1620</v>
      </c>
      <c r="L665" s="457">
        <v>77</v>
      </c>
      <c r="M665" s="458" t="s">
        <v>1620</v>
      </c>
      <c r="N665" s="459">
        <v>1.242</v>
      </c>
      <c r="O665" s="460" t="s">
        <v>1618</v>
      </c>
      <c r="P665" s="475">
        <v>2.6846399999999999E-2</v>
      </c>
      <c r="Q665" s="475">
        <v>6.9554000000000004E-6</v>
      </c>
      <c r="R665" s="476" t="s">
        <v>2435</v>
      </c>
      <c r="S665" s="477" t="s">
        <v>1531</v>
      </c>
      <c r="T665" s="478" t="s">
        <v>1413</v>
      </c>
      <c r="U665" s="481">
        <v>204.5</v>
      </c>
      <c r="V665" s="481" t="s">
        <v>553</v>
      </c>
      <c r="W665" s="497">
        <v>2.1800000000000002</v>
      </c>
      <c r="X665" s="498" t="s">
        <v>1620</v>
      </c>
      <c r="Y665" s="488">
        <v>580</v>
      </c>
      <c r="Z665" s="489" t="s">
        <v>1620</v>
      </c>
      <c r="AA665" s="396">
        <v>2.8600000000000001E-3</v>
      </c>
      <c r="AB665" s="397" t="s">
        <v>553</v>
      </c>
      <c r="AC665" s="369"/>
    </row>
    <row r="666" spans="1:29" ht="20.100000000000001" customHeight="1">
      <c r="A666" s="390" t="s">
        <v>1310</v>
      </c>
      <c r="B666" s="391" t="s">
        <v>226</v>
      </c>
      <c r="C666" s="400">
        <f>COUNTIF('Chem Props'!$B$6:$B$851,'Parameters Summary'!A666)</f>
        <v>1</v>
      </c>
      <c r="D666" s="400">
        <f>COUNTIF('Tox Summary'!$N$3:$N$792, 'Parameters Summary'!A666)</f>
        <v>1</v>
      </c>
      <c r="E666" s="434">
        <v>218.08</v>
      </c>
      <c r="F666" s="435" t="s">
        <v>1620</v>
      </c>
      <c r="G666" s="436">
        <v>6.9909999999999995E-8</v>
      </c>
      <c r="H666" s="436">
        <v>1.7100000000000001E-9</v>
      </c>
      <c r="I666" s="437" t="s">
        <v>553</v>
      </c>
      <c r="J666" s="436">
        <v>9.0800000000000003E-7</v>
      </c>
      <c r="K666" s="437" t="s">
        <v>1620</v>
      </c>
      <c r="L666" s="453">
        <v>92</v>
      </c>
      <c r="M666" s="454" t="s">
        <v>1620</v>
      </c>
      <c r="N666" s="455">
        <v>1.25</v>
      </c>
      <c r="O666" s="456" t="s">
        <v>1618</v>
      </c>
      <c r="P666" s="471">
        <v>2.6510800000000001E-2</v>
      </c>
      <c r="Q666" s="471">
        <v>6.8588000000000003E-6</v>
      </c>
      <c r="R666" s="472" t="s">
        <v>2435</v>
      </c>
      <c r="S666" s="473" t="s">
        <v>1531</v>
      </c>
      <c r="T666" s="474" t="s">
        <v>1413</v>
      </c>
      <c r="U666" s="484">
        <v>175.9</v>
      </c>
      <c r="V666" s="484" t="s">
        <v>553</v>
      </c>
      <c r="W666" s="495">
        <v>3.07</v>
      </c>
      <c r="X666" s="496" t="s">
        <v>1620</v>
      </c>
      <c r="Y666" s="486">
        <v>152</v>
      </c>
      <c r="Z666" s="487" t="s">
        <v>1620</v>
      </c>
      <c r="AA666" s="394">
        <v>1.03E-2</v>
      </c>
      <c r="AB666" s="395" t="s">
        <v>553</v>
      </c>
      <c r="AC666" s="369"/>
    </row>
    <row r="667" spans="1:29" ht="20.100000000000001" customHeight="1">
      <c r="A667" s="390" t="s">
        <v>1311</v>
      </c>
      <c r="B667" s="391" t="s">
        <v>227</v>
      </c>
      <c r="C667" s="400">
        <f>COUNTIF('Chem Props'!$B$6:$B$851,'Parameters Summary'!A667)</f>
        <v>1</v>
      </c>
      <c r="D667" s="400">
        <f>COUNTIF('Tox Summary'!$N$3:$N$792, 'Parameters Summary'!A667)</f>
        <v>1</v>
      </c>
      <c r="E667" s="434">
        <v>350.48</v>
      </c>
      <c r="F667" s="435" t="s">
        <v>1620</v>
      </c>
      <c r="G667" s="436">
        <v>2.62E-5</v>
      </c>
      <c r="H667" s="436">
        <v>6.4000000000000001E-7</v>
      </c>
      <c r="I667" s="437" t="s">
        <v>553</v>
      </c>
      <c r="J667" s="436">
        <v>2.9999999999999999E-7</v>
      </c>
      <c r="K667" s="437" t="s">
        <v>1620</v>
      </c>
      <c r="L667" s="453">
        <v>173.22</v>
      </c>
      <c r="M667" s="454" t="s">
        <v>553</v>
      </c>
      <c r="N667" s="455">
        <v>1.1000000000000001</v>
      </c>
      <c r="O667" s="456" t="s">
        <v>1618</v>
      </c>
      <c r="P667" s="471">
        <v>1.94398E-2</v>
      </c>
      <c r="Q667" s="471">
        <v>4.7786999999999997E-6</v>
      </c>
      <c r="R667" s="472" t="s">
        <v>2435</v>
      </c>
      <c r="S667" s="473" t="s">
        <v>1531</v>
      </c>
      <c r="T667" s="474" t="s">
        <v>1413</v>
      </c>
      <c r="U667" s="484">
        <v>36650</v>
      </c>
      <c r="V667" s="484" t="s">
        <v>553</v>
      </c>
      <c r="W667" s="495">
        <v>5</v>
      </c>
      <c r="X667" s="496" t="s">
        <v>1620</v>
      </c>
      <c r="Y667" s="486">
        <v>0.215</v>
      </c>
      <c r="Z667" s="487" t="s">
        <v>1620</v>
      </c>
      <c r="AA667" s="394">
        <v>3.56E-2</v>
      </c>
      <c r="AB667" s="395" t="s">
        <v>553</v>
      </c>
      <c r="AC667" s="369"/>
    </row>
    <row r="668" spans="1:29" ht="20.100000000000001" customHeight="1" thickBot="1">
      <c r="A668" s="392" t="s">
        <v>1312</v>
      </c>
      <c r="B668" s="393" t="s">
        <v>228</v>
      </c>
      <c r="C668" s="400">
        <f>COUNTIF('Chem Props'!$B$6:$B$851,'Parameters Summary'!A668)</f>
        <v>1</v>
      </c>
      <c r="D668" s="400">
        <f>COUNTIF('Tox Summary'!$N$3:$N$792, 'Parameters Summary'!A668)</f>
        <v>1</v>
      </c>
      <c r="E668" s="438">
        <v>56.064999999999998</v>
      </c>
      <c r="F668" s="439" t="s">
        <v>1620</v>
      </c>
      <c r="G668" s="440">
        <v>4.6999999999999997E-5</v>
      </c>
      <c r="H668" s="440">
        <v>1.15E-6</v>
      </c>
      <c r="I668" s="441" t="s">
        <v>553</v>
      </c>
      <c r="J668" s="440">
        <v>15.6</v>
      </c>
      <c r="K668" s="441" t="s">
        <v>1620</v>
      </c>
      <c r="L668" s="457">
        <v>-50</v>
      </c>
      <c r="M668" s="458" t="s">
        <v>1620</v>
      </c>
      <c r="N668" s="459">
        <v>0.94779999999999998</v>
      </c>
      <c r="O668" s="460" t="s">
        <v>1618</v>
      </c>
      <c r="P668" s="475">
        <v>0.1173874</v>
      </c>
      <c r="Q668" s="475">
        <v>1.31E-5</v>
      </c>
      <c r="R668" s="476" t="s">
        <v>2435</v>
      </c>
      <c r="S668" s="477" t="s">
        <v>1531</v>
      </c>
      <c r="T668" s="478" t="s">
        <v>1413</v>
      </c>
      <c r="U668" s="481">
        <v>1.9039999999999999</v>
      </c>
      <c r="V668" s="481" t="s">
        <v>553</v>
      </c>
      <c r="W668" s="497">
        <v>-0.38</v>
      </c>
      <c r="X668" s="498" t="s">
        <v>1620</v>
      </c>
      <c r="Y668" s="488">
        <v>1000000</v>
      </c>
      <c r="Z668" s="489" t="s">
        <v>1620</v>
      </c>
      <c r="AA668" s="396">
        <v>4.2400000000000001E-4</v>
      </c>
      <c r="AB668" s="397" t="s">
        <v>553</v>
      </c>
      <c r="AC668" s="369"/>
    </row>
    <row r="669" spans="1:29" ht="20.100000000000001" customHeight="1">
      <c r="A669" s="390" t="s">
        <v>1313</v>
      </c>
      <c r="B669" s="391" t="s">
        <v>229</v>
      </c>
      <c r="C669" s="400">
        <f>COUNTIF('Chem Props'!$B$6:$B$851,'Parameters Summary'!A669)</f>
        <v>1</v>
      </c>
      <c r="D669" s="400">
        <f>COUNTIF('Tox Summary'!$N$3:$N$792, 'Parameters Summary'!A669)</f>
        <v>1</v>
      </c>
      <c r="E669" s="434">
        <v>229.71</v>
      </c>
      <c r="F669" s="435" t="s">
        <v>1620</v>
      </c>
      <c r="G669" s="436">
        <v>1.8806E-7</v>
      </c>
      <c r="H669" s="436">
        <v>4.5999999999999998E-9</v>
      </c>
      <c r="I669" s="437" t="s">
        <v>553</v>
      </c>
      <c r="J669" s="436">
        <v>1.31E-7</v>
      </c>
      <c r="K669" s="437" t="s">
        <v>1620</v>
      </c>
      <c r="L669" s="453">
        <v>213</v>
      </c>
      <c r="M669" s="454" t="s">
        <v>1620</v>
      </c>
      <c r="N669" s="455">
        <v>1.1619999999999999</v>
      </c>
      <c r="O669" s="456" t="s">
        <v>1618</v>
      </c>
      <c r="P669" s="471">
        <v>2.49354E-2</v>
      </c>
      <c r="Q669" s="471">
        <v>6.3633999999999999E-6</v>
      </c>
      <c r="R669" s="472" t="s">
        <v>2435</v>
      </c>
      <c r="S669" s="473" t="s">
        <v>1531</v>
      </c>
      <c r="T669" s="474" t="s">
        <v>1413</v>
      </c>
      <c r="U669" s="484">
        <v>344.1</v>
      </c>
      <c r="V669" s="484" t="s">
        <v>553</v>
      </c>
      <c r="W669" s="495">
        <v>2.93</v>
      </c>
      <c r="X669" s="496" t="s">
        <v>1620</v>
      </c>
      <c r="Y669" s="486">
        <v>8.6</v>
      </c>
      <c r="Z669" s="487" t="s">
        <v>1620</v>
      </c>
      <c r="AA669" s="394">
        <v>7.1300000000000001E-3</v>
      </c>
      <c r="AB669" s="395" t="s">
        <v>553</v>
      </c>
      <c r="AC669" s="369"/>
    </row>
    <row r="670" spans="1:29" ht="20.100000000000001" customHeight="1">
      <c r="A670" s="390" t="s">
        <v>1314</v>
      </c>
      <c r="B670" s="391" t="s">
        <v>230</v>
      </c>
      <c r="C670" s="400">
        <f>COUNTIF('Chem Props'!$B$6:$B$851,'Parameters Summary'!A670)</f>
        <v>1</v>
      </c>
      <c r="D670" s="400">
        <f>COUNTIF('Tox Summary'!$N$3:$N$792, 'Parameters Summary'!A670)</f>
        <v>1</v>
      </c>
      <c r="E670" s="434">
        <v>179.22</v>
      </c>
      <c r="F670" s="435" t="s">
        <v>1620</v>
      </c>
      <c r="G670" s="436">
        <v>7.5225000000000004E-6</v>
      </c>
      <c r="H670" s="436">
        <v>1.8400000000000001E-7</v>
      </c>
      <c r="I670" s="437" t="s">
        <v>553</v>
      </c>
      <c r="J670" s="436">
        <v>1.3999999999999999E-4</v>
      </c>
      <c r="K670" s="437" t="s">
        <v>1620</v>
      </c>
      <c r="L670" s="453">
        <v>87.3</v>
      </c>
      <c r="M670" s="454" t="s">
        <v>1620</v>
      </c>
      <c r="N670" s="455">
        <v>1.0900000000000001</v>
      </c>
      <c r="O670" s="456" t="s">
        <v>1618</v>
      </c>
      <c r="P670" s="471">
        <v>3.5749999999999997E-2</v>
      </c>
      <c r="Q670" s="471">
        <v>7.1072000000000003E-6</v>
      </c>
      <c r="R670" s="472" t="s">
        <v>2435</v>
      </c>
      <c r="S670" s="473" t="s">
        <v>1531</v>
      </c>
      <c r="T670" s="474" t="s">
        <v>1413</v>
      </c>
      <c r="U670" s="484">
        <v>218.6</v>
      </c>
      <c r="V670" s="484" t="s">
        <v>553</v>
      </c>
      <c r="W670" s="495">
        <v>2.6</v>
      </c>
      <c r="X670" s="496" t="s">
        <v>1620</v>
      </c>
      <c r="Y670" s="486">
        <v>179</v>
      </c>
      <c r="Z670" s="487" t="s">
        <v>1620</v>
      </c>
      <c r="AA670" s="394">
        <v>8.26E-3</v>
      </c>
      <c r="AB670" s="395" t="s">
        <v>553</v>
      </c>
      <c r="AC670" s="369"/>
    </row>
    <row r="671" spans="1:29" ht="20.100000000000001" customHeight="1" thickBot="1">
      <c r="A671" s="392" t="s">
        <v>1315</v>
      </c>
      <c r="B671" s="393" t="s">
        <v>231</v>
      </c>
      <c r="C671" s="400">
        <f>COUNTIF('Chem Props'!$B$6:$B$851,'Parameters Summary'!A671)</f>
        <v>1</v>
      </c>
      <c r="D671" s="400">
        <f>COUNTIF('Tox Summary'!$N$3:$N$792, 'Parameters Summary'!A671)</f>
        <v>1</v>
      </c>
      <c r="E671" s="438">
        <v>342.23</v>
      </c>
      <c r="F671" s="439" t="s">
        <v>1620</v>
      </c>
      <c r="G671" s="440">
        <v>7.0318999999999996E-8</v>
      </c>
      <c r="H671" s="440">
        <v>1.7200000000000001E-9</v>
      </c>
      <c r="I671" s="441" t="s">
        <v>553</v>
      </c>
      <c r="J671" s="440">
        <v>4.2E-7</v>
      </c>
      <c r="K671" s="441" t="s">
        <v>1620</v>
      </c>
      <c r="L671" s="457">
        <v>172.86</v>
      </c>
      <c r="M671" s="458" t="s">
        <v>553</v>
      </c>
      <c r="N671" s="459">
        <v>1.27</v>
      </c>
      <c r="O671" s="460" t="s">
        <v>1618</v>
      </c>
      <c r="P671" s="475">
        <v>2.1110899999999998E-2</v>
      </c>
      <c r="Q671" s="475">
        <v>5.2839999999999997E-6</v>
      </c>
      <c r="R671" s="476" t="s">
        <v>2435</v>
      </c>
      <c r="S671" s="477" t="s">
        <v>1531</v>
      </c>
      <c r="T671" s="478" t="s">
        <v>1413</v>
      </c>
      <c r="U671" s="481">
        <v>1556</v>
      </c>
      <c r="V671" s="481" t="s">
        <v>553</v>
      </c>
      <c r="W671" s="497">
        <v>3.72</v>
      </c>
      <c r="X671" s="498" t="s">
        <v>1620</v>
      </c>
      <c r="Y671" s="488">
        <v>110</v>
      </c>
      <c r="Z671" s="489" t="s">
        <v>1620</v>
      </c>
      <c r="AA671" s="396">
        <v>5.5799999999999999E-3</v>
      </c>
      <c r="AB671" s="397" t="s">
        <v>553</v>
      </c>
      <c r="AC671" s="369"/>
    </row>
    <row r="672" spans="1:29" ht="20.100000000000001" customHeight="1">
      <c r="A672" s="390" t="s">
        <v>611</v>
      </c>
      <c r="B672" s="391" t="s">
        <v>232</v>
      </c>
      <c r="C672" s="400">
        <f>COUNTIF('Chem Props'!$B$6:$B$851,'Parameters Summary'!A672)</f>
        <v>1</v>
      </c>
      <c r="D672" s="400">
        <f>COUNTIF('Tox Summary'!$N$3:$N$792, 'Parameters Summary'!A672)</f>
        <v>1</v>
      </c>
      <c r="E672" s="434">
        <v>58.081000000000003</v>
      </c>
      <c r="F672" s="435" t="s">
        <v>1620</v>
      </c>
      <c r="G672" s="436">
        <v>3.0008000000000001E-3</v>
      </c>
      <c r="H672" s="436">
        <v>7.3399999999999995E-5</v>
      </c>
      <c r="I672" s="437" t="s">
        <v>1620</v>
      </c>
      <c r="J672" s="436">
        <v>316.8</v>
      </c>
      <c r="K672" s="437" t="s">
        <v>1620</v>
      </c>
      <c r="L672" s="453">
        <v>-80</v>
      </c>
      <c r="M672" s="454" t="s">
        <v>1620</v>
      </c>
      <c r="N672" s="455">
        <v>0.86570000000000003</v>
      </c>
      <c r="O672" s="456" t="s">
        <v>1618</v>
      </c>
      <c r="P672" s="471">
        <v>0.11037669999999999</v>
      </c>
      <c r="Q672" s="471">
        <v>1.22E-5</v>
      </c>
      <c r="R672" s="472" t="s">
        <v>2435</v>
      </c>
      <c r="S672" s="473" t="s">
        <v>1531</v>
      </c>
      <c r="T672" s="474" t="s">
        <v>1413</v>
      </c>
      <c r="U672" s="484">
        <v>1</v>
      </c>
      <c r="V672" s="484" t="s">
        <v>553</v>
      </c>
      <c r="W672" s="495">
        <v>0.59</v>
      </c>
      <c r="X672" s="496" t="s">
        <v>1620</v>
      </c>
      <c r="Y672" s="486">
        <v>306000</v>
      </c>
      <c r="Z672" s="487" t="s">
        <v>1620</v>
      </c>
      <c r="AA672" s="394">
        <v>1.82E-3</v>
      </c>
      <c r="AB672" s="395" t="s">
        <v>553</v>
      </c>
      <c r="AC672" s="369"/>
    </row>
    <row r="673" spans="1:29" ht="20.100000000000001" customHeight="1">
      <c r="A673" s="390" t="s">
        <v>612</v>
      </c>
      <c r="B673" s="391" t="s">
        <v>233</v>
      </c>
      <c r="C673" s="400">
        <f>COUNTIF('Chem Props'!$B$6:$B$851,'Parameters Summary'!A673)</f>
        <v>1</v>
      </c>
      <c r="D673" s="400">
        <f>COUNTIF('Tox Summary'!$N$3:$N$792, 'Parameters Summary'!A673)</f>
        <v>1</v>
      </c>
      <c r="E673" s="434">
        <v>120.2</v>
      </c>
      <c r="F673" s="435" t="s">
        <v>1620</v>
      </c>
      <c r="G673" s="436">
        <v>0.4292723</v>
      </c>
      <c r="H673" s="436">
        <v>1.0500000000000001E-2</v>
      </c>
      <c r="I673" s="437" t="s">
        <v>1620</v>
      </c>
      <c r="J673" s="436">
        <v>3.42</v>
      </c>
      <c r="K673" s="437" t="s">
        <v>1620</v>
      </c>
      <c r="L673" s="453">
        <v>-99.5</v>
      </c>
      <c r="M673" s="454" t="s">
        <v>1620</v>
      </c>
      <c r="N673" s="455">
        <v>0.85929999999999995</v>
      </c>
      <c r="O673" s="456" t="s">
        <v>1618</v>
      </c>
      <c r="P673" s="471">
        <v>6.0155800000000002E-2</v>
      </c>
      <c r="Q673" s="471">
        <v>7.8310000000000001E-6</v>
      </c>
      <c r="R673" s="472" t="s">
        <v>2435</v>
      </c>
      <c r="S673" s="473" t="s">
        <v>1531</v>
      </c>
      <c r="T673" s="474" t="s">
        <v>1413</v>
      </c>
      <c r="U673" s="484">
        <v>813.1</v>
      </c>
      <c r="V673" s="484" t="s">
        <v>553</v>
      </c>
      <c r="W673" s="495">
        <v>3.69</v>
      </c>
      <c r="X673" s="496" t="s">
        <v>1620</v>
      </c>
      <c r="Y673" s="486">
        <v>52.2</v>
      </c>
      <c r="Z673" s="487" t="s">
        <v>1620</v>
      </c>
      <c r="AA673" s="394">
        <v>9.3899999999999997E-2</v>
      </c>
      <c r="AB673" s="395" t="s">
        <v>553</v>
      </c>
      <c r="AC673" s="369"/>
    </row>
    <row r="674" spans="1:29" ht="20.100000000000001" customHeight="1" thickBot="1">
      <c r="A674" s="392" t="s">
        <v>613</v>
      </c>
      <c r="B674" s="393" t="s">
        <v>234</v>
      </c>
      <c r="C674" s="400">
        <f>COUNTIF('Chem Props'!$B$6:$B$851,'Parameters Summary'!A674)</f>
        <v>1</v>
      </c>
      <c r="D674" s="400">
        <f>COUNTIF('Tox Summary'!$N$3:$N$792, 'Parameters Summary'!A674)</f>
        <v>1</v>
      </c>
      <c r="E674" s="438">
        <v>42.081000000000003</v>
      </c>
      <c r="F674" s="439" t="s">
        <v>1620</v>
      </c>
      <c r="G674" s="440">
        <v>8.0130826000000006</v>
      </c>
      <c r="H674" s="440">
        <v>0.19600000000000001</v>
      </c>
      <c r="I674" s="441" t="s">
        <v>1620</v>
      </c>
      <c r="J674" s="440">
        <v>8690</v>
      </c>
      <c r="K674" s="441" t="s">
        <v>1620</v>
      </c>
      <c r="L674" s="457">
        <v>-185</v>
      </c>
      <c r="M674" s="458" t="s">
        <v>1620</v>
      </c>
      <c r="N674" s="459">
        <v>0.505</v>
      </c>
      <c r="O674" s="460" t="s">
        <v>1618</v>
      </c>
      <c r="P674" s="475">
        <v>0.10969669999999999</v>
      </c>
      <c r="Q674" s="475">
        <v>1.0699999999999999E-5</v>
      </c>
      <c r="R674" s="476" t="s">
        <v>2435</v>
      </c>
      <c r="S674" s="477" t="s">
        <v>1531</v>
      </c>
      <c r="T674" s="478" t="s">
        <v>1413</v>
      </c>
      <c r="U674" s="481">
        <v>21.73</v>
      </c>
      <c r="V674" s="481" t="s">
        <v>553</v>
      </c>
      <c r="W674" s="497">
        <v>1.77</v>
      </c>
      <c r="X674" s="498" t="s">
        <v>1620</v>
      </c>
      <c r="Y674" s="488">
        <v>200</v>
      </c>
      <c r="Z674" s="489" t="s">
        <v>1620</v>
      </c>
      <c r="AA674" s="396">
        <v>1.3599999999999999E-2</v>
      </c>
      <c r="AB674" s="397" t="s">
        <v>553</v>
      </c>
      <c r="AC674" s="369"/>
    </row>
    <row r="675" spans="1:29" ht="20.100000000000001" customHeight="1">
      <c r="A675" s="390" t="s">
        <v>1316</v>
      </c>
      <c r="B675" s="391" t="s">
        <v>235</v>
      </c>
      <c r="C675" s="400">
        <f>COUNTIF('Chem Props'!$B$6:$B$851,'Parameters Summary'!A675)</f>
        <v>1</v>
      </c>
      <c r="D675" s="400">
        <f>COUNTIF('Tox Summary'!$N$3:$N$792, 'Parameters Summary'!A675)</f>
        <v>1</v>
      </c>
      <c r="E675" s="434">
        <v>76.096000000000004</v>
      </c>
      <c r="F675" s="435" t="s">
        <v>1620</v>
      </c>
      <c r="G675" s="436">
        <v>5.2738999999999996E-7</v>
      </c>
      <c r="H675" s="436">
        <v>1.29E-8</v>
      </c>
      <c r="I675" s="437" t="s">
        <v>553</v>
      </c>
      <c r="J675" s="436">
        <v>0.129</v>
      </c>
      <c r="K675" s="437" t="s">
        <v>1620</v>
      </c>
      <c r="L675" s="453">
        <v>-60</v>
      </c>
      <c r="M675" s="454" t="s">
        <v>1620</v>
      </c>
      <c r="N675" s="455">
        <v>1.0361</v>
      </c>
      <c r="O675" s="456" t="s">
        <v>1618</v>
      </c>
      <c r="P675" s="471">
        <v>9.8068600000000006E-2</v>
      </c>
      <c r="Q675" s="471">
        <v>1.15E-5</v>
      </c>
      <c r="R675" s="472" t="s">
        <v>2435</v>
      </c>
      <c r="S675" s="473" t="s">
        <v>1531</v>
      </c>
      <c r="T675" s="474" t="s">
        <v>1413</v>
      </c>
      <c r="U675" s="484">
        <v>1</v>
      </c>
      <c r="V675" s="484" t="s">
        <v>553</v>
      </c>
      <c r="W675" s="495">
        <v>-0.92</v>
      </c>
      <c r="X675" s="496" t="s">
        <v>1620</v>
      </c>
      <c r="Y675" s="486">
        <v>1000000</v>
      </c>
      <c r="Z675" s="487" t="s">
        <v>1620</v>
      </c>
      <c r="AA675" s="394">
        <v>1.4300000000000001E-4</v>
      </c>
      <c r="AB675" s="395" t="s">
        <v>553</v>
      </c>
      <c r="AC675" s="369"/>
    </row>
    <row r="676" spans="1:29" ht="20.100000000000001" customHeight="1">
      <c r="A676" s="390" t="s">
        <v>1317</v>
      </c>
      <c r="B676" s="391" t="s">
        <v>236</v>
      </c>
      <c r="C676" s="400">
        <f>COUNTIF('Chem Props'!$B$6:$B$851,'Parameters Summary'!A676)</f>
        <v>1</v>
      </c>
      <c r="D676" s="400">
        <f>COUNTIF('Tox Summary'!$N$3:$N$792, 'Parameters Summary'!A676)</f>
        <v>1</v>
      </c>
      <c r="E676" s="434">
        <v>166.09</v>
      </c>
      <c r="F676" s="435" t="s">
        <v>1620</v>
      </c>
      <c r="G676" s="436">
        <v>3.8500000000000001E-5</v>
      </c>
      <c r="H676" s="436">
        <v>9.4200000000000004E-7</v>
      </c>
      <c r="I676" s="437" t="s">
        <v>1620</v>
      </c>
      <c r="J676" s="436">
        <v>0.378</v>
      </c>
      <c r="K676" s="437" t="s">
        <v>1620</v>
      </c>
      <c r="L676" s="453">
        <v>-9.6300000000000008</v>
      </c>
      <c r="M676" s="454" t="s">
        <v>553</v>
      </c>
      <c r="N676" s="461" t="s">
        <v>1531</v>
      </c>
      <c r="O676" s="462" t="s">
        <v>1413</v>
      </c>
      <c r="P676" s="471">
        <v>6.2881699999999999E-2</v>
      </c>
      <c r="Q676" s="471">
        <v>7.3471999999999997E-6</v>
      </c>
      <c r="R676" s="472" t="s">
        <v>2435</v>
      </c>
      <c r="S676" s="473" t="s">
        <v>1531</v>
      </c>
      <c r="T676" s="474" t="s">
        <v>1413</v>
      </c>
      <c r="U676" s="484">
        <v>60.7</v>
      </c>
      <c r="V676" s="484" t="s">
        <v>553</v>
      </c>
      <c r="W676" s="495">
        <v>1.83</v>
      </c>
      <c r="X676" s="496" t="s">
        <v>1620</v>
      </c>
      <c r="Y676" s="486">
        <v>3261.9</v>
      </c>
      <c r="Z676" s="487" t="s">
        <v>553</v>
      </c>
      <c r="AA676" s="394">
        <v>2.0799999999999998E-3</v>
      </c>
      <c r="AB676" s="395" t="s">
        <v>553</v>
      </c>
      <c r="AC676" s="369"/>
    </row>
    <row r="677" spans="1:29" ht="20.100000000000001" customHeight="1" thickBot="1">
      <c r="A677" s="392" t="s">
        <v>1318</v>
      </c>
      <c r="B677" s="393" t="s">
        <v>237</v>
      </c>
      <c r="C677" s="400">
        <f>COUNTIF('Chem Props'!$B$6:$B$851,'Parameters Summary'!A677)</f>
        <v>1</v>
      </c>
      <c r="D677" s="400">
        <f>COUNTIF('Tox Summary'!$N$3:$N$792, 'Parameters Summary'!A677)</f>
        <v>1</v>
      </c>
      <c r="E677" s="438">
        <v>90.123000000000005</v>
      </c>
      <c r="F677" s="439" t="s">
        <v>1620</v>
      </c>
      <c r="G677" s="440">
        <v>3.7599999999999999E-5</v>
      </c>
      <c r="H677" s="440">
        <v>9.1999999999999998E-7</v>
      </c>
      <c r="I677" s="441" t="s">
        <v>1620</v>
      </c>
      <c r="J677" s="440">
        <v>12.5</v>
      </c>
      <c r="K677" s="441" t="s">
        <v>1620</v>
      </c>
      <c r="L677" s="457">
        <v>-95</v>
      </c>
      <c r="M677" s="458" t="s">
        <v>1620</v>
      </c>
      <c r="N677" s="459">
        <v>0.96199999999999997</v>
      </c>
      <c r="O677" s="460" t="s">
        <v>1618</v>
      </c>
      <c r="P677" s="475">
        <v>8.3144999999999997E-2</v>
      </c>
      <c r="Q677" s="475">
        <v>9.9604000000000004E-6</v>
      </c>
      <c r="R677" s="476" t="s">
        <v>2435</v>
      </c>
      <c r="S677" s="477" t="s">
        <v>1531</v>
      </c>
      <c r="T677" s="478" t="s">
        <v>1413</v>
      </c>
      <c r="U677" s="481">
        <v>1</v>
      </c>
      <c r="V677" s="481" t="s">
        <v>553</v>
      </c>
      <c r="W677" s="497">
        <v>-0.49</v>
      </c>
      <c r="X677" s="498" t="s">
        <v>1620</v>
      </c>
      <c r="Y677" s="488">
        <v>1000000</v>
      </c>
      <c r="Z677" s="489" t="s">
        <v>1620</v>
      </c>
      <c r="AA677" s="396">
        <v>3.7169999999999998E-4</v>
      </c>
      <c r="AB677" s="397" t="s">
        <v>1668</v>
      </c>
      <c r="AC677" s="369"/>
    </row>
    <row r="678" spans="1:29" ht="20.100000000000001" customHeight="1">
      <c r="A678" s="390" t="s">
        <v>1319</v>
      </c>
      <c r="B678" s="391" t="s">
        <v>238</v>
      </c>
      <c r="C678" s="400">
        <f>COUNTIF('Chem Props'!$B$6:$B$851,'Parameters Summary'!A678)</f>
        <v>1</v>
      </c>
      <c r="D678" s="400">
        <f>COUNTIF('Tox Summary'!$N$3:$N$792, 'Parameters Summary'!A678)</f>
        <v>1</v>
      </c>
      <c r="E678" s="434">
        <v>58.081000000000003</v>
      </c>
      <c r="F678" s="435" t="s">
        <v>1620</v>
      </c>
      <c r="G678" s="436">
        <v>2.8454999999999999E-3</v>
      </c>
      <c r="H678" s="436">
        <v>6.9599999999999998E-5</v>
      </c>
      <c r="I678" s="437" t="s">
        <v>553</v>
      </c>
      <c r="J678" s="436">
        <v>538</v>
      </c>
      <c r="K678" s="437" t="s">
        <v>1620</v>
      </c>
      <c r="L678" s="453">
        <v>-111.9</v>
      </c>
      <c r="M678" s="454" t="s">
        <v>1620</v>
      </c>
      <c r="N678" s="455">
        <v>0.83099999999999996</v>
      </c>
      <c r="O678" s="456" t="s">
        <v>1621</v>
      </c>
      <c r="P678" s="471">
        <v>0.1085105</v>
      </c>
      <c r="Q678" s="471">
        <v>1.19E-5</v>
      </c>
      <c r="R678" s="472" t="s">
        <v>2435</v>
      </c>
      <c r="S678" s="473" t="s">
        <v>1531</v>
      </c>
      <c r="T678" s="474" t="s">
        <v>1413</v>
      </c>
      <c r="U678" s="484">
        <v>5.194</v>
      </c>
      <c r="V678" s="484" t="s">
        <v>553</v>
      </c>
      <c r="W678" s="495">
        <v>0.03</v>
      </c>
      <c r="X678" s="496" t="s">
        <v>1620</v>
      </c>
      <c r="Y678" s="486">
        <v>590000</v>
      </c>
      <c r="Z678" s="487" t="s">
        <v>1620</v>
      </c>
      <c r="AA678" s="394">
        <v>7.7399999999999995E-4</v>
      </c>
      <c r="AB678" s="395" t="s">
        <v>553</v>
      </c>
      <c r="AC678" s="369"/>
    </row>
    <row r="679" spans="1:29" ht="20.100000000000001" customHeight="1">
      <c r="A679" s="390" t="s">
        <v>2317</v>
      </c>
      <c r="B679" s="391" t="s">
        <v>36</v>
      </c>
      <c r="C679" s="400">
        <f>COUNTIF('Chem Props'!$B$6:$B$851,'Parameters Summary'!A679)</f>
        <v>1</v>
      </c>
      <c r="D679" s="400">
        <f>COUNTIF('Tox Summary'!$N$3:$N$792, 'Parameters Summary'!A679)</f>
        <v>1</v>
      </c>
      <c r="E679" s="434">
        <v>256.13</v>
      </c>
      <c r="F679" s="435" t="s">
        <v>1620</v>
      </c>
      <c r="G679" s="436">
        <v>3.9943000000000002E-7</v>
      </c>
      <c r="H679" s="436">
        <v>9.7700000000000008E-9</v>
      </c>
      <c r="I679" s="437" t="s">
        <v>553</v>
      </c>
      <c r="J679" s="436">
        <v>4.3500000000000002E-7</v>
      </c>
      <c r="K679" s="437" t="s">
        <v>1620</v>
      </c>
      <c r="L679" s="453">
        <v>155</v>
      </c>
      <c r="M679" s="454" t="s">
        <v>1620</v>
      </c>
      <c r="N679" s="461" t="s">
        <v>1531</v>
      </c>
      <c r="O679" s="462" t="s">
        <v>1413</v>
      </c>
      <c r="P679" s="471">
        <v>4.7109999999999999E-2</v>
      </c>
      <c r="Q679" s="471">
        <v>5.5044000000000002E-6</v>
      </c>
      <c r="R679" s="472" t="s">
        <v>2435</v>
      </c>
      <c r="S679" s="473" t="s">
        <v>1531</v>
      </c>
      <c r="T679" s="474" t="s">
        <v>1413</v>
      </c>
      <c r="U679" s="484">
        <v>404.9</v>
      </c>
      <c r="V679" s="484" t="s">
        <v>553</v>
      </c>
      <c r="W679" s="495">
        <v>3.43</v>
      </c>
      <c r="X679" s="496" t="s">
        <v>1620</v>
      </c>
      <c r="Y679" s="486">
        <v>15</v>
      </c>
      <c r="Z679" s="487" t="s">
        <v>1620</v>
      </c>
      <c r="AA679" s="394">
        <v>1.09E-2</v>
      </c>
      <c r="AB679" s="395" t="s">
        <v>553</v>
      </c>
      <c r="AC679" s="369"/>
    </row>
    <row r="680" spans="1:29" ht="20.100000000000001" customHeight="1" thickBot="1">
      <c r="A680" s="392" t="s">
        <v>1421</v>
      </c>
      <c r="B680" s="393" t="s">
        <v>241</v>
      </c>
      <c r="C680" s="400">
        <f>COUNTIF('Chem Props'!$B$6:$B$851,'Parameters Summary'!A680)</f>
        <v>1</v>
      </c>
      <c r="D680" s="400">
        <f>COUNTIF('Tox Summary'!$N$3:$N$792, 'Parameters Summary'!A680)</f>
        <v>1</v>
      </c>
      <c r="E680" s="438">
        <v>79.102000000000004</v>
      </c>
      <c r="F680" s="439" t="s">
        <v>1620</v>
      </c>
      <c r="G680" s="440">
        <v>4.4969999999999998E-4</v>
      </c>
      <c r="H680" s="440">
        <v>1.1E-5</v>
      </c>
      <c r="I680" s="441" t="s">
        <v>1620</v>
      </c>
      <c r="J680" s="440">
        <v>20.8</v>
      </c>
      <c r="K680" s="441" t="s">
        <v>1620</v>
      </c>
      <c r="L680" s="457">
        <v>-41.6</v>
      </c>
      <c r="M680" s="458" t="s">
        <v>1620</v>
      </c>
      <c r="N680" s="459">
        <v>0.9819</v>
      </c>
      <c r="O680" s="460" t="s">
        <v>1618</v>
      </c>
      <c r="P680" s="475">
        <v>9.3088299999999999E-2</v>
      </c>
      <c r="Q680" s="475">
        <v>1.0900000000000001E-5</v>
      </c>
      <c r="R680" s="476" t="s">
        <v>2435</v>
      </c>
      <c r="S680" s="477" t="s">
        <v>1531</v>
      </c>
      <c r="T680" s="478" t="s">
        <v>1413</v>
      </c>
      <c r="U680" s="481">
        <v>71.72</v>
      </c>
      <c r="V680" s="481" t="s">
        <v>553</v>
      </c>
      <c r="W680" s="497">
        <v>0.65</v>
      </c>
      <c r="X680" s="498" t="s">
        <v>1620</v>
      </c>
      <c r="Y680" s="488">
        <v>1000000</v>
      </c>
      <c r="Z680" s="489" t="s">
        <v>1620</v>
      </c>
      <c r="AA680" s="396">
        <v>1.5200000000000001E-3</v>
      </c>
      <c r="AB680" s="397" t="s">
        <v>553</v>
      </c>
      <c r="AC680" s="369"/>
    </row>
    <row r="681" spans="1:29" ht="20.100000000000001" customHeight="1">
      <c r="A681" s="390" t="s">
        <v>1320</v>
      </c>
      <c r="B681" s="391" t="s">
        <v>242</v>
      </c>
      <c r="C681" s="400">
        <f>COUNTIF('Chem Props'!$B$6:$B$851,'Parameters Summary'!A681)</f>
        <v>1</v>
      </c>
      <c r="D681" s="400">
        <f>COUNTIF('Tox Summary'!$N$3:$N$792, 'Parameters Summary'!A681)</f>
        <v>1</v>
      </c>
      <c r="E681" s="434">
        <v>298.3</v>
      </c>
      <c r="F681" s="435" t="s">
        <v>1620</v>
      </c>
      <c r="G681" s="436">
        <v>1.897E-6</v>
      </c>
      <c r="H681" s="436">
        <v>4.6399999999999999E-8</v>
      </c>
      <c r="I681" s="437" t="s">
        <v>553</v>
      </c>
      <c r="J681" s="436">
        <v>2.6000000000000001E-6</v>
      </c>
      <c r="K681" s="437" t="s">
        <v>1620</v>
      </c>
      <c r="L681" s="453">
        <v>31.5</v>
      </c>
      <c r="M681" s="454" t="s">
        <v>1620</v>
      </c>
      <c r="N681" s="461" t="s">
        <v>1531</v>
      </c>
      <c r="O681" s="462" t="s">
        <v>1413</v>
      </c>
      <c r="P681" s="471">
        <v>4.25583E-2</v>
      </c>
      <c r="Q681" s="471">
        <v>4.9725999999999996E-6</v>
      </c>
      <c r="R681" s="472" t="s">
        <v>2435</v>
      </c>
      <c r="S681" s="473" t="s">
        <v>1531</v>
      </c>
      <c r="T681" s="474" t="s">
        <v>1413</v>
      </c>
      <c r="U681" s="484">
        <v>4185</v>
      </c>
      <c r="V681" s="484" t="s">
        <v>553</v>
      </c>
      <c r="W681" s="495">
        <v>4.4400000000000004</v>
      </c>
      <c r="X681" s="496" t="s">
        <v>1620</v>
      </c>
      <c r="Y681" s="486">
        <v>22</v>
      </c>
      <c r="Z681" s="487" t="s">
        <v>1620</v>
      </c>
      <c r="AA681" s="394">
        <v>2.9600000000000001E-2</v>
      </c>
      <c r="AB681" s="395" t="s">
        <v>553</v>
      </c>
      <c r="AC681" s="369"/>
    </row>
    <row r="682" spans="1:29" ht="20.100000000000001" customHeight="1">
      <c r="A682" s="390" t="s">
        <v>1321</v>
      </c>
      <c r="B682" s="391" t="s">
        <v>243</v>
      </c>
      <c r="C682" s="400">
        <f>COUNTIF('Chem Props'!$B$6:$B$851,'Parameters Summary'!A682)</f>
        <v>1</v>
      </c>
      <c r="D682" s="400">
        <f>COUNTIF('Tox Summary'!$N$3:$N$792, 'Parameters Summary'!A682)</f>
        <v>1</v>
      </c>
      <c r="E682" s="434">
        <v>129.16</v>
      </c>
      <c r="F682" s="435" t="s">
        <v>1620</v>
      </c>
      <c r="G682" s="436">
        <v>6.8300000000000007E-5</v>
      </c>
      <c r="H682" s="436">
        <v>1.6700000000000001E-6</v>
      </c>
      <c r="I682" s="437" t="s">
        <v>553</v>
      </c>
      <c r="J682" s="436">
        <v>0.06</v>
      </c>
      <c r="K682" s="437" t="s">
        <v>1620</v>
      </c>
      <c r="L682" s="453">
        <v>-14.78</v>
      </c>
      <c r="M682" s="454" t="s">
        <v>1620</v>
      </c>
      <c r="N682" s="455">
        <v>1.0976999999999999</v>
      </c>
      <c r="O682" s="456" t="s">
        <v>1618</v>
      </c>
      <c r="P682" s="471">
        <v>6.1800399999999998E-2</v>
      </c>
      <c r="Q682" s="471">
        <v>8.6873000000000007E-6</v>
      </c>
      <c r="R682" s="472" t="s">
        <v>2435</v>
      </c>
      <c r="S682" s="473" t="s">
        <v>1531</v>
      </c>
      <c r="T682" s="474" t="s">
        <v>1413</v>
      </c>
      <c r="U682" s="484">
        <v>1544</v>
      </c>
      <c r="V682" s="484" t="s">
        <v>553</v>
      </c>
      <c r="W682" s="495">
        <v>2.0299999999999998</v>
      </c>
      <c r="X682" s="496" t="s">
        <v>1620</v>
      </c>
      <c r="Y682" s="486">
        <v>6110</v>
      </c>
      <c r="Z682" s="487" t="s">
        <v>1620</v>
      </c>
      <c r="AA682" s="394">
        <v>6.5900000000000004E-3</v>
      </c>
      <c r="AB682" s="395" t="s">
        <v>553</v>
      </c>
      <c r="AC682" s="369"/>
    </row>
    <row r="683" spans="1:29" ht="20.100000000000001" customHeight="1" thickBot="1">
      <c r="A683" s="392" t="s">
        <v>2318</v>
      </c>
      <c r="B683" s="393" t="s">
        <v>672</v>
      </c>
      <c r="C683" s="400">
        <f>COUNTIF('Chem Props'!$B$6:$B$851,'Parameters Summary'!A683)</f>
        <v>1</v>
      </c>
      <c r="D683" s="400">
        <f>COUNTIF('Tox Summary'!$N$3:$N$792, 'Parameters Summary'!A683)</f>
        <v>1</v>
      </c>
      <c r="E683" s="438">
        <v>372.81</v>
      </c>
      <c r="F683" s="439" t="s">
        <v>1620</v>
      </c>
      <c r="G683" s="440">
        <v>4.3336000000000001E-7</v>
      </c>
      <c r="H683" s="440">
        <v>1.0600000000000001E-8</v>
      </c>
      <c r="I683" s="441" t="s">
        <v>553</v>
      </c>
      <c r="J683" s="440">
        <v>6.4899999999999997E-9</v>
      </c>
      <c r="K683" s="441" t="s">
        <v>1620</v>
      </c>
      <c r="L683" s="457">
        <v>92</v>
      </c>
      <c r="M683" s="458" t="s">
        <v>1620</v>
      </c>
      <c r="N683" s="463" t="s">
        <v>1531</v>
      </c>
      <c r="O683" s="464" t="s">
        <v>1413</v>
      </c>
      <c r="P683" s="475">
        <v>3.6679900000000001E-2</v>
      </c>
      <c r="Q683" s="475">
        <v>4.2857999999999997E-6</v>
      </c>
      <c r="R683" s="476" t="s">
        <v>2435</v>
      </c>
      <c r="S683" s="477" t="s">
        <v>1531</v>
      </c>
      <c r="T683" s="478" t="s">
        <v>1413</v>
      </c>
      <c r="U683" s="481">
        <v>7736</v>
      </c>
      <c r="V683" s="481" t="s">
        <v>553</v>
      </c>
      <c r="W683" s="497">
        <v>4.28</v>
      </c>
      <c r="X683" s="498" t="s">
        <v>1620</v>
      </c>
      <c r="Y683" s="488">
        <v>0.3</v>
      </c>
      <c r="Z683" s="489" t="s">
        <v>1620</v>
      </c>
      <c r="AA683" s="396">
        <v>8.8599999999999998E-3</v>
      </c>
      <c r="AB683" s="397" t="s">
        <v>553</v>
      </c>
      <c r="AC683" s="369"/>
    </row>
    <row r="684" spans="1:29" ht="20.100000000000001" customHeight="1">
      <c r="A684" s="390" t="s">
        <v>2409</v>
      </c>
      <c r="B684" s="96" t="s">
        <v>2167</v>
      </c>
      <c r="C684" s="400">
        <f>COUNTIF('Chem Props'!$B$6:$B$851,'Parameters Summary'!A183)</f>
        <v>1</v>
      </c>
      <c r="D684" s="400">
        <f>COUNTIF('Tox Summary'!$N$3:$N$792, 'Parameters Summary'!A183)</f>
        <v>1</v>
      </c>
      <c r="E684" s="446" t="s">
        <v>1531</v>
      </c>
      <c r="F684" s="447" t="s">
        <v>1413</v>
      </c>
      <c r="G684" s="444" t="s">
        <v>1531</v>
      </c>
      <c r="H684" s="444" t="s">
        <v>1531</v>
      </c>
      <c r="I684" s="445" t="s">
        <v>1413</v>
      </c>
      <c r="J684" s="444" t="s">
        <v>1531</v>
      </c>
      <c r="K684" s="445" t="s">
        <v>1413</v>
      </c>
      <c r="L684" s="465" t="s">
        <v>1531</v>
      </c>
      <c r="M684" s="466" t="s">
        <v>1413</v>
      </c>
      <c r="N684" s="461" t="s">
        <v>1531</v>
      </c>
      <c r="O684" s="462" t="s">
        <v>1413</v>
      </c>
      <c r="P684" s="482" t="s">
        <v>1531</v>
      </c>
      <c r="Q684" s="482" t="s">
        <v>1531</v>
      </c>
      <c r="R684" s="483" t="s">
        <v>1413</v>
      </c>
      <c r="S684" s="473" t="s">
        <v>1531</v>
      </c>
      <c r="T684" s="474" t="s">
        <v>1413</v>
      </c>
      <c r="U684" s="473" t="s">
        <v>1531</v>
      </c>
      <c r="V684" s="474" t="s">
        <v>1413</v>
      </c>
      <c r="W684" s="501" t="s">
        <v>1531</v>
      </c>
      <c r="X684" s="502" t="s">
        <v>1413</v>
      </c>
      <c r="Y684" s="492" t="s">
        <v>1531</v>
      </c>
      <c r="Z684" s="493" t="s">
        <v>1413</v>
      </c>
      <c r="AA684" s="394">
        <v>1E-3</v>
      </c>
      <c r="AB684" s="395" t="s">
        <v>1668</v>
      </c>
      <c r="AC684" s="369"/>
    </row>
    <row r="685" spans="1:29" ht="20.100000000000001" customHeight="1">
      <c r="A685" s="390" t="s">
        <v>1323</v>
      </c>
      <c r="B685" s="391" t="s">
        <v>244</v>
      </c>
      <c r="C685" s="400">
        <f>COUNTIF('Chem Props'!$B$6:$B$851,'Parameters Summary'!A685)</f>
        <v>1</v>
      </c>
      <c r="D685" s="400">
        <f>COUNTIF('Tox Summary'!$N$3:$N$792, 'Parameters Summary'!A685)</f>
        <v>1</v>
      </c>
      <c r="E685" s="434">
        <v>338.45</v>
      </c>
      <c r="F685" s="435" t="s">
        <v>1620</v>
      </c>
      <c r="G685" s="436">
        <v>5.4373999999999998E-6</v>
      </c>
      <c r="H685" s="436">
        <v>1.3300000000000001E-7</v>
      </c>
      <c r="I685" s="437" t="s">
        <v>553</v>
      </c>
      <c r="J685" s="436">
        <v>1.13E-8</v>
      </c>
      <c r="K685" s="437" t="s">
        <v>1620</v>
      </c>
      <c r="L685" s="453">
        <v>56.5</v>
      </c>
      <c r="M685" s="454" t="s">
        <v>1620</v>
      </c>
      <c r="N685" s="461" t="s">
        <v>1531</v>
      </c>
      <c r="O685" s="462" t="s">
        <v>1413</v>
      </c>
      <c r="P685" s="471">
        <v>3.9122299999999999E-2</v>
      </c>
      <c r="Q685" s="471">
        <v>4.5711000000000002E-6</v>
      </c>
      <c r="R685" s="472" t="s">
        <v>2435</v>
      </c>
      <c r="S685" s="473" t="s">
        <v>1531</v>
      </c>
      <c r="T685" s="474" t="s">
        <v>1413</v>
      </c>
      <c r="U685" s="484">
        <v>311400</v>
      </c>
      <c r="V685" s="484" t="s">
        <v>553</v>
      </c>
      <c r="W685" s="495">
        <v>6.14</v>
      </c>
      <c r="X685" s="496" t="s">
        <v>1620</v>
      </c>
      <c r="Y685" s="486">
        <v>3.7900000000000003E-2</v>
      </c>
      <c r="Z685" s="487" t="s">
        <v>1620</v>
      </c>
      <c r="AA685" s="394">
        <v>0.23799999999999999</v>
      </c>
      <c r="AB685" s="395" t="s">
        <v>553</v>
      </c>
      <c r="AC685" s="369"/>
    </row>
    <row r="686" spans="1:29" ht="20.100000000000001" customHeight="1" thickBot="1">
      <c r="A686" s="392" t="s">
        <v>1324</v>
      </c>
      <c r="B686" s="393" t="s">
        <v>245</v>
      </c>
      <c r="C686" s="400">
        <f>COUNTIF('Chem Props'!$B$6:$B$851,'Parameters Summary'!A686)</f>
        <v>1</v>
      </c>
      <c r="D686" s="400">
        <f>COUNTIF('Tox Summary'!$N$3:$N$792, 'Parameters Summary'!A686)</f>
        <v>1</v>
      </c>
      <c r="E686" s="438">
        <v>321.55</v>
      </c>
      <c r="F686" s="439" t="s">
        <v>1620</v>
      </c>
      <c r="G686" s="440">
        <v>1.3083000000000001E-3</v>
      </c>
      <c r="H686" s="440">
        <v>3.1999999999999999E-5</v>
      </c>
      <c r="I686" s="441" t="s">
        <v>553</v>
      </c>
      <c r="J686" s="440">
        <v>7.4999999999999993E-5</v>
      </c>
      <c r="K686" s="441" t="s">
        <v>1620</v>
      </c>
      <c r="L686" s="457">
        <v>41</v>
      </c>
      <c r="M686" s="458" t="s">
        <v>1620</v>
      </c>
      <c r="N686" s="459">
        <v>1.44</v>
      </c>
      <c r="O686" s="460" t="s">
        <v>1618</v>
      </c>
      <c r="P686" s="475">
        <v>2.31577E-2</v>
      </c>
      <c r="Q686" s="475">
        <v>5.9147999999999997E-6</v>
      </c>
      <c r="R686" s="476" t="s">
        <v>2435</v>
      </c>
      <c r="S686" s="477" t="s">
        <v>1531</v>
      </c>
      <c r="T686" s="478" t="s">
        <v>1413</v>
      </c>
      <c r="U686" s="481">
        <v>4457</v>
      </c>
      <c r="V686" s="481" t="s">
        <v>553</v>
      </c>
      <c r="W686" s="497">
        <v>4.88</v>
      </c>
      <c r="X686" s="498" t="s">
        <v>1620</v>
      </c>
      <c r="Y686" s="488">
        <v>1</v>
      </c>
      <c r="Z686" s="489" t="s">
        <v>1620</v>
      </c>
      <c r="AA686" s="396">
        <v>4.2999999999999997E-2</v>
      </c>
      <c r="AB686" s="397" t="s">
        <v>553</v>
      </c>
      <c r="AC686" s="369"/>
    </row>
    <row r="687" spans="1:29" ht="20.100000000000001" customHeight="1">
      <c r="A687" s="390" t="s">
        <v>1325</v>
      </c>
      <c r="B687" s="391" t="s">
        <v>246</v>
      </c>
      <c r="C687" s="400">
        <f>COUNTIF('Chem Props'!$B$6:$B$851,'Parameters Summary'!A687)</f>
        <v>1</v>
      </c>
      <c r="D687" s="400">
        <f>COUNTIF('Tox Summary'!$N$3:$N$792, 'Parameters Summary'!A687)</f>
        <v>1</v>
      </c>
      <c r="E687" s="434">
        <v>394.43</v>
      </c>
      <c r="F687" s="435" t="s">
        <v>1620</v>
      </c>
      <c r="G687" s="436">
        <v>4.5789999999999998E-12</v>
      </c>
      <c r="H687" s="436">
        <v>1.12E-13</v>
      </c>
      <c r="I687" s="437" t="s">
        <v>1620</v>
      </c>
      <c r="J687" s="436">
        <v>6.9399999999999998E-10</v>
      </c>
      <c r="K687" s="437" t="s">
        <v>1620</v>
      </c>
      <c r="L687" s="453">
        <v>176</v>
      </c>
      <c r="M687" s="454" t="s">
        <v>1620</v>
      </c>
      <c r="N687" s="461" t="s">
        <v>1531</v>
      </c>
      <c r="O687" s="462" t="s">
        <v>1413</v>
      </c>
      <c r="P687" s="471">
        <v>3.5326999999999997E-2</v>
      </c>
      <c r="Q687" s="471">
        <v>4.1277000000000003E-6</v>
      </c>
      <c r="R687" s="472" t="s">
        <v>2435</v>
      </c>
      <c r="S687" s="473" t="s">
        <v>1531</v>
      </c>
      <c r="T687" s="474" t="s">
        <v>1413</v>
      </c>
      <c r="U687" s="484">
        <v>261100</v>
      </c>
      <c r="V687" s="484" t="s">
        <v>553</v>
      </c>
      <c r="W687" s="495">
        <v>4.0999999999999996</v>
      </c>
      <c r="X687" s="496" t="s">
        <v>1620</v>
      </c>
      <c r="Y687" s="486">
        <v>0.2</v>
      </c>
      <c r="Z687" s="487" t="s">
        <v>1620</v>
      </c>
      <c r="AA687" s="394">
        <v>5.0899999999999999E-3</v>
      </c>
      <c r="AB687" s="395" t="s">
        <v>553</v>
      </c>
      <c r="AC687" s="369"/>
    </row>
    <row r="688" spans="1:29" ht="20.100000000000001" customHeight="1">
      <c r="A688" s="390" t="s">
        <v>614</v>
      </c>
      <c r="B688" s="391" t="s">
        <v>247</v>
      </c>
      <c r="C688" s="400">
        <f>COUNTIF('Chem Props'!$B$6:$B$851,'Parameters Summary'!A688)</f>
        <v>1</v>
      </c>
      <c r="D688" s="400">
        <f>COUNTIF('Tox Summary'!$N$3:$N$792, 'Parameters Summary'!A688)</f>
        <v>1</v>
      </c>
      <c r="E688" s="434">
        <v>162.19</v>
      </c>
      <c r="F688" s="435" t="s">
        <v>1620</v>
      </c>
      <c r="G688" s="436">
        <v>3.7080000000000001E-4</v>
      </c>
      <c r="H688" s="436">
        <v>9.0699999999999996E-6</v>
      </c>
      <c r="I688" s="437" t="s">
        <v>1620</v>
      </c>
      <c r="J688" s="436">
        <v>6.1800000000000001E-2</v>
      </c>
      <c r="K688" s="437" t="s">
        <v>1620</v>
      </c>
      <c r="L688" s="453">
        <v>11.2</v>
      </c>
      <c r="M688" s="454" t="s">
        <v>1620</v>
      </c>
      <c r="N688" s="455">
        <v>1.1000000000000001</v>
      </c>
      <c r="O688" s="456" t="s">
        <v>1618</v>
      </c>
      <c r="P688" s="471">
        <v>4.4227200000000001E-2</v>
      </c>
      <c r="Q688" s="471">
        <v>7.5874000000000004E-6</v>
      </c>
      <c r="R688" s="472" t="s">
        <v>2435</v>
      </c>
      <c r="S688" s="473" t="s">
        <v>1531</v>
      </c>
      <c r="T688" s="474" t="s">
        <v>1413</v>
      </c>
      <c r="U688" s="484">
        <v>207.2</v>
      </c>
      <c r="V688" s="484" t="s">
        <v>553</v>
      </c>
      <c r="W688" s="495">
        <v>3.45</v>
      </c>
      <c r="X688" s="496" t="s">
        <v>1620</v>
      </c>
      <c r="Y688" s="486">
        <v>121</v>
      </c>
      <c r="Z688" s="487" t="s">
        <v>1620</v>
      </c>
      <c r="AA688" s="394">
        <v>1.1285E-2</v>
      </c>
      <c r="AB688" s="395" t="s">
        <v>1668</v>
      </c>
      <c r="AC688" s="369"/>
    </row>
    <row r="689" spans="1:29" ht="20.100000000000001" customHeight="1" thickBot="1">
      <c r="A689" s="392" t="s">
        <v>1326</v>
      </c>
      <c r="B689" s="393" t="s">
        <v>249</v>
      </c>
      <c r="C689" s="400">
        <f>COUNTIF('Chem Props'!$B$6:$B$851,'Parameters Summary'!A689)</f>
        <v>1</v>
      </c>
      <c r="D689" s="400">
        <f>COUNTIF('Tox Summary'!$N$3:$N$792, 'Parameters Summary'!A689)</f>
        <v>1</v>
      </c>
      <c r="E689" s="438">
        <v>128.97</v>
      </c>
      <c r="F689" s="439" t="s">
        <v>1620</v>
      </c>
      <c r="G689" s="442" t="s">
        <v>1531</v>
      </c>
      <c r="H689" s="442" t="s">
        <v>1531</v>
      </c>
      <c r="I689" s="443" t="s">
        <v>1413</v>
      </c>
      <c r="J689" s="442" t="s">
        <v>1531</v>
      </c>
      <c r="K689" s="443" t="s">
        <v>1413</v>
      </c>
      <c r="L689" s="457">
        <v>70</v>
      </c>
      <c r="M689" s="458" t="s">
        <v>553</v>
      </c>
      <c r="N689" s="459">
        <v>3</v>
      </c>
      <c r="O689" s="460" t="s">
        <v>1618</v>
      </c>
      <c r="P689" s="479" t="s">
        <v>1531</v>
      </c>
      <c r="Q689" s="479" t="s">
        <v>1531</v>
      </c>
      <c r="R689" s="480" t="s">
        <v>1413</v>
      </c>
      <c r="S689" s="477" t="s">
        <v>1531</v>
      </c>
      <c r="T689" s="478" t="s">
        <v>1413</v>
      </c>
      <c r="U689" s="477" t="s">
        <v>1531</v>
      </c>
      <c r="V689" s="478" t="s">
        <v>1413</v>
      </c>
      <c r="W689" s="499" t="s">
        <v>1531</v>
      </c>
      <c r="X689" s="500" t="s">
        <v>1413</v>
      </c>
      <c r="Y689" s="488">
        <v>900000</v>
      </c>
      <c r="Z689" s="489" t="s">
        <v>1621</v>
      </c>
      <c r="AA689" s="396">
        <v>1E-3</v>
      </c>
      <c r="AB689" s="397" t="s">
        <v>1668</v>
      </c>
      <c r="AC689" s="369"/>
    </row>
    <row r="690" spans="1:29" ht="20.100000000000001" customHeight="1">
      <c r="A690" s="390" t="s">
        <v>1327</v>
      </c>
      <c r="B690" s="391" t="s">
        <v>250</v>
      </c>
      <c r="C690" s="400">
        <f>COUNTIF('Chem Props'!$B$6:$B$851,'Parameters Summary'!A690)</f>
        <v>1</v>
      </c>
      <c r="D690" s="400">
        <f>COUNTIF('Tox Summary'!$N$3:$N$792, 'Parameters Summary'!A690)</f>
        <v>1</v>
      </c>
      <c r="E690" s="434">
        <v>78.959999999999994</v>
      </c>
      <c r="F690" s="435" t="s">
        <v>1620</v>
      </c>
      <c r="G690" s="444" t="s">
        <v>1531</v>
      </c>
      <c r="H690" s="444" t="s">
        <v>1531</v>
      </c>
      <c r="I690" s="445" t="s">
        <v>1413</v>
      </c>
      <c r="J690" s="436">
        <v>1.42E-10</v>
      </c>
      <c r="K690" s="437" t="s">
        <v>553</v>
      </c>
      <c r="L690" s="453">
        <v>221</v>
      </c>
      <c r="M690" s="454" t="s">
        <v>1620</v>
      </c>
      <c r="N690" s="455">
        <v>4.8090000000000002</v>
      </c>
      <c r="O690" s="456" t="s">
        <v>1618</v>
      </c>
      <c r="P690" s="482" t="s">
        <v>1531</v>
      </c>
      <c r="Q690" s="482" t="s">
        <v>1531</v>
      </c>
      <c r="R690" s="483" t="s">
        <v>1413</v>
      </c>
      <c r="S690" s="484">
        <v>5</v>
      </c>
      <c r="T690" s="484" t="s">
        <v>557</v>
      </c>
      <c r="U690" s="473" t="s">
        <v>1531</v>
      </c>
      <c r="V690" s="474" t="s">
        <v>1413</v>
      </c>
      <c r="W690" s="501" t="s">
        <v>1531</v>
      </c>
      <c r="X690" s="502" t="s">
        <v>1413</v>
      </c>
      <c r="Y690" s="492" t="s">
        <v>1531</v>
      </c>
      <c r="Z690" s="493" t="s">
        <v>1413</v>
      </c>
      <c r="AA690" s="394">
        <v>1E-3</v>
      </c>
      <c r="AB690" s="395" t="s">
        <v>1668</v>
      </c>
      <c r="AC690" s="369"/>
    </row>
    <row r="691" spans="1:29" ht="20.100000000000001" customHeight="1">
      <c r="A691" s="390" t="s">
        <v>615</v>
      </c>
      <c r="B691" s="391" t="s">
        <v>251</v>
      </c>
      <c r="C691" s="400">
        <f>COUNTIF('Chem Props'!$B$6:$B$851,'Parameters Summary'!A691)</f>
        <v>1</v>
      </c>
      <c r="D691" s="400">
        <f>COUNTIF('Tox Summary'!$N$3:$N$792, 'Parameters Summary'!A691)</f>
        <v>1</v>
      </c>
      <c r="E691" s="434">
        <v>111.02</v>
      </c>
      <c r="F691" s="435" t="s">
        <v>553</v>
      </c>
      <c r="G691" s="444" t="s">
        <v>1531</v>
      </c>
      <c r="H691" s="444" t="s">
        <v>1531</v>
      </c>
      <c r="I691" s="445" t="s">
        <v>1413</v>
      </c>
      <c r="J691" s="444" t="s">
        <v>1531</v>
      </c>
      <c r="K691" s="445" t="s">
        <v>1413</v>
      </c>
      <c r="L691" s="465" t="s">
        <v>1531</v>
      </c>
      <c r="M691" s="466" t="s">
        <v>1413</v>
      </c>
      <c r="N691" s="461" t="s">
        <v>1531</v>
      </c>
      <c r="O691" s="462" t="s">
        <v>1413</v>
      </c>
      <c r="P691" s="482" t="s">
        <v>1531</v>
      </c>
      <c r="Q691" s="482" t="s">
        <v>1531</v>
      </c>
      <c r="R691" s="483" t="s">
        <v>1413</v>
      </c>
      <c r="S691" s="473" t="s">
        <v>1531</v>
      </c>
      <c r="T691" s="474" t="s">
        <v>1413</v>
      </c>
      <c r="U691" s="473" t="s">
        <v>1531</v>
      </c>
      <c r="V691" s="474" t="s">
        <v>1413</v>
      </c>
      <c r="W691" s="501" t="s">
        <v>1531</v>
      </c>
      <c r="X691" s="502" t="s">
        <v>1413</v>
      </c>
      <c r="Y691" s="492" t="s">
        <v>1531</v>
      </c>
      <c r="Z691" s="493" t="s">
        <v>1413</v>
      </c>
      <c r="AA691" s="394">
        <v>1E-3</v>
      </c>
      <c r="AB691" s="395" t="s">
        <v>1668</v>
      </c>
      <c r="AC691" s="369"/>
    </row>
    <row r="692" spans="1:29" ht="20.100000000000001" customHeight="1" thickBot="1">
      <c r="A692" s="392" t="s">
        <v>1328</v>
      </c>
      <c r="B692" s="393" t="s">
        <v>252</v>
      </c>
      <c r="C692" s="400">
        <f>COUNTIF('Chem Props'!$B$6:$B$851,'Parameters Summary'!A692)</f>
        <v>1</v>
      </c>
      <c r="D692" s="400">
        <f>COUNTIF('Tox Summary'!$N$3:$N$792, 'Parameters Summary'!A692)</f>
        <v>1</v>
      </c>
      <c r="E692" s="438">
        <v>327.49</v>
      </c>
      <c r="F692" s="439" t="s">
        <v>1620</v>
      </c>
      <c r="G692" s="440">
        <v>8.8309999999999998E-10</v>
      </c>
      <c r="H692" s="440">
        <v>2.1599999999999998E-11</v>
      </c>
      <c r="I692" s="441" t="s">
        <v>1620</v>
      </c>
      <c r="J692" s="440">
        <v>1.6E-7</v>
      </c>
      <c r="K692" s="441" t="s">
        <v>1620</v>
      </c>
      <c r="L692" s="457">
        <v>161.06</v>
      </c>
      <c r="M692" s="458" t="s">
        <v>553</v>
      </c>
      <c r="N692" s="459">
        <v>1.0429999999999999</v>
      </c>
      <c r="O692" s="460" t="s">
        <v>1618</v>
      </c>
      <c r="P692" s="475">
        <v>1.9632899999999998E-2</v>
      </c>
      <c r="Q692" s="475">
        <v>4.8207999999999997E-6</v>
      </c>
      <c r="R692" s="476" t="s">
        <v>2435</v>
      </c>
      <c r="S692" s="477" t="s">
        <v>1531</v>
      </c>
      <c r="T692" s="478" t="s">
        <v>1413</v>
      </c>
      <c r="U692" s="481">
        <v>4374</v>
      </c>
      <c r="V692" s="481" t="s">
        <v>553</v>
      </c>
      <c r="W692" s="497">
        <v>4.38</v>
      </c>
      <c r="X692" s="498" t="s">
        <v>1620</v>
      </c>
      <c r="Y692" s="488">
        <v>25</v>
      </c>
      <c r="Z692" s="489" t="s">
        <v>1620</v>
      </c>
      <c r="AA692" s="396">
        <v>1.8499999999999999E-2</v>
      </c>
      <c r="AB692" s="397" t="s">
        <v>553</v>
      </c>
      <c r="AC692" s="369"/>
    </row>
    <row r="693" spans="1:29" ht="20.100000000000001" customHeight="1">
      <c r="A693" s="390" t="s">
        <v>616</v>
      </c>
      <c r="B693" s="391" t="s">
        <v>253</v>
      </c>
      <c r="C693" s="400">
        <f>COUNTIF('Chem Props'!$B$6:$B$851,'Parameters Summary'!A693)</f>
        <v>1</v>
      </c>
      <c r="D693" s="400">
        <f>COUNTIF('Tox Summary'!$N$3:$N$792, 'Parameters Summary'!A693)</f>
        <v>1</v>
      </c>
      <c r="E693" s="434">
        <v>60.08</v>
      </c>
      <c r="F693" s="435" t="s">
        <v>553</v>
      </c>
      <c r="G693" s="444" t="s">
        <v>1531</v>
      </c>
      <c r="H693" s="444" t="s">
        <v>1531</v>
      </c>
      <c r="I693" s="445" t="s">
        <v>1413</v>
      </c>
      <c r="J693" s="444" t="s">
        <v>1531</v>
      </c>
      <c r="K693" s="445" t="s">
        <v>1413</v>
      </c>
      <c r="L693" s="453">
        <v>1710</v>
      </c>
      <c r="M693" s="454" t="s">
        <v>1621</v>
      </c>
      <c r="N693" s="455">
        <v>2.3199999999999998</v>
      </c>
      <c r="O693" s="456" t="s">
        <v>1621</v>
      </c>
      <c r="P693" s="482" t="s">
        <v>1531</v>
      </c>
      <c r="Q693" s="482" t="s">
        <v>1531</v>
      </c>
      <c r="R693" s="483" t="s">
        <v>1413</v>
      </c>
      <c r="S693" s="473" t="s">
        <v>1531</v>
      </c>
      <c r="T693" s="474" t="s">
        <v>1413</v>
      </c>
      <c r="U693" s="473" t="s">
        <v>1531</v>
      </c>
      <c r="V693" s="474" t="s">
        <v>1413</v>
      </c>
      <c r="W693" s="501" t="s">
        <v>1531</v>
      </c>
      <c r="X693" s="502" t="s">
        <v>1413</v>
      </c>
      <c r="Y693" s="492" t="s">
        <v>1531</v>
      </c>
      <c r="Z693" s="493" t="s">
        <v>1413</v>
      </c>
      <c r="AA693" s="394">
        <v>1E-3</v>
      </c>
      <c r="AB693" s="395" t="s">
        <v>1668</v>
      </c>
      <c r="AC693" s="369"/>
    </row>
    <row r="694" spans="1:29" ht="20.100000000000001" customHeight="1">
      <c r="A694" s="390" t="s">
        <v>1329</v>
      </c>
      <c r="B694" s="391" t="s">
        <v>254</v>
      </c>
      <c r="C694" s="400">
        <f>COUNTIF('Chem Props'!$B$6:$B$851,'Parameters Summary'!A694)</f>
        <v>1</v>
      </c>
      <c r="D694" s="400">
        <f>COUNTIF('Tox Summary'!$N$3:$N$792, 'Parameters Summary'!A694)</f>
        <v>1</v>
      </c>
      <c r="E694" s="434">
        <v>107.87</v>
      </c>
      <c r="F694" s="435" t="s">
        <v>1620</v>
      </c>
      <c r="G694" s="444" t="s">
        <v>1531</v>
      </c>
      <c r="H694" s="444" t="s">
        <v>1531</v>
      </c>
      <c r="I694" s="445" t="s">
        <v>1413</v>
      </c>
      <c r="J694" s="436">
        <v>0</v>
      </c>
      <c r="K694" s="437" t="s">
        <v>2204</v>
      </c>
      <c r="L694" s="453">
        <v>960.5</v>
      </c>
      <c r="M694" s="454" t="s">
        <v>1620</v>
      </c>
      <c r="N694" s="455">
        <v>10.5</v>
      </c>
      <c r="O694" s="456" t="s">
        <v>1618</v>
      </c>
      <c r="P694" s="482" t="s">
        <v>1531</v>
      </c>
      <c r="Q694" s="482" t="s">
        <v>1531</v>
      </c>
      <c r="R694" s="483" t="s">
        <v>1413</v>
      </c>
      <c r="S694" s="484">
        <v>8.3000000000000007</v>
      </c>
      <c r="T694" s="484" t="s">
        <v>557</v>
      </c>
      <c r="U694" s="473" t="s">
        <v>1531</v>
      </c>
      <c r="V694" s="474" t="s">
        <v>1413</v>
      </c>
      <c r="W694" s="501" t="s">
        <v>1531</v>
      </c>
      <c r="X694" s="502" t="s">
        <v>1413</v>
      </c>
      <c r="Y694" s="492" t="s">
        <v>1531</v>
      </c>
      <c r="Z694" s="493" t="s">
        <v>1413</v>
      </c>
      <c r="AA694" s="394">
        <v>5.9999999999999995E-4</v>
      </c>
      <c r="AB694" s="395" t="s">
        <v>1668</v>
      </c>
      <c r="AC694" s="369"/>
    </row>
    <row r="695" spans="1:29" ht="20.100000000000001" customHeight="1" thickBot="1">
      <c r="A695" s="392" t="s">
        <v>1330</v>
      </c>
      <c r="B695" s="393" t="s">
        <v>255</v>
      </c>
      <c r="C695" s="400">
        <f>COUNTIF('Chem Props'!$B$6:$B$851,'Parameters Summary'!A695)</f>
        <v>1</v>
      </c>
      <c r="D695" s="400">
        <f>COUNTIF('Tox Summary'!$N$3:$N$792, 'Parameters Summary'!A695)</f>
        <v>1</v>
      </c>
      <c r="E695" s="438">
        <v>201.66</v>
      </c>
      <c r="F695" s="439" t="s">
        <v>1620</v>
      </c>
      <c r="G695" s="440">
        <v>3.8512000000000001E-8</v>
      </c>
      <c r="H695" s="440">
        <v>9.4200000000000006E-10</v>
      </c>
      <c r="I695" s="441" t="s">
        <v>553</v>
      </c>
      <c r="J695" s="440">
        <v>2.2099999999999999E-8</v>
      </c>
      <c r="K695" s="441" t="s">
        <v>1620</v>
      </c>
      <c r="L695" s="457">
        <v>226</v>
      </c>
      <c r="M695" s="458" t="s">
        <v>1620</v>
      </c>
      <c r="N695" s="459">
        <v>1.302</v>
      </c>
      <c r="O695" s="460" t="s">
        <v>1618</v>
      </c>
      <c r="P695" s="475">
        <v>2.8139399999999998E-2</v>
      </c>
      <c r="Q695" s="475">
        <v>7.3665999999999999E-6</v>
      </c>
      <c r="R695" s="476" t="s">
        <v>2435</v>
      </c>
      <c r="S695" s="477" t="s">
        <v>1531</v>
      </c>
      <c r="T695" s="478" t="s">
        <v>1413</v>
      </c>
      <c r="U695" s="481">
        <v>146.5</v>
      </c>
      <c r="V695" s="481" t="s">
        <v>553</v>
      </c>
      <c r="W695" s="497">
        <v>2.1800000000000002</v>
      </c>
      <c r="X695" s="498" t="s">
        <v>1620</v>
      </c>
      <c r="Y695" s="488">
        <v>6.2</v>
      </c>
      <c r="Z695" s="489" t="s">
        <v>1620</v>
      </c>
      <c r="AA695" s="396">
        <v>3.2499999999999999E-3</v>
      </c>
      <c r="AB695" s="397" t="s">
        <v>553</v>
      </c>
      <c r="AC695" s="369"/>
    </row>
    <row r="696" spans="1:29" ht="20.100000000000001" customHeight="1">
      <c r="A696" s="390" t="s">
        <v>1331</v>
      </c>
      <c r="B696" s="391" t="s">
        <v>256</v>
      </c>
      <c r="C696" s="400">
        <f>COUNTIF('Chem Props'!$B$6:$B$851,'Parameters Summary'!A696)</f>
        <v>1</v>
      </c>
      <c r="D696" s="400">
        <f>COUNTIF('Tox Summary'!$N$3:$N$792, 'Parameters Summary'!A696)</f>
        <v>1</v>
      </c>
      <c r="E696" s="434">
        <v>383.65</v>
      </c>
      <c r="F696" s="435" t="s">
        <v>1620</v>
      </c>
      <c r="G696" s="436">
        <v>2.4734000000000002E-9</v>
      </c>
      <c r="H696" s="436">
        <v>6.0499999999999998E-11</v>
      </c>
      <c r="I696" s="437" t="s">
        <v>1620</v>
      </c>
      <c r="J696" s="436">
        <v>9.7499999999999996E-9</v>
      </c>
      <c r="K696" s="437" t="s">
        <v>553</v>
      </c>
      <c r="L696" s="453">
        <v>277.47000000000003</v>
      </c>
      <c r="M696" s="454" t="s">
        <v>553</v>
      </c>
      <c r="N696" s="461" t="s">
        <v>1531</v>
      </c>
      <c r="O696" s="462" t="s">
        <v>1413</v>
      </c>
      <c r="P696" s="471">
        <v>3.5985700000000002E-2</v>
      </c>
      <c r="Q696" s="471">
        <v>4.2046000000000004E-6</v>
      </c>
      <c r="R696" s="472" t="s">
        <v>2435</v>
      </c>
      <c r="S696" s="473" t="s">
        <v>1531</v>
      </c>
      <c r="T696" s="474" t="s">
        <v>1413</v>
      </c>
      <c r="U696" s="484">
        <v>3880</v>
      </c>
      <c r="V696" s="484" t="s">
        <v>553</v>
      </c>
      <c r="W696" s="495">
        <v>0.37</v>
      </c>
      <c r="X696" s="496" t="s">
        <v>1620</v>
      </c>
      <c r="Y696" s="486">
        <v>250000</v>
      </c>
      <c r="Z696" s="487" t="s">
        <v>1620</v>
      </c>
      <c r="AA696" s="394">
        <v>1.95E-5</v>
      </c>
      <c r="AB696" s="395" t="s">
        <v>553</v>
      </c>
      <c r="AC696" s="369"/>
    </row>
    <row r="697" spans="1:29" ht="20.100000000000001" customHeight="1">
      <c r="A697" s="390" t="s">
        <v>1332</v>
      </c>
      <c r="B697" s="391" t="s">
        <v>257</v>
      </c>
      <c r="C697" s="400">
        <f>COUNTIF('Chem Props'!$B$6:$B$851,'Parameters Summary'!A697)</f>
        <v>1</v>
      </c>
      <c r="D697" s="400">
        <f>COUNTIF('Tox Summary'!$N$3:$N$792, 'Parameters Summary'!A697)</f>
        <v>1</v>
      </c>
      <c r="E697" s="434">
        <v>65.010000000000005</v>
      </c>
      <c r="F697" s="435" t="s">
        <v>553</v>
      </c>
      <c r="G697" s="444" t="s">
        <v>1531</v>
      </c>
      <c r="H697" s="444" t="s">
        <v>1531</v>
      </c>
      <c r="I697" s="445" t="s">
        <v>1413</v>
      </c>
      <c r="J697" s="444" t="s">
        <v>1531</v>
      </c>
      <c r="K697" s="445" t="s">
        <v>1413</v>
      </c>
      <c r="L697" s="453">
        <v>300</v>
      </c>
      <c r="M697" s="454" t="s">
        <v>1618</v>
      </c>
      <c r="N697" s="455">
        <v>1.8460000000000001</v>
      </c>
      <c r="O697" s="456" t="s">
        <v>1618</v>
      </c>
      <c r="P697" s="482" t="s">
        <v>1531</v>
      </c>
      <c r="Q697" s="482" t="s">
        <v>1531</v>
      </c>
      <c r="R697" s="483" t="s">
        <v>1413</v>
      </c>
      <c r="S697" s="473" t="s">
        <v>1531</v>
      </c>
      <c r="T697" s="474" t="s">
        <v>1413</v>
      </c>
      <c r="U697" s="473" t="s">
        <v>1531</v>
      </c>
      <c r="V697" s="474" t="s">
        <v>1413</v>
      </c>
      <c r="W697" s="501" t="s">
        <v>1531</v>
      </c>
      <c r="X697" s="502" t="s">
        <v>1413</v>
      </c>
      <c r="Y697" s="486">
        <v>408000</v>
      </c>
      <c r="Z697" s="487" t="s">
        <v>1618</v>
      </c>
      <c r="AA697" s="394">
        <v>1E-3</v>
      </c>
      <c r="AB697" s="395" t="s">
        <v>1668</v>
      </c>
      <c r="AC697" s="369"/>
    </row>
    <row r="698" spans="1:29" ht="20.100000000000001" customHeight="1" thickBot="1">
      <c r="A698" s="392" t="s">
        <v>1333</v>
      </c>
      <c r="B698" s="393" t="s">
        <v>258</v>
      </c>
      <c r="C698" s="400">
        <f>COUNTIF('Chem Props'!$B$6:$B$851,'Parameters Summary'!A698)</f>
        <v>1</v>
      </c>
      <c r="D698" s="400">
        <f>COUNTIF('Tox Summary'!$N$3:$N$792, 'Parameters Summary'!A698)</f>
        <v>1</v>
      </c>
      <c r="E698" s="438">
        <v>172.27</v>
      </c>
      <c r="F698" s="439" t="s">
        <v>1620</v>
      </c>
      <c r="G698" s="442" t="s">
        <v>1531</v>
      </c>
      <c r="H698" s="442" t="s">
        <v>1531</v>
      </c>
      <c r="I698" s="443" t="s">
        <v>1413</v>
      </c>
      <c r="J698" s="440">
        <v>8.1499999999999998E-10</v>
      </c>
      <c r="K698" s="441" t="s">
        <v>1620</v>
      </c>
      <c r="L698" s="457">
        <v>94</v>
      </c>
      <c r="M698" s="458" t="s">
        <v>1620</v>
      </c>
      <c r="N698" s="463" t="s">
        <v>1531</v>
      </c>
      <c r="O698" s="464" t="s">
        <v>1413</v>
      </c>
      <c r="P698" s="475">
        <v>6.1368699999999998E-2</v>
      </c>
      <c r="Q698" s="475">
        <v>7.1705000000000002E-6</v>
      </c>
      <c r="R698" s="476" t="s">
        <v>2435</v>
      </c>
      <c r="S698" s="477" t="s">
        <v>1531</v>
      </c>
      <c r="T698" s="478" t="s">
        <v>1413</v>
      </c>
      <c r="U698" s="481">
        <v>204.5</v>
      </c>
      <c r="V698" s="481" t="s">
        <v>553</v>
      </c>
      <c r="W698" s="497">
        <v>-1.43</v>
      </c>
      <c r="X698" s="498" t="s">
        <v>1620</v>
      </c>
      <c r="Y698" s="488">
        <v>364100</v>
      </c>
      <c r="Z698" s="489" t="s">
        <v>1620</v>
      </c>
      <c r="AA698" s="396">
        <v>1.9199999999999999E-5</v>
      </c>
      <c r="AB698" s="397" t="s">
        <v>553</v>
      </c>
      <c r="AC698" s="369"/>
    </row>
    <row r="699" spans="1:29" ht="20.100000000000001" customHeight="1">
      <c r="A699" s="390" t="s">
        <v>617</v>
      </c>
      <c r="B699" s="391" t="s">
        <v>259</v>
      </c>
      <c r="C699" s="400">
        <f>COUNTIF('Chem Props'!$B$6:$B$851,'Parameters Summary'!A699)</f>
        <v>1</v>
      </c>
      <c r="D699" s="400">
        <f>COUNTIF('Tox Summary'!$N$3:$N$792, 'Parameters Summary'!A699)</f>
        <v>1</v>
      </c>
      <c r="E699" s="434">
        <v>41.988</v>
      </c>
      <c r="F699" s="435" t="s">
        <v>1620</v>
      </c>
      <c r="G699" s="444" t="s">
        <v>1531</v>
      </c>
      <c r="H699" s="444" t="s">
        <v>1531</v>
      </c>
      <c r="I699" s="445" t="s">
        <v>1413</v>
      </c>
      <c r="J699" s="436">
        <v>0</v>
      </c>
      <c r="K699" s="437" t="s">
        <v>2204</v>
      </c>
      <c r="L699" s="453">
        <v>993</v>
      </c>
      <c r="M699" s="454" t="s">
        <v>1620</v>
      </c>
      <c r="N699" s="455">
        <v>2.78</v>
      </c>
      <c r="O699" s="456" t="s">
        <v>1618</v>
      </c>
      <c r="P699" s="482" t="s">
        <v>1531</v>
      </c>
      <c r="Q699" s="482" t="s">
        <v>1531</v>
      </c>
      <c r="R699" s="483" t="s">
        <v>1413</v>
      </c>
      <c r="S699" s="473" t="s">
        <v>1531</v>
      </c>
      <c r="T699" s="474" t="s">
        <v>1413</v>
      </c>
      <c r="U699" s="473" t="s">
        <v>1531</v>
      </c>
      <c r="V699" s="474" t="s">
        <v>1413</v>
      </c>
      <c r="W699" s="501" t="s">
        <v>1531</v>
      </c>
      <c r="X699" s="502" t="s">
        <v>1413</v>
      </c>
      <c r="Y699" s="486">
        <v>42200</v>
      </c>
      <c r="Z699" s="487" t="s">
        <v>1620</v>
      </c>
      <c r="AA699" s="394">
        <v>1E-3</v>
      </c>
      <c r="AB699" s="395" t="s">
        <v>1668</v>
      </c>
      <c r="AC699" s="369"/>
    </row>
    <row r="700" spans="1:29" ht="20.100000000000001" customHeight="1">
      <c r="A700" s="390" t="s">
        <v>1334</v>
      </c>
      <c r="B700" s="391" t="s">
        <v>260</v>
      </c>
      <c r="C700" s="400">
        <f>COUNTIF('Chem Props'!$B$6:$B$851,'Parameters Summary'!A700)</f>
        <v>1</v>
      </c>
      <c r="D700" s="400">
        <f>COUNTIF('Tox Summary'!$N$3:$N$792, 'Parameters Summary'!A700)</f>
        <v>1</v>
      </c>
      <c r="E700" s="434">
        <v>100.03</v>
      </c>
      <c r="F700" s="435" t="s">
        <v>1620</v>
      </c>
      <c r="G700" s="436">
        <v>4.46E-5</v>
      </c>
      <c r="H700" s="436">
        <v>1.0899999999999999E-6</v>
      </c>
      <c r="I700" s="437" t="s">
        <v>1620</v>
      </c>
      <c r="J700" s="436">
        <v>6.5400000000000001E-7</v>
      </c>
      <c r="K700" s="437" t="s">
        <v>1620</v>
      </c>
      <c r="L700" s="453">
        <v>201</v>
      </c>
      <c r="M700" s="454" t="s">
        <v>1620</v>
      </c>
      <c r="N700" s="461" t="s">
        <v>1531</v>
      </c>
      <c r="O700" s="462" t="s">
        <v>1413</v>
      </c>
      <c r="P700" s="471">
        <v>8.8172600000000004E-2</v>
      </c>
      <c r="Q700" s="471">
        <v>1.03E-5</v>
      </c>
      <c r="R700" s="472" t="s">
        <v>2435</v>
      </c>
      <c r="S700" s="473" t="s">
        <v>1531</v>
      </c>
      <c r="T700" s="474" t="s">
        <v>1413</v>
      </c>
      <c r="U700" s="484">
        <v>1.44</v>
      </c>
      <c r="V700" s="484" t="s">
        <v>553</v>
      </c>
      <c r="W700" s="495">
        <v>-3.78</v>
      </c>
      <c r="X700" s="496" t="s">
        <v>1620</v>
      </c>
      <c r="Y700" s="486">
        <v>1110000</v>
      </c>
      <c r="Z700" s="487" t="s">
        <v>1620</v>
      </c>
      <c r="AA700" s="394">
        <v>1.3200000000000001E-6</v>
      </c>
      <c r="AB700" s="395" t="s">
        <v>553</v>
      </c>
      <c r="AC700" s="369"/>
    </row>
    <row r="701" spans="1:29" ht="20.100000000000001" customHeight="1" thickBot="1">
      <c r="A701" s="392" t="s">
        <v>1335</v>
      </c>
      <c r="B701" s="393" t="s">
        <v>261</v>
      </c>
      <c r="C701" s="400">
        <f>COUNTIF('Chem Props'!$B$6:$B$851,'Parameters Summary'!A701)</f>
        <v>1</v>
      </c>
      <c r="D701" s="400">
        <f>COUNTIF('Tox Summary'!$N$3:$N$792, 'Parameters Summary'!A701)</f>
        <v>1</v>
      </c>
      <c r="E701" s="438">
        <v>121.93</v>
      </c>
      <c r="F701" s="439" t="s">
        <v>1618</v>
      </c>
      <c r="G701" s="442" t="s">
        <v>1531</v>
      </c>
      <c r="H701" s="442" t="s">
        <v>1531</v>
      </c>
      <c r="I701" s="443" t="s">
        <v>1413</v>
      </c>
      <c r="J701" s="442" t="s">
        <v>1531</v>
      </c>
      <c r="K701" s="443" t="s">
        <v>1413</v>
      </c>
      <c r="L701" s="457">
        <v>630</v>
      </c>
      <c r="M701" s="458" t="s">
        <v>1618</v>
      </c>
      <c r="N701" s="463" t="s">
        <v>1531</v>
      </c>
      <c r="O701" s="464" t="s">
        <v>1413</v>
      </c>
      <c r="P701" s="479" t="s">
        <v>1531</v>
      </c>
      <c r="Q701" s="479" t="s">
        <v>1531</v>
      </c>
      <c r="R701" s="480" t="s">
        <v>1413</v>
      </c>
      <c r="S701" s="477" t="s">
        <v>1531</v>
      </c>
      <c r="T701" s="478" t="s">
        <v>1413</v>
      </c>
      <c r="U701" s="477" t="s">
        <v>1531</v>
      </c>
      <c r="V701" s="478" t="s">
        <v>1413</v>
      </c>
      <c r="W701" s="499" t="s">
        <v>1531</v>
      </c>
      <c r="X701" s="500" t="s">
        <v>1413</v>
      </c>
      <c r="Y701" s="488">
        <v>210000</v>
      </c>
      <c r="Z701" s="489" t="s">
        <v>1618</v>
      </c>
      <c r="AA701" s="396">
        <v>1E-3</v>
      </c>
      <c r="AB701" s="397" t="s">
        <v>1668</v>
      </c>
      <c r="AC701" s="369"/>
    </row>
    <row r="702" spans="1:29" ht="20.100000000000001" customHeight="1">
      <c r="A702" s="390" t="s">
        <v>2289</v>
      </c>
      <c r="B702" s="391" t="s">
        <v>2287</v>
      </c>
      <c r="C702" s="400">
        <f>COUNTIF('Chem Props'!$B$6:$B$851,'Parameters Summary'!A702)</f>
        <v>1</v>
      </c>
      <c r="D702" s="400">
        <f>COUNTIF('Tox Summary'!$N$3:$N$792, 'Parameters Summary'!A702)</f>
        <v>1</v>
      </c>
      <c r="E702" s="434">
        <v>293.82</v>
      </c>
      <c r="F702" s="435" t="s">
        <v>1618</v>
      </c>
      <c r="G702" s="444" t="s">
        <v>1531</v>
      </c>
      <c r="H702" s="444" t="s">
        <v>1531</v>
      </c>
      <c r="I702" s="445" t="s">
        <v>1413</v>
      </c>
      <c r="J702" s="444" t="s">
        <v>1531</v>
      </c>
      <c r="K702" s="445" t="s">
        <v>1413</v>
      </c>
      <c r="L702" s="453">
        <v>695</v>
      </c>
      <c r="M702" s="454" t="s">
        <v>1618</v>
      </c>
      <c r="N702" s="455">
        <v>4.18</v>
      </c>
      <c r="O702" s="456" t="s">
        <v>1618</v>
      </c>
      <c r="P702" s="482" t="s">
        <v>1531</v>
      </c>
      <c r="Q702" s="482" t="s">
        <v>1531</v>
      </c>
      <c r="R702" s="483" t="s">
        <v>1413</v>
      </c>
      <c r="S702" s="473" t="s">
        <v>1531</v>
      </c>
      <c r="T702" s="474" t="s">
        <v>1413</v>
      </c>
      <c r="U702" s="473" t="s">
        <v>1531</v>
      </c>
      <c r="V702" s="474" t="s">
        <v>1413</v>
      </c>
      <c r="W702" s="501" t="s">
        <v>1531</v>
      </c>
      <c r="X702" s="502" t="s">
        <v>1413</v>
      </c>
      <c r="Y702" s="486">
        <v>742000</v>
      </c>
      <c r="Z702" s="487" t="s">
        <v>1618</v>
      </c>
      <c r="AA702" s="394">
        <v>1E-3</v>
      </c>
      <c r="AB702" s="395" t="s">
        <v>1668</v>
      </c>
      <c r="AC702" s="369"/>
    </row>
    <row r="703" spans="1:29" ht="20.100000000000001" customHeight="1">
      <c r="A703" s="390" t="s">
        <v>2290</v>
      </c>
      <c r="B703" s="391" t="s">
        <v>2288</v>
      </c>
      <c r="C703" s="400">
        <f>COUNTIF('Chem Props'!$B$6:$B$851,'Parameters Summary'!A703)</f>
        <v>1</v>
      </c>
      <c r="D703" s="400">
        <f>COUNTIF('Tox Summary'!$N$3:$N$792, 'Parameters Summary'!A703)</f>
        <v>1</v>
      </c>
      <c r="E703" s="434">
        <v>329.85</v>
      </c>
      <c r="F703" s="435" t="s">
        <v>1618</v>
      </c>
      <c r="G703" s="444" t="s">
        <v>1531</v>
      </c>
      <c r="H703" s="444" t="s">
        <v>1531</v>
      </c>
      <c r="I703" s="445" t="s">
        <v>1413</v>
      </c>
      <c r="J703" s="444" t="s">
        <v>1531</v>
      </c>
      <c r="K703" s="445" t="s">
        <v>1413</v>
      </c>
      <c r="L703" s="453">
        <v>100</v>
      </c>
      <c r="M703" s="454" t="s">
        <v>1618</v>
      </c>
      <c r="N703" s="455">
        <v>3.25</v>
      </c>
      <c r="O703" s="456" t="s">
        <v>1618</v>
      </c>
      <c r="P703" s="482" t="s">
        <v>1531</v>
      </c>
      <c r="Q703" s="482" t="s">
        <v>1531</v>
      </c>
      <c r="R703" s="483" t="s">
        <v>1413</v>
      </c>
      <c r="S703" s="473" t="s">
        <v>1531</v>
      </c>
      <c r="T703" s="474" t="s">
        <v>1413</v>
      </c>
      <c r="U703" s="473" t="s">
        <v>1531</v>
      </c>
      <c r="V703" s="474" t="s">
        <v>1413</v>
      </c>
      <c r="W703" s="501" t="s">
        <v>1531</v>
      </c>
      <c r="X703" s="502" t="s">
        <v>1413</v>
      </c>
      <c r="Y703" s="486">
        <v>742000</v>
      </c>
      <c r="Z703" s="487" t="s">
        <v>1618</v>
      </c>
      <c r="AA703" s="394">
        <v>1E-3</v>
      </c>
      <c r="AB703" s="395" t="s">
        <v>1668</v>
      </c>
      <c r="AC703" s="369"/>
    </row>
    <row r="704" spans="1:29" ht="20.100000000000001" customHeight="1" thickBot="1">
      <c r="A704" s="392" t="s">
        <v>1336</v>
      </c>
      <c r="B704" s="393" t="s">
        <v>263</v>
      </c>
      <c r="C704" s="400">
        <f>COUNTIF('Chem Props'!$B$6:$B$851,'Parameters Summary'!A704)</f>
        <v>1</v>
      </c>
      <c r="D704" s="400">
        <f>COUNTIF('Tox Summary'!$N$3:$N$792, 'Parameters Summary'!A704)</f>
        <v>1</v>
      </c>
      <c r="E704" s="438">
        <v>365.97</v>
      </c>
      <c r="F704" s="439" t="s">
        <v>1620</v>
      </c>
      <c r="G704" s="440">
        <v>7.5225E-8</v>
      </c>
      <c r="H704" s="440">
        <v>1.8400000000000001E-9</v>
      </c>
      <c r="I704" s="441" t="s">
        <v>553</v>
      </c>
      <c r="J704" s="440">
        <v>4.1999999999999999E-8</v>
      </c>
      <c r="K704" s="441" t="s">
        <v>1620</v>
      </c>
      <c r="L704" s="457">
        <v>97.5</v>
      </c>
      <c r="M704" s="458" t="s">
        <v>1620</v>
      </c>
      <c r="N704" s="463" t="s">
        <v>1531</v>
      </c>
      <c r="O704" s="464" t="s">
        <v>1413</v>
      </c>
      <c r="P704" s="475">
        <v>3.7135599999999998E-2</v>
      </c>
      <c r="Q704" s="475">
        <v>4.3390000000000003E-6</v>
      </c>
      <c r="R704" s="476" t="s">
        <v>2435</v>
      </c>
      <c r="S704" s="477" t="s">
        <v>1531</v>
      </c>
      <c r="T704" s="478" t="s">
        <v>1413</v>
      </c>
      <c r="U704" s="481">
        <v>1375</v>
      </c>
      <c r="V704" s="481" t="s">
        <v>553</v>
      </c>
      <c r="W704" s="497">
        <v>3.53</v>
      </c>
      <c r="X704" s="498" t="s">
        <v>1620</v>
      </c>
      <c r="Y704" s="488">
        <v>11</v>
      </c>
      <c r="Z704" s="489" t="s">
        <v>1620</v>
      </c>
      <c r="AA704" s="396">
        <v>3.0699999999999998E-3</v>
      </c>
      <c r="AB704" s="397" t="s">
        <v>553</v>
      </c>
      <c r="AC704" s="369"/>
    </row>
    <row r="705" spans="1:29" ht="20.100000000000001" customHeight="1">
      <c r="A705" s="390" t="s">
        <v>1337</v>
      </c>
      <c r="B705" s="391" t="s">
        <v>264</v>
      </c>
      <c r="C705" s="400">
        <f>COUNTIF('Chem Props'!$B$6:$B$851,'Parameters Summary'!A705)</f>
        <v>1</v>
      </c>
      <c r="D705" s="400">
        <f>COUNTIF('Tox Summary'!$N$3:$N$792, 'Parameters Summary'!A705)</f>
        <v>1</v>
      </c>
      <c r="E705" s="434">
        <v>87.62</v>
      </c>
      <c r="F705" s="435" t="s">
        <v>1620</v>
      </c>
      <c r="G705" s="444" t="s">
        <v>1531</v>
      </c>
      <c r="H705" s="444" t="s">
        <v>1531</v>
      </c>
      <c r="I705" s="445" t="s">
        <v>1413</v>
      </c>
      <c r="J705" s="444" t="s">
        <v>1531</v>
      </c>
      <c r="K705" s="445" t="s">
        <v>1413</v>
      </c>
      <c r="L705" s="453">
        <v>777</v>
      </c>
      <c r="M705" s="454" t="s">
        <v>1620</v>
      </c>
      <c r="N705" s="455">
        <v>2.64</v>
      </c>
      <c r="O705" s="456" t="s">
        <v>1618</v>
      </c>
      <c r="P705" s="482" t="s">
        <v>1531</v>
      </c>
      <c r="Q705" s="482" t="s">
        <v>1531</v>
      </c>
      <c r="R705" s="483" t="s">
        <v>1413</v>
      </c>
      <c r="S705" s="484">
        <v>35</v>
      </c>
      <c r="T705" s="484" t="s">
        <v>2155</v>
      </c>
      <c r="U705" s="473" t="s">
        <v>1531</v>
      </c>
      <c r="V705" s="474" t="s">
        <v>1413</v>
      </c>
      <c r="W705" s="501" t="s">
        <v>1531</v>
      </c>
      <c r="X705" s="502" t="s">
        <v>1413</v>
      </c>
      <c r="Y705" s="492" t="s">
        <v>1531</v>
      </c>
      <c r="Z705" s="493" t="s">
        <v>1413</v>
      </c>
      <c r="AA705" s="394">
        <v>1E-3</v>
      </c>
      <c r="AB705" s="395" t="s">
        <v>1668</v>
      </c>
      <c r="AC705" s="369"/>
    </row>
    <row r="706" spans="1:29" ht="20.100000000000001" customHeight="1">
      <c r="A706" s="390" t="s">
        <v>1338</v>
      </c>
      <c r="B706" s="391" t="s">
        <v>265</v>
      </c>
      <c r="C706" s="400">
        <f>COUNTIF('Chem Props'!$B$6:$B$851,'Parameters Summary'!A706)</f>
        <v>1</v>
      </c>
      <c r="D706" s="400">
        <f>COUNTIF('Tox Summary'!$N$3:$N$792, 'Parameters Summary'!A706)</f>
        <v>1</v>
      </c>
      <c r="E706" s="434">
        <v>334.42</v>
      </c>
      <c r="F706" s="435" t="s">
        <v>1620</v>
      </c>
      <c r="G706" s="436">
        <v>3.0910000000000001E-12</v>
      </c>
      <c r="H706" s="436">
        <v>7.5600000000000001E-14</v>
      </c>
      <c r="I706" s="437" t="s">
        <v>1620</v>
      </c>
      <c r="J706" s="436">
        <v>2.93E-9</v>
      </c>
      <c r="K706" s="437" t="s">
        <v>1620</v>
      </c>
      <c r="L706" s="453">
        <v>287</v>
      </c>
      <c r="M706" s="454" t="s">
        <v>1620</v>
      </c>
      <c r="N706" s="455">
        <v>1.36</v>
      </c>
      <c r="O706" s="456" t="s">
        <v>1618</v>
      </c>
      <c r="P706" s="471">
        <v>2.2081699999999999E-2</v>
      </c>
      <c r="Q706" s="471">
        <v>5.5824000000000001E-6</v>
      </c>
      <c r="R706" s="472" t="s">
        <v>2435</v>
      </c>
      <c r="S706" s="473" t="s">
        <v>1531</v>
      </c>
      <c r="T706" s="474" t="s">
        <v>1413</v>
      </c>
      <c r="U706" s="484">
        <v>5403</v>
      </c>
      <c r="V706" s="484" t="s">
        <v>553</v>
      </c>
      <c r="W706" s="495">
        <v>1.93</v>
      </c>
      <c r="X706" s="496" t="s">
        <v>1620</v>
      </c>
      <c r="Y706" s="486">
        <v>160</v>
      </c>
      <c r="Z706" s="487" t="s">
        <v>1620</v>
      </c>
      <c r="AA706" s="394">
        <v>3.9899999999999999E-4</v>
      </c>
      <c r="AB706" s="395" t="s">
        <v>553</v>
      </c>
      <c r="AC706" s="369"/>
    </row>
    <row r="707" spans="1:29" ht="20.100000000000001" customHeight="1" thickBot="1">
      <c r="A707" s="392" t="s">
        <v>396</v>
      </c>
      <c r="B707" s="393" t="s">
        <v>266</v>
      </c>
      <c r="C707" s="400">
        <f>COUNTIF('Chem Props'!$B$6:$B$851,'Parameters Summary'!A707)</f>
        <v>1</v>
      </c>
      <c r="D707" s="400">
        <f>COUNTIF('Tox Summary'!$N$3:$N$792, 'Parameters Summary'!A707)</f>
        <v>1</v>
      </c>
      <c r="E707" s="438">
        <v>104.15</v>
      </c>
      <c r="F707" s="439" t="s">
        <v>1620</v>
      </c>
      <c r="G707" s="440">
        <v>0.1124285</v>
      </c>
      <c r="H707" s="440">
        <v>2.7499999999999998E-3</v>
      </c>
      <c r="I707" s="441" t="s">
        <v>1620</v>
      </c>
      <c r="J707" s="440">
        <v>6.4</v>
      </c>
      <c r="K707" s="441" t="s">
        <v>1620</v>
      </c>
      <c r="L707" s="457">
        <v>-31</v>
      </c>
      <c r="M707" s="458" t="s">
        <v>1620</v>
      </c>
      <c r="N707" s="459">
        <v>0.90159999999999996</v>
      </c>
      <c r="O707" s="460" t="s">
        <v>1618</v>
      </c>
      <c r="P707" s="475">
        <v>7.1113999999999997E-2</v>
      </c>
      <c r="Q707" s="475">
        <v>8.7838000000000005E-6</v>
      </c>
      <c r="R707" s="476" t="s">
        <v>2435</v>
      </c>
      <c r="S707" s="477" t="s">
        <v>1531</v>
      </c>
      <c r="T707" s="478" t="s">
        <v>1413</v>
      </c>
      <c r="U707" s="481">
        <v>446.1</v>
      </c>
      <c r="V707" s="481" t="s">
        <v>553</v>
      </c>
      <c r="W707" s="497">
        <v>2.95</v>
      </c>
      <c r="X707" s="498" t="s">
        <v>1620</v>
      </c>
      <c r="Y707" s="488">
        <v>310</v>
      </c>
      <c r="Z707" s="489" t="s">
        <v>1620</v>
      </c>
      <c r="AA707" s="396">
        <v>3.7199999999999997E-2</v>
      </c>
      <c r="AB707" s="397" t="s">
        <v>553</v>
      </c>
      <c r="AC707" s="369"/>
    </row>
    <row r="708" spans="1:29" ht="20.100000000000001" customHeight="1">
      <c r="A708" s="390" t="s">
        <v>2129</v>
      </c>
      <c r="B708" s="391" t="s">
        <v>1413</v>
      </c>
      <c r="C708" s="400">
        <f>COUNTIF('Chem Props'!$B$6:$B$851,'Parameters Summary'!A708)</f>
        <v>0</v>
      </c>
      <c r="D708" s="400">
        <f>COUNTIF('Tox Summary'!$N$3:$N$792, 'Parameters Summary'!A708)</f>
        <v>1</v>
      </c>
      <c r="E708" s="434">
        <v>210</v>
      </c>
      <c r="F708" s="435" t="s">
        <v>2037</v>
      </c>
      <c r="G708" s="444" t="s">
        <v>1531</v>
      </c>
      <c r="H708" s="444" t="s">
        <v>1531</v>
      </c>
      <c r="I708" s="445" t="s">
        <v>1413</v>
      </c>
      <c r="J708" s="444" t="s">
        <v>1531</v>
      </c>
      <c r="K708" s="445" t="s">
        <v>1413</v>
      </c>
      <c r="L708" s="465" t="s">
        <v>1531</v>
      </c>
      <c r="M708" s="466" t="s">
        <v>1413</v>
      </c>
      <c r="N708" s="455">
        <v>1.103</v>
      </c>
      <c r="O708" s="456" t="s">
        <v>2037</v>
      </c>
      <c r="P708" s="471">
        <v>2.55131E-2</v>
      </c>
      <c r="Q708" s="471">
        <v>6.5085999999999998E-6</v>
      </c>
      <c r="R708" s="472" t="s">
        <v>2435</v>
      </c>
      <c r="S708" s="473" t="s">
        <v>1531</v>
      </c>
      <c r="T708" s="474" t="s">
        <v>1413</v>
      </c>
      <c r="U708" s="473" t="s">
        <v>1531</v>
      </c>
      <c r="V708" s="474" t="s">
        <v>1413</v>
      </c>
      <c r="W708" s="495">
        <v>3.1</v>
      </c>
      <c r="X708" s="496" t="s">
        <v>2472</v>
      </c>
      <c r="Y708" s="486">
        <v>84.9</v>
      </c>
      <c r="Z708" s="487" t="s">
        <v>2037</v>
      </c>
      <c r="AA708" s="394">
        <v>1.1931000000000001E-2</v>
      </c>
      <c r="AB708" s="395" t="s">
        <v>1668</v>
      </c>
      <c r="AC708" s="369"/>
    </row>
    <row r="709" spans="1:29" ht="20.100000000000001" customHeight="1">
      <c r="A709" s="390" t="s">
        <v>1834</v>
      </c>
      <c r="B709" s="391" t="s">
        <v>1835</v>
      </c>
      <c r="C709" s="400">
        <f>COUNTIF('Chem Props'!$B$6:$B$851,'Parameters Summary'!A709)</f>
        <v>1</v>
      </c>
      <c r="D709" s="400">
        <f>COUNTIF('Tox Summary'!$N$3:$N$792, 'Parameters Summary'!A709)</f>
        <v>1</v>
      </c>
      <c r="E709" s="434">
        <v>120.17</v>
      </c>
      <c r="F709" s="435" t="s">
        <v>1620</v>
      </c>
      <c r="G709" s="436">
        <v>1.983E-4</v>
      </c>
      <c r="H709" s="436">
        <v>4.8500000000000002E-6</v>
      </c>
      <c r="I709" s="437" t="s">
        <v>1620</v>
      </c>
      <c r="J709" s="436">
        <v>4.0899999999999999E-3</v>
      </c>
      <c r="K709" s="437" t="s">
        <v>553</v>
      </c>
      <c r="L709" s="453">
        <v>27.6</v>
      </c>
      <c r="M709" s="454" t="s">
        <v>1620</v>
      </c>
      <c r="N709" s="455">
        <v>1.2723</v>
      </c>
      <c r="O709" s="456" t="s">
        <v>1618</v>
      </c>
      <c r="P709" s="471">
        <v>7.1599800000000005E-2</v>
      </c>
      <c r="Q709" s="471">
        <v>9.9117000000000003E-6</v>
      </c>
      <c r="R709" s="472" t="s">
        <v>2435</v>
      </c>
      <c r="S709" s="473" t="s">
        <v>1531</v>
      </c>
      <c r="T709" s="474" t="s">
        <v>1413</v>
      </c>
      <c r="U709" s="484">
        <v>9.0790000000000006</v>
      </c>
      <c r="V709" s="484" t="s">
        <v>553</v>
      </c>
      <c r="W709" s="495">
        <v>-0.77</v>
      </c>
      <c r="X709" s="496" t="s">
        <v>1620</v>
      </c>
      <c r="Y709" s="486">
        <v>1000000</v>
      </c>
      <c r="Z709" s="487" t="s">
        <v>1620</v>
      </c>
      <c r="AA709" s="394">
        <v>1.02E-4</v>
      </c>
      <c r="AB709" s="395" t="s">
        <v>553</v>
      </c>
      <c r="AC709" s="369"/>
    </row>
    <row r="710" spans="1:29" ht="20.100000000000001" customHeight="1" thickBot="1">
      <c r="A710" s="392" t="s">
        <v>542</v>
      </c>
      <c r="B710" s="393" t="s">
        <v>267</v>
      </c>
      <c r="C710" s="400">
        <f>COUNTIF('Chem Props'!$B$6:$B$851,'Parameters Summary'!A710)</f>
        <v>1</v>
      </c>
      <c r="D710" s="400">
        <f>COUNTIF('Tox Summary'!$N$3:$N$792, 'Parameters Summary'!A710)</f>
        <v>1</v>
      </c>
      <c r="E710" s="438">
        <v>287.17</v>
      </c>
      <c r="F710" s="439" t="s">
        <v>1620</v>
      </c>
      <c r="G710" s="440">
        <v>5.6010000000000002E-6</v>
      </c>
      <c r="H710" s="440">
        <v>1.37E-7</v>
      </c>
      <c r="I710" s="441" t="s">
        <v>1620</v>
      </c>
      <c r="J710" s="440">
        <v>8.09E-7</v>
      </c>
      <c r="K710" s="441" t="s">
        <v>1620</v>
      </c>
      <c r="L710" s="457">
        <v>147.9</v>
      </c>
      <c r="M710" s="458" t="s">
        <v>1620</v>
      </c>
      <c r="N710" s="463" t="s">
        <v>1531</v>
      </c>
      <c r="O710" s="464" t="s">
        <v>1413</v>
      </c>
      <c r="P710" s="475">
        <v>4.3651000000000002E-2</v>
      </c>
      <c r="Q710" s="475">
        <v>5.1003000000000001E-6</v>
      </c>
      <c r="R710" s="476" t="s">
        <v>2435</v>
      </c>
      <c r="S710" s="477" t="s">
        <v>1531</v>
      </c>
      <c r="T710" s="478" t="s">
        <v>1413</v>
      </c>
      <c r="U710" s="481">
        <v>2855</v>
      </c>
      <c r="V710" s="481" t="s">
        <v>553</v>
      </c>
      <c r="W710" s="497">
        <v>3.9</v>
      </c>
      <c r="X710" s="498" t="s">
        <v>1620</v>
      </c>
      <c r="Y710" s="488">
        <v>2.391</v>
      </c>
      <c r="Z710" s="489" t="s">
        <v>1620</v>
      </c>
      <c r="AA710" s="396">
        <v>1.49E-2</v>
      </c>
      <c r="AB710" s="397" t="s">
        <v>553</v>
      </c>
      <c r="AC710" s="369"/>
    </row>
    <row r="711" spans="1:29" ht="20.100000000000001" customHeight="1">
      <c r="A711" s="390" t="s">
        <v>2130</v>
      </c>
      <c r="B711" s="391" t="s">
        <v>2271</v>
      </c>
      <c r="C711" s="400">
        <f>COUNTIF('Chem Props'!$B$6:$B$851,'Parameters Summary'!A711)</f>
        <v>1</v>
      </c>
      <c r="D711" s="400">
        <f>COUNTIF('Tox Summary'!$N$3:$N$792, 'Parameters Summary'!A711)</f>
        <v>1</v>
      </c>
      <c r="E711" s="434">
        <v>80.061999999999998</v>
      </c>
      <c r="F711" s="435" t="s">
        <v>1620</v>
      </c>
      <c r="G711" s="444" t="s">
        <v>1531</v>
      </c>
      <c r="H711" s="444" t="s">
        <v>1531</v>
      </c>
      <c r="I711" s="445" t="s">
        <v>1413</v>
      </c>
      <c r="J711" s="436">
        <v>263.10000000000002</v>
      </c>
      <c r="K711" s="437" t="s">
        <v>1620</v>
      </c>
      <c r="L711" s="453">
        <v>16.8</v>
      </c>
      <c r="M711" s="454" t="s">
        <v>1620</v>
      </c>
      <c r="N711" s="455">
        <v>1.9</v>
      </c>
      <c r="O711" s="456" t="s">
        <v>1618</v>
      </c>
      <c r="P711" s="471">
        <v>0.12078220000000001</v>
      </c>
      <c r="Q711" s="471">
        <v>1.6099999999999998E-5</v>
      </c>
      <c r="R711" s="472" t="s">
        <v>2435</v>
      </c>
      <c r="S711" s="473" t="s">
        <v>1531</v>
      </c>
      <c r="T711" s="474" t="s">
        <v>1413</v>
      </c>
      <c r="U711" s="473" t="s">
        <v>1531</v>
      </c>
      <c r="V711" s="474" t="s">
        <v>1413</v>
      </c>
      <c r="W711" s="501" t="s">
        <v>1531</v>
      </c>
      <c r="X711" s="502" t="s">
        <v>1413</v>
      </c>
      <c r="Y711" s="492" t="s">
        <v>1531</v>
      </c>
      <c r="Z711" s="493" t="s">
        <v>1413</v>
      </c>
      <c r="AA711" s="394">
        <v>1E-3</v>
      </c>
      <c r="AB711" s="395" t="s">
        <v>1668</v>
      </c>
      <c r="AC711" s="369"/>
    </row>
    <row r="712" spans="1:29" ht="20.100000000000001" customHeight="1">
      <c r="A712" s="390" t="s">
        <v>618</v>
      </c>
      <c r="B712" s="391" t="s">
        <v>268</v>
      </c>
      <c r="C712" s="400">
        <f>COUNTIF('Chem Props'!$B$6:$B$851,'Parameters Summary'!A712)</f>
        <v>1</v>
      </c>
      <c r="D712" s="400">
        <f>COUNTIF('Tox Summary'!$N$3:$N$792, 'Parameters Summary'!A712)</f>
        <v>1</v>
      </c>
      <c r="E712" s="434">
        <v>98.078000000000003</v>
      </c>
      <c r="F712" s="435" t="s">
        <v>1620</v>
      </c>
      <c r="G712" s="444" t="s">
        <v>1531</v>
      </c>
      <c r="H712" s="444" t="s">
        <v>1531</v>
      </c>
      <c r="I712" s="445" t="s">
        <v>1413</v>
      </c>
      <c r="J712" s="436">
        <v>5.9299999999999998E-5</v>
      </c>
      <c r="K712" s="437" t="s">
        <v>1620</v>
      </c>
      <c r="L712" s="453">
        <v>10.31</v>
      </c>
      <c r="M712" s="454" t="s">
        <v>1620</v>
      </c>
      <c r="N712" s="455">
        <v>1.8302</v>
      </c>
      <c r="O712" s="456" t="s">
        <v>1618</v>
      </c>
      <c r="P712" s="482" t="s">
        <v>1531</v>
      </c>
      <c r="Q712" s="482" t="s">
        <v>1531</v>
      </c>
      <c r="R712" s="483" t="s">
        <v>1413</v>
      </c>
      <c r="S712" s="473" t="s">
        <v>1531</v>
      </c>
      <c r="T712" s="474" t="s">
        <v>1413</v>
      </c>
      <c r="U712" s="473" t="s">
        <v>1531</v>
      </c>
      <c r="V712" s="474" t="s">
        <v>1413</v>
      </c>
      <c r="W712" s="501" t="s">
        <v>1531</v>
      </c>
      <c r="X712" s="502" t="s">
        <v>1413</v>
      </c>
      <c r="Y712" s="486">
        <v>1000000</v>
      </c>
      <c r="Z712" s="487" t="s">
        <v>1620</v>
      </c>
      <c r="AA712" s="394">
        <v>1E-3</v>
      </c>
      <c r="AB712" s="395" t="s">
        <v>1668</v>
      </c>
      <c r="AC712" s="369"/>
    </row>
    <row r="713" spans="1:29" ht="20.100000000000001" customHeight="1" thickBot="1">
      <c r="A713" s="392" t="s">
        <v>2319</v>
      </c>
      <c r="B713" s="393" t="s">
        <v>669</v>
      </c>
      <c r="C713" s="400">
        <f>COUNTIF('Chem Props'!$B$6:$B$851,'Parameters Summary'!A713)</f>
        <v>1</v>
      </c>
      <c r="D713" s="400">
        <f>COUNTIF('Tox Summary'!$N$3:$N$792, 'Parameters Summary'!A713)</f>
        <v>1</v>
      </c>
      <c r="E713" s="438">
        <v>334.87</v>
      </c>
      <c r="F713" s="439" t="s">
        <v>1620</v>
      </c>
      <c r="G713" s="440">
        <v>7.7678000000000004E-6</v>
      </c>
      <c r="H713" s="440">
        <v>1.9000000000000001E-7</v>
      </c>
      <c r="I713" s="441" t="s">
        <v>1620</v>
      </c>
      <c r="J713" s="440">
        <v>2.1799999999999999E-7</v>
      </c>
      <c r="K713" s="441" t="s">
        <v>1620</v>
      </c>
      <c r="L713" s="457">
        <v>-31.7</v>
      </c>
      <c r="M713" s="458" t="s">
        <v>1620</v>
      </c>
      <c r="N713" s="459">
        <v>1.143</v>
      </c>
      <c r="O713" s="460" t="s">
        <v>1618</v>
      </c>
      <c r="P713" s="475">
        <v>2.0289700000000001E-2</v>
      </c>
      <c r="Q713" s="475">
        <v>5.0254000000000002E-6</v>
      </c>
      <c r="R713" s="476" t="s">
        <v>2435</v>
      </c>
      <c r="S713" s="477" t="s">
        <v>1531</v>
      </c>
      <c r="T713" s="478" t="s">
        <v>1413</v>
      </c>
      <c r="U713" s="481">
        <v>5550</v>
      </c>
      <c r="V713" s="481" t="s">
        <v>553</v>
      </c>
      <c r="W713" s="497">
        <v>4.82</v>
      </c>
      <c r="X713" s="498" t="s">
        <v>1620</v>
      </c>
      <c r="Y713" s="488">
        <v>0.59019999999999995</v>
      </c>
      <c r="Z713" s="489" t="s">
        <v>1620</v>
      </c>
      <c r="AA713" s="396">
        <v>3.2800000000000003E-2</v>
      </c>
      <c r="AB713" s="397" t="s">
        <v>553</v>
      </c>
      <c r="AC713" s="369"/>
    </row>
    <row r="714" spans="1:29" ht="20.100000000000001" customHeight="1">
      <c r="A714" s="390" t="s">
        <v>1339</v>
      </c>
      <c r="B714" s="391" t="s">
        <v>270</v>
      </c>
      <c r="C714" s="400">
        <f>COUNTIF('Chem Props'!$B$6:$B$851,'Parameters Summary'!A714)</f>
        <v>1</v>
      </c>
      <c r="D714" s="400">
        <f>COUNTIF('Tox Summary'!$N$3:$N$792, 'Parameters Summary'!A714)</f>
        <v>1</v>
      </c>
      <c r="E714" s="434">
        <v>238.35</v>
      </c>
      <c r="F714" s="435" t="s">
        <v>1620</v>
      </c>
      <c r="G714" s="436">
        <v>2.653E-10</v>
      </c>
      <c r="H714" s="436">
        <v>6.49E-12</v>
      </c>
      <c r="I714" s="437" t="s">
        <v>1620</v>
      </c>
      <c r="J714" s="436">
        <v>3.1199999999999999E-7</v>
      </c>
      <c r="K714" s="437" t="s">
        <v>1620</v>
      </c>
      <c r="L714" s="453">
        <v>153.22</v>
      </c>
      <c r="M714" s="454" t="s">
        <v>553</v>
      </c>
      <c r="N714" s="461" t="s">
        <v>1531</v>
      </c>
      <c r="O714" s="462" t="s">
        <v>1413</v>
      </c>
      <c r="P714" s="471">
        <v>4.9424599999999999E-2</v>
      </c>
      <c r="Q714" s="471">
        <v>5.7749000000000004E-6</v>
      </c>
      <c r="R714" s="472" t="s">
        <v>2435</v>
      </c>
      <c r="S714" s="473" t="s">
        <v>1531</v>
      </c>
      <c r="T714" s="474" t="s">
        <v>1413</v>
      </c>
      <c r="U714" s="484">
        <v>3374</v>
      </c>
      <c r="V714" s="484" t="s">
        <v>553</v>
      </c>
      <c r="W714" s="495">
        <v>3.3</v>
      </c>
      <c r="X714" s="496" t="s">
        <v>1620</v>
      </c>
      <c r="Y714" s="486">
        <v>125</v>
      </c>
      <c r="Z714" s="487" t="s">
        <v>1620</v>
      </c>
      <c r="AA714" s="394">
        <v>1.12E-2</v>
      </c>
      <c r="AB714" s="395" t="s">
        <v>553</v>
      </c>
      <c r="AC714" s="369"/>
    </row>
    <row r="715" spans="1:29" ht="20.100000000000001" customHeight="1">
      <c r="A715" s="390" t="s">
        <v>1340</v>
      </c>
      <c r="B715" s="391" t="s">
        <v>271</v>
      </c>
      <c r="C715" s="400">
        <f>COUNTIF('Chem Props'!$B$6:$B$851,'Parameters Summary'!A715)</f>
        <v>1</v>
      </c>
      <c r="D715" s="400">
        <f>COUNTIF('Tox Summary'!$N$3:$N$792, 'Parameters Summary'!A715)</f>
        <v>1</v>
      </c>
      <c r="E715" s="434">
        <v>228.32</v>
      </c>
      <c r="F715" s="435" t="s">
        <v>1620</v>
      </c>
      <c r="G715" s="436">
        <v>4.9060000000000002E-9</v>
      </c>
      <c r="H715" s="436">
        <v>1.2E-10</v>
      </c>
      <c r="I715" s="437" t="s">
        <v>1620</v>
      </c>
      <c r="J715" s="436">
        <v>2.9999999999999999E-7</v>
      </c>
      <c r="K715" s="437" t="s">
        <v>1620</v>
      </c>
      <c r="L715" s="453">
        <v>162.85</v>
      </c>
      <c r="M715" s="454" t="s">
        <v>1620</v>
      </c>
      <c r="N715" s="461" t="s">
        <v>1531</v>
      </c>
      <c r="O715" s="462" t="s">
        <v>1413</v>
      </c>
      <c r="P715" s="471">
        <v>5.0861700000000003E-2</v>
      </c>
      <c r="Q715" s="471">
        <v>5.9428000000000001E-6</v>
      </c>
      <c r="R715" s="472" t="s">
        <v>2435</v>
      </c>
      <c r="S715" s="473" t="s">
        <v>1531</v>
      </c>
      <c r="T715" s="474" t="s">
        <v>1413</v>
      </c>
      <c r="U715" s="484">
        <v>42.35</v>
      </c>
      <c r="V715" s="484" t="s">
        <v>553</v>
      </c>
      <c r="W715" s="495">
        <v>1.79</v>
      </c>
      <c r="X715" s="496" t="s">
        <v>1620</v>
      </c>
      <c r="Y715" s="486">
        <v>2500</v>
      </c>
      <c r="Z715" s="487" t="s">
        <v>1620</v>
      </c>
      <c r="AA715" s="394">
        <v>1.2700000000000001E-3</v>
      </c>
      <c r="AB715" s="395" t="s">
        <v>553</v>
      </c>
      <c r="AC715" s="369"/>
    </row>
    <row r="716" spans="1:29" ht="20.100000000000001" customHeight="1" thickBot="1">
      <c r="A716" s="392" t="s">
        <v>1341</v>
      </c>
      <c r="B716" s="393" t="s">
        <v>272</v>
      </c>
      <c r="C716" s="400">
        <f>COUNTIF('Chem Props'!$B$6:$B$851,'Parameters Summary'!A716)</f>
        <v>1</v>
      </c>
      <c r="D716" s="400">
        <f>COUNTIF('Tox Summary'!$N$3:$N$792, 'Parameters Summary'!A716)</f>
        <v>1</v>
      </c>
      <c r="E716" s="438">
        <v>466.47</v>
      </c>
      <c r="F716" s="439" t="s">
        <v>1620</v>
      </c>
      <c r="G716" s="440">
        <v>8.0131000000000005E-8</v>
      </c>
      <c r="H716" s="440">
        <v>1.9599999999999998E-9</v>
      </c>
      <c r="I716" s="441" t="s">
        <v>1620</v>
      </c>
      <c r="J716" s="440">
        <v>7.91E-8</v>
      </c>
      <c r="K716" s="441" t="s">
        <v>1620</v>
      </c>
      <c r="L716" s="457">
        <v>30</v>
      </c>
      <c r="M716" s="458" t="s">
        <v>1620</v>
      </c>
      <c r="N716" s="459">
        <v>1.32</v>
      </c>
      <c r="O716" s="460" t="s">
        <v>1618</v>
      </c>
      <c r="P716" s="475">
        <v>1.8294299999999999E-2</v>
      </c>
      <c r="Q716" s="475">
        <v>4.4908000000000003E-6</v>
      </c>
      <c r="R716" s="476" t="s">
        <v>2435</v>
      </c>
      <c r="S716" s="477" t="s">
        <v>1531</v>
      </c>
      <c r="T716" s="478" t="s">
        <v>1413</v>
      </c>
      <c r="U716" s="481">
        <v>95060</v>
      </c>
      <c r="V716" s="481" t="s">
        <v>553</v>
      </c>
      <c r="W716" s="497">
        <v>5.96</v>
      </c>
      <c r="X716" s="498" t="s">
        <v>1620</v>
      </c>
      <c r="Y716" s="488">
        <v>0.27</v>
      </c>
      <c r="Z716" s="489" t="s">
        <v>1620</v>
      </c>
      <c r="AA716" s="396">
        <v>3.4500000000000003E-2</v>
      </c>
      <c r="AB716" s="397" t="s">
        <v>553</v>
      </c>
      <c r="AC716" s="369"/>
    </row>
    <row r="717" spans="1:29" ht="20.100000000000001" customHeight="1">
      <c r="A717" s="390" t="s">
        <v>1342</v>
      </c>
      <c r="B717" s="391" t="s">
        <v>273</v>
      </c>
      <c r="C717" s="400">
        <f>COUNTIF('Chem Props'!$B$6:$B$851,'Parameters Summary'!A717)</f>
        <v>1</v>
      </c>
      <c r="D717" s="400">
        <f>COUNTIF('Tox Summary'!$N$3:$N$792, 'Parameters Summary'!A717)</f>
        <v>1</v>
      </c>
      <c r="E717" s="434">
        <v>216.67</v>
      </c>
      <c r="F717" s="435" t="s">
        <v>1620</v>
      </c>
      <c r="G717" s="436">
        <v>4.9060000000000002E-9</v>
      </c>
      <c r="H717" s="436">
        <v>1.2E-10</v>
      </c>
      <c r="I717" s="437" t="s">
        <v>553</v>
      </c>
      <c r="J717" s="436">
        <v>4.7E-7</v>
      </c>
      <c r="K717" s="437" t="s">
        <v>1620</v>
      </c>
      <c r="L717" s="453">
        <v>176</v>
      </c>
      <c r="M717" s="454" t="s">
        <v>1620</v>
      </c>
      <c r="N717" s="455">
        <v>1.34</v>
      </c>
      <c r="O717" s="456" t="s">
        <v>1618</v>
      </c>
      <c r="P717" s="471">
        <v>2.7467700000000001E-2</v>
      </c>
      <c r="Q717" s="471">
        <v>7.1789E-6</v>
      </c>
      <c r="R717" s="472" t="s">
        <v>2435</v>
      </c>
      <c r="S717" s="473" t="s">
        <v>1531</v>
      </c>
      <c r="T717" s="474" t="s">
        <v>1413</v>
      </c>
      <c r="U717" s="484">
        <v>50.1</v>
      </c>
      <c r="V717" s="484" t="s">
        <v>553</v>
      </c>
      <c r="W717" s="495">
        <v>1.89</v>
      </c>
      <c r="X717" s="496" t="s">
        <v>1620</v>
      </c>
      <c r="Y717" s="486">
        <v>710</v>
      </c>
      <c r="Z717" s="487" t="s">
        <v>1620</v>
      </c>
      <c r="AA717" s="394">
        <v>1.72E-3</v>
      </c>
      <c r="AB717" s="395" t="s">
        <v>553</v>
      </c>
      <c r="AC717" s="369"/>
    </row>
    <row r="718" spans="1:29" ht="20.100000000000001" customHeight="1">
      <c r="A718" s="390" t="s">
        <v>1343</v>
      </c>
      <c r="B718" s="391" t="s">
        <v>274</v>
      </c>
      <c r="C718" s="400">
        <f>COUNTIF('Chem Props'!$B$6:$B$851,'Parameters Summary'!A718)</f>
        <v>1</v>
      </c>
      <c r="D718" s="400">
        <f>COUNTIF('Tox Summary'!$N$3:$N$792, 'Parameters Summary'!A718)</f>
        <v>1</v>
      </c>
      <c r="E718" s="434">
        <v>288.43</v>
      </c>
      <c r="F718" s="435" t="s">
        <v>1620</v>
      </c>
      <c r="G718" s="436">
        <v>9.812E-4</v>
      </c>
      <c r="H718" s="436">
        <v>2.4000000000000001E-5</v>
      </c>
      <c r="I718" s="437" t="s">
        <v>553</v>
      </c>
      <c r="J718" s="436">
        <v>3.2000000000000003E-4</v>
      </c>
      <c r="K718" s="437" t="s">
        <v>1620</v>
      </c>
      <c r="L718" s="453">
        <v>-29.2</v>
      </c>
      <c r="M718" s="454" t="s">
        <v>1620</v>
      </c>
      <c r="N718" s="455">
        <v>1.105</v>
      </c>
      <c r="O718" s="456" t="s">
        <v>1618</v>
      </c>
      <c r="P718" s="471">
        <v>2.15955E-2</v>
      </c>
      <c r="Q718" s="471">
        <v>5.3859999999999998E-6</v>
      </c>
      <c r="R718" s="472" t="s">
        <v>2435</v>
      </c>
      <c r="S718" s="473" t="s">
        <v>1531</v>
      </c>
      <c r="T718" s="474" t="s">
        <v>1413</v>
      </c>
      <c r="U718" s="484">
        <v>998.9</v>
      </c>
      <c r="V718" s="484" t="s">
        <v>553</v>
      </c>
      <c r="W718" s="495">
        <v>4.4800000000000004</v>
      </c>
      <c r="X718" s="496" t="s">
        <v>1620</v>
      </c>
      <c r="Y718" s="486">
        <v>5.07</v>
      </c>
      <c r="Z718" s="487" t="s">
        <v>1620</v>
      </c>
      <c r="AA718" s="394">
        <v>3.5799999999999998E-2</v>
      </c>
      <c r="AB718" s="395" t="s">
        <v>553</v>
      </c>
      <c r="AC718" s="369"/>
    </row>
    <row r="719" spans="1:29" ht="20.100000000000001" customHeight="1" thickBot="1">
      <c r="A719" s="392" t="s">
        <v>1344</v>
      </c>
      <c r="B719" s="393" t="s">
        <v>275</v>
      </c>
      <c r="C719" s="400">
        <f>COUNTIF('Chem Props'!$B$6:$B$851,'Parameters Summary'!A719)</f>
        <v>1</v>
      </c>
      <c r="D719" s="400">
        <f>COUNTIF('Tox Summary'!$N$3:$N$792, 'Parameters Summary'!A719)</f>
        <v>1</v>
      </c>
      <c r="E719" s="438">
        <v>241.36</v>
      </c>
      <c r="F719" s="439" t="s">
        <v>1620</v>
      </c>
      <c r="G719" s="440">
        <v>8.7899000000000001E-7</v>
      </c>
      <c r="H719" s="440">
        <v>2.1500000000000001E-8</v>
      </c>
      <c r="I719" s="441" t="s">
        <v>553</v>
      </c>
      <c r="J719" s="440">
        <v>1.6899999999999999E-6</v>
      </c>
      <c r="K719" s="441" t="s">
        <v>1620</v>
      </c>
      <c r="L719" s="457">
        <v>104</v>
      </c>
      <c r="M719" s="458" t="s">
        <v>1620</v>
      </c>
      <c r="N719" s="459">
        <v>1.115</v>
      </c>
      <c r="O719" s="460" t="s">
        <v>1618</v>
      </c>
      <c r="P719" s="475">
        <v>2.3826199999999999E-2</v>
      </c>
      <c r="Q719" s="475">
        <v>6.0260999999999998E-6</v>
      </c>
      <c r="R719" s="476" t="s">
        <v>2435</v>
      </c>
      <c r="S719" s="477" t="s">
        <v>1531</v>
      </c>
      <c r="T719" s="478" t="s">
        <v>1413</v>
      </c>
      <c r="U719" s="481">
        <v>607</v>
      </c>
      <c r="V719" s="481" t="s">
        <v>553</v>
      </c>
      <c r="W719" s="497">
        <v>3.74</v>
      </c>
      <c r="X719" s="498" t="s">
        <v>1620</v>
      </c>
      <c r="Y719" s="488">
        <v>25</v>
      </c>
      <c r="Z719" s="489" t="s">
        <v>1620</v>
      </c>
      <c r="AA719" s="396">
        <v>2.12E-2</v>
      </c>
      <c r="AB719" s="397" t="s">
        <v>553</v>
      </c>
      <c r="AC719" s="369"/>
    </row>
    <row r="720" spans="1:29" ht="20.100000000000001" customHeight="1">
      <c r="A720" s="390" t="s">
        <v>549</v>
      </c>
      <c r="B720" s="391" t="s">
        <v>276</v>
      </c>
      <c r="C720" s="400">
        <f>COUNTIF('Chem Props'!$B$6:$B$851,'Parameters Summary'!A720)</f>
        <v>1</v>
      </c>
      <c r="D720" s="400">
        <f>COUNTIF('Tox Summary'!$N$3:$N$792, 'Parameters Summary'!A720)</f>
        <v>1</v>
      </c>
      <c r="E720" s="434">
        <v>485.8</v>
      </c>
      <c r="F720" s="435" t="s">
        <v>1620</v>
      </c>
      <c r="G720" s="436">
        <v>1.214E-4</v>
      </c>
      <c r="H720" s="436">
        <v>2.9699999999999999E-6</v>
      </c>
      <c r="I720" s="437" t="s">
        <v>1620</v>
      </c>
      <c r="J720" s="436">
        <v>7.0000000000000005E-8</v>
      </c>
      <c r="K720" s="437" t="s">
        <v>553</v>
      </c>
      <c r="L720" s="453">
        <v>161.72999999999999</v>
      </c>
      <c r="M720" s="454" t="s">
        <v>553</v>
      </c>
      <c r="N720" s="461" t="s">
        <v>1531</v>
      </c>
      <c r="O720" s="462" t="s">
        <v>1413</v>
      </c>
      <c r="P720" s="471">
        <v>3.0745499999999999E-2</v>
      </c>
      <c r="Q720" s="471">
        <v>3.5924000000000001E-6</v>
      </c>
      <c r="R720" s="472" t="s">
        <v>2435</v>
      </c>
      <c r="S720" s="473" t="s">
        <v>1531</v>
      </c>
      <c r="T720" s="474" t="s">
        <v>1413</v>
      </c>
      <c r="U720" s="484">
        <v>13230</v>
      </c>
      <c r="V720" s="484" t="s">
        <v>553</v>
      </c>
      <c r="W720" s="495">
        <v>6.77</v>
      </c>
      <c r="X720" s="496" t="s">
        <v>1620</v>
      </c>
      <c r="Y720" s="486">
        <v>1.4610000000000001E-3</v>
      </c>
      <c r="Z720" s="487" t="s">
        <v>1620</v>
      </c>
      <c r="AA720" s="394">
        <v>9.2899999999999996E-2</v>
      </c>
      <c r="AB720" s="395" t="s">
        <v>553</v>
      </c>
      <c r="AC720" s="369"/>
    </row>
    <row r="721" spans="1:29" ht="20.100000000000001" customHeight="1">
      <c r="A721" s="390" t="s">
        <v>1345</v>
      </c>
      <c r="B721" s="391" t="s">
        <v>277</v>
      </c>
      <c r="C721" s="400">
        <f>COUNTIF('Chem Props'!$B$6:$B$851,'Parameters Summary'!A721)</f>
        <v>1</v>
      </c>
      <c r="D721" s="400">
        <f>COUNTIF('Tox Summary'!$N$3:$N$792, 'Parameters Summary'!A721)</f>
        <v>1</v>
      </c>
      <c r="E721" s="434">
        <v>215.89</v>
      </c>
      <c r="F721" s="435" t="s">
        <v>1620</v>
      </c>
      <c r="G721" s="436">
        <v>4.0883099999999999E-2</v>
      </c>
      <c r="H721" s="436">
        <v>1E-3</v>
      </c>
      <c r="I721" s="437" t="s">
        <v>1620</v>
      </c>
      <c r="J721" s="436">
        <v>5.4000000000000003E-3</v>
      </c>
      <c r="K721" s="437" t="s">
        <v>553</v>
      </c>
      <c r="L721" s="453">
        <v>139.5</v>
      </c>
      <c r="M721" s="454" t="s">
        <v>1620</v>
      </c>
      <c r="N721" s="455">
        <v>1.8580000000000001</v>
      </c>
      <c r="O721" s="456" t="s">
        <v>1618</v>
      </c>
      <c r="P721" s="471">
        <v>3.1895800000000002E-2</v>
      </c>
      <c r="Q721" s="471">
        <v>8.7530999999999993E-6</v>
      </c>
      <c r="R721" s="472" t="s">
        <v>2435</v>
      </c>
      <c r="S721" s="473" t="s">
        <v>1531</v>
      </c>
      <c r="T721" s="474" t="s">
        <v>1413</v>
      </c>
      <c r="U721" s="484">
        <v>2220</v>
      </c>
      <c r="V721" s="484" t="s">
        <v>553</v>
      </c>
      <c r="W721" s="495">
        <v>4.6399999999999997</v>
      </c>
      <c r="X721" s="496" t="s">
        <v>1620</v>
      </c>
      <c r="Y721" s="486">
        <v>0.59499999999999997</v>
      </c>
      <c r="Z721" s="487" t="s">
        <v>1620</v>
      </c>
      <c r="AA721" s="394">
        <v>0.11700000000000001</v>
      </c>
      <c r="AB721" s="395" t="s">
        <v>553</v>
      </c>
      <c r="AC721" s="369"/>
    </row>
    <row r="722" spans="1:29" ht="20.100000000000001" customHeight="1" thickBot="1">
      <c r="A722" s="392" t="s">
        <v>441</v>
      </c>
      <c r="B722" s="393" t="s">
        <v>278</v>
      </c>
      <c r="C722" s="400">
        <f>COUNTIF('Chem Props'!$B$6:$B$851,'Parameters Summary'!A722)</f>
        <v>1</v>
      </c>
      <c r="D722" s="400">
        <f>COUNTIF('Tox Summary'!$N$3:$N$792, 'Parameters Summary'!A722)</f>
        <v>1</v>
      </c>
      <c r="E722" s="438">
        <v>167.85</v>
      </c>
      <c r="F722" s="439" t="s">
        <v>1620</v>
      </c>
      <c r="G722" s="440">
        <v>0.1022077</v>
      </c>
      <c r="H722" s="440">
        <v>2.5000000000000001E-3</v>
      </c>
      <c r="I722" s="441" t="s">
        <v>1620</v>
      </c>
      <c r="J722" s="440">
        <v>12</v>
      </c>
      <c r="K722" s="441" t="s">
        <v>1620</v>
      </c>
      <c r="L722" s="457">
        <v>-70.2</v>
      </c>
      <c r="M722" s="458" t="s">
        <v>1620</v>
      </c>
      <c r="N722" s="459">
        <v>1.5406</v>
      </c>
      <c r="O722" s="460" t="s">
        <v>1618</v>
      </c>
      <c r="P722" s="475">
        <v>4.8176099999999999E-2</v>
      </c>
      <c r="Q722" s="475">
        <v>9.0976999999999993E-6</v>
      </c>
      <c r="R722" s="476" t="s">
        <v>2435</v>
      </c>
      <c r="S722" s="477" t="s">
        <v>1531</v>
      </c>
      <c r="T722" s="478" t="s">
        <v>1413</v>
      </c>
      <c r="U722" s="481">
        <v>86.03</v>
      </c>
      <c r="V722" s="481" t="s">
        <v>553</v>
      </c>
      <c r="W722" s="497">
        <v>2.93</v>
      </c>
      <c r="X722" s="498" t="s">
        <v>1620</v>
      </c>
      <c r="Y722" s="488">
        <v>1070</v>
      </c>
      <c r="Z722" s="489" t="s">
        <v>1620</v>
      </c>
      <c r="AA722" s="396">
        <v>1.5900000000000001E-2</v>
      </c>
      <c r="AB722" s="397" t="s">
        <v>553</v>
      </c>
      <c r="AC722" s="369"/>
    </row>
    <row r="723" spans="1:29" ht="20.100000000000001" customHeight="1">
      <c r="A723" s="390" t="s">
        <v>443</v>
      </c>
      <c r="B723" s="391" t="s">
        <v>279</v>
      </c>
      <c r="C723" s="400">
        <f>COUNTIF('Chem Props'!$B$6:$B$851,'Parameters Summary'!A723)</f>
        <v>1</v>
      </c>
      <c r="D723" s="400">
        <f>COUNTIF('Tox Summary'!$N$3:$N$792, 'Parameters Summary'!A723)</f>
        <v>1</v>
      </c>
      <c r="E723" s="434">
        <v>167.85</v>
      </c>
      <c r="F723" s="435" t="s">
        <v>1620</v>
      </c>
      <c r="G723" s="436">
        <v>1.5004099999999999E-2</v>
      </c>
      <c r="H723" s="436">
        <v>3.6699999999999998E-4</v>
      </c>
      <c r="I723" s="437" t="s">
        <v>1620</v>
      </c>
      <c r="J723" s="436">
        <v>4.62</v>
      </c>
      <c r="K723" s="437" t="s">
        <v>1620</v>
      </c>
      <c r="L723" s="453">
        <v>-43.8</v>
      </c>
      <c r="M723" s="454" t="s">
        <v>1620</v>
      </c>
      <c r="N723" s="455">
        <v>1.5952999999999999</v>
      </c>
      <c r="O723" s="456" t="s">
        <v>1618</v>
      </c>
      <c r="P723" s="471">
        <v>4.8920600000000002E-2</v>
      </c>
      <c r="Q723" s="471">
        <v>9.2901999999999996E-6</v>
      </c>
      <c r="R723" s="472" t="s">
        <v>2435</v>
      </c>
      <c r="S723" s="473" t="s">
        <v>1531</v>
      </c>
      <c r="T723" s="474" t="s">
        <v>1413</v>
      </c>
      <c r="U723" s="484">
        <v>94.94</v>
      </c>
      <c r="V723" s="484" t="s">
        <v>553</v>
      </c>
      <c r="W723" s="495">
        <v>2.39</v>
      </c>
      <c r="X723" s="496" t="s">
        <v>1620</v>
      </c>
      <c r="Y723" s="486">
        <v>2830</v>
      </c>
      <c r="Z723" s="487" t="s">
        <v>1620</v>
      </c>
      <c r="AA723" s="394">
        <v>6.94E-3</v>
      </c>
      <c r="AB723" s="395" t="s">
        <v>553</v>
      </c>
      <c r="AC723" s="369"/>
    </row>
    <row r="724" spans="1:29" ht="20.100000000000001" customHeight="1">
      <c r="A724" s="390" t="s">
        <v>397</v>
      </c>
      <c r="B724" s="391" t="s">
        <v>280</v>
      </c>
      <c r="C724" s="400">
        <f>COUNTIF('Chem Props'!$B$6:$B$851,'Parameters Summary'!A724)</f>
        <v>1</v>
      </c>
      <c r="D724" s="400">
        <f>COUNTIF('Tox Summary'!$N$3:$N$792, 'Parameters Summary'!A724)</f>
        <v>1</v>
      </c>
      <c r="E724" s="434">
        <v>165.83</v>
      </c>
      <c r="F724" s="435" t="s">
        <v>1620</v>
      </c>
      <c r="G724" s="436">
        <v>0.72363040000000001</v>
      </c>
      <c r="H724" s="436">
        <v>1.77E-2</v>
      </c>
      <c r="I724" s="437" t="s">
        <v>1620</v>
      </c>
      <c r="J724" s="436">
        <v>18.5</v>
      </c>
      <c r="K724" s="437" t="s">
        <v>1620</v>
      </c>
      <c r="L724" s="453">
        <v>-22.3</v>
      </c>
      <c r="M724" s="454" t="s">
        <v>1620</v>
      </c>
      <c r="N724" s="455">
        <v>1.623</v>
      </c>
      <c r="O724" s="456" t="s">
        <v>1618</v>
      </c>
      <c r="P724" s="471">
        <v>5.0466400000000002E-2</v>
      </c>
      <c r="Q724" s="471">
        <v>9.4551000000000003E-6</v>
      </c>
      <c r="R724" s="472" t="s">
        <v>2435</v>
      </c>
      <c r="S724" s="473" t="s">
        <v>1531</v>
      </c>
      <c r="T724" s="474" t="s">
        <v>1413</v>
      </c>
      <c r="U724" s="484">
        <v>94.94</v>
      </c>
      <c r="V724" s="484" t="s">
        <v>553</v>
      </c>
      <c r="W724" s="495">
        <v>3.4</v>
      </c>
      <c r="X724" s="496" t="s">
        <v>1620</v>
      </c>
      <c r="Y724" s="486">
        <v>206</v>
      </c>
      <c r="Z724" s="487" t="s">
        <v>1620</v>
      </c>
      <c r="AA724" s="394">
        <v>3.3399999999999999E-2</v>
      </c>
      <c r="AB724" s="395" t="s">
        <v>553</v>
      </c>
      <c r="AC724" s="369"/>
    </row>
    <row r="725" spans="1:29" ht="20.100000000000001" customHeight="1" thickBot="1">
      <c r="A725" s="392" t="s">
        <v>1346</v>
      </c>
      <c r="B725" s="393" t="s">
        <v>281</v>
      </c>
      <c r="C725" s="400">
        <f>COUNTIF('Chem Props'!$B$6:$B$851,'Parameters Summary'!A725)</f>
        <v>1</v>
      </c>
      <c r="D725" s="400">
        <f>COUNTIF('Tox Summary'!$N$3:$N$792, 'Parameters Summary'!A725)</f>
        <v>1</v>
      </c>
      <c r="E725" s="438">
        <v>231.89</v>
      </c>
      <c r="F725" s="439" t="s">
        <v>1620</v>
      </c>
      <c r="G725" s="440">
        <v>3.614E-4</v>
      </c>
      <c r="H725" s="440">
        <v>8.8400000000000001E-6</v>
      </c>
      <c r="I725" s="441" t="s">
        <v>553</v>
      </c>
      <c r="J725" s="440">
        <v>6.6600000000000003E-4</v>
      </c>
      <c r="K725" s="441" t="s">
        <v>553</v>
      </c>
      <c r="L725" s="457">
        <v>70</v>
      </c>
      <c r="M725" s="458" t="s">
        <v>1620</v>
      </c>
      <c r="N725" s="463" t="s">
        <v>1531</v>
      </c>
      <c r="O725" s="464" t="s">
        <v>1413</v>
      </c>
      <c r="P725" s="475">
        <v>5.0338300000000002E-2</v>
      </c>
      <c r="Q725" s="475">
        <v>5.8815999999999997E-6</v>
      </c>
      <c r="R725" s="476" t="s">
        <v>2435</v>
      </c>
      <c r="S725" s="477" t="s">
        <v>1531</v>
      </c>
      <c r="T725" s="478" t="s">
        <v>1413</v>
      </c>
      <c r="U725" s="481">
        <v>280</v>
      </c>
      <c r="V725" s="481" t="s">
        <v>557</v>
      </c>
      <c r="W725" s="497">
        <v>4.45</v>
      </c>
      <c r="X725" s="498" t="s">
        <v>1620</v>
      </c>
      <c r="Y725" s="488">
        <v>23</v>
      </c>
      <c r="Z725" s="489" t="s">
        <v>1620</v>
      </c>
      <c r="AA725" s="396">
        <v>7.0999999999999994E-2</v>
      </c>
      <c r="AB725" s="397" t="s">
        <v>553</v>
      </c>
      <c r="AC725" s="369"/>
    </row>
    <row r="726" spans="1:29" ht="20.100000000000001" customHeight="1">
      <c r="A726" s="390" t="s">
        <v>1347</v>
      </c>
      <c r="B726" s="391" t="s">
        <v>282</v>
      </c>
      <c r="C726" s="400">
        <f>COUNTIF('Chem Props'!$B$6:$B$851,'Parameters Summary'!A726)</f>
        <v>1</v>
      </c>
      <c r="D726" s="400">
        <f>COUNTIF('Tox Summary'!$N$3:$N$792, 'Parameters Summary'!A726)</f>
        <v>1</v>
      </c>
      <c r="E726" s="434">
        <v>229.92</v>
      </c>
      <c r="F726" s="435" t="s">
        <v>1620</v>
      </c>
      <c r="G726" s="436">
        <v>7.8904000000000005E-3</v>
      </c>
      <c r="H726" s="436">
        <v>1.93E-4</v>
      </c>
      <c r="I726" s="437" t="s">
        <v>1620</v>
      </c>
      <c r="J726" s="436">
        <v>3.8300000000000001E-2</v>
      </c>
      <c r="K726" s="437" t="s">
        <v>1620</v>
      </c>
      <c r="L726" s="453">
        <v>40.49</v>
      </c>
      <c r="M726" s="454" t="s">
        <v>553</v>
      </c>
      <c r="N726" s="455">
        <v>1.4462999999999999</v>
      </c>
      <c r="O726" s="456" t="s">
        <v>1618</v>
      </c>
      <c r="P726" s="471">
        <v>2.7587299999999999E-2</v>
      </c>
      <c r="Q726" s="471">
        <v>7.2524000000000002E-6</v>
      </c>
      <c r="R726" s="472" t="s">
        <v>2435</v>
      </c>
      <c r="S726" s="473" t="s">
        <v>1531</v>
      </c>
      <c r="T726" s="474" t="s">
        <v>1413</v>
      </c>
      <c r="U726" s="484">
        <v>1606</v>
      </c>
      <c r="V726" s="484" t="s">
        <v>553</v>
      </c>
      <c r="W726" s="495">
        <v>4.54</v>
      </c>
      <c r="X726" s="496" t="s">
        <v>1620</v>
      </c>
      <c r="Y726" s="486">
        <v>4.0389999999999997</v>
      </c>
      <c r="Z726" s="487" t="s">
        <v>1620</v>
      </c>
      <c r="AA726" s="394">
        <v>8.3599999999999994E-2</v>
      </c>
      <c r="AB726" s="395" t="s">
        <v>553</v>
      </c>
      <c r="AC726" s="369"/>
    </row>
    <row r="727" spans="1:29" ht="20.100000000000001" customHeight="1">
      <c r="A727" s="390" t="s">
        <v>1348</v>
      </c>
      <c r="B727" s="391" t="s">
        <v>283</v>
      </c>
      <c r="C727" s="400">
        <f>COUNTIF('Chem Props'!$B$6:$B$851,'Parameters Summary'!A727)</f>
        <v>1</v>
      </c>
      <c r="D727" s="400">
        <f>COUNTIF('Tox Summary'!$N$3:$N$792, 'Parameters Summary'!A727)</f>
        <v>1</v>
      </c>
      <c r="E727" s="434">
        <v>322.32</v>
      </c>
      <c r="F727" s="435" t="s">
        <v>1620</v>
      </c>
      <c r="G727" s="436">
        <v>1.819E-4</v>
      </c>
      <c r="H727" s="436">
        <v>4.4499999999999997E-6</v>
      </c>
      <c r="I727" s="437" t="s">
        <v>553</v>
      </c>
      <c r="J727" s="436">
        <v>1.05E-4</v>
      </c>
      <c r="K727" s="437" t="s">
        <v>1620</v>
      </c>
      <c r="L727" s="453">
        <v>-32.32</v>
      </c>
      <c r="M727" s="454" t="s">
        <v>553</v>
      </c>
      <c r="N727" s="455">
        <v>1.196</v>
      </c>
      <c r="O727" s="456" t="s">
        <v>1618</v>
      </c>
      <c r="P727" s="471">
        <v>2.11615E-2</v>
      </c>
      <c r="Q727" s="471">
        <v>5.2836999999999999E-6</v>
      </c>
      <c r="R727" s="472" t="s">
        <v>2435</v>
      </c>
      <c r="S727" s="473" t="s">
        <v>1531</v>
      </c>
      <c r="T727" s="474" t="s">
        <v>1413</v>
      </c>
      <c r="U727" s="484">
        <v>265.60000000000002</v>
      </c>
      <c r="V727" s="484" t="s">
        <v>553</v>
      </c>
      <c r="W727" s="495">
        <v>3.99</v>
      </c>
      <c r="X727" s="496" t="s">
        <v>1620</v>
      </c>
      <c r="Y727" s="486">
        <v>30</v>
      </c>
      <c r="Z727" s="487" t="s">
        <v>1620</v>
      </c>
      <c r="AA727" s="394">
        <v>1.09E-2</v>
      </c>
      <c r="AB727" s="395" t="s">
        <v>553</v>
      </c>
      <c r="AC727" s="369"/>
    </row>
    <row r="728" spans="1:29" ht="20.100000000000001" customHeight="1" thickBot="1">
      <c r="A728" s="392" t="s">
        <v>1349</v>
      </c>
      <c r="B728" s="393" t="s">
        <v>284</v>
      </c>
      <c r="C728" s="400">
        <f>COUNTIF('Chem Props'!$B$6:$B$851,'Parameters Summary'!A728)</f>
        <v>1</v>
      </c>
      <c r="D728" s="400">
        <f>COUNTIF('Tox Summary'!$N$3:$N$792, 'Parameters Summary'!A728)</f>
        <v>1</v>
      </c>
      <c r="E728" s="438">
        <v>102.03</v>
      </c>
      <c r="F728" s="439" t="s">
        <v>1620</v>
      </c>
      <c r="G728" s="440">
        <v>2.0441536999999999</v>
      </c>
      <c r="H728" s="440">
        <v>0.05</v>
      </c>
      <c r="I728" s="441" t="s">
        <v>1620</v>
      </c>
      <c r="J728" s="440">
        <v>4990</v>
      </c>
      <c r="K728" s="441" t="s">
        <v>1620</v>
      </c>
      <c r="L728" s="457">
        <v>-101</v>
      </c>
      <c r="M728" s="458" t="s">
        <v>1620</v>
      </c>
      <c r="N728" s="459">
        <v>1.2072000000000001</v>
      </c>
      <c r="O728" s="460" t="s">
        <v>1618</v>
      </c>
      <c r="P728" s="475">
        <v>8.2306599999999994E-2</v>
      </c>
      <c r="Q728" s="475">
        <v>1.06E-5</v>
      </c>
      <c r="R728" s="476" t="s">
        <v>2435</v>
      </c>
      <c r="S728" s="477" t="s">
        <v>1531</v>
      </c>
      <c r="T728" s="478" t="s">
        <v>1413</v>
      </c>
      <c r="U728" s="481">
        <v>86.03</v>
      </c>
      <c r="V728" s="481" t="s">
        <v>553</v>
      </c>
      <c r="W728" s="497">
        <v>1.68</v>
      </c>
      <c r="X728" s="498" t="s">
        <v>1620</v>
      </c>
      <c r="Y728" s="488">
        <v>2040</v>
      </c>
      <c r="Z728" s="489" t="s">
        <v>1620</v>
      </c>
      <c r="AA728" s="396">
        <v>5.4799999999999996E-3</v>
      </c>
      <c r="AB728" s="397" t="s">
        <v>553</v>
      </c>
      <c r="AC728" s="369"/>
    </row>
    <row r="729" spans="1:29" ht="20.100000000000001" customHeight="1">
      <c r="A729" s="390" t="s">
        <v>1350</v>
      </c>
      <c r="B729" s="391" t="s">
        <v>285</v>
      </c>
      <c r="C729" s="400">
        <f>COUNTIF('Chem Props'!$B$6:$B$851,'Parameters Summary'!A729)</f>
        <v>1</v>
      </c>
      <c r="D729" s="400">
        <f>COUNTIF('Tox Summary'!$N$3:$N$792, 'Parameters Summary'!A729)</f>
        <v>1</v>
      </c>
      <c r="E729" s="434">
        <v>287.14999999999998</v>
      </c>
      <c r="F729" s="435" t="s">
        <v>1620</v>
      </c>
      <c r="G729" s="436">
        <v>1.1079E-7</v>
      </c>
      <c r="H729" s="436">
        <v>2.7099999999999999E-9</v>
      </c>
      <c r="I729" s="437" t="s">
        <v>1620</v>
      </c>
      <c r="J729" s="436">
        <v>5.6599999999999997E-8</v>
      </c>
      <c r="K729" s="437" t="s">
        <v>1620</v>
      </c>
      <c r="L729" s="453">
        <v>131.5</v>
      </c>
      <c r="M729" s="454" t="s">
        <v>1620</v>
      </c>
      <c r="N729" s="455">
        <v>1.57</v>
      </c>
      <c r="O729" s="456" t="s">
        <v>1618</v>
      </c>
      <c r="P729" s="471">
        <v>2.5562600000000001E-2</v>
      </c>
      <c r="Q729" s="471">
        <v>6.6672000000000003E-6</v>
      </c>
      <c r="R729" s="472" t="s">
        <v>2435</v>
      </c>
      <c r="S729" s="473" t="s">
        <v>1531</v>
      </c>
      <c r="T729" s="474" t="s">
        <v>1413</v>
      </c>
      <c r="U729" s="484">
        <v>4605</v>
      </c>
      <c r="V729" s="484" t="s">
        <v>553</v>
      </c>
      <c r="W729" s="495">
        <v>1.64</v>
      </c>
      <c r="X729" s="496" t="s">
        <v>1620</v>
      </c>
      <c r="Y729" s="486">
        <v>74</v>
      </c>
      <c r="Z729" s="487" t="s">
        <v>1620</v>
      </c>
      <c r="AA729" s="394">
        <v>4.7399999999999997E-4</v>
      </c>
      <c r="AB729" s="395" t="s">
        <v>553</v>
      </c>
      <c r="AC729" s="369"/>
    </row>
    <row r="730" spans="1:29" ht="20.100000000000001" customHeight="1">
      <c r="A730" s="390" t="s">
        <v>2457</v>
      </c>
      <c r="B730" s="391" t="s">
        <v>2458</v>
      </c>
      <c r="C730" s="400">
        <f>COUNTIF('Chem Props'!$B$6:$B$851,'Parameters Summary'!A730)</f>
        <v>1</v>
      </c>
      <c r="D730" s="400">
        <f>COUNTIF('Tox Summary'!$N$3:$N$792, 'Parameters Summary'!A730)</f>
        <v>1</v>
      </c>
      <c r="E730" s="434">
        <v>456.76499999999999</v>
      </c>
      <c r="F730" s="435" t="s">
        <v>1618</v>
      </c>
      <c r="G730" s="444" t="s">
        <v>1531</v>
      </c>
      <c r="H730" s="444" t="s">
        <v>1531</v>
      </c>
      <c r="I730" s="445" t="s">
        <v>1413</v>
      </c>
      <c r="J730" s="444" t="s">
        <v>1531</v>
      </c>
      <c r="K730" s="445" t="s">
        <v>1413</v>
      </c>
      <c r="L730" s="453">
        <v>834</v>
      </c>
      <c r="M730" s="454" t="s">
        <v>1618</v>
      </c>
      <c r="N730" s="455">
        <v>10.199999999999999</v>
      </c>
      <c r="O730" s="456" t="s">
        <v>1618</v>
      </c>
      <c r="P730" s="482" t="s">
        <v>1531</v>
      </c>
      <c r="Q730" s="482" t="s">
        <v>1531</v>
      </c>
      <c r="R730" s="483" t="s">
        <v>1413</v>
      </c>
      <c r="S730" s="473" t="s">
        <v>1531</v>
      </c>
      <c r="T730" s="474" t="s">
        <v>1413</v>
      </c>
      <c r="U730" s="473" t="s">
        <v>1531</v>
      </c>
      <c r="V730" s="474" t="s">
        <v>1413</v>
      </c>
      <c r="W730" s="501" t="s">
        <v>1531</v>
      </c>
      <c r="X730" s="502" t="s">
        <v>1413</v>
      </c>
      <c r="Y730" s="492" t="s">
        <v>1531</v>
      </c>
      <c r="Z730" s="493" t="s">
        <v>1413</v>
      </c>
      <c r="AA730" s="394">
        <v>1E-3</v>
      </c>
      <c r="AB730" s="395" t="s">
        <v>1668</v>
      </c>
      <c r="AC730" s="369"/>
    </row>
    <row r="731" spans="1:29" ht="20.100000000000001" customHeight="1" thickBot="1">
      <c r="A731" s="392" t="s">
        <v>2002</v>
      </c>
      <c r="B731" s="393" t="s">
        <v>2003</v>
      </c>
      <c r="C731" s="400">
        <f>COUNTIF('Chem Props'!$B$6:$B$851,'Parameters Summary'!A731)</f>
        <v>1</v>
      </c>
      <c r="D731" s="400">
        <f>COUNTIF('Tox Summary'!$N$3:$N$792, 'Parameters Summary'!A731)</f>
        <v>1</v>
      </c>
      <c r="E731" s="438">
        <v>267.38</v>
      </c>
      <c r="F731" s="439" t="s">
        <v>1620</v>
      </c>
      <c r="G731" s="442" t="s">
        <v>1531</v>
      </c>
      <c r="H731" s="442" t="s">
        <v>1531</v>
      </c>
      <c r="I731" s="443" t="s">
        <v>1413</v>
      </c>
      <c r="J731" s="442" t="s">
        <v>1531</v>
      </c>
      <c r="K731" s="443" t="s">
        <v>1413</v>
      </c>
      <c r="L731" s="457">
        <v>206</v>
      </c>
      <c r="M731" s="458" t="s">
        <v>1620</v>
      </c>
      <c r="N731" s="459">
        <v>5.55</v>
      </c>
      <c r="O731" s="460" t="s">
        <v>1618</v>
      </c>
      <c r="P731" s="479" t="s">
        <v>1531</v>
      </c>
      <c r="Q731" s="479" t="s">
        <v>1531</v>
      </c>
      <c r="R731" s="480" t="s">
        <v>1413</v>
      </c>
      <c r="S731" s="477" t="s">
        <v>1531</v>
      </c>
      <c r="T731" s="478" t="s">
        <v>1413</v>
      </c>
      <c r="U731" s="477" t="s">
        <v>1531</v>
      </c>
      <c r="V731" s="478" t="s">
        <v>1413</v>
      </c>
      <c r="W731" s="499" t="s">
        <v>1531</v>
      </c>
      <c r="X731" s="500" t="s">
        <v>1413</v>
      </c>
      <c r="Y731" s="488">
        <v>95500</v>
      </c>
      <c r="Z731" s="489" t="s">
        <v>1620</v>
      </c>
      <c r="AA731" s="396">
        <v>1E-3</v>
      </c>
      <c r="AB731" s="397" t="s">
        <v>1668</v>
      </c>
      <c r="AC731" s="369"/>
    </row>
    <row r="732" spans="1:29" ht="20.100000000000001" customHeight="1">
      <c r="A732" s="390" t="s">
        <v>1351</v>
      </c>
      <c r="B732" s="391" t="s">
        <v>286</v>
      </c>
      <c r="C732" s="400">
        <f>COUNTIF('Chem Props'!$B$6:$B$851,'Parameters Summary'!A732)</f>
        <v>1</v>
      </c>
      <c r="D732" s="400">
        <f>COUNTIF('Tox Summary'!$N$3:$N$792, 'Parameters Summary'!A732)</f>
        <v>1</v>
      </c>
      <c r="E732" s="434">
        <v>204.38</v>
      </c>
      <c r="F732" s="435" t="s">
        <v>553</v>
      </c>
      <c r="G732" s="444" t="s">
        <v>1531</v>
      </c>
      <c r="H732" s="444" t="s">
        <v>1531</v>
      </c>
      <c r="I732" s="445" t="s">
        <v>1413</v>
      </c>
      <c r="J732" s="444" t="s">
        <v>1531</v>
      </c>
      <c r="K732" s="445" t="s">
        <v>1413</v>
      </c>
      <c r="L732" s="453">
        <v>303.5</v>
      </c>
      <c r="M732" s="454" t="s">
        <v>1620</v>
      </c>
      <c r="N732" s="455">
        <v>11.8</v>
      </c>
      <c r="O732" s="456" t="s">
        <v>1618</v>
      </c>
      <c r="P732" s="482" t="s">
        <v>1531</v>
      </c>
      <c r="Q732" s="482" t="s">
        <v>1531</v>
      </c>
      <c r="R732" s="483" t="s">
        <v>1413</v>
      </c>
      <c r="S732" s="484">
        <v>71</v>
      </c>
      <c r="T732" s="484" t="s">
        <v>557</v>
      </c>
      <c r="U732" s="473" t="s">
        <v>1531</v>
      </c>
      <c r="V732" s="474" t="s">
        <v>1413</v>
      </c>
      <c r="W732" s="501" t="s">
        <v>1531</v>
      </c>
      <c r="X732" s="502" t="s">
        <v>1413</v>
      </c>
      <c r="Y732" s="492" t="s">
        <v>1531</v>
      </c>
      <c r="Z732" s="493" t="s">
        <v>1413</v>
      </c>
      <c r="AA732" s="394">
        <v>1E-3</v>
      </c>
      <c r="AB732" s="395" t="s">
        <v>1668</v>
      </c>
      <c r="AC732" s="369"/>
    </row>
    <row r="733" spans="1:29" ht="20.100000000000001" customHeight="1">
      <c r="A733" s="390" t="s">
        <v>2004</v>
      </c>
      <c r="B733" s="391" t="s">
        <v>2005</v>
      </c>
      <c r="C733" s="400">
        <f>COUNTIF('Chem Props'!$B$6:$B$851,'Parameters Summary'!A733)</f>
        <v>1</v>
      </c>
      <c r="D733" s="400">
        <f>COUNTIF('Tox Summary'!$N$3:$N$792, 'Parameters Summary'!A733)</f>
        <v>1</v>
      </c>
      <c r="E733" s="434">
        <v>263.42</v>
      </c>
      <c r="F733" s="435" t="s">
        <v>1620</v>
      </c>
      <c r="G733" s="444" t="s">
        <v>1531</v>
      </c>
      <c r="H733" s="444" t="s">
        <v>1531</v>
      </c>
      <c r="I733" s="445" t="s">
        <v>1413</v>
      </c>
      <c r="J733" s="436">
        <v>14.7</v>
      </c>
      <c r="K733" s="437" t="s">
        <v>1620</v>
      </c>
      <c r="L733" s="453">
        <v>131</v>
      </c>
      <c r="M733" s="454" t="s">
        <v>1618</v>
      </c>
      <c r="N733" s="455">
        <v>3.68</v>
      </c>
      <c r="O733" s="456" t="s">
        <v>1618</v>
      </c>
      <c r="P733" s="471">
        <v>3.8883000000000001E-2</v>
      </c>
      <c r="Q733" s="471">
        <v>1.17E-5</v>
      </c>
      <c r="R733" s="472" t="s">
        <v>2435</v>
      </c>
      <c r="S733" s="473" t="s">
        <v>1531</v>
      </c>
      <c r="T733" s="474" t="s">
        <v>1413</v>
      </c>
      <c r="U733" s="484">
        <v>1.508</v>
      </c>
      <c r="V733" s="484" t="s">
        <v>553</v>
      </c>
      <c r="W733" s="495">
        <v>-0.17</v>
      </c>
      <c r="X733" s="496" t="s">
        <v>1620</v>
      </c>
      <c r="Y733" s="486">
        <v>28030</v>
      </c>
      <c r="Z733" s="487" t="s">
        <v>1620</v>
      </c>
      <c r="AA733" s="394">
        <v>3.9900000000000001E-5</v>
      </c>
      <c r="AB733" s="395" t="s">
        <v>553</v>
      </c>
      <c r="AC733" s="369"/>
    </row>
    <row r="734" spans="1:29" ht="20.100000000000001" customHeight="1" thickBot="1">
      <c r="A734" s="392" t="s">
        <v>2006</v>
      </c>
      <c r="B734" s="393" t="s">
        <v>2007</v>
      </c>
      <c r="C734" s="400">
        <f>COUNTIF('Chem Props'!$B$6:$B$851,'Parameters Summary'!A734)</f>
        <v>1</v>
      </c>
      <c r="D734" s="400">
        <f>COUNTIF('Tox Summary'!$N$3:$N$792, 'Parameters Summary'!A734)</f>
        <v>1</v>
      </c>
      <c r="E734" s="438">
        <v>468.75</v>
      </c>
      <c r="F734" s="439" t="s">
        <v>1620</v>
      </c>
      <c r="G734" s="442" t="s">
        <v>1531</v>
      </c>
      <c r="H734" s="442" t="s">
        <v>1531</v>
      </c>
      <c r="I734" s="443" t="s">
        <v>1413</v>
      </c>
      <c r="J734" s="440">
        <v>5.81</v>
      </c>
      <c r="K734" s="441" t="s">
        <v>1620</v>
      </c>
      <c r="L734" s="457">
        <v>272</v>
      </c>
      <c r="M734" s="458" t="s">
        <v>1620</v>
      </c>
      <c r="N734" s="459">
        <v>7.11</v>
      </c>
      <c r="O734" s="460" t="s">
        <v>1618</v>
      </c>
      <c r="P734" s="475">
        <v>3.9344900000000002E-2</v>
      </c>
      <c r="Q734" s="475">
        <v>1.2300000000000001E-5</v>
      </c>
      <c r="R734" s="476" t="s">
        <v>2435</v>
      </c>
      <c r="S734" s="477" t="s">
        <v>1531</v>
      </c>
      <c r="T734" s="478" t="s">
        <v>1413</v>
      </c>
      <c r="U734" s="481">
        <v>2.8769999999999998</v>
      </c>
      <c r="V734" s="481" t="s">
        <v>553</v>
      </c>
      <c r="W734" s="497">
        <v>-0.86</v>
      </c>
      <c r="X734" s="498" t="s">
        <v>1620</v>
      </c>
      <c r="Y734" s="488">
        <v>52000</v>
      </c>
      <c r="Z734" s="489" t="s">
        <v>1620</v>
      </c>
      <c r="AA734" s="396">
        <v>9.8200000000000008E-7</v>
      </c>
      <c r="AB734" s="397" t="s">
        <v>553</v>
      </c>
      <c r="AC734" s="369"/>
    </row>
    <row r="735" spans="1:29" ht="20.100000000000001" customHeight="1">
      <c r="A735" s="390" t="s">
        <v>2008</v>
      </c>
      <c r="B735" s="391" t="s">
        <v>2009</v>
      </c>
      <c r="C735" s="400">
        <f>COUNTIF('Chem Props'!$B$6:$B$851,'Parameters Summary'!A735)</f>
        <v>1</v>
      </c>
      <c r="D735" s="400">
        <f>COUNTIF('Tox Summary'!$N$3:$N$792, 'Parameters Summary'!A735)</f>
        <v>1</v>
      </c>
      <c r="E735" s="434">
        <v>239.82</v>
      </c>
      <c r="F735" s="435" t="s">
        <v>1620</v>
      </c>
      <c r="G735" s="444" t="s">
        <v>1531</v>
      </c>
      <c r="H735" s="444" t="s">
        <v>1531</v>
      </c>
      <c r="I735" s="445" t="s">
        <v>1413</v>
      </c>
      <c r="J735" s="444" t="s">
        <v>1531</v>
      </c>
      <c r="K735" s="445" t="s">
        <v>1413</v>
      </c>
      <c r="L735" s="453">
        <v>430</v>
      </c>
      <c r="M735" s="454" t="s">
        <v>1620</v>
      </c>
      <c r="N735" s="455">
        <v>7</v>
      </c>
      <c r="O735" s="456" t="s">
        <v>1618</v>
      </c>
      <c r="P735" s="471">
        <v>5.2455300000000003E-2</v>
      </c>
      <c r="Q735" s="471">
        <v>1.8199999999999999E-5</v>
      </c>
      <c r="R735" s="472" t="s">
        <v>2435</v>
      </c>
      <c r="S735" s="473" t="s">
        <v>1531</v>
      </c>
      <c r="T735" s="474" t="s">
        <v>1413</v>
      </c>
      <c r="U735" s="473" t="s">
        <v>1531</v>
      </c>
      <c r="V735" s="474" t="s">
        <v>1413</v>
      </c>
      <c r="W735" s="501" t="s">
        <v>1531</v>
      </c>
      <c r="X735" s="502" t="s">
        <v>1413</v>
      </c>
      <c r="Y735" s="486">
        <v>2900</v>
      </c>
      <c r="Z735" s="487" t="s">
        <v>1620</v>
      </c>
      <c r="AA735" s="394">
        <v>1E-3</v>
      </c>
      <c r="AB735" s="395" t="s">
        <v>1668</v>
      </c>
      <c r="AC735" s="369"/>
    </row>
    <row r="736" spans="1:29" ht="20.100000000000001" customHeight="1">
      <c r="A736" s="390" t="s">
        <v>2459</v>
      </c>
      <c r="B736" s="391" t="s">
        <v>2460</v>
      </c>
      <c r="C736" s="400">
        <f>COUNTIF('Chem Props'!$B$6:$B$851,'Parameters Summary'!A736)</f>
        <v>1</v>
      </c>
      <c r="D736" s="400">
        <f>COUNTIF('Tox Summary'!$N$3:$N$792, 'Parameters Summary'!A736)</f>
        <v>1</v>
      </c>
      <c r="E736" s="434">
        <v>283.33999999999997</v>
      </c>
      <c r="F736" s="435" t="s">
        <v>553</v>
      </c>
      <c r="G736" s="444" t="s">
        <v>1531</v>
      </c>
      <c r="H736" s="444" t="s">
        <v>1531</v>
      </c>
      <c r="I736" s="445" t="s">
        <v>1413</v>
      </c>
      <c r="J736" s="444" t="s">
        <v>1531</v>
      </c>
      <c r="K736" s="445" t="s">
        <v>1413</v>
      </c>
      <c r="L736" s="453">
        <v>330</v>
      </c>
      <c r="M736" s="454" t="s">
        <v>1618</v>
      </c>
      <c r="N736" s="461" t="s">
        <v>1531</v>
      </c>
      <c r="O736" s="462" t="s">
        <v>1413</v>
      </c>
      <c r="P736" s="482" t="s">
        <v>1531</v>
      </c>
      <c r="Q736" s="482" t="s">
        <v>1531</v>
      </c>
      <c r="R736" s="483" t="s">
        <v>1413</v>
      </c>
      <c r="S736" s="473" t="s">
        <v>1531</v>
      </c>
      <c r="T736" s="474" t="s">
        <v>1413</v>
      </c>
      <c r="U736" s="473" t="s">
        <v>1531</v>
      </c>
      <c r="V736" s="474" t="s">
        <v>1413</v>
      </c>
      <c r="W736" s="501" t="s">
        <v>1531</v>
      </c>
      <c r="X736" s="502" t="s">
        <v>1413</v>
      </c>
      <c r="Y736" s="492" t="s">
        <v>1531</v>
      </c>
      <c r="Z736" s="493" t="s">
        <v>1413</v>
      </c>
      <c r="AA736" s="394">
        <v>1E-3</v>
      </c>
      <c r="AB736" s="395" t="s">
        <v>1668</v>
      </c>
      <c r="AC736" s="369"/>
    </row>
    <row r="737" spans="1:29" ht="20.100000000000001" customHeight="1" thickBot="1">
      <c r="A737" s="392" t="s">
        <v>2010</v>
      </c>
      <c r="B737" s="393" t="s">
        <v>2011</v>
      </c>
      <c r="C737" s="400">
        <f>COUNTIF('Chem Props'!$B$6:$B$851,'Parameters Summary'!A737)</f>
        <v>1</v>
      </c>
      <c r="D737" s="400">
        <f>COUNTIF('Tox Summary'!$N$3:$N$792, 'Parameters Summary'!A737)</f>
        <v>1</v>
      </c>
      <c r="E737" s="438">
        <v>504.8</v>
      </c>
      <c r="F737" s="439" t="s">
        <v>1620</v>
      </c>
      <c r="G737" s="442" t="s">
        <v>1531</v>
      </c>
      <c r="H737" s="442" t="s">
        <v>1531</v>
      </c>
      <c r="I737" s="443" t="s">
        <v>1413</v>
      </c>
      <c r="J737" s="442" t="s">
        <v>1531</v>
      </c>
      <c r="K737" s="443" t="s">
        <v>1413</v>
      </c>
      <c r="L737" s="457">
        <v>632</v>
      </c>
      <c r="M737" s="458" t="s">
        <v>1620</v>
      </c>
      <c r="N737" s="459">
        <v>6.77</v>
      </c>
      <c r="O737" s="460" t="s">
        <v>1618</v>
      </c>
      <c r="P737" s="479" t="s">
        <v>1531</v>
      </c>
      <c r="Q737" s="479" t="s">
        <v>1531</v>
      </c>
      <c r="R737" s="480" t="s">
        <v>1413</v>
      </c>
      <c r="S737" s="477" t="s">
        <v>1531</v>
      </c>
      <c r="T737" s="478" t="s">
        <v>1413</v>
      </c>
      <c r="U737" s="477" t="s">
        <v>1531</v>
      </c>
      <c r="V737" s="478" t="s">
        <v>1413</v>
      </c>
      <c r="W737" s="499" t="s">
        <v>1531</v>
      </c>
      <c r="X737" s="500" t="s">
        <v>1413</v>
      </c>
      <c r="Y737" s="488">
        <v>54700</v>
      </c>
      <c r="Z737" s="489" t="s">
        <v>1618</v>
      </c>
      <c r="AA737" s="396">
        <v>1E-3</v>
      </c>
      <c r="AB737" s="397" t="s">
        <v>1668</v>
      </c>
      <c r="AC737" s="369"/>
    </row>
    <row r="738" spans="1:29" ht="20.100000000000001" customHeight="1">
      <c r="A738" s="390" t="s">
        <v>2320</v>
      </c>
      <c r="B738" s="391" t="s">
        <v>958</v>
      </c>
      <c r="C738" s="400">
        <f>COUNTIF('Chem Props'!$B$6:$B$851,'Parameters Summary'!A738)</f>
        <v>1</v>
      </c>
      <c r="D738" s="400">
        <f>COUNTIF('Tox Summary'!$N$3:$N$792, 'Parameters Summary'!A738)</f>
        <v>1</v>
      </c>
      <c r="E738" s="434">
        <v>387.4</v>
      </c>
      <c r="F738" s="435" t="s">
        <v>1620</v>
      </c>
      <c r="G738" s="436">
        <v>1.668E-12</v>
      </c>
      <c r="H738" s="436">
        <v>4.08E-14</v>
      </c>
      <c r="I738" s="437" t="s">
        <v>1620</v>
      </c>
      <c r="J738" s="436">
        <v>1.28E-10</v>
      </c>
      <c r="K738" s="437" t="s">
        <v>1620</v>
      </c>
      <c r="L738" s="453">
        <v>176</v>
      </c>
      <c r="M738" s="454" t="s">
        <v>1620</v>
      </c>
      <c r="N738" s="461" t="s">
        <v>1531</v>
      </c>
      <c r="O738" s="462" t="s">
        <v>1413</v>
      </c>
      <c r="P738" s="471">
        <v>3.5753100000000003E-2</v>
      </c>
      <c r="Q738" s="471">
        <v>4.1775000000000002E-6</v>
      </c>
      <c r="R738" s="472" t="s">
        <v>2435</v>
      </c>
      <c r="S738" s="473" t="s">
        <v>1531</v>
      </c>
      <c r="T738" s="474" t="s">
        <v>1413</v>
      </c>
      <c r="U738" s="484">
        <v>50.76</v>
      </c>
      <c r="V738" s="484" t="s">
        <v>553</v>
      </c>
      <c r="W738" s="495">
        <v>1.56</v>
      </c>
      <c r="X738" s="496" t="s">
        <v>1620</v>
      </c>
      <c r="Y738" s="486">
        <v>2240</v>
      </c>
      <c r="Z738" s="487" t="s">
        <v>1620</v>
      </c>
      <c r="AA738" s="394">
        <v>1.1400000000000001E-4</v>
      </c>
      <c r="AB738" s="395" t="s">
        <v>553</v>
      </c>
      <c r="AC738" s="369"/>
    </row>
    <row r="739" spans="1:29" ht="20.100000000000001" customHeight="1">
      <c r="A739" s="390" t="s">
        <v>1352</v>
      </c>
      <c r="B739" s="391" t="s">
        <v>287</v>
      </c>
      <c r="C739" s="400">
        <f>COUNTIF('Chem Props'!$B$6:$B$851,'Parameters Summary'!A739)</f>
        <v>1</v>
      </c>
      <c r="D739" s="400">
        <f>COUNTIF('Tox Summary'!$N$3:$N$792, 'Parameters Summary'!A739)</f>
        <v>1</v>
      </c>
      <c r="E739" s="434">
        <v>257.77999999999997</v>
      </c>
      <c r="F739" s="435" t="s">
        <v>1620</v>
      </c>
      <c r="G739" s="436">
        <v>1.0900000000000001E-5</v>
      </c>
      <c r="H739" s="436">
        <v>2.67E-7</v>
      </c>
      <c r="I739" s="437" t="s">
        <v>553</v>
      </c>
      <c r="J739" s="436">
        <v>2.1999999999999999E-5</v>
      </c>
      <c r="K739" s="437" t="s">
        <v>1620</v>
      </c>
      <c r="L739" s="453">
        <v>3.3</v>
      </c>
      <c r="M739" s="454" t="s">
        <v>1620</v>
      </c>
      <c r="N739" s="455">
        <v>1.1599999999999999</v>
      </c>
      <c r="O739" s="456" t="s">
        <v>1618</v>
      </c>
      <c r="P739" s="471">
        <v>2.3450100000000001E-2</v>
      </c>
      <c r="Q739" s="471">
        <v>5.9318999999999999E-6</v>
      </c>
      <c r="R739" s="472" t="s">
        <v>2435</v>
      </c>
      <c r="S739" s="473" t="s">
        <v>1531</v>
      </c>
      <c r="T739" s="474" t="s">
        <v>1413</v>
      </c>
      <c r="U739" s="484">
        <v>1628</v>
      </c>
      <c r="V739" s="484" t="s">
        <v>553</v>
      </c>
      <c r="W739" s="495">
        <v>3.4</v>
      </c>
      <c r="X739" s="496" t="s">
        <v>1620</v>
      </c>
      <c r="Y739" s="486">
        <v>28</v>
      </c>
      <c r="Z739" s="487" t="s">
        <v>1620</v>
      </c>
      <c r="AA739" s="394">
        <v>1.0200000000000001E-2</v>
      </c>
      <c r="AB739" s="395" t="s">
        <v>553</v>
      </c>
      <c r="AC739" s="369"/>
    </row>
    <row r="740" spans="1:29" ht="20.100000000000001" customHeight="1" thickBot="1">
      <c r="A740" s="392" t="s">
        <v>619</v>
      </c>
      <c r="B740" s="393" t="s">
        <v>288</v>
      </c>
      <c r="C740" s="400">
        <f>COUNTIF('Chem Props'!$B$6:$B$851,'Parameters Summary'!A740)</f>
        <v>1</v>
      </c>
      <c r="D740" s="400">
        <f>COUNTIF('Tox Summary'!$N$3:$N$792, 'Parameters Summary'!A740)</f>
        <v>1</v>
      </c>
      <c r="E740" s="438">
        <v>122.19</v>
      </c>
      <c r="F740" s="439" t="s">
        <v>1620</v>
      </c>
      <c r="G740" s="440">
        <v>7.5634000000000001E-8</v>
      </c>
      <c r="H740" s="440">
        <v>1.85E-9</v>
      </c>
      <c r="I740" s="441" t="s">
        <v>1620</v>
      </c>
      <c r="J740" s="440">
        <v>3.2299999999999998E-3</v>
      </c>
      <c r="K740" s="441" t="s">
        <v>1620</v>
      </c>
      <c r="L740" s="457">
        <v>-10.199999999999999</v>
      </c>
      <c r="M740" s="458" t="s">
        <v>1620</v>
      </c>
      <c r="N740" s="459">
        <v>1.1793</v>
      </c>
      <c r="O740" s="460" t="s">
        <v>1618</v>
      </c>
      <c r="P740" s="475">
        <v>6.8014400000000003E-2</v>
      </c>
      <c r="Q740" s="475">
        <v>9.3762000000000001E-6</v>
      </c>
      <c r="R740" s="476" t="s">
        <v>2435</v>
      </c>
      <c r="S740" s="477" t="s">
        <v>1531</v>
      </c>
      <c r="T740" s="478" t="s">
        <v>1413</v>
      </c>
      <c r="U740" s="481">
        <v>1</v>
      </c>
      <c r="V740" s="481" t="s">
        <v>553</v>
      </c>
      <c r="W740" s="497">
        <v>-0.63</v>
      </c>
      <c r="X740" s="498" t="s">
        <v>1620</v>
      </c>
      <c r="Y740" s="488">
        <v>1000000</v>
      </c>
      <c r="Z740" s="489" t="s">
        <v>1620</v>
      </c>
      <c r="AA740" s="396">
        <v>1.2300000000000001E-4</v>
      </c>
      <c r="AB740" s="397" t="s">
        <v>553</v>
      </c>
      <c r="AC740" s="369"/>
    </row>
    <row r="741" spans="1:29" ht="20.100000000000001" customHeight="1">
      <c r="A741" s="390" t="s">
        <v>1353</v>
      </c>
      <c r="B741" s="391" t="s">
        <v>289</v>
      </c>
      <c r="C741" s="400">
        <f>COUNTIF('Chem Props'!$B$6:$B$851,'Parameters Summary'!A741)</f>
        <v>1</v>
      </c>
      <c r="D741" s="400">
        <f>COUNTIF('Tox Summary'!$N$3:$N$792, 'Parameters Summary'!A741)</f>
        <v>1</v>
      </c>
      <c r="E741" s="434">
        <v>218.32</v>
      </c>
      <c r="F741" s="435" t="s">
        <v>1620</v>
      </c>
      <c r="G741" s="436">
        <v>3.8388999999999998E-7</v>
      </c>
      <c r="H741" s="436">
        <v>9.39E-9</v>
      </c>
      <c r="I741" s="437" t="s">
        <v>553</v>
      </c>
      <c r="J741" s="436">
        <v>1.7000000000000001E-4</v>
      </c>
      <c r="K741" s="437" t="s">
        <v>1620</v>
      </c>
      <c r="L741" s="453">
        <v>57</v>
      </c>
      <c r="M741" s="454" t="s">
        <v>1620</v>
      </c>
      <c r="N741" s="461" t="s">
        <v>1531</v>
      </c>
      <c r="O741" s="462" t="s">
        <v>1413</v>
      </c>
      <c r="P741" s="471">
        <v>5.2403199999999997E-2</v>
      </c>
      <c r="Q741" s="471">
        <v>6.1229000000000003E-6</v>
      </c>
      <c r="R741" s="472" t="s">
        <v>2435</v>
      </c>
      <c r="S741" s="473" t="s">
        <v>1531</v>
      </c>
      <c r="T741" s="474" t="s">
        <v>1413</v>
      </c>
      <c r="U741" s="484">
        <v>72.400000000000006</v>
      </c>
      <c r="V741" s="484" t="s">
        <v>553</v>
      </c>
      <c r="W741" s="495">
        <v>2.16</v>
      </c>
      <c r="X741" s="496" t="s">
        <v>1620</v>
      </c>
      <c r="Y741" s="486">
        <v>5200</v>
      </c>
      <c r="Z741" s="487" t="s">
        <v>1620</v>
      </c>
      <c r="AA741" s="394">
        <v>6.2700000000000004E-3</v>
      </c>
      <c r="AB741" s="395" t="s">
        <v>553</v>
      </c>
      <c r="AC741" s="369"/>
    </row>
    <row r="742" spans="1:29" ht="20.100000000000001" customHeight="1">
      <c r="A742" s="390" t="s">
        <v>1354</v>
      </c>
      <c r="B742" s="391" t="s">
        <v>290</v>
      </c>
      <c r="C742" s="400">
        <f>COUNTIF('Chem Props'!$B$6:$B$851,'Parameters Summary'!A742)</f>
        <v>1</v>
      </c>
      <c r="D742" s="400">
        <f>COUNTIF('Tox Summary'!$N$3:$N$792, 'Parameters Summary'!A742)</f>
        <v>1</v>
      </c>
      <c r="E742" s="434">
        <v>342.4</v>
      </c>
      <c r="F742" s="435" t="s">
        <v>1620</v>
      </c>
      <c r="G742" s="436">
        <v>4.9468999999999998E-8</v>
      </c>
      <c r="H742" s="436">
        <v>1.21E-9</v>
      </c>
      <c r="I742" s="437" t="s">
        <v>553</v>
      </c>
      <c r="J742" s="436">
        <v>7.1299999999999997E-8</v>
      </c>
      <c r="K742" s="437" t="s">
        <v>1620</v>
      </c>
      <c r="L742" s="453">
        <v>172</v>
      </c>
      <c r="M742" s="454" t="s">
        <v>553</v>
      </c>
      <c r="N742" s="461" t="s">
        <v>1531</v>
      </c>
      <c r="O742" s="462" t="s">
        <v>1413</v>
      </c>
      <c r="P742" s="471">
        <v>3.8820800000000003E-2</v>
      </c>
      <c r="Q742" s="471">
        <v>4.5359000000000001E-6</v>
      </c>
      <c r="R742" s="472" t="s">
        <v>2435</v>
      </c>
      <c r="S742" s="473" t="s">
        <v>1531</v>
      </c>
      <c r="T742" s="474" t="s">
        <v>1413</v>
      </c>
      <c r="U742" s="484">
        <v>327.39999999999998</v>
      </c>
      <c r="V742" s="484" t="s">
        <v>553</v>
      </c>
      <c r="W742" s="495">
        <v>1.4</v>
      </c>
      <c r="X742" s="496" t="s">
        <v>1620</v>
      </c>
      <c r="Y742" s="486">
        <v>26.6</v>
      </c>
      <c r="Z742" s="487" t="s">
        <v>1620</v>
      </c>
      <c r="AA742" s="394">
        <v>1.6000000000000001E-4</v>
      </c>
      <c r="AB742" s="395" t="s">
        <v>553</v>
      </c>
      <c r="AC742" s="369"/>
    </row>
    <row r="743" spans="1:29" ht="20.100000000000001" customHeight="1" thickBot="1">
      <c r="A743" s="392" t="s">
        <v>1355</v>
      </c>
      <c r="B743" s="393" t="s">
        <v>291</v>
      </c>
      <c r="C743" s="400">
        <f>COUNTIF('Chem Props'!$B$6:$B$851,'Parameters Summary'!A743)</f>
        <v>1</v>
      </c>
      <c r="D743" s="400">
        <f>COUNTIF('Tox Summary'!$N$3:$N$792, 'Parameters Summary'!A743)</f>
        <v>1</v>
      </c>
      <c r="E743" s="438">
        <v>240.43</v>
      </c>
      <c r="F743" s="439" t="s">
        <v>1620</v>
      </c>
      <c r="G743" s="440">
        <v>7.4406999999999998E-6</v>
      </c>
      <c r="H743" s="440">
        <v>1.8199999999999999E-7</v>
      </c>
      <c r="I743" s="441" t="s">
        <v>553</v>
      </c>
      <c r="J743" s="440">
        <v>1.73E-5</v>
      </c>
      <c r="K743" s="441" t="s">
        <v>1620</v>
      </c>
      <c r="L743" s="457">
        <v>155.6</v>
      </c>
      <c r="M743" s="458" t="s">
        <v>1620</v>
      </c>
      <c r="N743" s="459">
        <v>1.29</v>
      </c>
      <c r="O743" s="460" t="s">
        <v>1621</v>
      </c>
      <c r="P743" s="475">
        <v>2.5566700000000001E-2</v>
      </c>
      <c r="Q743" s="475">
        <v>6.5922000000000002E-6</v>
      </c>
      <c r="R743" s="476" t="s">
        <v>2435</v>
      </c>
      <c r="S743" s="477" t="s">
        <v>1531</v>
      </c>
      <c r="T743" s="478" t="s">
        <v>1413</v>
      </c>
      <c r="U743" s="481">
        <v>611.4</v>
      </c>
      <c r="V743" s="481" t="s">
        <v>553</v>
      </c>
      <c r="W743" s="497">
        <v>1.73</v>
      </c>
      <c r="X743" s="498" t="s">
        <v>1620</v>
      </c>
      <c r="Y743" s="488">
        <v>30</v>
      </c>
      <c r="Z743" s="489" t="s">
        <v>1620</v>
      </c>
      <c r="AA743" s="396">
        <v>9.8999999999999999E-4</v>
      </c>
      <c r="AB743" s="397" t="s">
        <v>553</v>
      </c>
      <c r="AC743" s="369"/>
    </row>
    <row r="744" spans="1:29" ht="20.100000000000001" customHeight="1">
      <c r="A744" s="390" t="s">
        <v>1356</v>
      </c>
      <c r="B744" s="391" t="s">
        <v>292</v>
      </c>
      <c r="C744" s="400">
        <f>COUNTIF('Chem Props'!$B$6:$B$851,'Parameters Summary'!A744)</f>
        <v>1</v>
      </c>
      <c r="D744" s="400">
        <f>COUNTIF('Tox Summary'!$N$3:$N$792, 'Parameters Summary'!A744)</f>
        <v>1</v>
      </c>
      <c r="E744" s="434">
        <v>118.71</v>
      </c>
      <c r="F744" s="435" t="s">
        <v>1618</v>
      </c>
      <c r="G744" s="444" t="s">
        <v>1531</v>
      </c>
      <c r="H744" s="444" t="s">
        <v>1531</v>
      </c>
      <c r="I744" s="445" t="s">
        <v>1413</v>
      </c>
      <c r="J744" s="436">
        <v>0</v>
      </c>
      <c r="K744" s="437" t="s">
        <v>2204</v>
      </c>
      <c r="L744" s="453">
        <v>13.2</v>
      </c>
      <c r="M744" s="454" t="s">
        <v>1618</v>
      </c>
      <c r="N744" s="455">
        <v>7.2869999999999999</v>
      </c>
      <c r="O744" s="456" t="s">
        <v>1618</v>
      </c>
      <c r="P744" s="482" t="s">
        <v>1531</v>
      </c>
      <c r="Q744" s="482" t="s">
        <v>1531</v>
      </c>
      <c r="R744" s="483" t="s">
        <v>1413</v>
      </c>
      <c r="S744" s="484">
        <v>250</v>
      </c>
      <c r="T744" s="484" t="s">
        <v>2155</v>
      </c>
      <c r="U744" s="473" t="s">
        <v>1531</v>
      </c>
      <c r="V744" s="474" t="s">
        <v>1413</v>
      </c>
      <c r="W744" s="501" t="s">
        <v>1531</v>
      </c>
      <c r="X744" s="502" t="s">
        <v>1413</v>
      </c>
      <c r="Y744" s="492" t="s">
        <v>1531</v>
      </c>
      <c r="Z744" s="493" t="s">
        <v>1413</v>
      </c>
      <c r="AA744" s="394">
        <v>1E-3</v>
      </c>
      <c r="AB744" s="395" t="s">
        <v>1668</v>
      </c>
      <c r="AC744" s="369"/>
    </row>
    <row r="745" spans="1:29" ht="20.100000000000001" customHeight="1">
      <c r="A745" s="390" t="s">
        <v>620</v>
      </c>
      <c r="B745" s="391" t="s">
        <v>293</v>
      </c>
      <c r="C745" s="400">
        <f>COUNTIF('Chem Props'!$B$6:$B$851,'Parameters Summary'!A745)</f>
        <v>1</v>
      </c>
      <c r="D745" s="400">
        <f>COUNTIF('Tox Summary'!$N$3:$N$792, 'Parameters Summary'!A745)</f>
        <v>1</v>
      </c>
      <c r="E745" s="434">
        <v>189.679</v>
      </c>
      <c r="F745" s="435" t="s">
        <v>1618</v>
      </c>
      <c r="G745" s="444" t="s">
        <v>1531</v>
      </c>
      <c r="H745" s="444" t="s">
        <v>1531</v>
      </c>
      <c r="I745" s="445" t="s">
        <v>1413</v>
      </c>
      <c r="J745" s="436">
        <v>10</v>
      </c>
      <c r="K745" s="437" t="s">
        <v>2273</v>
      </c>
      <c r="L745" s="453">
        <v>-24.12</v>
      </c>
      <c r="M745" s="454" t="s">
        <v>1618</v>
      </c>
      <c r="N745" s="455">
        <v>1.73</v>
      </c>
      <c r="O745" s="456" t="s">
        <v>1618</v>
      </c>
      <c r="P745" s="471">
        <v>3.7971600000000001E-2</v>
      </c>
      <c r="Q745" s="471">
        <v>9.0633000000000001E-6</v>
      </c>
      <c r="R745" s="472" t="s">
        <v>2435</v>
      </c>
      <c r="S745" s="473" t="s">
        <v>1531</v>
      </c>
      <c r="T745" s="474" t="s">
        <v>1413</v>
      </c>
      <c r="U745" s="473" t="s">
        <v>1531</v>
      </c>
      <c r="V745" s="474" t="s">
        <v>1413</v>
      </c>
      <c r="W745" s="501" t="s">
        <v>1531</v>
      </c>
      <c r="X745" s="502" t="s">
        <v>1413</v>
      </c>
      <c r="Y745" s="492" t="s">
        <v>1531</v>
      </c>
      <c r="Z745" s="493" t="s">
        <v>1413</v>
      </c>
      <c r="AA745" s="394">
        <v>1E-3</v>
      </c>
      <c r="AB745" s="395" t="s">
        <v>1668</v>
      </c>
      <c r="AC745" s="369"/>
    </row>
    <row r="746" spans="1:29" ht="20.100000000000001" customHeight="1" thickBot="1">
      <c r="A746" s="392" t="s">
        <v>398</v>
      </c>
      <c r="B746" s="393" t="s">
        <v>294</v>
      </c>
      <c r="C746" s="400">
        <f>COUNTIF('Chem Props'!$B$6:$B$851,'Parameters Summary'!A746)</f>
        <v>1</v>
      </c>
      <c r="D746" s="400">
        <f>COUNTIF('Tox Summary'!$N$3:$N$792, 'Parameters Summary'!A746)</f>
        <v>1</v>
      </c>
      <c r="E746" s="438">
        <v>92.141999999999996</v>
      </c>
      <c r="F746" s="439" t="s">
        <v>1620</v>
      </c>
      <c r="G746" s="440">
        <v>0.27146360000000003</v>
      </c>
      <c r="H746" s="440">
        <v>6.6400000000000001E-3</v>
      </c>
      <c r="I746" s="441" t="s">
        <v>1620</v>
      </c>
      <c r="J746" s="440">
        <v>28.4</v>
      </c>
      <c r="K746" s="441" t="s">
        <v>1620</v>
      </c>
      <c r="L746" s="457">
        <v>-94.9</v>
      </c>
      <c r="M746" s="458" t="s">
        <v>1620</v>
      </c>
      <c r="N746" s="459">
        <v>0.86229999999999996</v>
      </c>
      <c r="O746" s="460" t="s">
        <v>1618</v>
      </c>
      <c r="P746" s="475">
        <v>7.7803899999999995E-2</v>
      </c>
      <c r="Q746" s="475">
        <v>9.2042999999999993E-6</v>
      </c>
      <c r="R746" s="476" t="s">
        <v>2435</v>
      </c>
      <c r="S746" s="477" t="s">
        <v>1531</v>
      </c>
      <c r="T746" s="478" t="s">
        <v>1413</v>
      </c>
      <c r="U746" s="481">
        <v>233.9</v>
      </c>
      <c r="V746" s="481" t="s">
        <v>553</v>
      </c>
      <c r="W746" s="497">
        <v>2.73</v>
      </c>
      <c r="X746" s="498" t="s">
        <v>1620</v>
      </c>
      <c r="Y746" s="488">
        <v>526</v>
      </c>
      <c r="Z746" s="489" t="s">
        <v>1620</v>
      </c>
      <c r="AA746" s="396">
        <v>3.1099999999999999E-2</v>
      </c>
      <c r="AB746" s="397" t="s">
        <v>553</v>
      </c>
      <c r="AC746" s="369"/>
    </row>
    <row r="747" spans="1:29" ht="20.100000000000001" customHeight="1">
      <c r="A747" s="390" t="s">
        <v>2461</v>
      </c>
      <c r="B747" s="391" t="s">
        <v>2462</v>
      </c>
      <c r="C747" s="400">
        <f>COUNTIF('Chem Props'!$B$6:$B$851,'Parameters Summary'!A747)</f>
        <v>1</v>
      </c>
      <c r="D747" s="400">
        <f>COUNTIF('Tox Summary'!$N$3:$N$792, 'Parameters Summary'!A747)</f>
        <v>1</v>
      </c>
      <c r="E747" s="434">
        <v>174.16</v>
      </c>
      <c r="F747" s="435" t="s">
        <v>553</v>
      </c>
      <c r="G747" s="436">
        <v>4.5380000000000003E-4</v>
      </c>
      <c r="H747" s="436">
        <v>1.11E-5</v>
      </c>
      <c r="I747" s="437" t="s">
        <v>553</v>
      </c>
      <c r="J747" s="436">
        <v>8.0000000000000002E-3</v>
      </c>
      <c r="K747" s="437" t="s">
        <v>553</v>
      </c>
      <c r="L747" s="453">
        <v>20.5</v>
      </c>
      <c r="M747" s="454" t="s">
        <v>553</v>
      </c>
      <c r="N747" s="455">
        <v>1.2243999999999999</v>
      </c>
      <c r="O747" s="456" t="s">
        <v>1618</v>
      </c>
      <c r="P747" s="471">
        <v>4.0256699999999999E-2</v>
      </c>
      <c r="Q747" s="471">
        <v>7.7527999999999997E-6</v>
      </c>
      <c r="R747" s="472" t="s">
        <v>2435</v>
      </c>
      <c r="S747" s="473" t="s">
        <v>1531</v>
      </c>
      <c r="T747" s="474" t="s">
        <v>1413</v>
      </c>
      <c r="U747" s="484">
        <v>7424</v>
      </c>
      <c r="V747" s="484" t="s">
        <v>553</v>
      </c>
      <c r="W747" s="495">
        <v>3.74</v>
      </c>
      <c r="X747" s="496" t="s">
        <v>553</v>
      </c>
      <c r="Y747" s="486">
        <v>37.57</v>
      </c>
      <c r="Z747" s="487" t="s">
        <v>553</v>
      </c>
      <c r="AA747" s="394">
        <v>0.505</v>
      </c>
      <c r="AB747" s="395" t="s">
        <v>553</v>
      </c>
      <c r="AC747" s="369"/>
    </row>
    <row r="748" spans="1:29" ht="20.100000000000001" customHeight="1">
      <c r="A748" s="390" t="s">
        <v>1612</v>
      </c>
      <c r="B748" s="391" t="s">
        <v>1613</v>
      </c>
      <c r="C748" s="400">
        <f>COUNTIF('Chem Props'!$B$6:$B$851,'Parameters Summary'!A748)</f>
        <v>1</v>
      </c>
      <c r="D748" s="400">
        <f>COUNTIF('Tox Summary'!$N$3:$N$792, 'Parameters Summary'!A748)</f>
        <v>1</v>
      </c>
      <c r="E748" s="434">
        <v>122.17</v>
      </c>
      <c r="F748" s="435" t="s">
        <v>1620</v>
      </c>
      <c r="G748" s="436">
        <v>3.0376000000000001E-7</v>
      </c>
      <c r="H748" s="436">
        <v>7.4300000000000002E-9</v>
      </c>
      <c r="I748" s="437" t="s">
        <v>1620</v>
      </c>
      <c r="J748" s="436">
        <v>3.3999999999999998E-3</v>
      </c>
      <c r="K748" s="437" t="s">
        <v>1620</v>
      </c>
      <c r="L748" s="453">
        <v>64</v>
      </c>
      <c r="M748" s="454" t="s">
        <v>1620</v>
      </c>
      <c r="N748" s="461" t="s">
        <v>1531</v>
      </c>
      <c r="O748" s="462" t="s">
        <v>1413</v>
      </c>
      <c r="P748" s="471">
        <v>7.7169199999999993E-2</v>
      </c>
      <c r="Q748" s="471">
        <v>9.0165999999999994E-6</v>
      </c>
      <c r="R748" s="472" t="s">
        <v>2435</v>
      </c>
      <c r="S748" s="473" t="s">
        <v>1531</v>
      </c>
      <c r="T748" s="474" t="s">
        <v>1413</v>
      </c>
      <c r="U748" s="484">
        <v>55.39</v>
      </c>
      <c r="V748" s="484" t="s">
        <v>553</v>
      </c>
      <c r="W748" s="495">
        <v>0.16</v>
      </c>
      <c r="X748" s="496" t="s">
        <v>1620</v>
      </c>
      <c r="Y748" s="486">
        <v>77200</v>
      </c>
      <c r="Z748" s="487" t="s">
        <v>1620</v>
      </c>
      <c r="AA748" s="394">
        <v>4.0999999999999999E-4</v>
      </c>
      <c r="AB748" s="395" t="s">
        <v>553</v>
      </c>
      <c r="AC748" s="369"/>
    </row>
    <row r="749" spans="1:29" ht="20.100000000000001" customHeight="1" thickBot="1">
      <c r="A749" s="392" t="s">
        <v>2463</v>
      </c>
      <c r="B749" s="393" t="s">
        <v>2464</v>
      </c>
      <c r="C749" s="400">
        <f>COUNTIF('Chem Props'!$B$6:$B$851,'Parameters Summary'!A749)</f>
        <v>1</v>
      </c>
      <c r="D749" s="400">
        <f>COUNTIF('Tox Summary'!$N$3:$N$792, 'Parameters Summary'!A749)</f>
        <v>1</v>
      </c>
      <c r="E749" s="438">
        <v>174.16</v>
      </c>
      <c r="F749" s="439" t="s">
        <v>553</v>
      </c>
      <c r="G749" s="440">
        <v>4.5380000000000003E-4</v>
      </c>
      <c r="H749" s="440">
        <v>1.11E-5</v>
      </c>
      <c r="I749" s="441" t="s">
        <v>553</v>
      </c>
      <c r="J749" s="440">
        <v>2.0899999999999998E-2</v>
      </c>
      <c r="K749" s="441" t="s">
        <v>553</v>
      </c>
      <c r="L749" s="457">
        <v>18.3</v>
      </c>
      <c r="M749" s="458" t="s">
        <v>553</v>
      </c>
      <c r="N749" s="463" t="s">
        <v>1531</v>
      </c>
      <c r="O749" s="464" t="s">
        <v>1413</v>
      </c>
      <c r="P749" s="475">
        <v>6.0923900000000003E-2</v>
      </c>
      <c r="Q749" s="475">
        <v>7.1184999999999997E-6</v>
      </c>
      <c r="R749" s="476" t="s">
        <v>2435</v>
      </c>
      <c r="S749" s="477" t="s">
        <v>1531</v>
      </c>
      <c r="T749" s="478" t="s">
        <v>1413</v>
      </c>
      <c r="U749" s="481">
        <v>7576</v>
      </c>
      <c r="V749" s="481" t="s">
        <v>553</v>
      </c>
      <c r="W749" s="497">
        <v>3.74</v>
      </c>
      <c r="X749" s="498" t="s">
        <v>553</v>
      </c>
      <c r="Y749" s="488">
        <v>37.57</v>
      </c>
      <c r="Z749" s="489" t="s">
        <v>553</v>
      </c>
      <c r="AA749" s="396">
        <v>5.0500000000000003E-2</v>
      </c>
      <c r="AB749" s="397" t="s">
        <v>553</v>
      </c>
      <c r="AC749" s="369"/>
    </row>
    <row r="750" spans="1:29" ht="20.100000000000001" customHeight="1">
      <c r="A750" s="390" t="s">
        <v>2509</v>
      </c>
      <c r="B750" s="391" t="s">
        <v>2510</v>
      </c>
      <c r="C750" s="400">
        <f>COUNTIF('Chem Props'!$B$6:$B$851,'Parameters Summary'!A750)</f>
        <v>1</v>
      </c>
      <c r="D750" s="400">
        <f>COUNTIF('Tox Summary'!$N$3:$N$792, 'Parameters Summary'!A750)</f>
        <v>1</v>
      </c>
      <c r="E750" s="434">
        <v>136.15</v>
      </c>
      <c r="F750" s="435" t="s">
        <v>553</v>
      </c>
      <c r="G750" s="436">
        <v>1.15E-5</v>
      </c>
      <c r="H750" s="436">
        <v>2.8098000000000002E-7</v>
      </c>
      <c r="I750" s="437" t="s">
        <v>1622</v>
      </c>
      <c r="J750" s="436">
        <v>5.0800000000000002E-5</v>
      </c>
      <c r="K750" s="437" t="s">
        <v>553</v>
      </c>
      <c r="L750" s="453">
        <v>179.6</v>
      </c>
      <c r="M750" s="454" t="s">
        <v>553</v>
      </c>
      <c r="N750" s="455">
        <v>1.23</v>
      </c>
      <c r="O750" s="456" t="s">
        <v>2037</v>
      </c>
      <c r="P750" s="471">
        <v>6.0847199999999997E-2</v>
      </c>
      <c r="Q750" s="471">
        <v>9.0116000000000003E-6</v>
      </c>
      <c r="R750" s="472" t="s">
        <v>2435</v>
      </c>
      <c r="S750" s="473" t="s">
        <v>1531</v>
      </c>
      <c r="T750" s="474" t="s">
        <v>1413</v>
      </c>
      <c r="U750" s="484">
        <v>27</v>
      </c>
      <c r="V750" s="484" t="s">
        <v>2037</v>
      </c>
      <c r="W750" s="495">
        <v>2.27</v>
      </c>
      <c r="X750" s="496" t="s">
        <v>553</v>
      </c>
      <c r="Y750" s="486">
        <v>340</v>
      </c>
      <c r="Z750" s="487" t="s">
        <v>553</v>
      </c>
      <c r="AA750" s="394">
        <v>8.6999999999999994E-3</v>
      </c>
      <c r="AB750" s="395" t="s">
        <v>553</v>
      </c>
      <c r="AC750" s="369"/>
    </row>
    <row r="751" spans="1:29" ht="20.100000000000001" customHeight="1">
      <c r="A751" s="390" t="s">
        <v>2431</v>
      </c>
      <c r="B751" s="391" t="s">
        <v>2432</v>
      </c>
      <c r="C751" s="400">
        <f>COUNTIF('Chem Props'!$B$6:$B$851,'Parameters Summary'!A751)</f>
        <v>1</v>
      </c>
      <c r="D751" s="400">
        <f>COUNTIF('Tox Summary'!$N$3:$N$792, 'Parameters Summary'!A751)</f>
        <v>1</v>
      </c>
      <c r="E751" s="434">
        <v>107.16</v>
      </c>
      <c r="F751" s="435" t="s">
        <v>1620</v>
      </c>
      <c r="G751" s="436">
        <v>8.0900000000000001E-5</v>
      </c>
      <c r="H751" s="436">
        <v>1.9800000000000001E-6</v>
      </c>
      <c r="I751" s="437" t="s">
        <v>1620</v>
      </c>
      <c r="J751" s="436">
        <v>0.26</v>
      </c>
      <c r="K751" s="437" t="s">
        <v>1620</v>
      </c>
      <c r="L751" s="453">
        <v>-14.4</v>
      </c>
      <c r="M751" s="454" t="s">
        <v>1620</v>
      </c>
      <c r="N751" s="455">
        <v>0.99839999999999995</v>
      </c>
      <c r="O751" s="456" t="s">
        <v>1618</v>
      </c>
      <c r="P751" s="471">
        <v>7.2397400000000001E-2</v>
      </c>
      <c r="Q751" s="471">
        <v>9.1797999999999998E-6</v>
      </c>
      <c r="R751" s="472" t="s">
        <v>2435</v>
      </c>
      <c r="S751" s="473" t="s">
        <v>1531</v>
      </c>
      <c r="T751" s="474" t="s">
        <v>1413</v>
      </c>
      <c r="U751" s="484">
        <v>115</v>
      </c>
      <c r="V751" s="484" t="s">
        <v>553</v>
      </c>
      <c r="W751" s="495">
        <v>1.32</v>
      </c>
      <c r="X751" s="496" t="s">
        <v>1620</v>
      </c>
      <c r="Y751" s="486">
        <v>16600</v>
      </c>
      <c r="Z751" s="487" t="s">
        <v>1620</v>
      </c>
      <c r="AA751" s="394">
        <v>2.96E-3</v>
      </c>
      <c r="AB751" s="395" t="s">
        <v>553</v>
      </c>
      <c r="AC751" s="369"/>
    </row>
    <row r="752" spans="1:29" ht="20.100000000000001" customHeight="1" thickBot="1">
      <c r="A752" s="392" t="s">
        <v>1357</v>
      </c>
      <c r="B752" s="393" t="s">
        <v>295</v>
      </c>
      <c r="C752" s="400">
        <f>COUNTIF('Chem Props'!$B$6:$B$851,'Parameters Summary'!A752)</f>
        <v>1</v>
      </c>
      <c r="D752" s="400">
        <f>COUNTIF('Tox Summary'!$N$3:$N$792, 'Parameters Summary'!A752)</f>
        <v>1</v>
      </c>
      <c r="E752" s="438">
        <v>107.16</v>
      </c>
      <c r="F752" s="439" t="s">
        <v>1620</v>
      </c>
      <c r="G752" s="440">
        <v>8.2600000000000002E-5</v>
      </c>
      <c r="H752" s="440">
        <v>2.0200000000000001E-6</v>
      </c>
      <c r="I752" s="441" t="s">
        <v>1620</v>
      </c>
      <c r="J752" s="440">
        <v>0.28625</v>
      </c>
      <c r="K752" s="441" t="s">
        <v>1620</v>
      </c>
      <c r="L752" s="457">
        <v>43.6</v>
      </c>
      <c r="M752" s="458" t="s">
        <v>1620</v>
      </c>
      <c r="N752" s="459">
        <v>0.96189999999999998</v>
      </c>
      <c r="O752" s="460" t="s">
        <v>1618</v>
      </c>
      <c r="P752" s="475">
        <v>7.1219000000000005E-2</v>
      </c>
      <c r="Q752" s="475">
        <v>8.9770000000000006E-6</v>
      </c>
      <c r="R752" s="476" t="s">
        <v>2435</v>
      </c>
      <c r="S752" s="477" t="s">
        <v>1531</v>
      </c>
      <c r="T752" s="478" t="s">
        <v>1413</v>
      </c>
      <c r="U752" s="481">
        <v>112.7</v>
      </c>
      <c r="V752" s="481" t="s">
        <v>553</v>
      </c>
      <c r="W752" s="497">
        <v>1.39</v>
      </c>
      <c r="X752" s="498" t="s">
        <v>1620</v>
      </c>
      <c r="Y752" s="488">
        <v>6500</v>
      </c>
      <c r="Z752" s="489" t="s">
        <v>1620</v>
      </c>
      <c r="AA752" s="396">
        <v>3.29E-3</v>
      </c>
      <c r="AB752" s="397" t="s">
        <v>553</v>
      </c>
      <c r="AC752" s="369"/>
    </row>
    <row r="753" spans="1:29" ht="20.100000000000001" customHeight="1">
      <c r="A753" s="390" t="s">
        <v>2049</v>
      </c>
      <c r="B753" s="391" t="s">
        <v>2511</v>
      </c>
      <c r="C753" s="400">
        <f>COUNTIF('Chem Props'!$B$6:$B$851,'Parameters Summary'!A753)</f>
        <v>0</v>
      </c>
      <c r="D753" s="400">
        <f>COUNTIF('Tox Summary'!$N$3:$N$792, 'Parameters Summary'!A753)</f>
        <v>1</v>
      </c>
      <c r="E753" s="434">
        <v>170.34</v>
      </c>
      <c r="F753" s="435" t="s">
        <v>553</v>
      </c>
      <c r="G753" s="436">
        <v>334.42354999999998</v>
      </c>
      <c r="H753" s="436">
        <v>8.18</v>
      </c>
      <c r="I753" s="437" t="s">
        <v>553</v>
      </c>
      <c r="J753" s="436">
        <v>0.13500000000000001</v>
      </c>
      <c r="K753" s="437" t="s">
        <v>553</v>
      </c>
      <c r="L753" s="453">
        <v>-9.6</v>
      </c>
      <c r="M753" s="454" t="s">
        <v>553</v>
      </c>
      <c r="N753" s="455">
        <v>0.877</v>
      </c>
      <c r="O753" s="456" t="s">
        <v>2205</v>
      </c>
      <c r="P753" s="471">
        <v>3.6193999999999997E-2</v>
      </c>
      <c r="Q753" s="471">
        <v>6.4309999999999999E-6</v>
      </c>
      <c r="R753" s="472" t="s">
        <v>2435</v>
      </c>
      <c r="S753" s="473" t="s">
        <v>1531</v>
      </c>
      <c r="T753" s="474" t="s">
        <v>1413</v>
      </c>
      <c r="U753" s="484">
        <v>4818</v>
      </c>
      <c r="V753" s="484" t="s">
        <v>553</v>
      </c>
      <c r="W753" s="495">
        <v>6.1</v>
      </c>
      <c r="X753" s="496" t="s">
        <v>553</v>
      </c>
      <c r="Y753" s="486">
        <v>3.7000000000000002E-3</v>
      </c>
      <c r="Z753" s="487" t="s">
        <v>553</v>
      </c>
      <c r="AA753" s="394">
        <v>1.96</v>
      </c>
      <c r="AB753" s="395" t="s">
        <v>553</v>
      </c>
      <c r="AC753" s="369"/>
    </row>
    <row r="754" spans="1:29" ht="20.100000000000001" customHeight="1">
      <c r="A754" s="390" t="s">
        <v>2050</v>
      </c>
      <c r="B754" s="391" t="s">
        <v>2512</v>
      </c>
      <c r="C754" s="400">
        <f>COUNTIF('Chem Props'!$B$6:$B$851,'Parameters Summary'!A754)</f>
        <v>0</v>
      </c>
      <c r="D754" s="400">
        <f>COUNTIF('Tox Summary'!$N$3:$N$792, 'Parameters Summary'!A754)</f>
        <v>1</v>
      </c>
      <c r="E754" s="434">
        <v>86.18</v>
      </c>
      <c r="F754" s="435" t="s">
        <v>2519</v>
      </c>
      <c r="G754" s="436">
        <v>73.589534</v>
      </c>
      <c r="H754" s="436">
        <v>1.8</v>
      </c>
      <c r="I754" s="437" t="s">
        <v>553</v>
      </c>
      <c r="J754" s="436">
        <v>151.30000000000001</v>
      </c>
      <c r="K754" s="437" t="s">
        <v>2519</v>
      </c>
      <c r="L754" s="453">
        <v>-95.3</v>
      </c>
      <c r="M754" s="454" t="s">
        <v>2519</v>
      </c>
      <c r="N754" s="455">
        <v>0.66059999999999997</v>
      </c>
      <c r="O754" s="456" t="s">
        <v>1618</v>
      </c>
      <c r="P754" s="471">
        <v>7.3106400000000002E-2</v>
      </c>
      <c r="Q754" s="471">
        <v>8.1657000000000004E-6</v>
      </c>
      <c r="R754" s="472" t="s">
        <v>2435</v>
      </c>
      <c r="S754" s="473" t="s">
        <v>1531</v>
      </c>
      <c r="T754" s="474" t="s">
        <v>1413</v>
      </c>
      <c r="U754" s="484">
        <v>131.5</v>
      </c>
      <c r="V754" s="484" t="s">
        <v>553</v>
      </c>
      <c r="W754" s="495">
        <v>3.9</v>
      </c>
      <c r="X754" s="496" t="s">
        <v>2519</v>
      </c>
      <c r="Y754" s="486">
        <v>9.5</v>
      </c>
      <c r="Z754" s="487" t="s">
        <v>2519</v>
      </c>
      <c r="AA754" s="394">
        <v>0.20100000000000001</v>
      </c>
      <c r="AB754" s="395" t="s">
        <v>553</v>
      </c>
      <c r="AC754" s="369"/>
    </row>
    <row r="755" spans="1:29" ht="20.100000000000001" customHeight="1" thickBot="1">
      <c r="A755" s="392" t="s">
        <v>2051</v>
      </c>
      <c r="B755" s="393" t="s">
        <v>2513</v>
      </c>
      <c r="C755" s="400">
        <f>COUNTIF('Chem Props'!$B$6:$B$851,'Parameters Summary'!A755)</f>
        <v>0</v>
      </c>
      <c r="D755" s="400">
        <f>COUNTIF('Tox Summary'!$N$3:$N$792, 'Parameters Summary'!A755)</f>
        <v>1</v>
      </c>
      <c r="E755" s="438">
        <v>128.26</v>
      </c>
      <c r="F755" s="439" t="s">
        <v>2519</v>
      </c>
      <c r="G755" s="440">
        <v>139.00245000000001</v>
      </c>
      <c r="H755" s="440">
        <v>3.4</v>
      </c>
      <c r="I755" s="441" t="s">
        <v>553</v>
      </c>
      <c r="J755" s="440">
        <v>4.45</v>
      </c>
      <c r="K755" s="441" t="s">
        <v>2519</v>
      </c>
      <c r="L755" s="457">
        <v>-53.5</v>
      </c>
      <c r="M755" s="458" t="s">
        <v>2519</v>
      </c>
      <c r="N755" s="459">
        <v>0.71919999999999995</v>
      </c>
      <c r="O755" s="460" t="s">
        <v>1618</v>
      </c>
      <c r="P755" s="475">
        <v>5.1431999999999999E-2</v>
      </c>
      <c r="Q755" s="475">
        <v>6.7689999999999999E-6</v>
      </c>
      <c r="R755" s="476" t="s">
        <v>2435</v>
      </c>
      <c r="S755" s="477" t="s">
        <v>1531</v>
      </c>
      <c r="T755" s="478" t="s">
        <v>1413</v>
      </c>
      <c r="U755" s="481">
        <v>796</v>
      </c>
      <c r="V755" s="481" t="s">
        <v>553</v>
      </c>
      <c r="W755" s="497">
        <v>5.65</v>
      </c>
      <c r="X755" s="498" t="s">
        <v>2519</v>
      </c>
      <c r="Y755" s="488">
        <v>0.22</v>
      </c>
      <c r="Z755" s="489" t="s">
        <v>2519</v>
      </c>
      <c r="AA755" s="396">
        <v>1.7</v>
      </c>
      <c r="AB755" s="397" t="s">
        <v>553</v>
      </c>
      <c r="AC755" s="369"/>
    </row>
    <row r="756" spans="1:29" ht="20.100000000000001" customHeight="1">
      <c r="A756" s="390" t="s">
        <v>2052</v>
      </c>
      <c r="B756" s="391" t="s">
        <v>2514</v>
      </c>
      <c r="C756" s="400">
        <f>COUNTIF('Chem Props'!$B$6:$B$851,'Parameters Summary'!A756)</f>
        <v>0</v>
      </c>
      <c r="D756" s="400">
        <f>COUNTIF('Tox Summary'!$N$3:$N$792, 'Parameters Summary'!A756)</f>
        <v>1</v>
      </c>
      <c r="E756" s="434">
        <v>202.26</v>
      </c>
      <c r="F756" s="435" t="s">
        <v>2519</v>
      </c>
      <c r="G756" s="436">
        <v>3.6220000000000002E-4</v>
      </c>
      <c r="H756" s="436">
        <v>8.8599999999999999E-6</v>
      </c>
      <c r="I756" s="437" t="s">
        <v>2519</v>
      </c>
      <c r="J756" s="436">
        <v>9.2199999999999998E-6</v>
      </c>
      <c r="K756" s="437" t="s">
        <v>2519</v>
      </c>
      <c r="L756" s="453">
        <v>107.8</v>
      </c>
      <c r="M756" s="454" t="s">
        <v>2519</v>
      </c>
      <c r="N756" s="455">
        <v>1.252</v>
      </c>
      <c r="O756" s="456" t="s">
        <v>1618</v>
      </c>
      <c r="P756" s="471">
        <v>2.7595700000000001E-2</v>
      </c>
      <c r="Q756" s="471">
        <v>7.1826999999999999E-6</v>
      </c>
      <c r="R756" s="472" t="s">
        <v>2435</v>
      </c>
      <c r="S756" s="473" t="s">
        <v>1531</v>
      </c>
      <c r="T756" s="474" t="s">
        <v>1413</v>
      </c>
      <c r="U756" s="484">
        <v>55450</v>
      </c>
      <c r="V756" s="484" t="s">
        <v>553</v>
      </c>
      <c r="W756" s="495">
        <v>5.16</v>
      </c>
      <c r="X756" s="496" t="s">
        <v>2519</v>
      </c>
      <c r="Y756" s="486">
        <v>0.26</v>
      </c>
      <c r="Z756" s="487" t="s">
        <v>2519</v>
      </c>
      <c r="AA756" s="394">
        <v>0.308</v>
      </c>
      <c r="AB756" s="395" t="s">
        <v>553</v>
      </c>
      <c r="AC756" s="369"/>
    </row>
    <row r="757" spans="1:29" ht="20.100000000000001" customHeight="1">
      <c r="A757" s="390" t="s">
        <v>2053</v>
      </c>
      <c r="B757" s="391" t="s">
        <v>2515</v>
      </c>
      <c r="C757" s="400">
        <f>COUNTIF('Chem Props'!$B$6:$B$851,'Parameters Summary'!A757)</f>
        <v>0</v>
      </c>
      <c r="D757" s="400">
        <f>COUNTIF('Tox Summary'!$N$3:$N$792, 'Parameters Summary'!A757)</f>
        <v>1</v>
      </c>
      <c r="E757" s="434">
        <v>78.114999999999995</v>
      </c>
      <c r="F757" s="435" t="s">
        <v>2519</v>
      </c>
      <c r="G757" s="436">
        <v>0.22690109999999999</v>
      </c>
      <c r="H757" s="436">
        <v>5.5500000000000002E-3</v>
      </c>
      <c r="I757" s="437" t="s">
        <v>2519</v>
      </c>
      <c r="J757" s="436">
        <v>94.8</v>
      </c>
      <c r="K757" s="437" t="s">
        <v>2519</v>
      </c>
      <c r="L757" s="453">
        <v>5.5</v>
      </c>
      <c r="M757" s="454" t="s">
        <v>2519</v>
      </c>
      <c r="N757" s="455">
        <v>0.87649999999999995</v>
      </c>
      <c r="O757" s="456" t="s">
        <v>1618</v>
      </c>
      <c r="P757" s="471">
        <v>8.9534000000000002E-2</v>
      </c>
      <c r="Q757" s="471">
        <v>1.03E-5</v>
      </c>
      <c r="R757" s="472" t="s">
        <v>2435</v>
      </c>
      <c r="S757" s="473" t="s">
        <v>1531</v>
      </c>
      <c r="T757" s="474" t="s">
        <v>1413</v>
      </c>
      <c r="U757" s="484">
        <v>145.80000000000001</v>
      </c>
      <c r="V757" s="484" t="s">
        <v>553</v>
      </c>
      <c r="W757" s="495">
        <v>2.13</v>
      </c>
      <c r="X757" s="496" t="s">
        <v>2519</v>
      </c>
      <c r="Y757" s="486">
        <v>1790</v>
      </c>
      <c r="Z757" s="487" t="s">
        <v>2519</v>
      </c>
      <c r="AA757" s="394">
        <v>1.49E-2</v>
      </c>
      <c r="AB757" s="395" t="s">
        <v>553</v>
      </c>
      <c r="AC757" s="369"/>
    </row>
    <row r="758" spans="1:29" ht="20.100000000000001" customHeight="1" thickBot="1">
      <c r="A758" s="392" t="s">
        <v>2054</v>
      </c>
      <c r="B758" s="393" t="s">
        <v>2516</v>
      </c>
      <c r="C758" s="400">
        <f>COUNTIF('Chem Props'!$B$6:$B$851,'Parameters Summary'!A758)</f>
        <v>0</v>
      </c>
      <c r="D758" s="400">
        <f>COUNTIF('Tox Summary'!$N$3:$N$792, 'Parameters Summary'!A758)</f>
        <v>1</v>
      </c>
      <c r="E758" s="438">
        <v>135.19</v>
      </c>
      <c r="F758" s="439" t="s">
        <v>2519</v>
      </c>
      <c r="G758" s="440">
        <v>1.9583E-2</v>
      </c>
      <c r="H758" s="440">
        <v>4.7899999999999999E-4</v>
      </c>
      <c r="I758" s="441" t="s">
        <v>2519</v>
      </c>
      <c r="J758" s="440">
        <v>7.0000000000000007E-2</v>
      </c>
      <c r="K758" s="441" t="s">
        <v>2519</v>
      </c>
      <c r="L758" s="457">
        <v>57.3</v>
      </c>
      <c r="M758" s="458" t="s">
        <v>2519</v>
      </c>
      <c r="N758" s="459">
        <v>1.01555</v>
      </c>
      <c r="O758" s="460" t="s">
        <v>1618</v>
      </c>
      <c r="P758" s="475">
        <v>5.6381800000000003E-2</v>
      </c>
      <c r="Q758" s="475">
        <v>8.0672999999999998E-6</v>
      </c>
      <c r="R758" s="476" t="s">
        <v>2435</v>
      </c>
      <c r="S758" s="477" t="s">
        <v>1531</v>
      </c>
      <c r="T758" s="478" t="s">
        <v>1413</v>
      </c>
      <c r="U758" s="481">
        <v>2011</v>
      </c>
      <c r="V758" s="481" t="s">
        <v>553</v>
      </c>
      <c r="W758" s="497">
        <v>3.58</v>
      </c>
      <c r="X758" s="498" t="s">
        <v>2519</v>
      </c>
      <c r="Y758" s="488">
        <v>27.8</v>
      </c>
      <c r="Z758" s="489" t="s">
        <v>2519</v>
      </c>
      <c r="AA758" s="396">
        <v>6.9150000000000003E-2</v>
      </c>
      <c r="AB758" s="397" t="s">
        <v>553</v>
      </c>
      <c r="AC758" s="369"/>
    </row>
    <row r="759" spans="1:29" ht="20.100000000000001" customHeight="1">
      <c r="A759" s="390" t="s">
        <v>399</v>
      </c>
      <c r="B759" s="391" t="s">
        <v>296</v>
      </c>
      <c r="C759" s="400">
        <f>COUNTIF('Chem Props'!$B$6:$B$851,'Parameters Summary'!A759)</f>
        <v>1</v>
      </c>
      <c r="D759" s="400">
        <f>COUNTIF('Tox Summary'!$N$3:$N$792, 'Parameters Summary'!A759)</f>
        <v>1</v>
      </c>
      <c r="E759" s="434">
        <v>448.26</v>
      </c>
      <c r="F759" s="435" t="s">
        <v>1620</v>
      </c>
      <c r="G759" s="436">
        <v>2.453E-4</v>
      </c>
      <c r="H759" s="436">
        <v>6.0000000000000002E-6</v>
      </c>
      <c r="I759" s="437" t="s">
        <v>1620</v>
      </c>
      <c r="J759" s="436">
        <v>6.6900000000000003E-6</v>
      </c>
      <c r="K759" s="437" t="s">
        <v>1620</v>
      </c>
      <c r="L759" s="453">
        <v>77</v>
      </c>
      <c r="M759" s="454" t="s">
        <v>1620</v>
      </c>
      <c r="N759" s="461" t="s">
        <v>1531</v>
      </c>
      <c r="O759" s="462" t="s">
        <v>1413</v>
      </c>
      <c r="P759" s="471">
        <v>3.2439000000000003E-2</v>
      </c>
      <c r="Q759" s="471">
        <v>3.7902000000000002E-6</v>
      </c>
      <c r="R759" s="472" t="s">
        <v>2435</v>
      </c>
      <c r="S759" s="473" t="s">
        <v>1531</v>
      </c>
      <c r="T759" s="474" t="s">
        <v>1413</v>
      </c>
      <c r="U759" s="484">
        <v>77200</v>
      </c>
      <c r="V759" s="484" t="s">
        <v>553</v>
      </c>
      <c r="W759" s="495">
        <v>5.9</v>
      </c>
      <c r="X759" s="496" t="s">
        <v>1620</v>
      </c>
      <c r="Y759" s="486">
        <v>0.55000000000000004</v>
      </c>
      <c r="Z759" s="487" t="s">
        <v>1620</v>
      </c>
      <c r="AA759" s="394">
        <v>5.1799999999999999E-2</v>
      </c>
      <c r="AB759" s="395" t="s">
        <v>553</v>
      </c>
      <c r="AC759" s="369"/>
    </row>
    <row r="760" spans="1:29" ht="20.100000000000001" customHeight="1">
      <c r="A760" s="390" t="s">
        <v>1358</v>
      </c>
      <c r="B760" s="391" t="s">
        <v>297</v>
      </c>
      <c r="C760" s="400">
        <f>COUNTIF('Chem Props'!$B$6:$B$851,'Parameters Summary'!A760)</f>
        <v>1</v>
      </c>
      <c r="D760" s="400">
        <f>COUNTIF('Tox Summary'!$N$3:$N$792, 'Parameters Summary'!A760)</f>
        <v>1</v>
      </c>
      <c r="E760" s="434">
        <v>665.02</v>
      </c>
      <c r="F760" s="435" t="s">
        <v>1620</v>
      </c>
      <c r="G760" s="436">
        <v>1.6108000000000001E-8</v>
      </c>
      <c r="H760" s="436">
        <v>3.9399999999999998E-10</v>
      </c>
      <c r="I760" s="437" t="s">
        <v>553</v>
      </c>
      <c r="J760" s="436">
        <v>3.5999999999999998E-11</v>
      </c>
      <c r="K760" s="437" t="s">
        <v>1620</v>
      </c>
      <c r="L760" s="453">
        <v>143</v>
      </c>
      <c r="M760" s="454" t="s">
        <v>1620</v>
      </c>
      <c r="N760" s="461" t="s">
        <v>1531</v>
      </c>
      <c r="O760" s="462" t="s">
        <v>1413</v>
      </c>
      <c r="P760" s="471">
        <v>2.4938100000000001E-2</v>
      </c>
      <c r="Q760" s="471">
        <v>2.9138E-6</v>
      </c>
      <c r="R760" s="472" t="s">
        <v>2435</v>
      </c>
      <c r="S760" s="473" t="s">
        <v>1531</v>
      </c>
      <c r="T760" s="474" t="s">
        <v>1413</v>
      </c>
      <c r="U760" s="484">
        <v>191100</v>
      </c>
      <c r="V760" s="484" t="s">
        <v>553</v>
      </c>
      <c r="W760" s="495">
        <v>7.56</v>
      </c>
      <c r="X760" s="496" t="s">
        <v>1620</v>
      </c>
      <c r="Y760" s="486">
        <v>0.08</v>
      </c>
      <c r="Z760" s="487" t="s">
        <v>1620</v>
      </c>
      <c r="AA760" s="394">
        <v>3.0499999999999999E-2</v>
      </c>
      <c r="AB760" s="395" t="s">
        <v>553</v>
      </c>
      <c r="AC760" s="369"/>
    </row>
    <row r="761" spans="1:29" ht="20.100000000000001" customHeight="1" thickBot="1">
      <c r="A761" s="392" t="s">
        <v>1381</v>
      </c>
      <c r="B761" s="393" t="s">
        <v>1442</v>
      </c>
      <c r="C761" s="400">
        <f>COUNTIF('Chem Props'!$B$6:$B$851,'Parameters Summary'!A761)</f>
        <v>1</v>
      </c>
      <c r="D761" s="400">
        <f>COUNTIF('Tox Summary'!$N$3:$N$792, 'Parameters Summary'!A761)</f>
        <v>0</v>
      </c>
      <c r="E761" s="438">
        <v>291.05</v>
      </c>
      <c r="F761" s="439" t="s">
        <v>1620</v>
      </c>
      <c r="G761" s="440">
        <v>62.142273000000003</v>
      </c>
      <c r="H761" s="440">
        <v>1.52</v>
      </c>
      <c r="I761" s="441" t="s">
        <v>1620</v>
      </c>
      <c r="J761" s="440">
        <v>3.9899999999999998E-2</v>
      </c>
      <c r="K761" s="441" t="s">
        <v>1620</v>
      </c>
      <c r="L761" s="457">
        <v>28.89</v>
      </c>
      <c r="M761" s="458" t="s">
        <v>553</v>
      </c>
      <c r="N761" s="459">
        <v>1.103</v>
      </c>
      <c r="O761" s="460" t="s">
        <v>1618</v>
      </c>
      <c r="P761" s="475">
        <v>2.1473800000000001E-2</v>
      </c>
      <c r="Q761" s="475">
        <v>5.3510000000000001E-6</v>
      </c>
      <c r="R761" s="476" t="s">
        <v>2435</v>
      </c>
      <c r="S761" s="477" t="s">
        <v>1531</v>
      </c>
      <c r="T761" s="478" t="s">
        <v>1413</v>
      </c>
      <c r="U761" s="481">
        <v>8091</v>
      </c>
      <c r="V761" s="481" t="s">
        <v>553</v>
      </c>
      <c r="W761" s="497">
        <v>4.0999999999999996</v>
      </c>
      <c r="X761" s="498" t="s">
        <v>1620</v>
      </c>
      <c r="Y761" s="488">
        <v>7.3000000000000001E-3</v>
      </c>
      <c r="Z761" s="489" t="s">
        <v>1620</v>
      </c>
      <c r="AA761" s="396">
        <v>1.9300000000000001E-2</v>
      </c>
      <c r="AB761" s="397" t="s">
        <v>553</v>
      </c>
      <c r="AC761" s="369"/>
    </row>
    <row r="762" spans="1:29" ht="20.100000000000001" customHeight="1">
      <c r="A762" s="390" t="s">
        <v>2012</v>
      </c>
      <c r="B762" s="391" t="s">
        <v>2013</v>
      </c>
      <c r="C762" s="400">
        <f>COUNTIF('Chem Props'!$B$6:$B$851,'Parameters Summary'!A762)</f>
        <v>1</v>
      </c>
      <c r="D762" s="400">
        <f>COUNTIF('Tox Summary'!$N$3:$N$792, 'Parameters Summary'!A762)</f>
        <v>1</v>
      </c>
      <c r="E762" s="434">
        <v>218.21</v>
      </c>
      <c r="F762" s="435" t="s">
        <v>1620</v>
      </c>
      <c r="G762" s="436">
        <v>5.0299999999999999E-7</v>
      </c>
      <c r="H762" s="436">
        <v>1.2299999999999999E-8</v>
      </c>
      <c r="I762" s="437" t="s">
        <v>553</v>
      </c>
      <c r="J762" s="436">
        <v>2.48E-3</v>
      </c>
      <c r="K762" s="437" t="s">
        <v>1620</v>
      </c>
      <c r="L762" s="453">
        <v>78</v>
      </c>
      <c r="M762" s="454" t="s">
        <v>1620</v>
      </c>
      <c r="N762" s="455">
        <v>1.1583000000000001</v>
      </c>
      <c r="O762" s="456" t="s">
        <v>1618</v>
      </c>
      <c r="P762" s="471">
        <v>2.5579999999999999E-2</v>
      </c>
      <c r="Q762" s="471">
        <v>6.55E-6</v>
      </c>
      <c r="R762" s="472" t="s">
        <v>2435</v>
      </c>
      <c r="S762" s="473" t="s">
        <v>1531</v>
      </c>
      <c r="T762" s="474" t="s">
        <v>1413</v>
      </c>
      <c r="U762" s="484">
        <v>40.729999999999997</v>
      </c>
      <c r="V762" s="484" t="s">
        <v>553</v>
      </c>
      <c r="W762" s="495">
        <v>0.25</v>
      </c>
      <c r="X762" s="496" t="s">
        <v>1620</v>
      </c>
      <c r="Y762" s="486">
        <v>58000</v>
      </c>
      <c r="Z762" s="487" t="s">
        <v>1620</v>
      </c>
      <c r="AA762" s="394">
        <v>1.37E-4</v>
      </c>
      <c r="AB762" s="395" t="s">
        <v>553</v>
      </c>
      <c r="AC762" s="369"/>
    </row>
    <row r="763" spans="1:29" ht="20.100000000000001" customHeight="1">
      <c r="A763" s="390" t="s">
        <v>2321</v>
      </c>
      <c r="B763" s="391" t="s">
        <v>680</v>
      </c>
      <c r="C763" s="400">
        <f>COUNTIF('Chem Props'!$B$6:$B$851,'Parameters Summary'!A763)</f>
        <v>1</v>
      </c>
      <c r="D763" s="400">
        <f>COUNTIF('Tox Summary'!$N$3:$N$792, 'Parameters Summary'!A763)</f>
        <v>1</v>
      </c>
      <c r="E763" s="434">
        <v>293.76</v>
      </c>
      <c r="F763" s="435" t="s">
        <v>1620</v>
      </c>
      <c r="G763" s="436">
        <v>3.3156E-9</v>
      </c>
      <c r="H763" s="436">
        <v>8.1099999999999997E-11</v>
      </c>
      <c r="I763" s="437" t="s">
        <v>553</v>
      </c>
      <c r="J763" s="436">
        <v>1.4999999999999999E-8</v>
      </c>
      <c r="K763" s="437" t="s">
        <v>1620</v>
      </c>
      <c r="L763" s="453">
        <v>82.3</v>
      </c>
      <c r="M763" s="454" t="s">
        <v>1620</v>
      </c>
      <c r="N763" s="455">
        <v>1.22</v>
      </c>
      <c r="O763" s="456" t="s">
        <v>1618</v>
      </c>
      <c r="P763" s="471">
        <v>2.24291E-2</v>
      </c>
      <c r="Q763" s="471">
        <v>5.6532000000000004E-6</v>
      </c>
      <c r="R763" s="472" t="s">
        <v>2435</v>
      </c>
      <c r="S763" s="473" t="s">
        <v>1531</v>
      </c>
      <c r="T763" s="474" t="s">
        <v>1413</v>
      </c>
      <c r="U763" s="484">
        <v>298.5</v>
      </c>
      <c r="V763" s="484" t="s">
        <v>553</v>
      </c>
      <c r="W763" s="495">
        <v>2.77</v>
      </c>
      <c r="X763" s="496" t="s">
        <v>1620</v>
      </c>
      <c r="Y763" s="486">
        <v>71.5</v>
      </c>
      <c r="Z763" s="487" t="s">
        <v>1620</v>
      </c>
      <c r="AA763" s="394">
        <v>2.4399999999999999E-3</v>
      </c>
      <c r="AB763" s="395" t="s">
        <v>553</v>
      </c>
      <c r="AC763" s="369"/>
    </row>
    <row r="764" spans="1:29" ht="20.100000000000001" customHeight="1" thickBot="1">
      <c r="A764" s="392" t="s">
        <v>1359</v>
      </c>
      <c r="B764" s="393" t="s">
        <v>305</v>
      </c>
      <c r="C764" s="400">
        <f>COUNTIF('Chem Props'!$B$6:$B$851,'Parameters Summary'!A764)</f>
        <v>1</v>
      </c>
      <c r="D764" s="400">
        <f>COUNTIF('Tox Summary'!$N$3:$N$792, 'Parameters Summary'!A764)</f>
        <v>1</v>
      </c>
      <c r="E764" s="438">
        <v>304.67</v>
      </c>
      <c r="F764" s="439" t="s">
        <v>1620</v>
      </c>
      <c r="G764" s="440">
        <v>4.906E-4</v>
      </c>
      <c r="H764" s="440">
        <v>1.2E-5</v>
      </c>
      <c r="I764" s="441" t="s">
        <v>553</v>
      </c>
      <c r="J764" s="440">
        <v>1.2E-4</v>
      </c>
      <c r="K764" s="441" t="s">
        <v>1620</v>
      </c>
      <c r="L764" s="457">
        <v>29</v>
      </c>
      <c r="M764" s="458" t="s">
        <v>1620</v>
      </c>
      <c r="N764" s="459">
        <v>1.2729999999999999</v>
      </c>
      <c r="O764" s="460" t="s">
        <v>1618</v>
      </c>
      <c r="P764" s="475">
        <v>2.2457499999999998E-2</v>
      </c>
      <c r="Q764" s="475">
        <v>5.6737999999999998E-6</v>
      </c>
      <c r="R764" s="476" t="s">
        <v>2435</v>
      </c>
      <c r="S764" s="477" t="s">
        <v>1531</v>
      </c>
      <c r="T764" s="478" t="s">
        <v>1413</v>
      </c>
      <c r="U764" s="481">
        <v>1008</v>
      </c>
      <c r="V764" s="481" t="s">
        <v>553</v>
      </c>
      <c r="W764" s="497">
        <v>4.5999999999999996</v>
      </c>
      <c r="X764" s="498" t="s">
        <v>1620</v>
      </c>
      <c r="Y764" s="488">
        <v>4</v>
      </c>
      <c r="Z764" s="489" t="s">
        <v>1620</v>
      </c>
      <c r="AA764" s="396">
        <v>3.49E-2</v>
      </c>
      <c r="AB764" s="397" t="s">
        <v>553</v>
      </c>
      <c r="AC764" s="369"/>
    </row>
    <row r="765" spans="1:29" ht="20.100000000000001" customHeight="1">
      <c r="A765" s="390" t="s">
        <v>1360</v>
      </c>
      <c r="B765" s="391" t="s">
        <v>306</v>
      </c>
      <c r="C765" s="400">
        <f>COUNTIF('Chem Props'!$B$6:$B$851,'Parameters Summary'!A765)</f>
        <v>1</v>
      </c>
      <c r="D765" s="400">
        <f>COUNTIF('Tox Summary'!$N$3:$N$792, 'Parameters Summary'!A765)</f>
        <v>1</v>
      </c>
      <c r="E765" s="434">
        <v>401.83</v>
      </c>
      <c r="F765" s="435" t="s">
        <v>1620</v>
      </c>
      <c r="G765" s="436">
        <v>1.321E-11</v>
      </c>
      <c r="H765" s="436">
        <v>3.2299999999999999E-13</v>
      </c>
      <c r="I765" s="437" t="s">
        <v>1620</v>
      </c>
      <c r="J765" s="436">
        <v>5.5300000000000001E-12</v>
      </c>
      <c r="K765" s="437" t="s">
        <v>1620</v>
      </c>
      <c r="L765" s="453">
        <v>186</v>
      </c>
      <c r="M765" s="454" t="s">
        <v>1620</v>
      </c>
      <c r="N765" s="461" t="s">
        <v>1531</v>
      </c>
      <c r="O765" s="462" t="s">
        <v>1413</v>
      </c>
      <c r="P765" s="471">
        <v>3.4891999999999999E-2</v>
      </c>
      <c r="Q765" s="471">
        <v>4.0768999999999999E-6</v>
      </c>
      <c r="R765" s="472" t="s">
        <v>2435</v>
      </c>
      <c r="S765" s="473" t="s">
        <v>1531</v>
      </c>
      <c r="T765" s="474" t="s">
        <v>1413</v>
      </c>
      <c r="U765" s="484">
        <v>427.2</v>
      </c>
      <c r="V765" s="484" t="s">
        <v>553</v>
      </c>
      <c r="W765" s="495">
        <v>1.1000000000000001</v>
      </c>
      <c r="X765" s="496" t="s">
        <v>1620</v>
      </c>
      <c r="Y765" s="486">
        <v>32</v>
      </c>
      <c r="Z765" s="487" t="s">
        <v>1620</v>
      </c>
      <c r="AA765" s="394">
        <v>4.6900000000000002E-5</v>
      </c>
      <c r="AB765" s="395" t="s">
        <v>553</v>
      </c>
      <c r="AC765" s="369"/>
    </row>
    <row r="766" spans="1:29" ht="20.100000000000001" customHeight="1">
      <c r="A766" s="390" t="s">
        <v>2322</v>
      </c>
      <c r="B766" s="391" t="s">
        <v>929</v>
      </c>
      <c r="C766" s="400">
        <f>COUNTIF('Chem Props'!$B$6:$B$851,'Parameters Summary'!A766)</f>
        <v>1</v>
      </c>
      <c r="D766" s="400">
        <f>COUNTIF('Tox Summary'!$N$3:$N$792, 'Parameters Summary'!A766)</f>
        <v>1</v>
      </c>
      <c r="E766" s="434">
        <v>395.4</v>
      </c>
      <c r="F766" s="435" t="s">
        <v>1620</v>
      </c>
      <c r="G766" s="436">
        <v>4.1700000000000002E-12</v>
      </c>
      <c r="H766" s="436">
        <v>1.0199999999999999E-13</v>
      </c>
      <c r="I766" s="437" t="s">
        <v>1620</v>
      </c>
      <c r="J766" s="436">
        <v>3.9E-10</v>
      </c>
      <c r="K766" s="437" t="s">
        <v>1620</v>
      </c>
      <c r="L766" s="453">
        <v>141</v>
      </c>
      <c r="M766" s="454" t="s">
        <v>1620</v>
      </c>
      <c r="N766" s="461" t="s">
        <v>1531</v>
      </c>
      <c r="O766" s="462" t="s">
        <v>1413</v>
      </c>
      <c r="P766" s="471">
        <v>3.5269200000000001E-2</v>
      </c>
      <c r="Q766" s="471">
        <v>4.1208999999999998E-6</v>
      </c>
      <c r="R766" s="472" t="s">
        <v>2435</v>
      </c>
      <c r="S766" s="473" t="s">
        <v>1531</v>
      </c>
      <c r="T766" s="474" t="s">
        <v>1413</v>
      </c>
      <c r="U766" s="484">
        <v>94.69</v>
      </c>
      <c r="V766" s="484" t="s">
        <v>553</v>
      </c>
      <c r="W766" s="495">
        <v>0.78</v>
      </c>
      <c r="X766" s="496" t="s">
        <v>1620</v>
      </c>
      <c r="Y766" s="486">
        <v>50</v>
      </c>
      <c r="Z766" s="487" t="s">
        <v>1620</v>
      </c>
      <c r="AA766" s="394">
        <v>4.6799999999999999E-4</v>
      </c>
      <c r="AB766" s="395" t="s">
        <v>553</v>
      </c>
      <c r="AC766" s="369"/>
    </row>
    <row r="767" spans="1:29" ht="20.100000000000001" customHeight="1" thickBot="1">
      <c r="A767" s="392" t="s">
        <v>1361</v>
      </c>
      <c r="B767" s="393" t="s">
        <v>307</v>
      </c>
      <c r="C767" s="400">
        <f>COUNTIF('Chem Props'!$B$6:$B$851,'Parameters Summary'!A767)</f>
        <v>1</v>
      </c>
      <c r="D767" s="400">
        <f>COUNTIF('Tox Summary'!$N$3:$N$792, 'Parameters Summary'!A767)</f>
        <v>1</v>
      </c>
      <c r="E767" s="438">
        <v>314.8</v>
      </c>
      <c r="F767" s="439" t="s">
        <v>1620</v>
      </c>
      <c r="G767" s="440">
        <v>1.39411E-2</v>
      </c>
      <c r="H767" s="440">
        <v>3.4099999999999999E-4</v>
      </c>
      <c r="I767" s="441" t="s">
        <v>1620</v>
      </c>
      <c r="J767" s="440">
        <v>5.4799999999999996E-3</v>
      </c>
      <c r="K767" s="441" t="s">
        <v>1620</v>
      </c>
      <c r="L767" s="457">
        <v>44.5</v>
      </c>
      <c r="M767" s="458" t="s">
        <v>1620</v>
      </c>
      <c r="N767" s="459">
        <v>2.2810000000000001</v>
      </c>
      <c r="O767" s="460" t="s">
        <v>2205</v>
      </c>
      <c r="P767" s="475">
        <v>2.8968899999999999E-2</v>
      </c>
      <c r="Q767" s="475">
        <v>7.8945000000000004E-6</v>
      </c>
      <c r="R767" s="476" t="s">
        <v>2435</v>
      </c>
      <c r="S767" s="477" t="s">
        <v>1531</v>
      </c>
      <c r="T767" s="478" t="s">
        <v>1413</v>
      </c>
      <c r="U767" s="481">
        <v>614.29999999999995</v>
      </c>
      <c r="V767" s="481" t="s">
        <v>553</v>
      </c>
      <c r="W767" s="497">
        <v>4.66</v>
      </c>
      <c r="X767" s="498" t="s">
        <v>1620</v>
      </c>
      <c r="Y767" s="488">
        <v>4.8979999999999997</v>
      </c>
      <c r="Z767" s="489" t="s">
        <v>1620</v>
      </c>
      <c r="AA767" s="396">
        <v>3.3700000000000001E-2</v>
      </c>
      <c r="AB767" s="397" t="s">
        <v>553</v>
      </c>
      <c r="AC767" s="369"/>
    </row>
    <row r="768" spans="1:29" ht="20.100000000000001" customHeight="1">
      <c r="A768" s="390" t="s">
        <v>2465</v>
      </c>
      <c r="B768" s="391" t="s">
        <v>2466</v>
      </c>
      <c r="C768" s="400">
        <f>COUNTIF('Chem Props'!$B$6:$B$851,'Parameters Summary'!A768)</f>
        <v>1</v>
      </c>
      <c r="D768" s="400">
        <f>COUNTIF('Tox Summary'!$N$3:$N$792, 'Parameters Summary'!A768)</f>
        <v>1</v>
      </c>
      <c r="E768" s="434">
        <v>330.8</v>
      </c>
      <c r="F768" s="435" t="s">
        <v>1620</v>
      </c>
      <c r="G768" s="436">
        <v>1.4513E-6</v>
      </c>
      <c r="H768" s="436">
        <v>3.55E-8</v>
      </c>
      <c r="I768" s="437" t="s">
        <v>1620</v>
      </c>
      <c r="J768" s="436">
        <v>3.0299999999999999E-4</v>
      </c>
      <c r="K768" s="437" t="s">
        <v>1620</v>
      </c>
      <c r="L768" s="453">
        <v>95.5</v>
      </c>
      <c r="M768" s="454" t="s">
        <v>1620</v>
      </c>
      <c r="N768" s="455">
        <v>2.5499999999999998</v>
      </c>
      <c r="O768" s="456" t="s">
        <v>1618</v>
      </c>
      <c r="P768" s="471">
        <v>2.9726499999999999E-2</v>
      </c>
      <c r="Q768" s="471">
        <v>8.1933E-6</v>
      </c>
      <c r="R768" s="472" t="s">
        <v>2435</v>
      </c>
      <c r="S768" s="473" t="s">
        <v>1531</v>
      </c>
      <c r="T768" s="474" t="s">
        <v>1413</v>
      </c>
      <c r="U768" s="484">
        <v>805.2</v>
      </c>
      <c r="V768" s="484" t="s">
        <v>553</v>
      </c>
      <c r="W768" s="495">
        <v>4.13</v>
      </c>
      <c r="X768" s="496" t="s">
        <v>1620</v>
      </c>
      <c r="Y768" s="486">
        <v>70</v>
      </c>
      <c r="Z768" s="487" t="s">
        <v>1620</v>
      </c>
      <c r="AA768" s="394">
        <v>1.21E-2</v>
      </c>
      <c r="AB768" s="395" t="s">
        <v>553</v>
      </c>
      <c r="AC768" s="369"/>
    </row>
    <row r="769" spans="1:29" ht="20.100000000000001" customHeight="1">
      <c r="A769" s="390" t="s">
        <v>543</v>
      </c>
      <c r="B769" s="391" t="s">
        <v>308</v>
      </c>
      <c r="C769" s="400">
        <f>COUNTIF('Chem Props'!$B$6:$B$851,'Parameters Summary'!A769)</f>
        <v>1</v>
      </c>
      <c r="D769" s="400">
        <f>COUNTIF('Tox Summary'!$N$3:$N$792, 'Parameters Summary'!A769)</f>
        <v>1</v>
      </c>
      <c r="E769" s="434">
        <v>266.32</v>
      </c>
      <c r="F769" s="435" t="s">
        <v>1620</v>
      </c>
      <c r="G769" s="436">
        <v>5.7599999999999997E-5</v>
      </c>
      <c r="H769" s="436">
        <v>1.4100000000000001E-6</v>
      </c>
      <c r="I769" s="437" t="s">
        <v>553</v>
      </c>
      <c r="J769" s="436">
        <v>1.1299999999999999E-3</v>
      </c>
      <c r="K769" s="437" t="s">
        <v>1620</v>
      </c>
      <c r="L769" s="453">
        <v>-79</v>
      </c>
      <c r="M769" s="454" t="s">
        <v>1620</v>
      </c>
      <c r="N769" s="455">
        <v>0.97270000000000001</v>
      </c>
      <c r="O769" s="456" t="s">
        <v>1618</v>
      </c>
      <c r="P769" s="471">
        <v>2.1184100000000001E-2</v>
      </c>
      <c r="Q769" s="471">
        <v>5.2337999999999998E-6</v>
      </c>
      <c r="R769" s="472" t="s">
        <v>2435</v>
      </c>
      <c r="S769" s="473" t="s">
        <v>1531</v>
      </c>
      <c r="T769" s="474" t="s">
        <v>1413</v>
      </c>
      <c r="U769" s="484">
        <v>2350</v>
      </c>
      <c r="V769" s="484" t="s">
        <v>553</v>
      </c>
      <c r="W769" s="495">
        <v>4</v>
      </c>
      <c r="X769" s="496" t="s">
        <v>1620</v>
      </c>
      <c r="Y769" s="486">
        <v>280</v>
      </c>
      <c r="Z769" s="487" t="s">
        <v>1620</v>
      </c>
      <c r="AA769" s="394">
        <v>2.2800000000000001E-2</v>
      </c>
      <c r="AB769" s="395" t="s">
        <v>553</v>
      </c>
      <c r="AC769" s="369"/>
    </row>
    <row r="770" spans="1:29" ht="20.100000000000001" customHeight="1" thickBot="1">
      <c r="A770" s="392" t="s">
        <v>1362</v>
      </c>
      <c r="B770" s="96" t="s">
        <v>2174</v>
      </c>
      <c r="C770" s="400">
        <f>COUNTIF('Chem Props'!$B$6:$B$851,'Parameters Summary'!A770)</f>
        <v>1</v>
      </c>
      <c r="D770" s="400">
        <f>COUNTIF('Tox Summary'!$N$3:$N$792, 'Parameters Summary'!A770)</f>
        <v>1</v>
      </c>
      <c r="E770" s="448" t="s">
        <v>1531</v>
      </c>
      <c r="F770" s="449" t="s">
        <v>1413</v>
      </c>
      <c r="G770" s="442" t="s">
        <v>1531</v>
      </c>
      <c r="H770" s="442" t="s">
        <v>1531</v>
      </c>
      <c r="I770" s="443" t="s">
        <v>1413</v>
      </c>
      <c r="J770" s="442" t="s">
        <v>1531</v>
      </c>
      <c r="K770" s="443" t="s">
        <v>1413</v>
      </c>
      <c r="L770" s="467" t="s">
        <v>1531</v>
      </c>
      <c r="M770" s="468" t="s">
        <v>1413</v>
      </c>
      <c r="N770" s="463" t="s">
        <v>1531</v>
      </c>
      <c r="O770" s="464" t="s">
        <v>1413</v>
      </c>
      <c r="P770" s="479" t="s">
        <v>1531</v>
      </c>
      <c r="Q770" s="479" t="s">
        <v>1531</v>
      </c>
      <c r="R770" s="480" t="s">
        <v>1413</v>
      </c>
      <c r="S770" s="477" t="s">
        <v>1531</v>
      </c>
      <c r="T770" s="478" t="s">
        <v>1413</v>
      </c>
      <c r="U770" s="477" t="s">
        <v>1531</v>
      </c>
      <c r="V770" s="478" t="s">
        <v>1413</v>
      </c>
      <c r="W770" s="499" t="s">
        <v>1531</v>
      </c>
      <c r="X770" s="500" t="s">
        <v>1413</v>
      </c>
      <c r="Y770" s="490" t="s">
        <v>1531</v>
      </c>
      <c r="Z770" s="491" t="s">
        <v>1413</v>
      </c>
      <c r="AA770" s="399" t="s">
        <v>1531</v>
      </c>
      <c r="AB770" s="505" t="s">
        <v>1413</v>
      </c>
      <c r="AC770" s="369"/>
    </row>
    <row r="771" spans="1:29" ht="20.100000000000001" customHeight="1">
      <c r="A771" s="390" t="s">
        <v>1363</v>
      </c>
      <c r="B771" s="391" t="s">
        <v>309</v>
      </c>
      <c r="C771" s="400">
        <f>COUNTIF('Chem Props'!$B$6:$B$851,'Parameters Summary'!A771)</f>
        <v>1</v>
      </c>
      <c r="D771" s="400">
        <f>COUNTIF('Tox Summary'!$N$3:$N$792, 'Parameters Summary'!A771)</f>
        <v>1</v>
      </c>
      <c r="E771" s="434">
        <v>596.08000000000004</v>
      </c>
      <c r="F771" s="435" t="s">
        <v>1620</v>
      </c>
      <c r="G771" s="436">
        <v>1.2300000000000001E-5</v>
      </c>
      <c r="H771" s="436">
        <v>3.0199999999999998E-7</v>
      </c>
      <c r="I771" s="437" t="s">
        <v>553</v>
      </c>
      <c r="J771" s="436">
        <v>7.5000000000000002E-6</v>
      </c>
      <c r="K771" s="437" t="s">
        <v>1620</v>
      </c>
      <c r="L771" s="453">
        <v>-45</v>
      </c>
      <c r="M771" s="454" t="s">
        <v>1620</v>
      </c>
      <c r="N771" s="455">
        <v>1.17</v>
      </c>
      <c r="O771" s="456" t="s">
        <v>1618</v>
      </c>
      <c r="P771" s="471">
        <v>1.5124800000000001E-2</v>
      </c>
      <c r="Q771" s="471">
        <v>3.6057999999999998E-6</v>
      </c>
      <c r="R771" s="472" t="s">
        <v>2435</v>
      </c>
      <c r="S771" s="473" t="s">
        <v>1531</v>
      </c>
      <c r="T771" s="474" t="s">
        <v>1413</v>
      </c>
      <c r="U771" s="484">
        <v>25930000</v>
      </c>
      <c r="V771" s="484" t="s">
        <v>553</v>
      </c>
      <c r="W771" s="495">
        <v>4.05</v>
      </c>
      <c r="X771" s="496" t="s">
        <v>1620</v>
      </c>
      <c r="Y771" s="486">
        <v>19.5</v>
      </c>
      <c r="Z771" s="487" t="s">
        <v>1620</v>
      </c>
      <c r="AA771" s="394">
        <v>2.52E-4</v>
      </c>
      <c r="AB771" s="395" t="s">
        <v>553</v>
      </c>
      <c r="AC771" s="369"/>
    </row>
    <row r="772" spans="1:29" ht="20.100000000000001" customHeight="1">
      <c r="A772" s="390" t="s">
        <v>1364</v>
      </c>
      <c r="B772" s="391" t="s">
        <v>310</v>
      </c>
      <c r="C772" s="400">
        <f>COUNTIF('Chem Props'!$B$6:$B$851,'Parameters Summary'!A772)</f>
        <v>1</v>
      </c>
      <c r="D772" s="400">
        <f>COUNTIF('Tox Summary'!$N$3:$N$792, 'Parameters Summary'!A772)</f>
        <v>1</v>
      </c>
      <c r="E772" s="434">
        <v>187.38</v>
      </c>
      <c r="F772" s="435" t="s">
        <v>1620</v>
      </c>
      <c r="G772" s="436">
        <v>21.504497000000001</v>
      </c>
      <c r="H772" s="436">
        <v>0.52600000000000002</v>
      </c>
      <c r="I772" s="437" t="s">
        <v>553</v>
      </c>
      <c r="J772" s="436">
        <v>362.5</v>
      </c>
      <c r="K772" s="437" t="s">
        <v>1620</v>
      </c>
      <c r="L772" s="453">
        <v>-35</v>
      </c>
      <c r="M772" s="454" t="s">
        <v>1620</v>
      </c>
      <c r="N772" s="455">
        <v>1.5634999999999999</v>
      </c>
      <c r="O772" s="456" t="s">
        <v>1618</v>
      </c>
      <c r="P772" s="471">
        <v>3.7565800000000003E-2</v>
      </c>
      <c r="Q772" s="471">
        <v>8.5920000000000001E-6</v>
      </c>
      <c r="R772" s="472" t="s">
        <v>2435</v>
      </c>
      <c r="S772" s="473" t="s">
        <v>1531</v>
      </c>
      <c r="T772" s="474" t="s">
        <v>1413</v>
      </c>
      <c r="U772" s="484">
        <v>196.8</v>
      </c>
      <c r="V772" s="484" t="s">
        <v>553</v>
      </c>
      <c r="W772" s="495">
        <v>3.16</v>
      </c>
      <c r="X772" s="496" t="s">
        <v>1620</v>
      </c>
      <c r="Y772" s="486">
        <v>170</v>
      </c>
      <c r="Z772" s="487" t="s">
        <v>1620</v>
      </c>
      <c r="AA772" s="394">
        <v>1.7500000000000002E-2</v>
      </c>
      <c r="AB772" s="395" t="s">
        <v>553</v>
      </c>
      <c r="AC772" s="369"/>
    </row>
    <row r="773" spans="1:29" ht="20.100000000000001" customHeight="1" thickBot="1">
      <c r="A773" s="392" t="s">
        <v>311</v>
      </c>
      <c r="B773" s="393" t="s">
        <v>312</v>
      </c>
      <c r="C773" s="400">
        <f>COUNTIF('Chem Props'!$B$6:$B$851,'Parameters Summary'!A773)</f>
        <v>1</v>
      </c>
      <c r="D773" s="400">
        <f>COUNTIF('Tox Summary'!$N$3:$N$792, 'Parameters Summary'!A773)</f>
        <v>1</v>
      </c>
      <c r="E773" s="438">
        <v>163.38999999999999</v>
      </c>
      <c r="F773" s="439" t="s">
        <v>1620</v>
      </c>
      <c r="G773" s="440">
        <v>5.5191999999999998E-7</v>
      </c>
      <c r="H773" s="440">
        <v>1.35E-8</v>
      </c>
      <c r="I773" s="441" t="s">
        <v>1620</v>
      </c>
      <c r="J773" s="440">
        <v>0.06</v>
      </c>
      <c r="K773" s="441" t="s">
        <v>553</v>
      </c>
      <c r="L773" s="457">
        <v>57.5</v>
      </c>
      <c r="M773" s="458" t="s">
        <v>1620</v>
      </c>
      <c r="N773" s="459">
        <v>1.6126</v>
      </c>
      <c r="O773" s="460" t="s">
        <v>1618</v>
      </c>
      <c r="P773" s="475">
        <v>5.1748799999999998E-2</v>
      </c>
      <c r="Q773" s="475">
        <v>9.5027999999999999E-6</v>
      </c>
      <c r="R773" s="476" t="s">
        <v>2435</v>
      </c>
      <c r="S773" s="477" t="s">
        <v>1531</v>
      </c>
      <c r="T773" s="478" t="s">
        <v>1413</v>
      </c>
      <c r="U773" s="481">
        <v>3.2309999999999999</v>
      </c>
      <c r="V773" s="481" t="s">
        <v>553</v>
      </c>
      <c r="W773" s="497">
        <v>1.33</v>
      </c>
      <c r="X773" s="498" t="s">
        <v>1620</v>
      </c>
      <c r="Y773" s="488">
        <v>54600</v>
      </c>
      <c r="Z773" s="489" t="s">
        <v>1620</v>
      </c>
      <c r="AA773" s="396">
        <v>1.4499999999999999E-3</v>
      </c>
      <c r="AB773" s="397" t="s">
        <v>553</v>
      </c>
      <c r="AC773" s="369"/>
    </row>
    <row r="774" spans="1:29" ht="20.100000000000001" customHeight="1">
      <c r="A774" s="390" t="s">
        <v>1365</v>
      </c>
      <c r="B774" s="391" t="s">
        <v>313</v>
      </c>
      <c r="C774" s="400">
        <f>COUNTIF('Chem Props'!$B$6:$B$851,'Parameters Summary'!A774)</f>
        <v>1</v>
      </c>
      <c r="D774" s="400">
        <f>COUNTIF('Tox Summary'!$N$3:$N$792, 'Parameters Summary'!A774)</f>
        <v>1</v>
      </c>
      <c r="E774" s="434">
        <v>232.93</v>
      </c>
      <c r="F774" s="435" t="s">
        <v>553</v>
      </c>
      <c r="G774" s="436">
        <v>2.9349999999999999E-12</v>
      </c>
      <c r="H774" s="436">
        <v>7.1799999999999994E-14</v>
      </c>
      <c r="I774" s="437" t="s">
        <v>553</v>
      </c>
      <c r="J774" s="436">
        <v>6.13E-8</v>
      </c>
      <c r="K774" s="437" t="s">
        <v>553</v>
      </c>
      <c r="L774" s="453">
        <v>176.57</v>
      </c>
      <c r="M774" s="454" t="s">
        <v>553</v>
      </c>
      <c r="N774" s="461" t="s">
        <v>1531</v>
      </c>
      <c r="O774" s="462" t="s">
        <v>1413</v>
      </c>
      <c r="P774" s="471">
        <v>5.0188400000000001E-2</v>
      </c>
      <c r="Q774" s="471">
        <v>5.8641000000000003E-6</v>
      </c>
      <c r="R774" s="472" t="s">
        <v>2435</v>
      </c>
      <c r="S774" s="473" t="s">
        <v>1531</v>
      </c>
      <c r="T774" s="474" t="s">
        <v>1413</v>
      </c>
      <c r="U774" s="484">
        <v>1271</v>
      </c>
      <c r="V774" s="484" t="s">
        <v>553</v>
      </c>
      <c r="W774" s="495">
        <v>-0.67</v>
      </c>
      <c r="X774" s="496" t="s">
        <v>553</v>
      </c>
      <c r="Y774" s="486">
        <v>20.963999999999999</v>
      </c>
      <c r="Z774" s="487" t="s">
        <v>553</v>
      </c>
      <c r="AA774" s="394">
        <v>2.76E-5</v>
      </c>
      <c r="AB774" s="395" t="s">
        <v>553</v>
      </c>
      <c r="AC774" s="369"/>
    </row>
    <row r="775" spans="1:29" ht="20.100000000000001" customHeight="1">
      <c r="A775" s="390" t="s">
        <v>1366</v>
      </c>
      <c r="B775" s="391" t="s">
        <v>314</v>
      </c>
      <c r="C775" s="400">
        <f>COUNTIF('Chem Props'!$B$6:$B$851,'Parameters Summary'!A775)</f>
        <v>1</v>
      </c>
      <c r="D775" s="400">
        <f>COUNTIF('Tox Summary'!$N$3:$N$792, 'Parameters Summary'!A775)</f>
        <v>1</v>
      </c>
      <c r="E775" s="434">
        <v>196.46</v>
      </c>
      <c r="F775" s="435" t="s">
        <v>1620</v>
      </c>
      <c r="G775" s="436">
        <v>5.4799999999999997E-5</v>
      </c>
      <c r="H775" s="436">
        <v>1.3400000000000001E-6</v>
      </c>
      <c r="I775" s="437" t="s">
        <v>1620</v>
      </c>
      <c r="J775" s="436">
        <v>4.4400000000000004E-3</v>
      </c>
      <c r="K775" s="437" t="s">
        <v>1620</v>
      </c>
      <c r="L775" s="453">
        <v>78.5</v>
      </c>
      <c r="M775" s="454" t="s">
        <v>1620</v>
      </c>
      <c r="N775" s="461" t="s">
        <v>1531</v>
      </c>
      <c r="O775" s="462" t="s">
        <v>1413</v>
      </c>
      <c r="P775" s="471">
        <v>5.6221699999999999E-2</v>
      </c>
      <c r="Q775" s="471">
        <v>6.5691000000000003E-6</v>
      </c>
      <c r="R775" s="472" t="s">
        <v>2435</v>
      </c>
      <c r="S775" s="473" t="s">
        <v>1531</v>
      </c>
      <c r="T775" s="474" t="s">
        <v>1413</v>
      </c>
      <c r="U775" s="484">
        <v>4440</v>
      </c>
      <c r="V775" s="484" t="s">
        <v>553</v>
      </c>
      <c r="W775" s="495">
        <v>3.52</v>
      </c>
      <c r="X775" s="496" t="s">
        <v>1620</v>
      </c>
      <c r="Y775" s="486">
        <v>40</v>
      </c>
      <c r="Z775" s="487" t="s">
        <v>1620</v>
      </c>
      <c r="AA775" s="394">
        <v>2.7E-2</v>
      </c>
      <c r="AB775" s="395" t="s">
        <v>553</v>
      </c>
      <c r="AC775" s="369"/>
    </row>
    <row r="776" spans="1:29" ht="20.100000000000001" customHeight="1" thickBot="1">
      <c r="A776" s="392" t="s">
        <v>621</v>
      </c>
      <c r="B776" s="393" t="s">
        <v>315</v>
      </c>
      <c r="C776" s="400">
        <f>COUNTIF('Chem Props'!$B$6:$B$851,'Parameters Summary'!A776)</f>
        <v>1</v>
      </c>
      <c r="D776" s="400">
        <f>COUNTIF('Tox Summary'!$N$3:$N$792, 'Parameters Summary'!A776)</f>
        <v>1</v>
      </c>
      <c r="E776" s="438">
        <v>181.45</v>
      </c>
      <c r="F776" s="439" t="s">
        <v>1620</v>
      </c>
      <c r="G776" s="440">
        <v>5.1103799999999998E-2</v>
      </c>
      <c r="H776" s="440">
        <v>1.25E-3</v>
      </c>
      <c r="I776" s="441" t="s">
        <v>1620</v>
      </c>
      <c r="J776" s="440">
        <v>0.21</v>
      </c>
      <c r="K776" s="441" t="s">
        <v>1620</v>
      </c>
      <c r="L776" s="457">
        <v>53.5</v>
      </c>
      <c r="M776" s="458" t="s">
        <v>1620</v>
      </c>
      <c r="N776" s="459">
        <v>1.4533</v>
      </c>
      <c r="O776" s="460" t="s">
        <v>1618</v>
      </c>
      <c r="P776" s="475">
        <v>3.9530000000000003E-2</v>
      </c>
      <c r="Q776" s="475">
        <v>8.3836000000000005E-6</v>
      </c>
      <c r="R776" s="476" t="s">
        <v>2435</v>
      </c>
      <c r="S776" s="477" t="s">
        <v>1531</v>
      </c>
      <c r="T776" s="478" t="s">
        <v>1413</v>
      </c>
      <c r="U776" s="481">
        <v>1383</v>
      </c>
      <c r="V776" s="481" t="s">
        <v>553</v>
      </c>
      <c r="W776" s="497">
        <v>4.05</v>
      </c>
      <c r="X776" s="498" t="s">
        <v>1620</v>
      </c>
      <c r="Y776" s="488">
        <v>18</v>
      </c>
      <c r="Z776" s="489" t="s">
        <v>1620</v>
      </c>
      <c r="AA776" s="396">
        <v>7.3800000000000004E-2</v>
      </c>
      <c r="AB776" s="397" t="s">
        <v>553</v>
      </c>
      <c r="AC776" s="369"/>
    </row>
    <row r="777" spans="1:29" ht="20.100000000000001" customHeight="1">
      <c r="A777" s="390" t="s">
        <v>1367</v>
      </c>
      <c r="B777" s="391" t="s">
        <v>316</v>
      </c>
      <c r="C777" s="400">
        <f>COUNTIF('Chem Props'!$B$6:$B$851,'Parameters Summary'!A777)</f>
        <v>1</v>
      </c>
      <c r="D777" s="400">
        <f>COUNTIF('Tox Summary'!$N$3:$N$792, 'Parameters Summary'!A777)</f>
        <v>1</v>
      </c>
      <c r="E777" s="434">
        <v>181.45</v>
      </c>
      <c r="F777" s="435" t="s">
        <v>1620</v>
      </c>
      <c r="G777" s="436">
        <v>5.8054000000000001E-2</v>
      </c>
      <c r="H777" s="436">
        <v>1.42E-3</v>
      </c>
      <c r="I777" s="437" t="s">
        <v>1620</v>
      </c>
      <c r="J777" s="436">
        <v>0.46</v>
      </c>
      <c r="K777" s="437" t="s">
        <v>1620</v>
      </c>
      <c r="L777" s="453">
        <v>17</v>
      </c>
      <c r="M777" s="454" t="s">
        <v>1620</v>
      </c>
      <c r="N777" s="455">
        <v>1.4590000000000001</v>
      </c>
      <c r="O777" s="456" t="s">
        <v>1618</v>
      </c>
      <c r="P777" s="471">
        <v>3.9599200000000001E-2</v>
      </c>
      <c r="Q777" s="471">
        <v>8.4032999999999997E-6</v>
      </c>
      <c r="R777" s="472" t="s">
        <v>2435</v>
      </c>
      <c r="S777" s="473" t="s">
        <v>1531</v>
      </c>
      <c r="T777" s="474" t="s">
        <v>1413</v>
      </c>
      <c r="U777" s="484">
        <v>1356</v>
      </c>
      <c r="V777" s="484" t="s">
        <v>553</v>
      </c>
      <c r="W777" s="495">
        <v>4.0199999999999996</v>
      </c>
      <c r="X777" s="496" t="s">
        <v>1620</v>
      </c>
      <c r="Y777" s="486">
        <v>49</v>
      </c>
      <c r="Z777" s="487" t="s">
        <v>1620</v>
      </c>
      <c r="AA777" s="394">
        <v>7.0499999999999993E-2</v>
      </c>
      <c r="AB777" s="395" t="s">
        <v>553</v>
      </c>
      <c r="AC777" s="369"/>
    </row>
    <row r="778" spans="1:29" ht="20.100000000000001" customHeight="1">
      <c r="A778" s="390" t="s">
        <v>442</v>
      </c>
      <c r="B778" s="391" t="s">
        <v>317</v>
      </c>
      <c r="C778" s="400">
        <f>COUNTIF('Chem Props'!$B$6:$B$851,'Parameters Summary'!A778)</f>
        <v>1</v>
      </c>
      <c r="D778" s="400">
        <f>COUNTIF('Tox Summary'!$N$3:$N$792, 'Parameters Summary'!A778)</f>
        <v>1</v>
      </c>
      <c r="E778" s="434">
        <v>133.41</v>
      </c>
      <c r="F778" s="435" t="s">
        <v>1620</v>
      </c>
      <c r="G778" s="436">
        <v>0.70318890000000001</v>
      </c>
      <c r="H778" s="436">
        <v>1.72E-2</v>
      </c>
      <c r="I778" s="437" t="s">
        <v>1620</v>
      </c>
      <c r="J778" s="436">
        <v>124</v>
      </c>
      <c r="K778" s="437" t="s">
        <v>1620</v>
      </c>
      <c r="L778" s="453">
        <v>-30.41</v>
      </c>
      <c r="M778" s="454" t="s">
        <v>1620</v>
      </c>
      <c r="N778" s="455">
        <v>1.339</v>
      </c>
      <c r="O778" s="456" t="s">
        <v>1618</v>
      </c>
      <c r="P778" s="471">
        <v>6.4817399999999997E-2</v>
      </c>
      <c r="Q778" s="471">
        <v>9.5990000000000008E-6</v>
      </c>
      <c r="R778" s="472" t="s">
        <v>2435</v>
      </c>
      <c r="S778" s="473" t="s">
        <v>1531</v>
      </c>
      <c r="T778" s="474" t="s">
        <v>1413</v>
      </c>
      <c r="U778" s="484">
        <v>43.89</v>
      </c>
      <c r="V778" s="484" t="s">
        <v>553</v>
      </c>
      <c r="W778" s="495">
        <v>2.4900000000000002</v>
      </c>
      <c r="X778" s="496" t="s">
        <v>1620</v>
      </c>
      <c r="Y778" s="486">
        <v>1290</v>
      </c>
      <c r="Z778" s="487" t="s">
        <v>1620</v>
      </c>
      <c r="AA778" s="394">
        <v>1.26E-2</v>
      </c>
      <c r="AB778" s="395" t="s">
        <v>553</v>
      </c>
      <c r="AC778" s="369"/>
    </row>
    <row r="779" spans="1:29" ht="20.100000000000001" customHeight="1" thickBot="1">
      <c r="A779" s="392" t="s">
        <v>1368</v>
      </c>
      <c r="B779" s="393" t="s">
        <v>318</v>
      </c>
      <c r="C779" s="400">
        <f>COUNTIF('Chem Props'!$B$6:$B$851,'Parameters Summary'!A779)</f>
        <v>1</v>
      </c>
      <c r="D779" s="400">
        <f>COUNTIF('Tox Summary'!$N$3:$N$792, 'Parameters Summary'!A779)</f>
        <v>1</v>
      </c>
      <c r="E779" s="438">
        <v>133.41</v>
      </c>
      <c r="F779" s="439" t="s">
        <v>1620</v>
      </c>
      <c r="G779" s="440">
        <v>3.3687700000000001E-2</v>
      </c>
      <c r="H779" s="440">
        <v>8.2399999999999997E-4</v>
      </c>
      <c r="I779" s="441" t="s">
        <v>1620</v>
      </c>
      <c r="J779" s="440">
        <v>23</v>
      </c>
      <c r="K779" s="441" t="s">
        <v>1620</v>
      </c>
      <c r="L779" s="457">
        <v>-36.6</v>
      </c>
      <c r="M779" s="458" t="s">
        <v>1620</v>
      </c>
      <c r="N779" s="459">
        <v>1.4397</v>
      </c>
      <c r="O779" s="460" t="s">
        <v>1618</v>
      </c>
      <c r="P779" s="475">
        <v>6.6890400000000003E-2</v>
      </c>
      <c r="Q779" s="475">
        <v>1.0000000000000001E-5</v>
      </c>
      <c r="R779" s="476" t="s">
        <v>2435</v>
      </c>
      <c r="S779" s="477" t="s">
        <v>1531</v>
      </c>
      <c r="T779" s="478" t="s">
        <v>1413</v>
      </c>
      <c r="U779" s="481">
        <v>60.7</v>
      </c>
      <c r="V779" s="481" t="s">
        <v>553</v>
      </c>
      <c r="W779" s="497">
        <v>1.89</v>
      </c>
      <c r="X779" s="498" t="s">
        <v>1620</v>
      </c>
      <c r="Y779" s="488">
        <v>4590</v>
      </c>
      <c r="Z779" s="489" t="s">
        <v>1620</v>
      </c>
      <c r="AA779" s="396">
        <v>5.0400000000000002E-3</v>
      </c>
      <c r="AB779" s="397" t="s">
        <v>553</v>
      </c>
      <c r="AC779" s="369"/>
    </row>
    <row r="780" spans="1:29" ht="20.100000000000001" customHeight="1">
      <c r="A780" s="390" t="s">
        <v>400</v>
      </c>
      <c r="B780" s="391" t="s">
        <v>319</v>
      </c>
      <c r="C780" s="400">
        <f>COUNTIF('Chem Props'!$B$6:$B$851,'Parameters Summary'!A780)</f>
        <v>1</v>
      </c>
      <c r="D780" s="400">
        <f>COUNTIF('Tox Summary'!$N$3:$N$792, 'Parameters Summary'!A780)</f>
        <v>1</v>
      </c>
      <c r="E780" s="434">
        <v>131.38999999999999</v>
      </c>
      <c r="F780" s="435" t="s">
        <v>1620</v>
      </c>
      <c r="G780" s="436">
        <v>0.40269830000000001</v>
      </c>
      <c r="H780" s="436">
        <v>9.8499999999999994E-3</v>
      </c>
      <c r="I780" s="437" t="s">
        <v>1620</v>
      </c>
      <c r="J780" s="436">
        <v>69</v>
      </c>
      <c r="K780" s="437" t="s">
        <v>1620</v>
      </c>
      <c r="L780" s="453">
        <v>-84.7</v>
      </c>
      <c r="M780" s="454" t="s">
        <v>1620</v>
      </c>
      <c r="N780" s="455">
        <v>1.4641999999999999</v>
      </c>
      <c r="O780" s="456" t="s">
        <v>1618</v>
      </c>
      <c r="P780" s="471">
        <v>6.8661799999999995E-2</v>
      </c>
      <c r="Q780" s="471">
        <v>1.0200000000000001E-5</v>
      </c>
      <c r="R780" s="472" t="s">
        <v>2435</v>
      </c>
      <c r="S780" s="473" t="s">
        <v>1531</v>
      </c>
      <c r="T780" s="474" t="s">
        <v>1413</v>
      </c>
      <c r="U780" s="484">
        <v>60.7</v>
      </c>
      <c r="V780" s="484" t="s">
        <v>553</v>
      </c>
      <c r="W780" s="495">
        <v>2.42</v>
      </c>
      <c r="X780" s="496" t="s">
        <v>1620</v>
      </c>
      <c r="Y780" s="486">
        <v>1280</v>
      </c>
      <c r="Z780" s="487" t="s">
        <v>1620</v>
      </c>
      <c r="AA780" s="394">
        <v>1.1599999999999999E-2</v>
      </c>
      <c r="AB780" s="395" t="s">
        <v>553</v>
      </c>
      <c r="AC780" s="369"/>
    </row>
    <row r="781" spans="1:29" ht="30">
      <c r="A781" s="390" t="s">
        <v>378</v>
      </c>
      <c r="B781" s="391" t="s">
        <v>320</v>
      </c>
      <c r="C781" s="400">
        <f>COUNTIF('Chem Props'!$B$6:$B$851,'Parameters Summary'!A781)</f>
        <v>1</v>
      </c>
      <c r="D781" s="400">
        <f>COUNTIF('Tox Summary'!$N$3:$N$792, 'Parameters Summary'!A781)</f>
        <v>1</v>
      </c>
      <c r="E781" s="434">
        <v>137.37</v>
      </c>
      <c r="F781" s="435" t="s">
        <v>1620</v>
      </c>
      <c r="G781" s="436">
        <v>3.9656582</v>
      </c>
      <c r="H781" s="436">
        <v>9.7000000000000003E-2</v>
      </c>
      <c r="I781" s="437" t="s">
        <v>1620</v>
      </c>
      <c r="J781" s="436">
        <v>802.8</v>
      </c>
      <c r="K781" s="437" t="s">
        <v>1620</v>
      </c>
      <c r="L781" s="453">
        <v>-111.1</v>
      </c>
      <c r="M781" s="454" t="s">
        <v>1620</v>
      </c>
      <c r="N781" s="455">
        <v>1.4879</v>
      </c>
      <c r="O781" s="456" t="s">
        <v>1618</v>
      </c>
      <c r="P781" s="471">
        <v>6.5355999999999997E-2</v>
      </c>
      <c r="Q781" s="471">
        <v>1.0000000000000001E-5</v>
      </c>
      <c r="R781" s="472" t="s">
        <v>2435</v>
      </c>
      <c r="S781" s="473" t="s">
        <v>1531</v>
      </c>
      <c r="T781" s="474" t="s">
        <v>1413</v>
      </c>
      <c r="U781" s="484">
        <v>43.89</v>
      </c>
      <c r="V781" s="484" t="s">
        <v>553</v>
      </c>
      <c r="W781" s="495">
        <v>2.5299999999999998</v>
      </c>
      <c r="X781" s="496" t="s">
        <v>1620</v>
      </c>
      <c r="Y781" s="486">
        <v>1100</v>
      </c>
      <c r="Z781" s="487" t="s">
        <v>1620</v>
      </c>
      <c r="AA781" s="394">
        <v>1.2699999999999999E-2</v>
      </c>
      <c r="AB781" s="395" t="s">
        <v>553</v>
      </c>
      <c r="AC781" s="369"/>
    </row>
    <row r="782" spans="1:29" ht="30.6" thickBot="1">
      <c r="A782" s="392" t="s">
        <v>1369</v>
      </c>
      <c r="B782" s="393" t="s">
        <v>321</v>
      </c>
      <c r="C782" s="400">
        <f>COUNTIF('Chem Props'!$B$6:$B$851,'Parameters Summary'!A782)</f>
        <v>1</v>
      </c>
      <c r="D782" s="400">
        <f>COUNTIF('Tox Summary'!$N$3:$N$792, 'Parameters Summary'!A782)</f>
        <v>1</v>
      </c>
      <c r="E782" s="438">
        <v>197.45</v>
      </c>
      <c r="F782" s="439" t="s">
        <v>1620</v>
      </c>
      <c r="G782" s="440">
        <v>6.6199999999999996E-5</v>
      </c>
      <c r="H782" s="440">
        <v>1.6199999999999999E-6</v>
      </c>
      <c r="I782" s="441" t="s">
        <v>553</v>
      </c>
      <c r="J782" s="440">
        <v>7.4999999999999997E-3</v>
      </c>
      <c r="K782" s="441" t="s">
        <v>553</v>
      </c>
      <c r="L782" s="457">
        <v>69</v>
      </c>
      <c r="M782" s="458" t="s">
        <v>1620</v>
      </c>
      <c r="N782" s="459">
        <v>1.49</v>
      </c>
      <c r="O782" s="460" t="s">
        <v>1621</v>
      </c>
      <c r="P782" s="475">
        <v>3.1393799999999999E-2</v>
      </c>
      <c r="Q782" s="475">
        <v>8.0893000000000006E-6</v>
      </c>
      <c r="R782" s="476" t="s">
        <v>2435</v>
      </c>
      <c r="S782" s="477" t="s">
        <v>1531</v>
      </c>
      <c r="T782" s="478" t="s">
        <v>1413</v>
      </c>
      <c r="U782" s="481">
        <v>1597</v>
      </c>
      <c r="V782" s="481" t="s">
        <v>557</v>
      </c>
      <c r="W782" s="497">
        <v>3.72</v>
      </c>
      <c r="X782" s="498" t="s">
        <v>1620</v>
      </c>
      <c r="Y782" s="488">
        <v>1200</v>
      </c>
      <c r="Z782" s="489" t="s">
        <v>1620</v>
      </c>
      <c r="AA782" s="396">
        <v>3.6200000000000003E-2</v>
      </c>
      <c r="AB782" s="397" t="s">
        <v>553</v>
      </c>
      <c r="AC782" s="369"/>
    </row>
    <row r="783" spans="1:29" ht="30">
      <c r="A783" s="390" t="s">
        <v>1370</v>
      </c>
      <c r="B783" s="391" t="s">
        <v>322</v>
      </c>
      <c r="C783" s="400">
        <f>COUNTIF('Chem Props'!$B$6:$B$851,'Parameters Summary'!A783)</f>
        <v>1</v>
      </c>
      <c r="D783" s="400">
        <f>COUNTIF('Tox Summary'!$N$3:$N$792, 'Parameters Summary'!A783)</f>
        <v>1</v>
      </c>
      <c r="E783" s="434">
        <v>197.45</v>
      </c>
      <c r="F783" s="435" t="s">
        <v>1620</v>
      </c>
      <c r="G783" s="436">
        <v>1.063E-4</v>
      </c>
      <c r="H783" s="436">
        <v>2.6000000000000001E-6</v>
      </c>
      <c r="I783" s="437" t="s">
        <v>553</v>
      </c>
      <c r="J783" s="436">
        <v>8.0000000000000002E-3</v>
      </c>
      <c r="K783" s="437" t="s">
        <v>553</v>
      </c>
      <c r="L783" s="453">
        <v>69</v>
      </c>
      <c r="M783" s="454" t="s">
        <v>1620</v>
      </c>
      <c r="N783" s="455">
        <v>1.4901</v>
      </c>
      <c r="O783" s="456" t="s">
        <v>1618</v>
      </c>
      <c r="P783" s="471">
        <v>3.13948E-2</v>
      </c>
      <c r="Q783" s="471">
        <v>8.0895999999999996E-6</v>
      </c>
      <c r="R783" s="472" t="s">
        <v>2435</v>
      </c>
      <c r="S783" s="473" t="s">
        <v>1531</v>
      </c>
      <c r="T783" s="474" t="s">
        <v>1413</v>
      </c>
      <c r="U783" s="484">
        <v>381</v>
      </c>
      <c r="V783" s="484" t="s">
        <v>557</v>
      </c>
      <c r="W783" s="495">
        <v>3.69</v>
      </c>
      <c r="X783" s="496" t="s">
        <v>1620</v>
      </c>
      <c r="Y783" s="486">
        <v>800</v>
      </c>
      <c r="Z783" s="487" t="s">
        <v>1620</v>
      </c>
      <c r="AA783" s="394">
        <v>3.4599999999999999E-2</v>
      </c>
      <c r="AB783" s="395" t="s">
        <v>553</v>
      </c>
      <c r="AC783" s="369"/>
    </row>
    <row r="784" spans="1:29" ht="30">
      <c r="A784" s="390" t="s">
        <v>1371</v>
      </c>
      <c r="B784" s="391" t="s">
        <v>323</v>
      </c>
      <c r="C784" s="400">
        <f>COUNTIF('Chem Props'!$B$6:$B$851,'Parameters Summary'!A784)</f>
        <v>1</v>
      </c>
      <c r="D784" s="400">
        <f>COUNTIF('Tox Summary'!$N$3:$N$792, 'Parameters Summary'!A784)</f>
        <v>1</v>
      </c>
      <c r="E784" s="434">
        <v>255.49</v>
      </c>
      <c r="F784" s="435" t="s">
        <v>1620</v>
      </c>
      <c r="G784" s="436">
        <v>3.5487E-7</v>
      </c>
      <c r="H784" s="436">
        <v>8.6800000000000006E-9</v>
      </c>
      <c r="I784" s="437" t="s">
        <v>1620</v>
      </c>
      <c r="J784" s="436">
        <v>3.7499999999999997E-5</v>
      </c>
      <c r="K784" s="437" t="s">
        <v>553</v>
      </c>
      <c r="L784" s="453">
        <v>153</v>
      </c>
      <c r="M784" s="454" t="s">
        <v>1620</v>
      </c>
      <c r="N784" s="455">
        <v>1.8</v>
      </c>
      <c r="O784" s="456" t="s">
        <v>2199</v>
      </c>
      <c r="P784" s="471">
        <v>2.8885299999999999E-2</v>
      </c>
      <c r="Q784" s="471">
        <v>7.7626999999999994E-6</v>
      </c>
      <c r="R784" s="472" t="s">
        <v>2435</v>
      </c>
      <c r="S784" s="473" t="s">
        <v>1531</v>
      </c>
      <c r="T784" s="474" t="s">
        <v>1413</v>
      </c>
      <c r="U784" s="484">
        <v>107</v>
      </c>
      <c r="V784" s="484" t="s">
        <v>553</v>
      </c>
      <c r="W784" s="495">
        <v>3.31</v>
      </c>
      <c r="X784" s="496" t="s">
        <v>1620</v>
      </c>
      <c r="Y784" s="486">
        <v>278</v>
      </c>
      <c r="Z784" s="487" t="s">
        <v>1620</v>
      </c>
      <c r="AA784" s="394">
        <v>9.1400000000000006E-3</v>
      </c>
      <c r="AB784" s="395" t="s">
        <v>553</v>
      </c>
      <c r="AC784" s="369"/>
    </row>
    <row r="785" spans="1:29" ht="30.6" thickBot="1">
      <c r="A785" s="392" t="s">
        <v>622</v>
      </c>
      <c r="B785" s="393" t="s">
        <v>324</v>
      </c>
      <c r="C785" s="400">
        <f>COUNTIF('Chem Props'!$B$6:$B$851,'Parameters Summary'!A785)</f>
        <v>1</v>
      </c>
      <c r="D785" s="400">
        <f>COUNTIF('Tox Summary'!$N$3:$N$792, 'Parameters Summary'!A785)</f>
        <v>1</v>
      </c>
      <c r="E785" s="438">
        <v>269.51</v>
      </c>
      <c r="F785" s="439" t="s">
        <v>1620</v>
      </c>
      <c r="G785" s="440">
        <v>3.7039999999999998E-7</v>
      </c>
      <c r="H785" s="440">
        <v>9.0599999999999997E-9</v>
      </c>
      <c r="I785" s="441" t="s">
        <v>1620</v>
      </c>
      <c r="J785" s="440">
        <v>9.9699999999999994E-6</v>
      </c>
      <c r="K785" s="441" t="s">
        <v>1620</v>
      </c>
      <c r="L785" s="457">
        <v>181.6</v>
      </c>
      <c r="M785" s="458" t="s">
        <v>1620</v>
      </c>
      <c r="N785" s="459">
        <v>1.2084999999999999</v>
      </c>
      <c r="O785" s="460" t="s">
        <v>2199</v>
      </c>
      <c r="P785" s="475">
        <v>2.3358500000000001E-2</v>
      </c>
      <c r="Q785" s="475">
        <v>5.9193999999999996E-6</v>
      </c>
      <c r="R785" s="476" t="s">
        <v>2435</v>
      </c>
      <c r="S785" s="477" t="s">
        <v>1531</v>
      </c>
      <c r="T785" s="478" t="s">
        <v>1413</v>
      </c>
      <c r="U785" s="481">
        <v>175.3</v>
      </c>
      <c r="V785" s="481" t="s">
        <v>553</v>
      </c>
      <c r="W785" s="497">
        <v>3.8</v>
      </c>
      <c r="X785" s="498" t="s">
        <v>1620</v>
      </c>
      <c r="Y785" s="488">
        <v>71</v>
      </c>
      <c r="Z785" s="489" t="s">
        <v>1620</v>
      </c>
      <c r="AA785" s="396">
        <v>1.61E-2</v>
      </c>
      <c r="AB785" s="397" t="s">
        <v>553</v>
      </c>
      <c r="AC785" s="369"/>
    </row>
    <row r="786" spans="1:29" ht="30">
      <c r="A786" s="390" t="s">
        <v>1372</v>
      </c>
      <c r="B786" s="391" t="s">
        <v>325</v>
      </c>
      <c r="C786" s="400">
        <f>COUNTIF('Chem Props'!$B$6:$B$851,'Parameters Summary'!A786)</f>
        <v>1</v>
      </c>
      <c r="D786" s="400">
        <f>COUNTIF('Tox Summary'!$N$3:$N$792, 'Parameters Summary'!A786)</f>
        <v>1</v>
      </c>
      <c r="E786" s="434">
        <v>147.43</v>
      </c>
      <c r="F786" s="435" t="s">
        <v>1620</v>
      </c>
      <c r="G786" s="436">
        <v>1.29599E-2</v>
      </c>
      <c r="H786" s="436">
        <v>3.1700000000000001E-4</v>
      </c>
      <c r="I786" s="437" t="s">
        <v>553</v>
      </c>
      <c r="J786" s="436">
        <v>3.0979999999999999</v>
      </c>
      <c r="K786" s="437" t="s">
        <v>1620</v>
      </c>
      <c r="L786" s="453">
        <v>-65.45</v>
      </c>
      <c r="M786" s="454" t="s">
        <v>553</v>
      </c>
      <c r="N786" s="455">
        <v>1.3720000000000001</v>
      </c>
      <c r="O786" s="456" t="s">
        <v>1618</v>
      </c>
      <c r="P786" s="471">
        <v>5.7157699999999999E-2</v>
      </c>
      <c r="Q786" s="471">
        <v>9.1734999999999995E-6</v>
      </c>
      <c r="R786" s="472" t="s">
        <v>2435</v>
      </c>
      <c r="S786" s="473" t="s">
        <v>1531</v>
      </c>
      <c r="T786" s="474" t="s">
        <v>1413</v>
      </c>
      <c r="U786" s="484">
        <v>94.94</v>
      </c>
      <c r="V786" s="484" t="s">
        <v>553</v>
      </c>
      <c r="W786" s="495">
        <v>2.4300000000000002</v>
      </c>
      <c r="X786" s="496" t="s">
        <v>1620</v>
      </c>
      <c r="Y786" s="486">
        <v>1900</v>
      </c>
      <c r="Z786" s="487" t="s">
        <v>1620</v>
      </c>
      <c r="AA786" s="394">
        <v>9.5999999999999992E-3</v>
      </c>
      <c r="AB786" s="395" t="s">
        <v>553</v>
      </c>
      <c r="AC786" s="369"/>
    </row>
    <row r="787" spans="1:29" ht="30">
      <c r="A787" s="390" t="s">
        <v>1373</v>
      </c>
      <c r="B787" s="391" t="s">
        <v>326</v>
      </c>
      <c r="C787" s="400">
        <f>COUNTIF('Chem Props'!$B$6:$B$851,'Parameters Summary'!A787)</f>
        <v>1</v>
      </c>
      <c r="D787" s="400">
        <f>COUNTIF('Tox Summary'!$N$3:$N$792, 'Parameters Summary'!A787)</f>
        <v>1</v>
      </c>
      <c r="E787" s="434">
        <v>147.43</v>
      </c>
      <c r="F787" s="435" t="s">
        <v>1620</v>
      </c>
      <c r="G787" s="436">
        <v>1.40229E-2</v>
      </c>
      <c r="H787" s="436">
        <v>3.4299999999999999E-4</v>
      </c>
      <c r="I787" s="437" t="s">
        <v>1620</v>
      </c>
      <c r="J787" s="436">
        <v>3.69</v>
      </c>
      <c r="K787" s="437" t="s">
        <v>1620</v>
      </c>
      <c r="L787" s="453">
        <v>-14.7</v>
      </c>
      <c r="M787" s="454" t="s">
        <v>1620</v>
      </c>
      <c r="N787" s="455">
        <v>1.3889</v>
      </c>
      <c r="O787" s="456" t="s">
        <v>1618</v>
      </c>
      <c r="P787" s="471">
        <v>5.7466099999999999E-2</v>
      </c>
      <c r="Q787" s="471">
        <v>9.2411000000000003E-6</v>
      </c>
      <c r="R787" s="472" t="s">
        <v>2435</v>
      </c>
      <c r="S787" s="473" t="s">
        <v>1531</v>
      </c>
      <c r="T787" s="474" t="s">
        <v>1413</v>
      </c>
      <c r="U787" s="484">
        <v>115.8</v>
      </c>
      <c r="V787" s="484" t="s">
        <v>553</v>
      </c>
      <c r="W787" s="495">
        <v>2.27</v>
      </c>
      <c r="X787" s="496" t="s">
        <v>1620</v>
      </c>
      <c r="Y787" s="486">
        <v>1750</v>
      </c>
      <c r="Z787" s="487" t="s">
        <v>1620</v>
      </c>
      <c r="AA787" s="394">
        <v>7.5199999999999998E-3</v>
      </c>
      <c r="AB787" s="395" t="s">
        <v>553</v>
      </c>
      <c r="AC787" s="369"/>
    </row>
    <row r="788" spans="1:29" ht="30.6" thickBot="1">
      <c r="A788" s="392" t="s">
        <v>544</v>
      </c>
      <c r="B788" s="393" t="s">
        <v>327</v>
      </c>
      <c r="C788" s="400">
        <f>COUNTIF('Chem Props'!$B$6:$B$851,'Parameters Summary'!A788)</f>
        <v>1</v>
      </c>
      <c r="D788" s="400">
        <f>COUNTIF('Tox Summary'!$N$3:$N$792, 'Parameters Summary'!A788)</f>
        <v>1</v>
      </c>
      <c r="E788" s="438">
        <v>145.41999999999999</v>
      </c>
      <c r="F788" s="439" t="s">
        <v>1620</v>
      </c>
      <c r="G788" s="440">
        <v>0.71954209999999996</v>
      </c>
      <c r="H788" s="440">
        <v>1.7600000000000001E-2</v>
      </c>
      <c r="I788" s="441" t="s">
        <v>1620</v>
      </c>
      <c r="J788" s="440">
        <v>4.4000000000000004</v>
      </c>
      <c r="K788" s="441" t="s">
        <v>1620</v>
      </c>
      <c r="L788" s="457">
        <v>-56.49</v>
      </c>
      <c r="M788" s="458" t="s">
        <v>553</v>
      </c>
      <c r="N788" s="459">
        <v>1.4119999999999999</v>
      </c>
      <c r="O788" s="460" t="s">
        <v>1618</v>
      </c>
      <c r="P788" s="475">
        <v>5.9063200000000003E-2</v>
      </c>
      <c r="Q788" s="475">
        <v>9.4102000000000001E-6</v>
      </c>
      <c r="R788" s="476" t="s">
        <v>2435</v>
      </c>
      <c r="S788" s="477" t="s">
        <v>1531</v>
      </c>
      <c r="T788" s="478" t="s">
        <v>1413</v>
      </c>
      <c r="U788" s="481">
        <v>115.8</v>
      </c>
      <c r="V788" s="481" t="s">
        <v>553</v>
      </c>
      <c r="W788" s="497">
        <v>2.78</v>
      </c>
      <c r="X788" s="498" t="s">
        <v>1620</v>
      </c>
      <c r="Y788" s="488">
        <v>334.2</v>
      </c>
      <c r="Z788" s="489" t="s">
        <v>1620</v>
      </c>
      <c r="AA788" s="396">
        <v>1.6899999999999998E-2</v>
      </c>
      <c r="AB788" s="397" t="s">
        <v>553</v>
      </c>
      <c r="AC788" s="369"/>
    </row>
    <row r="789" spans="1:29" ht="30">
      <c r="A789" s="390" t="s">
        <v>2032</v>
      </c>
      <c r="B789" s="391" t="s">
        <v>2033</v>
      </c>
      <c r="E789" s="434">
        <v>368.37</v>
      </c>
      <c r="F789" s="435" t="s">
        <v>1620</v>
      </c>
      <c r="G789" s="436">
        <v>3.3000000000000003E-5</v>
      </c>
      <c r="H789" s="436">
        <v>8.0800000000000004E-7</v>
      </c>
      <c r="I789" s="437" t="s">
        <v>553</v>
      </c>
      <c r="J789" s="436">
        <v>5.9999999999999997E-7</v>
      </c>
      <c r="K789" s="437" t="s">
        <v>553</v>
      </c>
      <c r="L789" s="453">
        <v>-33</v>
      </c>
      <c r="M789" s="454" t="s">
        <v>1620</v>
      </c>
      <c r="N789" s="455">
        <v>1.1519999999999999</v>
      </c>
      <c r="O789" s="456" t="s">
        <v>2038</v>
      </c>
      <c r="P789" s="471">
        <v>1.9369000000000001E-2</v>
      </c>
      <c r="Q789" s="471">
        <v>4.7683999999999999E-6</v>
      </c>
      <c r="R789" s="472" t="s">
        <v>2435</v>
      </c>
      <c r="S789" s="473" t="s">
        <v>1531</v>
      </c>
      <c r="T789" s="474" t="s">
        <v>1413</v>
      </c>
      <c r="U789" s="484">
        <v>47110</v>
      </c>
      <c r="V789" s="484" t="s">
        <v>553</v>
      </c>
      <c r="W789" s="495">
        <v>5.1100000000000003</v>
      </c>
      <c r="X789" s="496" t="s">
        <v>1620</v>
      </c>
      <c r="Y789" s="486">
        <v>0.36</v>
      </c>
      <c r="Z789" s="487" t="s">
        <v>1620</v>
      </c>
      <c r="AA789" s="394">
        <v>3.3399999999999999E-2</v>
      </c>
      <c r="AB789" s="395" t="s">
        <v>553</v>
      </c>
    </row>
    <row r="790" spans="1:29" ht="30">
      <c r="A790" s="390" t="s">
        <v>1374</v>
      </c>
      <c r="B790" s="391" t="s">
        <v>328</v>
      </c>
      <c r="E790" s="434">
        <v>320.43</v>
      </c>
      <c r="F790" s="435" t="s">
        <v>1620</v>
      </c>
      <c r="G790" s="436">
        <v>1.6799999999999998E-5</v>
      </c>
      <c r="H790" s="436">
        <v>4.0999999999999999E-7</v>
      </c>
      <c r="I790" s="437" t="s">
        <v>1620</v>
      </c>
      <c r="J790" s="436">
        <v>3.8999999999999999E-4</v>
      </c>
      <c r="K790" s="437" t="s">
        <v>1620</v>
      </c>
      <c r="L790" s="453">
        <v>42.8</v>
      </c>
      <c r="M790" s="454" t="s">
        <v>1620</v>
      </c>
      <c r="N790" s="461" t="s">
        <v>1531</v>
      </c>
      <c r="O790" s="462" t="s">
        <v>1413</v>
      </c>
      <c r="P790" s="471">
        <v>4.0575600000000003E-2</v>
      </c>
      <c r="Q790" s="471">
        <v>4.7408999999999998E-6</v>
      </c>
      <c r="R790" s="472" t="s">
        <v>2435</v>
      </c>
      <c r="S790" s="473" t="s">
        <v>1531</v>
      </c>
      <c r="T790" s="474" t="s">
        <v>1413</v>
      </c>
      <c r="U790" s="484">
        <v>3447</v>
      </c>
      <c r="V790" s="484" t="s">
        <v>553</v>
      </c>
      <c r="W790" s="495">
        <v>5.18</v>
      </c>
      <c r="X790" s="496" t="s">
        <v>1620</v>
      </c>
      <c r="Y790" s="486">
        <v>1.1419999999999999</v>
      </c>
      <c r="Z790" s="487" t="s">
        <v>1620</v>
      </c>
      <c r="AA790" s="394">
        <v>6.8900000000000003E-2</v>
      </c>
      <c r="AB790" s="395" t="s">
        <v>553</v>
      </c>
    </row>
    <row r="791" spans="1:29" ht="30.6" thickBot="1">
      <c r="A791" s="392" t="s">
        <v>1375</v>
      </c>
      <c r="B791" s="393" t="s">
        <v>329</v>
      </c>
      <c r="E791" s="438">
        <v>101.19</v>
      </c>
      <c r="F791" s="439" t="s">
        <v>1620</v>
      </c>
      <c r="G791" s="440">
        <v>6.0916E-3</v>
      </c>
      <c r="H791" s="440">
        <v>1.4899999999999999E-4</v>
      </c>
      <c r="I791" s="441" t="s">
        <v>1620</v>
      </c>
      <c r="J791" s="440">
        <v>57.07</v>
      </c>
      <c r="K791" s="441" t="s">
        <v>1620</v>
      </c>
      <c r="L791" s="457">
        <v>-114.7</v>
      </c>
      <c r="M791" s="458" t="s">
        <v>1620</v>
      </c>
      <c r="N791" s="459">
        <v>0.72750000000000004</v>
      </c>
      <c r="O791" s="460" t="s">
        <v>1618</v>
      </c>
      <c r="P791" s="475">
        <v>6.6363099999999994E-2</v>
      </c>
      <c r="Q791" s="475">
        <v>7.8576000000000008E-6</v>
      </c>
      <c r="R791" s="476" t="s">
        <v>2435</v>
      </c>
      <c r="S791" s="477" t="s">
        <v>1531</v>
      </c>
      <c r="T791" s="478" t="s">
        <v>1413</v>
      </c>
      <c r="U791" s="481">
        <v>50.81</v>
      </c>
      <c r="V791" s="481" t="s">
        <v>553</v>
      </c>
      <c r="W791" s="497">
        <v>1.45</v>
      </c>
      <c r="X791" s="498" t="s">
        <v>1620</v>
      </c>
      <c r="Y791" s="488">
        <v>68600</v>
      </c>
      <c r="Z791" s="489" t="s">
        <v>1620</v>
      </c>
      <c r="AA791" s="396">
        <v>3.8999999999999998E-3</v>
      </c>
      <c r="AB791" s="397" t="s">
        <v>553</v>
      </c>
    </row>
    <row r="792" spans="1:29" ht="30">
      <c r="A792" s="390" t="s">
        <v>2131</v>
      </c>
      <c r="B792" s="391" t="s">
        <v>2132</v>
      </c>
      <c r="E792" s="434">
        <v>150.18</v>
      </c>
      <c r="F792" s="435" t="s">
        <v>1620</v>
      </c>
      <c r="G792" s="436">
        <v>1.2919000000000001E-9</v>
      </c>
      <c r="H792" s="436">
        <v>3.1599999999999999E-11</v>
      </c>
      <c r="I792" s="437" t="s">
        <v>1620</v>
      </c>
      <c r="J792" s="436">
        <v>1.32E-3</v>
      </c>
      <c r="K792" s="437" t="s">
        <v>1620</v>
      </c>
      <c r="L792" s="453">
        <v>-7</v>
      </c>
      <c r="M792" s="454" t="s">
        <v>1620</v>
      </c>
      <c r="N792" s="455">
        <v>1.1274</v>
      </c>
      <c r="O792" s="456" t="s">
        <v>1618</v>
      </c>
      <c r="P792" s="471">
        <v>5.0921899999999999E-2</v>
      </c>
      <c r="Q792" s="471">
        <v>8.0639999999999994E-6</v>
      </c>
      <c r="R792" s="472" t="s">
        <v>2435</v>
      </c>
      <c r="S792" s="473" t="s">
        <v>1531</v>
      </c>
      <c r="T792" s="474" t="s">
        <v>1413</v>
      </c>
      <c r="U792" s="484">
        <v>10</v>
      </c>
      <c r="V792" s="484" t="s">
        <v>553</v>
      </c>
      <c r="W792" s="495">
        <v>-1.75</v>
      </c>
      <c r="X792" s="496" t="s">
        <v>1620</v>
      </c>
      <c r="Y792" s="486">
        <v>1000000</v>
      </c>
      <c r="Z792" s="487" t="s">
        <v>1620</v>
      </c>
      <c r="AA792" s="394">
        <v>1.5500000000000001E-5</v>
      </c>
      <c r="AB792" s="395" t="s">
        <v>553</v>
      </c>
    </row>
    <row r="793" spans="1:29" ht="30">
      <c r="A793" s="390" t="s">
        <v>2294</v>
      </c>
      <c r="B793" s="391" t="s">
        <v>2291</v>
      </c>
      <c r="E793" s="434">
        <v>84.040999999999997</v>
      </c>
      <c r="F793" s="435" t="s">
        <v>1620</v>
      </c>
      <c r="G793" s="436">
        <v>31.479966999999998</v>
      </c>
      <c r="H793" s="436">
        <v>0.77</v>
      </c>
      <c r="I793" s="437" t="s">
        <v>1620</v>
      </c>
      <c r="J793" s="436">
        <v>9536</v>
      </c>
      <c r="K793" s="437" t="s">
        <v>1620</v>
      </c>
      <c r="L793" s="453">
        <v>-111.3</v>
      </c>
      <c r="M793" s="454" t="s">
        <v>1620</v>
      </c>
      <c r="N793" s="461" t="s">
        <v>1531</v>
      </c>
      <c r="O793" s="462" t="s">
        <v>1413</v>
      </c>
      <c r="P793" s="471">
        <v>9.90283E-2</v>
      </c>
      <c r="Q793" s="471">
        <v>1.1600000000000001E-5</v>
      </c>
      <c r="R793" s="472" t="s">
        <v>2435</v>
      </c>
      <c r="S793" s="473" t="s">
        <v>1531</v>
      </c>
      <c r="T793" s="474" t="s">
        <v>1413</v>
      </c>
      <c r="U793" s="484">
        <v>43.89</v>
      </c>
      <c r="V793" s="484" t="s">
        <v>553</v>
      </c>
      <c r="W793" s="495">
        <v>1.74</v>
      </c>
      <c r="X793" s="496" t="s">
        <v>1620</v>
      </c>
      <c r="Y793" s="486">
        <v>760.9</v>
      </c>
      <c r="Z793" s="487" t="s">
        <v>1620</v>
      </c>
      <c r="AA793" s="394">
        <v>7.5700000000000003E-3</v>
      </c>
      <c r="AB793" s="395" t="s">
        <v>553</v>
      </c>
    </row>
    <row r="794" spans="1:29" ht="30.6" thickBot="1">
      <c r="A794" s="392" t="s">
        <v>1376</v>
      </c>
      <c r="B794" s="393" t="s">
        <v>330</v>
      </c>
      <c r="E794" s="438">
        <v>335.29</v>
      </c>
      <c r="F794" s="439" t="s">
        <v>1620</v>
      </c>
      <c r="G794" s="440">
        <v>4.2110000000000003E-3</v>
      </c>
      <c r="H794" s="440">
        <v>1.03E-4</v>
      </c>
      <c r="I794" s="441" t="s">
        <v>1620</v>
      </c>
      <c r="J794" s="440">
        <v>4.5800000000000002E-5</v>
      </c>
      <c r="K794" s="441" t="s">
        <v>1620</v>
      </c>
      <c r="L794" s="457">
        <v>49</v>
      </c>
      <c r="M794" s="458" t="s">
        <v>1620</v>
      </c>
      <c r="N794" s="459">
        <v>1.36</v>
      </c>
      <c r="O794" s="460" t="s">
        <v>2199</v>
      </c>
      <c r="P794" s="475">
        <v>2.2051899999999999E-2</v>
      </c>
      <c r="Q794" s="475">
        <v>5.5736999999999997E-6</v>
      </c>
      <c r="R794" s="476" t="s">
        <v>2435</v>
      </c>
      <c r="S794" s="477" t="s">
        <v>1531</v>
      </c>
      <c r="T794" s="478" t="s">
        <v>1413</v>
      </c>
      <c r="U794" s="481">
        <v>16390</v>
      </c>
      <c r="V794" s="481" t="s">
        <v>553</v>
      </c>
      <c r="W794" s="497">
        <v>5.34</v>
      </c>
      <c r="X794" s="498" t="s">
        <v>1620</v>
      </c>
      <c r="Y794" s="488">
        <v>0.184</v>
      </c>
      <c r="Z794" s="489" t="s">
        <v>1620</v>
      </c>
      <c r="AA794" s="396">
        <v>7.2800000000000004E-2</v>
      </c>
      <c r="AB794" s="397" t="s">
        <v>553</v>
      </c>
    </row>
    <row r="795" spans="1:29" ht="30">
      <c r="A795" s="390" t="s">
        <v>1377</v>
      </c>
      <c r="B795" s="391" t="s">
        <v>331</v>
      </c>
      <c r="E795" s="434">
        <v>140.08000000000001</v>
      </c>
      <c r="F795" s="435" t="s">
        <v>1620</v>
      </c>
      <c r="G795" s="436">
        <v>2.9436E-7</v>
      </c>
      <c r="H795" s="436">
        <v>7.2E-9</v>
      </c>
      <c r="I795" s="437" t="s">
        <v>1620</v>
      </c>
      <c r="J795" s="436">
        <v>0.85</v>
      </c>
      <c r="K795" s="437" t="s">
        <v>553</v>
      </c>
      <c r="L795" s="453">
        <v>-46</v>
      </c>
      <c r="M795" s="454" t="s">
        <v>1620</v>
      </c>
      <c r="N795" s="455">
        <v>1.2143999999999999</v>
      </c>
      <c r="O795" s="456" t="s">
        <v>1618</v>
      </c>
      <c r="P795" s="471">
        <v>5.82547E-2</v>
      </c>
      <c r="Q795" s="471">
        <v>8.7915000000000004E-6</v>
      </c>
      <c r="R795" s="472" t="s">
        <v>2435</v>
      </c>
      <c r="S795" s="473" t="s">
        <v>1531</v>
      </c>
      <c r="T795" s="474" t="s">
        <v>1413</v>
      </c>
      <c r="U795" s="484">
        <v>10.6</v>
      </c>
      <c r="V795" s="484" t="s">
        <v>553</v>
      </c>
      <c r="W795" s="495">
        <v>-0.65</v>
      </c>
      <c r="X795" s="496" t="s">
        <v>1620</v>
      </c>
      <c r="Y795" s="486">
        <v>500000</v>
      </c>
      <c r="Z795" s="487" t="s">
        <v>1620</v>
      </c>
      <c r="AA795" s="394">
        <v>9.48E-5</v>
      </c>
      <c r="AB795" s="395" t="s">
        <v>553</v>
      </c>
    </row>
    <row r="796" spans="1:29" ht="30">
      <c r="A796" s="390" t="s">
        <v>1614</v>
      </c>
      <c r="B796" s="391" t="s">
        <v>1615</v>
      </c>
      <c r="E796" s="434">
        <v>120.2</v>
      </c>
      <c r="F796" s="435" t="s">
        <v>1620</v>
      </c>
      <c r="G796" s="436">
        <v>0.1782502</v>
      </c>
      <c r="H796" s="436">
        <v>4.3600000000000002E-3</v>
      </c>
      <c r="I796" s="437" t="s">
        <v>1620</v>
      </c>
      <c r="J796" s="436">
        <v>1.6886000000000001</v>
      </c>
      <c r="K796" s="437" t="s">
        <v>1620</v>
      </c>
      <c r="L796" s="453">
        <v>-25.4</v>
      </c>
      <c r="M796" s="454" t="s">
        <v>1620</v>
      </c>
      <c r="N796" s="455">
        <v>0.89439999999999997</v>
      </c>
      <c r="O796" s="456" t="s">
        <v>1618</v>
      </c>
      <c r="P796" s="471">
        <v>6.1253500000000002E-2</v>
      </c>
      <c r="Q796" s="471">
        <v>8.0214000000000008E-6</v>
      </c>
      <c r="R796" s="472" t="s">
        <v>2435</v>
      </c>
      <c r="S796" s="473" t="s">
        <v>1531</v>
      </c>
      <c r="T796" s="474" t="s">
        <v>1413</v>
      </c>
      <c r="U796" s="484">
        <v>626.9</v>
      </c>
      <c r="V796" s="484" t="s">
        <v>553</v>
      </c>
      <c r="W796" s="495">
        <v>3.66</v>
      </c>
      <c r="X796" s="496" t="s">
        <v>1620</v>
      </c>
      <c r="Y796" s="486">
        <v>75.2</v>
      </c>
      <c r="Z796" s="487" t="s">
        <v>1620</v>
      </c>
      <c r="AA796" s="394">
        <v>8.9700000000000002E-2</v>
      </c>
      <c r="AB796" s="395" t="s">
        <v>553</v>
      </c>
    </row>
    <row r="797" spans="1:29" ht="30.6" thickBot="1">
      <c r="A797" s="392" t="s">
        <v>1378</v>
      </c>
      <c r="B797" s="393" t="s">
        <v>332</v>
      </c>
      <c r="E797" s="438">
        <v>120.2</v>
      </c>
      <c r="F797" s="439" t="s">
        <v>1620</v>
      </c>
      <c r="G797" s="440">
        <v>0.2518397</v>
      </c>
      <c r="H797" s="440">
        <v>6.1599999999999997E-3</v>
      </c>
      <c r="I797" s="441" t="s">
        <v>1620</v>
      </c>
      <c r="J797" s="440">
        <v>2.1</v>
      </c>
      <c r="K797" s="441" t="s">
        <v>1620</v>
      </c>
      <c r="L797" s="457">
        <v>-43.8</v>
      </c>
      <c r="M797" s="458" t="s">
        <v>1620</v>
      </c>
      <c r="N797" s="459">
        <v>0.87580000000000002</v>
      </c>
      <c r="O797" s="460" t="s">
        <v>1618</v>
      </c>
      <c r="P797" s="475">
        <v>6.0675399999999997E-2</v>
      </c>
      <c r="Q797" s="475">
        <v>7.9209000000000007E-6</v>
      </c>
      <c r="R797" s="476" t="s">
        <v>2435</v>
      </c>
      <c r="S797" s="477" t="s">
        <v>1531</v>
      </c>
      <c r="T797" s="478" t="s">
        <v>1413</v>
      </c>
      <c r="U797" s="481">
        <v>614.29999999999995</v>
      </c>
      <c r="V797" s="481" t="s">
        <v>553</v>
      </c>
      <c r="W797" s="497">
        <v>3.63</v>
      </c>
      <c r="X797" s="498" t="s">
        <v>1620</v>
      </c>
      <c r="Y797" s="488">
        <v>57</v>
      </c>
      <c r="Z797" s="489" t="s">
        <v>1620</v>
      </c>
      <c r="AA797" s="396">
        <v>8.5699999999999998E-2</v>
      </c>
      <c r="AB797" s="397" t="s">
        <v>553</v>
      </c>
    </row>
    <row r="798" spans="1:29" ht="30">
      <c r="A798" s="390" t="s">
        <v>545</v>
      </c>
      <c r="B798" s="391" t="s">
        <v>333</v>
      </c>
      <c r="E798" s="434">
        <v>120.2</v>
      </c>
      <c r="F798" s="435" t="s">
        <v>1620</v>
      </c>
      <c r="G798" s="436">
        <v>0.35854459999999999</v>
      </c>
      <c r="H798" s="436">
        <v>8.77E-3</v>
      </c>
      <c r="I798" s="437" t="s">
        <v>1620</v>
      </c>
      <c r="J798" s="436">
        <v>2.48</v>
      </c>
      <c r="K798" s="437" t="s">
        <v>1620</v>
      </c>
      <c r="L798" s="453">
        <v>-44.7</v>
      </c>
      <c r="M798" s="454" t="s">
        <v>1620</v>
      </c>
      <c r="N798" s="455">
        <v>0.86150000000000004</v>
      </c>
      <c r="O798" s="456" t="s">
        <v>1618</v>
      </c>
      <c r="P798" s="471">
        <v>6.0225399999999998E-2</v>
      </c>
      <c r="Q798" s="471">
        <v>7.8429999999999993E-6</v>
      </c>
      <c r="R798" s="472" t="s">
        <v>2435</v>
      </c>
      <c r="S798" s="473" t="s">
        <v>1531</v>
      </c>
      <c r="T798" s="474" t="s">
        <v>1413</v>
      </c>
      <c r="U798" s="484">
        <v>602.1</v>
      </c>
      <c r="V798" s="484" t="s">
        <v>553</v>
      </c>
      <c r="W798" s="495">
        <v>3.42</v>
      </c>
      <c r="X798" s="496" t="s">
        <v>1620</v>
      </c>
      <c r="Y798" s="486">
        <v>48.2</v>
      </c>
      <c r="Z798" s="487" t="s">
        <v>1620</v>
      </c>
      <c r="AA798" s="394">
        <v>6.2100000000000002E-2</v>
      </c>
      <c r="AB798" s="395" t="s">
        <v>553</v>
      </c>
    </row>
    <row r="799" spans="1:29" ht="30">
      <c r="A799" s="390" t="s">
        <v>2295</v>
      </c>
      <c r="B799" s="391" t="s">
        <v>2292</v>
      </c>
      <c r="E799" s="434">
        <v>112.22</v>
      </c>
      <c r="F799" s="435" t="s">
        <v>1620</v>
      </c>
      <c r="G799" s="436">
        <v>30.498774000000001</v>
      </c>
      <c r="H799" s="436">
        <v>0.746</v>
      </c>
      <c r="I799" s="437" t="s">
        <v>1620</v>
      </c>
      <c r="J799" s="436">
        <v>71</v>
      </c>
      <c r="K799" s="437" t="s">
        <v>1620</v>
      </c>
      <c r="L799" s="453">
        <v>-84.49</v>
      </c>
      <c r="M799" s="454" t="s">
        <v>553</v>
      </c>
      <c r="N799" s="455">
        <v>0.71499999999999997</v>
      </c>
      <c r="O799" s="456" t="s">
        <v>2199</v>
      </c>
      <c r="P799" s="471">
        <v>5.9521699999999997E-2</v>
      </c>
      <c r="Q799" s="471">
        <v>7.3081999999999998E-6</v>
      </c>
      <c r="R799" s="472" t="s">
        <v>2435</v>
      </c>
      <c r="S799" s="473" t="s">
        <v>1531</v>
      </c>
      <c r="T799" s="474" t="s">
        <v>1413</v>
      </c>
      <c r="U799" s="484">
        <v>240.3</v>
      </c>
      <c r="V799" s="484" t="s">
        <v>553</v>
      </c>
      <c r="W799" s="495">
        <v>4.08</v>
      </c>
      <c r="X799" s="496" t="s">
        <v>1620</v>
      </c>
      <c r="Y799" s="486">
        <v>4.04</v>
      </c>
      <c r="Z799" s="487" t="s">
        <v>1620</v>
      </c>
      <c r="AA799" s="394">
        <v>0.18910099999999999</v>
      </c>
      <c r="AB799" s="395" t="s">
        <v>1668</v>
      </c>
    </row>
    <row r="800" spans="1:29" ht="30.6" thickBot="1">
      <c r="A800" s="392" t="s">
        <v>1379</v>
      </c>
      <c r="B800" s="393" t="s">
        <v>334</v>
      </c>
      <c r="E800" s="438">
        <v>213.11</v>
      </c>
      <c r="F800" s="439" t="s">
        <v>1620</v>
      </c>
      <c r="G800" s="440">
        <v>2.6574E-7</v>
      </c>
      <c r="H800" s="440">
        <v>6.5000000000000003E-9</v>
      </c>
      <c r="I800" s="441" t="s">
        <v>553</v>
      </c>
      <c r="J800" s="440">
        <v>6.4400000000000002E-6</v>
      </c>
      <c r="K800" s="441" t="s">
        <v>553</v>
      </c>
      <c r="L800" s="457">
        <v>121.5</v>
      </c>
      <c r="M800" s="458" t="s">
        <v>1620</v>
      </c>
      <c r="N800" s="459">
        <v>1.4775</v>
      </c>
      <c r="O800" s="460" t="s">
        <v>1618</v>
      </c>
      <c r="P800" s="475">
        <v>2.8968500000000001E-2</v>
      </c>
      <c r="Q800" s="475">
        <v>7.6882000000000004E-6</v>
      </c>
      <c r="R800" s="476" t="s">
        <v>2435</v>
      </c>
      <c r="S800" s="477" t="s">
        <v>1531</v>
      </c>
      <c r="T800" s="478" t="s">
        <v>1413</v>
      </c>
      <c r="U800" s="481">
        <v>1683</v>
      </c>
      <c r="V800" s="481" t="s">
        <v>553</v>
      </c>
      <c r="W800" s="497">
        <v>1.18</v>
      </c>
      <c r="X800" s="498" t="s">
        <v>1620</v>
      </c>
      <c r="Y800" s="488">
        <v>278</v>
      </c>
      <c r="Z800" s="489" t="s">
        <v>1620</v>
      </c>
      <c r="AA800" s="396">
        <v>6.0700000000000001E-4</v>
      </c>
      <c r="AB800" s="397" t="s">
        <v>553</v>
      </c>
    </row>
    <row r="801" spans="1:28" ht="30">
      <c r="A801" s="390" t="s">
        <v>1380</v>
      </c>
      <c r="B801" s="391" t="s">
        <v>335</v>
      </c>
      <c r="E801" s="434">
        <v>227.13</v>
      </c>
      <c r="F801" s="435" t="s">
        <v>1620</v>
      </c>
      <c r="G801" s="436">
        <v>8.5036999999999996E-7</v>
      </c>
      <c r="H801" s="436">
        <v>2.0800000000000001E-8</v>
      </c>
      <c r="I801" s="437" t="s">
        <v>553</v>
      </c>
      <c r="J801" s="436">
        <v>8.0199999999999994E-6</v>
      </c>
      <c r="K801" s="437" t="s">
        <v>1620</v>
      </c>
      <c r="L801" s="453">
        <v>80.099999999999994</v>
      </c>
      <c r="M801" s="454" t="s">
        <v>1620</v>
      </c>
      <c r="N801" s="455">
        <v>1.6539999999999999</v>
      </c>
      <c r="O801" s="456" t="s">
        <v>1618</v>
      </c>
      <c r="P801" s="471">
        <v>2.9509299999999999E-2</v>
      </c>
      <c r="Q801" s="471">
        <v>7.9181999999999998E-6</v>
      </c>
      <c r="R801" s="472" t="s">
        <v>2435</v>
      </c>
      <c r="S801" s="473" t="s">
        <v>1531</v>
      </c>
      <c r="T801" s="474" t="s">
        <v>1413</v>
      </c>
      <c r="U801" s="484">
        <v>2812</v>
      </c>
      <c r="V801" s="484" t="s">
        <v>553</v>
      </c>
      <c r="W801" s="495">
        <v>1.6</v>
      </c>
      <c r="X801" s="496" t="s">
        <v>1620</v>
      </c>
      <c r="Y801" s="486">
        <v>115</v>
      </c>
      <c r="Z801" s="487" t="s">
        <v>1620</v>
      </c>
      <c r="AA801" s="394">
        <v>9.6299999999999999E-4</v>
      </c>
      <c r="AB801" s="395" t="s">
        <v>553</v>
      </c>
    </row>
    <row r="802" spans="1:28" ht="30">
      <c r="A802" s="390" t="s">
        <v>546</v>
      </c>
      <c r="B802" s="391" t="s">
        <v>336</v>
      </c>
      <c r="E802" s="434">
        <v>278.29000000000002</v>
      </c>
      <c r="F802" s="435" t="s">
        <v>1620</v>
      </c>
      <c r="G802" s="436">
        <v>2.1503999999999999E-8</v>
      </c>
      <c r="H802" s="436">
        <v>5.2600000000000004E-10</v>
      </c>
      <c r="I802" s="437" t="s">
        <v>1620</v>
      </c>
      <c r="J802" s="436">
        <v>2.6000000000000001E-9</v>
      </c>
      <c r="K802" s="437" t="s">
        <v>553</v>
      </c>
      <c r="L802" s="453">
        <v>156.5</v>
      </c>
      <c r="M802" s="454" t="s">
        <v>1620</v>
      </c>
      <c r="N802" s="455">
        <v>1.2123999999999999</v>
      </c>
      <c r="O802" s="456" t="s">
        <v>1618</v>
      </c>
      <c r="P802" s="471">
        <v>2.3004899999999998E-2</v>
      </c>
      <c r="Q802" s="471">
        <v>5.8177999999999996E-6</v>
      </c>
      <c r="R802" s="472" t="s">
        <v>2435</v>
      </c>
      <c r="S802" s="473" t="s">
        <v>1531</v>
      </c>
      <c r="T802" s="474" t="s">
        <v>1413</v>
      </c>
      <c r="U802" s="484">
        <v>1954</v>
      </c>
      <c r="V802" s="484" t="s">
        <v>553</v>
      </c>
      <c r="W802" s="495">
        <v>2.83</v>
      </c>
      <c r="X802" s="496" t="s">
        <v>1620</v>
      </c>
      <c r="Y802" s="486">
        <v>62.76</v>
      </c>
      <c r="Z802" s="487" t="s">
        <v>1620</v>
      </c>
      <c r="AA802" s="394">
        <v>3.2699999999999999E-3</v>
      </c>
      <c r="AB802" s="395" t="s">
        <v>553</v>
      </c>
    </row>
    <row r="803" spans="1:28" ht="30.6" thickBot="1">
      <c r="A803" s="392" t="s">
        <v>2034</v>
      </c>
      <c r="B803" s="393" t="s">
        <v>2035</v>
      </c>
      <c r="E803" s="438">
        <v>430.91</v>
      </c>
      <c r="F803" s="439" t="s">
        <v>1620</v>
      </c>
      <c r="G803" s="440">
        <v>1.067E-7</v>
      </c>
      <c r="H803" s="440">
        <v>2.6099999999999999E-9</v>
      </c>
      <c r="I803" s="441" t="s">
        <v>1620</v>
      </c>
      <c r="J803" s="440">
        <v>7.3599999999999997E-8</v>
      </c>
      <c r="K803" s="441" t="s">
        <v>1620</v>
      </c>
      <c r="L803" s="457">
        <v>27</v>
      </c>
      <c r="M803" s="458" t="s">
        <v>1620</v>
      </c>
      <c r="N803" s="463" t="s">
        <v>1531</v>
      </c>
      <c r="O803" s="464" t="s">
        <v>1413</v>
      </c>
      <c r="P803" s="475">
        <v>3.3304E-2</v>
      </c>
      <c r="Q803" s="475">
        <v>3.8913000000000003E-6</v>
      </c>
      <c r="R803" s="476" t="s">
        <v>2435</v>
      </c>
      <c r="S803" s="477" t="s">
        <v>1531</v>
      </c>
      <c r="T803" s="478" t="s">
        <v>1413</v>
      </c>
      <c r="U803" s="481">
        <v>11130</v>
      </c>
      <c r="V803" s="481" t="s">
        <v>553</v>
      </c>
      <c r="W803" s="497">
        <v>3.65</v>
      </c>
      <c r="X803" s="498" t="s">
        <v>1620</v>
      </c>
      <c r="Y803" s="488">
        <v>7</v>
      </c>
      <c r="Z803" s="489" t="s">
        <v>1620</v>
      </c>
      <c r="AA803" s="396">
        <v>1.5900000000000001E-3</v>
      </c>
      <c r="AB803" s="397" t="s">
        <v>553</v>
      </c>
    </row>
    <row r="804" spans="1:28" ht="30">
      <c r="A804" s="390" t="s">
        <v>2014</v>
      </c>
      <c r="B804" s="391" t="s">
        <v>2015</v>
      </c>
      <c r="E804" s="434">
        <v>327.57</v>
      </c>
      <c r="F804" s="435" t="s">
        <v>1620</v>
      </c>
      <c r="G804" s="436">
        <v>2.4366000000000001E-6</v>
      </c>
      <c r="H804" s="436">
        <v>5.9599999999999998E-8</v>
      </c>
      <c r="I804" s="437" t="s">
        <v>1620</v>
      </c>
      <c r="J804" s="436">
        <v>2.02E-5</v>
      </c>
      <c r="K804" s="437" t="s">
        <v>1620</v>
      </c>
      <c r="L804" s="453">
        <v>-40</v>
      </c>
      <c r="M804" s="454" t="s">
        <v>1620</v>
      </c>
      <c r="N804" s="461" t="s">
        <v>1531</v>
      </c>
      <c r="O804" s="462" t="s">
        <v>1413</v>
      </c>
      <c r="P804" s="471">
        <v>3.99838E-2</v>
      </c>
      <c r="Q804" s="471">
        <v>4.6717999999999999E-6</v>
      </c>
      <c r="R804" s="472" t="s">
        <v>2435</v>
      </c>
      <c r="S804" s="473" t="s">
        <v>1531</v>
      </c>
      <c r="T804" s="474" t="s">
        <v>1413</v>
      </c>
      <c r="U804" s="484">
        <v>1604</v>
      </c>
      <c r="V804" s="484" t="s">
        <v>553</v>
      </c>
      <c r="W804" s="495">
        <v>2.59</v>
      </c>
      <c r="X804" s="496" t="s">
        <v>1620</v>
      </c>
      <c r="Y804" s="486">
        <v>1200</v>
      </c>
      <c r="Z804" s="487" t="s">
        <v>1620</v>
      </c>
      <c r="AA804" s="394">
        <v>1.1999999999999999E-3</v>
      </c>
      <c r="AB804" s="395" t="s">
        <v>553</v>
      </c>
    </row>
    <row r="805" spans="1:28" ht="30">
      <c r="A805" s="390" t="s">
        <v>2196</v>
      </c>
      <c r="B805" s="391" t="s">
        <v>2197</v>
      </c>
      <c r="E805" s="434">
        <v>697.62</v>
      </c>
      <c r="F805" s="435" t="s">
        <v>1620</v>
      </c>
      <c r="G805" s="436">
        <v>8.9130000000000003E-4</v>
      </c>
      <c r="H805" s="436">
        <v>2.1800000000000001E-5</v>
      </c>
      <c r="I805" s="437" t="s">
        <v>553</v>
      </c>
      <c r="J805" s="436">
        <v>1.9000000000000001E-4</v>
      </c>
      <c r="K805" s="437" t="s">
        <v>1620</v>
      </c>
      <c r="L805" s="453">
        <v>5.5</v>
      </c>
      <c r="M805" s="454" t="s">
        <v>1620</v>
      </c>
      <c r="N805" s="455">
        <v>2.27</v>
      </c>
      <c r="O805" s="456" t="s">
        <v>2199</v>
      </c>
      <c r="P805" s="471">
        <v>1.9401499999999999E-2</v>
      </c>
      <c r="Q805" s="471">
        <v>4.8833000000000003E-6</v>
      </c>
      <c r="R805" s="472" t="s">
        <v>2435</v>
      </c>
      <c r="S805" s="473" t="s">
        <v>1531</v>
      </c>
      <c r="T805" s="474" t="s">
        <v>1413</v>
      </c>
      <c r="U805" s="484">
        <v>9706</v>
      </c>
      <c r="V805" s="484" t="s">
        <v>553</v>
      </c>
      <c r="W805" s="495">
        <v>4.29</v>
      </c>
      <c r="X805" s="496" t="s">
        <v>1620</v>
      </c>
      <c r="Y805" s="486">
        <v>8</v>
      </c>
      <c r="Z805" s="487" t="s">
        <v>1620</v>
      </c>
      <c r="AA805" s="394">
        <v>1.35E-4</v>
      </c>
      <c r="AB805" s="395" t="s">
        <v>553</v>
      </c>
    </row>
    <row r="806" spans="1:28" ht="30.6" thickBot="1">
      <c r="A806" s="392" t="s">
        <v>547</v>
      </c>
      <c r="B806" s="393" t="s">
        <v>337</v>
      </c>
      <c r="E806" s="438">
        <v>285.49</v>
      </c>
      <c r="F806" s="439" t="s">
        <v>1620</v>
      </c>
      <c r="G806" s="440">
        <v>1.3449999999999999E-4</v>
      </c>
      <c r="H806" s="440">
        <v>3.2899999999999998E-6</v>
      </c>
      <c r="I806" s="441" t="s">
        <v>553</v>
      </c>
      <c r="J806" s="440">
        <v>6.13E-2</v>
      </c>
      <c r="K806" s="441" t="s">
        <v>1620</v>
      </c>
      <c r="L806" s="457">
        <v>-55</v>
      </c>
      <c r="M806" s="458" t="s">
        <v>1620</v>
      </c>
      <c r="N806" s="459">
        <v>1.39</v>
      </c>
      <c r="O806" s="460" t="s">
        <v>1618</v>
      </c>
      <c r="P806" s="475">
        <v>2.4218400000000001E-2</v>
      </c>
      <c r="Q806" s="475">
        <v>6.2191000000000003E-6</v>
      </c>
      <c r="R806" s="476" t="s">
        <v>2435</v>
      </c>
      <c r="S806" s="477" t="s">
        <v>1531</v>
      </c>
      <c r="T806" s="478" t="s">
        <v>1413</v>
      </c>
      <c r="U806" s="481">
        <v>388.3</v>
      </c>
      <c r="V806" s="481" t="s">
        <v>553</v>
      </c>
      <c r="W806" s="497">
        <v>1.44</v>
      </c>
      <c r="X806" s="498" t="s">
        <v>1620</v>
      </c>
      <c r="Y806" s="488">
        <v>7000</v>
      </c>
      <c r="Z806" s="489" t="s">
        <v>1620</v>
      </c>
      <c r="AA806" s="396">
        <v>3.5500000000000001E-4</v>
      </c>
      <c r="AB806" s="397" t="s">
        <v>553</v>
      </c>
    </row>
    <row r="807" spans="1:28" ht="30">
      <c r="A807" s="390" t="s">
        <v>548</v>
      </c>
      <c r="B807" s="391" t="s">
        <v>338</v>
      </c>
      <c r="E807" s="434">
        <v>434.65</v>
      </c>
      <c r="F807" s="435" t="s">
        <v>1620</v>
      </c>
      <c r="G807" s="436">
        <v>3.2134E-6</v>
      </c>
      <c r="H807" s="436">
        <v>7.8600000000000002E-8</v>
      </c>
      <c r="I807" s="437" t="s">
        <v>553</v>
      </c>
      <c r="J807" s="436">
        <v>8.2500000000000004E-8</v>
      </c>
      <c r="K807" s="437" t="s">
        <v>1620</v>
      </c>
      <c r="L807" s="453">
        <v>-74</v>
      </c>
      <c r="M807" s="454" t="s">
        <v>1620</v>
      </c>
      <c r="N807" s="455">
        <v>0.99</v>
      </c>
      <c r="O807" s="456" t="s">
        <v>1618</v>
      </c>
      <c r="P807" s="471">
        <v>1.64511E-2</v>
      </c>
      <c r="Q807" s="471">
        <v>3.9424999999999999E-6</v>
      </c>
      <c r="R807" s="472" t="s">
        <v>2435</v>
      </c>
      <c r="S807" s="473" t="s">
        <v>1531</v>
      </c>
      <c r="T807" s="474" t="s">
        <v>1413</v>
      </c>
      <c r="U807" s="484">
        <v>2468000</v>
      </c>
      <c r="V807" s="484" t="s">
        <v>553</v>
      </c>
      <c r="W807" s="495">
        <v>9.49</v>
      </c>
      <c r="X807" s="496" t="s">
        <v>1620</v>
      </c>
      <c r="Y807" s="486">
        <v>0.6</v>
      </c>
      <c r="Z807" s="487" t="s">
        <v>1620</v>
      </c>
      <c r="AA807" s="394">
        <v>11.6</v>
      </c>
      <c r="AB807" s="395" t="s">
        <v>553</v>
      </c>
    </row>
    <row r="808" spans="1:28" ht="30">
      <c r="A808" s="390" t="s">
        <v>2296</v>
      </c>
      <c r="B808" s="391" t="s">
        <v>2293</v>
      </c>
      <c r="E808" s="434">
        <v>183.85</v>
      </c>
      <c r="F808" s="435" t="s">
        <v>1620</v>
      </c>
      <c r="G808" s="444" t="s">
        <v>1531</v>
      </c>
      <c r="H808" s="444" t="s">
        <v>1531</v>
      </c>
      <c r="I808" s="445" t="s">
        <v>1413</v>
      </c>
      <c r="J808" s="436">
        <v>0</v>
      </c>
      <c r="K808" s="437" t="s">
        <v>2204</v>
      </c>
      <c r="L808" s="453">
        <v>3410</v>
      </c>
      <c r="M808" s="454" t="s">
        <v>1620</v>
      </c>
      <c r="N808" s="455">
        <v>19.3</v>
      </c>
      <c r="O808" s="456" t="s">
        <v>1618</v>
      </c>
      <c r="P808" s="482" t="s">
        <v>1531</v>
      </c>
      <c r="Q808" s="482" t="s">
        <v>1531</v>
      </c>
      <c r="R808" s="483" t="s">
        <v>1413</v>
      </c>
      <c r="S808" s="484">
        <v>150</v>
      </c>
      <c r="T808" s="484" t="s">
        <v>2155</v>
      </c>
      <c r="U808" s="473" t="s">
        <v>1531</v>
      </c>
      <c r="V808" s="474" t="s">
        <v>1413</v>
      </c>
      <c r="W808" s="501" t="s">
        <v>1531</v>
      </c>
      <c r="X808" s="502" t="s">
        <v>1413</v>
      </c>
      <c r="Y808" s="492" t="s">
        <v>1531</v>
      </c>
      <c r="Z808" s="493" t="s">
        <v>1413</v>
      </c>
      <c r="AA808" s="394">
        <v>1E-3</v>
      </c>
      <c r="AB808" s="395" t="s">
        <v>1668</v>
      </c>
    </row>
    <row r="809" spans="1:28" ht="30.6" thickBot="1">
      <c r="A809" s="392" t="s">
        <v>1382</v>
      </c>
      <c r="B809" s="96" t="s">
        <v>2175</v>
      </c>
      <c r="E809" s="438">
        <v>238.03</v>
      </c>
      <c r="F809" s="439" t="s">
        <v>1618</v>
      </c>
      <c r="G809" s="442" t="s">
        <v>1531</v>
      </c>
      <c r="H809" s="442" t="s">
        <v>1531</v>
      </c>
      <c r="I809" s="443" t="s">
        <v>1413</v>
      </c>
      <c r="J809" s="440">
        <v>0</v>
      </c>
      <c r="K809" s="441" t="s">
        <v>2204</v>
      </c>
      <c r="L809" s="457">
        <v>1132.3</v>
      </c>
      <c r="M809" s="458" t="s">
        <v>1618</v>
      </c>
      <c r="N809" s="459">
        <v>19.100000000000001</v>
      </c>
      <c r="O809" s="460" t="s">
        <v>1618</v>
      </c>
      <c r="P809" s="479" t="s">
        <v>1531</v>
      </c>
      <c r="Q809" s="479" t="s">
        <v>1531</v>
      </c>
      <c r="R809" s="480" t="s">
        <v>1413</v>
      </c>
      <c r="S809" s="481">
        <v>450</v>
      </c>
      <c r="T809" s="481" t="s">
        <v>2155</v>
      </c>
      <c r="U809" s="477" t="s">
        <v>1531</v>
      </c>
      <c r="V809" s="478" t="s">
        <v>1413</v>
      </c>
      <c r="W809" s="499" t="s">
        <v>1531</v>
      </c>
      <c r="X809" s="500" t="s">
        <v>1413</v>
      </c>
      <c r="Y809" s="490" t="s">
        <v>1531</v>
      </c>
      <c r="Z809" s="491" t="s">
        <v>1413</v>
      </c>
      <c r="AA809" s="396">
        <v>1E-3</v>
      </c>
      <c r="AB809" s="397" t="s">
        <v>1668</v>
      </c>
    </row>
    <row r="810" spans="1:28" ht="30">
      <c r="A810" s="390" t="s">
        <v>623</v>
      </c>
      <c r="B810" s="391" t="s">
        <v>339</v>
      </c>
      <c r="E810" s="434">
        <v>89.094999999999999</v>
      </c>
      <c r="F810" s="435" t="s">
        <v>1620</v>
      </c>
      <c r="G810" s="436">
        <v>2.6288000000000001E-6</v>
      </c>
      <c r="H810" s="436">
        <v>6.43E-8</v>
      </c>
      <c r="I810" s="437" t="s">
        <v>553</v>
      </c>
      <c r="J810" s="436">
        <v>0.26200000000000001</v>
      </c>
      <c r="K810" s="437" t="s">
        <v>2204</v>
      </c>
      <c r="L810" s="453">
        <v>49</v>
      </c>
      <c r="M810" s="454" t="s">
        <v>1620</v>
      </c>
      <c r="N810" s="455">
        <v>0.98619999999999997</v>
      </c>
      <c r="O810" s="456" t="s">
        <v>1618</v>
      </c>
      <c r="P810" s="471">
        <v>8.4845599999999993E-2</v>
      </c>
      <c r="Q810" s="471">
        <v>1.0200000000000001E-5</v>
      </c>
      <c r="R810" s="472" t="s">
        <v>2435</v>
      </c>
      <c r="S810" s="473" t="s">
        <v>1531</v>
      </c>
      <c r="T810" s="474" t="s">
        <v>1413</v>
      </c>
      <c r="U810" s="484">
        <v>12.13</v>
      </c>
      <c r="V810" s="484" t="s">
        <v>553</v>
      </c>
      <c r="W810" s="495">
        <v>-0.15</v>
      </c>
      <c r="X810" s="496" t="s">
        <v>1620</v>
      </c>
      <c r="Y810" s="486">
        <v>480000</v>
      </c>
      <c r="Z810" s="487" t="s">
        <v>1620</v>
      </c>
      <c r="AA810" s="394">
        <v>3.9399999999999998E-4</v>
      </c>
      <c r="AB810" s="395" t="s">
        <v>553</v>
      </c>
    </row>
    <row r="811" spans="1:28" ht="30">
      <c r="A811" s="390" t="s">
        <v>1383</v>
      </c>
      <c r="B811" s="391" t="s">
        <v>340</v>
      </c>
      <c r="E811" s="434">
        <v>181.88</v>
      </c>
      <c r="F811" s="435" t="s">
        <v>553</v>
      </c>
      <c r="G811" s="444" t="s">
        <v>1531</v>
      </c>
      <c r="H811" s="444" t="s">
        <v>1531</v>
      </c>
      <c r="I811" s="445" t="s">
        <v>1413</v>
      </c>
      <c r="J811" s="436">
        <v>0</v>
      </c>
      <c r="K811" s="437" t="s">
        <v>2204</v>
      </c>
      <c r="L811" s="453">
        <v>681</v>
      </c>
      <c r="M811" s="454" t="s">
        <v>1618</v>
      </c>
      <c r="N811" s="455">
        <v>3.35</v>
      </c>
      <c r="O811" s="456" t="s">
        <v>1618</v>
      </c>
      <c r="P811" s="482" t="s">
        <v>1531</v>
      </c>
      <c r="Q811" s="482" t="s">
        <v>1531</v>
      </c>
      <c r="R811" s="483" t="s">
        <v>1413</v>
      </c>
      <c r="S811" s="473" t="s">
        <v>1531</v>
      </c>
      <c r="T811" s="474" t="s">
        <v>1413</v>
      </c>
      <c r="U811" s="473" t="s">
        <v>1531</v>
      </c>
      <c r="V811" s="474" t="s">
        <v>1413</v>
      </c>
      <c r="W811" s="501" t="s">
        <v>1531</v>
      </c>
      <c r="X811" s="502" t="s">
        <v>1413</v>
      </c>
      <c r="Y811" s="486">
        <v>700</v>
      </c>
      <c r="Z811" s="487" t="s">
        <v>1618</v>
      </c>
      <c r="AA811" s="394">
        <v>1E-3</v>
      </c>
      <c r="AB811" s="395" t="s">
        <v>1668</v>
      </c>
    </row>
    <row r="812" spans="1:28" ht="30.6" thickBot="1">
      <c r="A812" s="392" t="s">
        <v>1384</v>
      </c>
      <c r="B812" s="393" t="s">
        <v>2036</v>
      </c>
      <c r="E812" s="438">
        <v>50.94</v>
      </c>
      <c r="F812" s="439" t="s">
        <v>553</v>
      </c>
      <c r="G812" s="442" t="s">
        <v>1531</v>
      </c>
      <c r="H812" s="442" t="s">
        <v>1531</v>
      </c>
      <c r="I812" s="443" t="s">
        <v>1413</v>
      </c>
      <c r="J812" s="442" t="s">
        <v>1531</v>
      </c>
      <c r="K812" s="443" t="s">
        <v>1413</v>
      </c>
      <c r="L812" s="457">
        <v>1910</v>
      </c>
      <c r="M812" s="458" t="s">
        <v>1618</v>
      </c>
      <c r="N812" s="459">
        <v>6</v>
      </c>
      <c r="O812" s="460" t="s">
        <v>1618</v>
      </c>
      <c r="P812" s="479" t="s">
        <v>1531</v>
      </c>
      <c r="Q812" s="479" t="s">
        <v>1531</v>
      </c>
      <c r="R812" s="480" t="s">
        <v>1413</v>
      </c>
      <c r="S812" s="481">
        <v>1000</v>
      </c>
      <c r="T812" s="481" t="s">
        <v>557</v>
      </c>
      <c r="U812" s="477" t="s">
        <v>1531</v>
      </c>
      <c r="V812" s="478" t="s">
        <v>1413</v>
      </c>
      <c r="W812" s="499" t="s">
        <v>1531</v>
      </c>
      <c r="X812" s="500" t="s">
        <v>1413</v>
      </c>
      <c r="Y812" s="490" t="s">
        <v>1531</v>
      </c>
      <c r="Z812" s="491" t="s">
        <v>1413</v>
      </c>
      <c r="AA812" s="396">
        <v>1E-3</v>
      </c>
      <c r="AB812" s="397" t="s">
        <v>1668</v>
      </c>
    </row>
    <row r="813" spans="1:28" ht="30">
      <c r="A813" s="390" t="s">
        <v>1385</v>
      </c>
      <c r="B813" s="391" t="s">
        <v>341</v>
      </c>
      <c r="E813" s="434">
        <v>203.35</v>
      </c>
      <c r="F813" s="435" t="s">
        <v>1620</v>
      </c>
      <c r="G813" s="436">
        <v>1.2633E-3</v>
      </c>
      <c r="H813" s="436">
        <v>3.0899999999999999E-5</v>
      </c>
      <c r="I813" s="437" t="s">
        <v>553</v>
      </c>
      <c r="J813" s="436">
        <v>1.04E-2</v>
      </c>
      <c r="K813" s="437" t="s">
        <v>1620</v>
      </c>
      <c r="L813" s="453">
        <v>70.540000000000006</v>
      </c>
      <c r="M813" s="454" t="s">
        <v>553</v>
      </c>
      <c r="N813" s="455">
        <v>0.95199999999999996</v>
      </c>
      <c r="O813" s="456" t="s">
        <v>1618</v>
      </c>
      <c r="P813" s="471">
        <v>2.4218900000000002E-2</v>
      </c>
      <c r="Q813" s="471">
        <v>6.0745E-6</v>
      </c>
      <c r="R813" s="472" t="s">
        <v>2435</v>
      </c>
      <c r="S813" s="473" t="s">
        <v>1531</v>
      </c>
      <c r="T813" s="474" t="s">
        <v>1413</v>
      </c>
      <c r="U813" s="484">
        <v>299.10000000000002</v>
      </c>
      <c r="V813" s="484" t="s">
        <v>553</v>
      </c>
      <c r="W813" s="495">
        <v>3.84</v>
      </c>
      <c r="X813" s="496" t="s">
        <v>1620</v>
      </c>
      <c r="Y813" s="486">
        <v>90</v>
      </c>
      <c r="Z813" s="487" t="s">
        <v>1620</v>
      </c>
      <c r="AA813" s="394">
        <v>4.0300000000000002E-2</v>
      </c>
      <c r="AB813" s="395" t="s">
        <v>553</v>
      </c>
    </row>
    <row r="814" spans="1:28" ht="30">
      <c r="A814" s="390" t="s">
        <v>1386</v>
      </c>
      <c r="B814" s="391" t="s">
        <v>342</v>
      </c>
      <c r="E814" s="434">
        <v>286.12</v>
      </c>
      <c r="F814" s="435" t="s">
        <v>1620</v>
      </c>
      <c r="G814" s="436">
        <v>7.1137E-7</v>
      </c>
      <c r="H814" s="436">
        <v>1.74E-8</v>
      </c>
      <c r="I814" s="437" t="s">
        <v>553</v>
      </c>
      <c r="J814" s="436">
        <v>1.1999999999999999E-7</v>
      </c>
      <c r="K814" s="437" t="s">
        <v>1620</v>
      </c>
      <c r="L814" s="453">
        <v>108</v>
      </c>
      <c r="M814" s="454" t="s">
        <v>1620</v>
      </c>
      <c r="N814" s="455">
        <v>1.51</v>
      </c>
      <c r="O814" s="456" t="s">
        <v>1618</v>
      </c>
      <c r="P814" s="471">
        <v>2.51487E-2</v>
      </c>
      <c r="Q814" s="471">
        <v>6.5271999999999999E-6</v>
      </c>
      <c r="R814" s="472" t="s">
        <v>2435</v>
      </c>
      <c r="S814" s="473" t="s">
        <v>1531</v>
      </c>
      <c r="T814" s="474" t="s">
        <v>1413</v>
      </c>
      <c r="U814" s="484">
        <v>283.60000000000002</v>
      </c>
      <c r="V814" s="484" t="s">
        <v>553</v>
      </c>
      <c r="W814" s="495">
        <v>3.1</v>
      </c>
      <c r="X814" s="496" t="s">
        <v>1620</v>
      </c>
      <c r="Y814" s="486">
        <v>2.6</v>
      </c>
      <c r="Z814" s="487" t="s">
        <v>1620</v>
      </c>
      <c r="AA814" s="394">
        <v>4.4600000000000004E-3</v>
      </c>
      <c r="AB814" s="395" t="s">
        <v>553</v>
      </c>
    </row>
    <row r="815" spans="1:28" ht="30.6" thickBot="1">
      <c r="A815" s="392" t="s">
        <v>1387</v>
      </c>
      <c r="B815" s="393" t="s">
        <v>343</v>
      </c>
      <c r="E815" s="438">
        <v>86.090999999999994</v>
      </c>
      <c r="F815" s="439" t="s">
        <v>1620</v>
      </c>
      <c r="G815" s="440">
        <v>2.0891300000000002E-2</v>
      </c>
      <c r="H815" s="440">
        <v>5.1099999999999995E-4</v>
      </c>
      <c r="I815" s="441" t="s">
        <v>553</v>
      </c>
      <c r="J815" s="440">
        <v>90.16</v>
      </c>
      <c r="K815" s="441" t="s">
        <v>1620</v>
      </c>
      <c r="L815" s="457">
        <v>-93.2</v>
      </c>
      <c r="M815" s="458" t="s">
        <v>1620</v>
      </c>
      <c r="N815" s="459">
        <v>0.92559999999999998</v>
      </c>
      <c r="O815" s="460" t="s">
        <v>1618</v>
      </c>
      <c r="P815" s="475">
        <v>8.4901599999999994E-2</v>
      </c>
      <c r="Q815" s="475">
        <v>1.0000000000000001E-5</v>
      </c>
      <c r="R815" s="476" t="s">
        <v>2435</v>
      </c>
      <c r="S815" s="477" t="s">
        <v>1531</v>
      </c>
      <c r="T815" s="478" t="s">
        <v>1413</v>
      </c>
      <c r="U815" s="481">
        <v>5.5830000000000002</v>
      </c>
      <c r="V815" s="481" t="s">
        <v>553</v>
      </c>
      <c r="W815" s="497">
        <v>0.73</v>
      </c>
      <c r="X815" s="498" t="s">
        <v>1620</v>
      </c>
      <c r="Y815" s="488">
        <v>20000</v>
      </c>
      <c r="Z815" s="489" t="s">
        <v>1620</v>
      </c>
      <c r="AA815" s="396">
        <v>1.57E-3</v>
      </c>
      <c r="AB815" s="397" t="s">
        <v>553</v>
      </c>
    </row>
    <row r="816" spans="1:28" ht="30">
      <c r="A816" s="390" t="s">
        <v>1388</v>
      </c>
      <c r="B816" s="391" t="s">
        <v>344</v>
      </c>
      <c r="E816" s="434">
        <v>106.95</v>
      </c>
      <c r="F816" s="435" t="s">
        <v>1620</v>
      </c>
      <c r="G816" s="436">
        <v>0.50286180000000003</v>
      </c>
      <c r="H816" s="436">
        <v>1.23E-2</v>
      </c>
      <c r="I816" s="437" t="s">
        <v>1620</v>
      </c>
      <c r="J816" s="436">
        <v>1033</v>
      </c>
      <c r="K816" s="437" t="s">
        <v>1620</v>
      </c>
      <c r="L816" s="453">
        <v>-137.80000000000001</v>
      </c>
      <c r="M816" s="454" t="s">
        <v>1620</v>
      </c>
      <c r="N816" s="455">
        <v>1.4933000000000001</v>
      </c>
      <c r="O816" s="456" t="s">
        <v>1618</v>
      </c>
      <c r="P816" s="471">
        <v>8.6223800000000003E-2</v>
      </c>
      <c r="Q816" s="471">
        <v>1.17E-5</v>
      </c>
      <c r="R816" s="472" t="s">
        <v>2435</v>
      </c>
      <c r="S816" s="473" t="s">
        <v>1531</v>
      </c>
      <c r="T816" s="474" t="s">
        <v>1413</v>
      </c>
      <c r="U816" s="484">
        <v>21.73</v>
      </c>
      <c r="V816" s="484" t="s">
        <v>553</v>
      </c>
      <c r="W816" s="495">
        <v>1.57</v>
      </c>
      <c r="X816" s="496" t="s">
        <v>1620</v>
      </c>
      <c r="Y816" s="486">
        <v>7600</v>
      </c>
      <c r="Z816" s="487" t="s">
        <v>1620</v>
      </c>
      <c r="AA816" s="394">
        <v>4.3499999999999997E-3</v>
      </c>
      <c r="AB816" s="395" t="s">
        <v>553</v>
      </c>
    </row>
    <row r="817" spans="1:28" ht="30">
      <c r="A817" s="390" t="s">
        <v>1389</v>
      </c>
      <c r="B817" s="391" t="s">
        <v>345</v>
      </c>
      <c r="E817" s="434">
        <v>62.499000000000002</v>
      </c>
      <c r="F817" s="435" t="s">
        <v>1620</v>
      </c>
      <c r="G817" s="436">
        <v>1.1365495000000001</v>
      </c>
      <c r="H817" s="436">
        <v>2.7799999999999998E-2</v>
      </c>
      <c r="I817" s="437" t="s">
        <v>1620</v>
      </c>
      <c r="J817" s="436">
        <v>2980</v>
      </c>
      <c r="K817" s="437" t="s">
        <v>553</v>
      </c>
      <c r="L817" s="453">
        <v>-153.69999999999999</v>
      </c>
      <c r="M817" s="454" t="s">
        <v>1620</v>
      </c>
      <c r="N817" s="455">
        <v>0.91059999999999997</v>
      </c>
      <c r="O817" s="456" t="s">
        <v>1618</v>
      </c>
      <c r="P817" s="471">
        <v>0.1071202</v>
      </c>
      <c r="Q817" s="471">
        <v>1.2E-5</v>
      </c>
      <c r="R817" s="472" t="s">
        <v>2435</v>
      </c>
      <c r="S817" s="473" t="s">
        <v>1531</v>
      </c>
      <c r="T817" s="474" t="s">
        <v>1413</v>
      </c>
      <c r="U817" s="484">
        <v>21.73</v>
      </c>
      <c r="V817" s="484" t="s">
        <v>553</v>
      </c>
      <c r="W817" s="495">
        <v>1.38</v>
      </c>
      <c r="X817" s="496" t="s">
        <v>1618</v>
      </c>
      <c r="Y817" s="486">
        <v>8800</v>
      </c>
      <c r="Z817" s="487" t="s">
        <v>1620</v>
      </c>
      <c r="AA817" s="394">
        <v>8.3800000000000003E-3</v>
      </c>
      <c r="AB817" s="395" t="s">
        <v>553</v>
      </c>
    </row>
    <row r="818" spans="1:28" ht="30.6" thickBot="1">
      <c r="A818" s="392" t="s">
        <v>1390</v>
      </c>
      <c r="B818" s="393" t="s">
        <v>346</v>
      </c>
      <c r="E818" s="438">
        <v>308.33999999999997</v>
      </c>
      <c r="F818" s="439" t="s">
        <v>1620</v>
      </c>
      <c r="G818" s="440">
        <v>1.1325E-7</v>
      </c>
      <c r="H818" s="440">
        <v>2.7700000000000002E-9</v>
      </c>
      <c r="I818" s="441" t="s">
        <v>553</v>
      </c>
      <c r="J818" s="440">
        <v>1.1600000000000001E-7</v>
      </c>
      <c r="K818" s="441" t="s">
        <v>1620</v>
      </c>
      <c r="L818" s="457">
        <v>161</v>
      </c>
      <c r="M818" s="458" t="s">
        <v>1620</v>
      </c>
      <c r="N818" s="463" t="s">
        <v>1531</v>
      </c>
      <c r="O818" s="464" t="s">
        <v>1413</v>
      </c>
      <c r="P818" s="475">
        <v>4.1629399999999997E-2</v>
      </c>
      <c r="Q818" s="475">
        <v>4.8640999999999997E-6</v>
      </c>
      <c r="R818" s="476" t="s">
        <v>2435</v>
      </c>
      <c r="S818" s="477" t="s">
        <v>1531</v>
      </c>
      <c r="T818" s="478" t="s">
        <v>1413</v>
      </c>
      <c r="U818" s="481">
        <v>426.1</v>
      </c>
      <c r="V818" s="481" t="s">
        <v>553</v>
      </c>
      <c r="W818" s="497">
        <v>2.7</v>
      </c>
      <c r="X818" s="498" t="s">
        <v>1620</v>
      </c>
      <c r="Y818" s="488">
        <v>17</v>
      </c>
      <c r="Z818" s="489" t="s">
        <v>1620</v>
      </c>
      <c r="AA818" s="396">
        <v>1.82E-3</v>
      </c>
      <c r="AB818" s="397" t="s">
        <v>553</v>
      </c>
    </row>
    <row r="819" spans="1:28" ht="30">
      <c r="A819" s="390" t="s">
        <v>1392</v>
      </c>
      <c r="B819" s="391" t="s">
        <v>348</v>
      </c>
      <c r="E819" s="434">
        <v>106.17</v>
      </c>
      <c r="F819" s="435" t="s">
        <v>1620</v>
      </c>
      <c r="G819" s="436">
        <v>0.28209319999999999</v>
      </c>
      <c r="H819" s="436">
        <v>6.8999999999999999E-3</v>
      </c>
      <c r="I819" s="437" t="s">
        <v>1620</v>
      </c>
      <c r="J819" s="436">
        <v>8.84</v>
      </c>
      <c r="K819" s="437" t="s">
        <v>1620</v>
      </c>
      <c r="L819" s="453">
        <v>13.25</v>
      </c>
      <c r="M819" s="454" t="s">
        <v>1620</v>
      </c>
      <c r="N819" s="455">
        <v>0.85650000000000004</v>
      </c>
      <c r="O819" s="456" t="s">
        <v>1618</v>
      </c>
      <c r="P819" s="471">
        <v>6.8248500000000004E-2</v>
      </c>
      <c r="Q819" s="471">
        <v>8.4199000000000005E-6</v>
      </c>
      <c r="R819" s="472" t="s">
        <v>2435</v>
      </c>
      <c r="S819" s="473" t="s">
        <v>1531</v>
      </c>
      <c r="T819" s="474" t="s">
        <v>1413</v>
      </c>
      <c r="U819" s="484">
        <v>375.3</v>
      </c>
      <c r="V819" s="484" t="s">
        <v>553</v>
      </c>
      <c r="W819" s="495">
        <v>3.15</v>
      </c>
      <c r="X819" s="496" t="s">
        <v>1620</v>
      </c>
      <c r="Y819" s="486">
        <v>162</v>
      </c>
      <c r="Z819" s="487" t="s">
        <v>1620</v>
      </c>
      <c r="AA819" s="394">
        <v>4.9299999999999997E-2</v>
      </c>
      <c r="AB819" s="395" t="s">
        <v>553</v>
      </c>
    </row>
    <row r="820" spans="1:28" ht="30">
      <c r="A820" s="390" t="s">
        <v>1393</v>
      </c>
      <c r="B820" s="391" t="s">
        <v>349</v>
      </c>
      <c r="E820" s="434">
        <v>106.17</v>
      </c>
      <c r="F820" s="435" t="s">
        <v>1620</v>
      </c>
      <c r="G820" s="436">
        <v>0.29354049999999998</v>
      </c>
      <c r="H820" s="436">
        <v>7.1799999999999998E-3</v>
      </c>
      <c r="I820" s="437" t="s">
        <v>1620</v>
      </c>
      <c r="J820" s="436">
        <v>8.2899999999999991</v>
      </c>
      <c r="K820" s="437" t="s">
        <v>1620</v>
      </c>
      <c r="L820" s="453">
        <v>-47.8</v>
      </c>
      <c r="M820" s="454" t="s">
        <v>1620</v>
      </c>
      <c r="N820" s="455">
        <v>0.85980000000000001</v>
      </c>
      <c r="O820" s="456" t="s">
        <v>1618</v>
      </c>
      <c r="P820" s="471">
        <v>6.8365899999999993E-2</v>
      </c>
      <c r="Q820" s="471">
        <v>8.4393999999999992E-6</v>
      </c>
      <c r="R820" s="472" t="s">
        <v>2435</v>
      </c>
      <c r="S820" s="473" t="s">
        <v>1531</v>
      </c>
      <c r="T820" s="474" t="s">
        <v>1413</v>
      </c>
      <c r="U820" s="484">
        <v>375.3</v>
      </c>
      <c r="V820" s="484" t="s">
        <v>553</v>
      </c>
      <c r="W820" s="495">
        <v>3.2</v>
      </c>
      <c r="X820" s="496" t="s">
        <v>1620</v>
      </c>
      <c r="Y820" s="486">
        <v>161</v>
      </c>
      <c r="Z820" s="487" t="s">
        <v>1620</v>
      </c>
      <c r="AA820" s="394">
        <v>5.3199999999999997E-2</v>
      </c>
      <c r="AB820" s="395" t="s">
        <v>553</v>
      </c>
    </row>
    <row r="821" spans="1:28" ht="30.6" thickBot="1">
      <c r="A821" s="392" t="s">
        <v>1394</v>
      </c>
      <c r="B821" s="393" t="s">
        <v>350</v>
      </c>
      <c r="E821" s="438">
        <v>106.17</v>
      </c>
      <c r="F821" s="439" t="s">
        <v>1620</v>
      </c>
      <c r="G821" s="440">
        <v>0.2117743</v>
      </c>
      <c r="H821" s="440">
        <v>5.1799999999999997E-3</v>
      </c>
      <c r="I821" s="441" t="s">
        <v>1620</v>
      </c>
      <c r="J821" s="440">
        <v>6.61</v>
      </c>
      <c r="K821" s="441" t="s">
        <v>1620</v>
      </c>
      <c r="L821" s="457">
        <v>-25.2</v>
      </c>
      <c r="M821" s="458" t="s">
        <v>1620</v>
      </c>
      <c r="N821" s="459">
        <v>0.87549999999999994</v>
      </c>
      <c r="O821" s="460" t="s">
        <v>1618</v>
      </c>
      <c r="P821" s="475">
        <v>6.8920099999999998E-2</v>
      </c>
      <c r="Q821" s="475">
        <v>8.5314999999999995E-6</v>
      </c>
      <c r="R821" s="476" t="s">
        <v>2435</v>
      </c>
      <c r="S821" s="477" t="s">
        <v>1531</v>
      </c>
      <c r="T821" s="478" t="s">
        <v>1413</v>
      </c>
      <c r="U821" s="481">
        <v>382.9</v>
      </c>
      <c r="V821" s="481" t="s">
        <v>553</v>
      </c>
      <c r="W821" s="497">
        <v>3.12</v>
      </c>
      <c r="X821" s="498" t="s">
        <v>1620</v>
      </c>
      <c r="Y821" s="488">
        <v>178</v>
      </c>
      <c r="Z821" s="489" t="s">
        <v>1620</v>
      </c>
      <c r="AA821" s="396">
        <v>4.7100000000000003E-2</v>
      </c>
      <c r="AB821" s="397" t="s">
        <v>553</v>
      </c>
    </row>
    <row r="822" spans="1:28" ht="30">
      <c r="A822" s="390" t="s">
        <v>1616</v>
      </c>
      <c r="B822" s="391" t="s">
        <v>347</v>
      </c>
      <c r="E822" s="434">
        <v>106.17</v>
      </c>
      <c r="F822" s="435" t="s">
        <v>1620</v>
      </c>
      <c r="G822" s="436">
        <v>0.27105479999999998</v>
      </c>
      <c r="H822" s="436">
        <v>6.6299999999999996E-3</v>
      </c>
      <c r="I822" s="437" t="s">
        <v>1620</v>
      </c>
      <c r="J822" s="436">
        <v>7.99</v>
      </c>
      <c r="K822" s="437" t="s">
        <v>1620</v>
      </c>
      <c r="L822" s="453">
        <v>-25.2</v>
      </c>
      <c r="M822" s="454" t="s">
        <v>553</v>
      </c>
      <c r="N822" s="455">
        <v>0.86399999999999999</v>
      </c>
      <c r="O822" s="456" t="s">
        <v>2273</v>
      </c>
      <c r="P822" s="471">
        <v>6.8514800000000001E-2</v>
      </c>
      <c r="Q822" s="471">
        <v>8.4641000000000008E-6</v>
      </c>
      <c r="R822" s="472" t="s">
        <v>2435</v>
      </c>
      <c r="S822" s="473" t="s">
        <v>1531</v>
      </c>
      <c r="T822" s="474" t="s">
        <v>1413</v>
      </c>
      <c r="U822" s="484">
        <v>382.9</v>
      </c>
      <c r="V822" s="484" t="s">
        <v>553</v>
      </c>
      <c r="W822" s="495">
        <v>3.16</v>
      </c>
      <c r="X822" s="496" t="s">
        <v>1620</v>
      </c>
      <c r="Y822" s="486">
        <v>106</v>
      </c>
      <c r="Z822" s="487" t="s">
        <v>1620</v>
      </c>
      <c r="AA822" s="394">
        <v>0.05</v>
      </c>
      <c r="AB822" s="395" t="s">
        <v>553</v>
      </c>
    </row>
    <row r="823" spans="1:28" ht="30">
      <c r="A823" s="390" t="s">
        <v>1395</v>
      </c>
      <c r="B823" s="391" t="s">
        <v>352</v>
      </c>
      <c r="E823" s="434">
        <v>258.17500000000001</v>
      </c>
      <c r="F823" s="435" t="s">
        <v>1618</v>
      </c>
      <c r="G823" s="444" t="s">
        <v>1531</v>
      </c>
      <c r="H823" s="444" t="s">
        <v>1531</v>
      </c>
      <c r="I823" s="445" t="s">
        <v>1413</v>
      </c>
      <c r="J823" s="444" t="s">
        <v>1531</v>
      </c>
      <c r="K823" s="445" t="s">
        <v>1413</v>
      </c>
      <c r="L823" s="453">
        <v>1160</v>
      </c>
      <c r="M823" s="454" t="s">
        <v>1618</v>
      </c>
      <c r="N823" s="455">
        <v>4.55</v>
      </c>
      <c r="O823" s="456" t="s">
        <v>1618</v>
      </c>
      <c r="P823" s="482" t="s">
        <v>1531</v>
      </c>
      <c r="Q823" s="482" t="s">
        <v>1531</v>
      </c>
      <c r="R823" s="483" t="s">
        <v>1413</v>
      </c>
      <c r="S823" s="473" t="s">
        <v>1531</v>
      </c>
      <c r="T823" s="474" t="s">
        <v>1413</v>
      </c>
      <c r="U823" s="473" t="s">
        <v>1531</v>
      </c>
      <c r="V823" s="474" t="s">
        <v>1413</v>
      </c>
      <c r="W823" s="501" t="s">
        <v>1531</v>
      </c>
      <c r="X823" s="502" t="s">
        <v>1413</v>
      </c>
      <c r="Y823" s="492" t="s">
        <v>1531</v>
      </c>
      <c r="Z823" s="493" t="s">
        <v>1413</v>
      </c>
      <c r="AA823" s="394">
        <v>5.9999999999999995E-4</v>
      </c>
      <c r="AB823" s="395" t="s">
        <v>1668</v>
      </c>
    </row>
    <row r="824" spans="1:28" ht="30.6" thickBot="1">
      <c r="A824" s="392" t="s">
        <v>1617</v>
      </c>
      <c r="B824" s="393" t="s">
        <v>351</v>
      </c>
      <c r="E824" s="438">
        <v>65.37</v>
      </c>
      <c r="F824" s="439" t="s">
        <v>1620</v>
      </c>
      <c r="G824" s="442" t="s">
        <v>1531</v>
      </c>
      <c r="H824" s="442" t="s">
        <v>1531</v>
      </c>
      <c r="I824" s="443" t="s">
        <v>1413</v>
      </c>
      <c r="J824" s="442" t="s">
        <v>1531</v>
      </c>
      <c r="K824" s="443" t="s">
        <v>1413</v>
      </c>
      <c r="L824" s="457">
        <v>419.5</v>
      </c>
      <c r="M824" s="458" t="s">
        <v>1620</v>
      </c>
      <c r="N824" s="459">
        <v>7.1340000000000003</v>
      </c>
      <c r="O824" s="460" t="s">
        <v>1618</v>
      </c>
      <c r="P824" s="479" t="s">
        <v>1531</v>
      </c>
      <c r="Q824" s="479" t="s">
        <v>1531</v>
      </c>
      <c r="R824" s="480" t="s">
        <v>1413</v>
      </c>
      <c r="S824" s="481">
        <v>62</v>
      </c>
      <c r="T824" s="481" t="s">
        <v>557</v>
      </c>
      <c r="U824" s="477" t="s">
        <v>1531</v>
      </c>
      <c r="V824" s="478" t="s">
        <v>1413</v>
      </c>
      <c r="W824" s="499" t="s">
        <v>1531</v>
      </c>
      <c r="X824" s="500" t="s">
        <v>1413</v>
      </c>
      <c r="Y824" s="490" t="s">
        <v>1531</v>
      </c>
      <c r="Z824" s="491" t="s">
        <v>1413</v>
      </c>
      <c r="AA824" s="396">
        <v>5.9999999999999995E-4</v>
      </c>
      <c r="AB824" s="397" t="s">
        <v>1668</v>
      </c>
    </row>
    <row r="825" spans="1:28" ht="30">
      <c r="A825" s="390" t="s">
        <v>1396</v>
      </c>
      <c r="B825" s="391" t="s">
        <v>353</v>
      </c>
      <c r="E825" s="434">
        <v>275.73</v>
      </c>
      <c r="F825" s="435" t="s">
        <v>1620</v>
      </c>
      <c r="G825" s="436">
        <v>1.112E-7</v>
      </c>
      <c r="H825" s="436">
        <v>2.7200000000000001E-9</v>
      </c>
      <c r="I825" s="437" t="s">
        <v>1620</v>
      </c>
      <c r="J825" s="436">
        <v>7.4999999999999997E-8</v>
      </c>
      <c r="K825" s="437" t="s">
        <v>1620</v>
      </c>
      <c r="L825" s="453">
        <v>157</v>
      </c>
      <c r="M825" s="454" t="s">
        <v>553</v>
      </c>
      <c r="N825" s="461" t="s">
        <v>1531</v>
      </c>
      <c r="O825" s="462" t="s">
        <v>1413</v>
      </c>
      <c r="P825" s="471">
        <v>4.48502E-2</v>
      </c>
      <c r="Q825" s="471">
        <v>5.2403999999999998E-6</v>
      </c>
      <c r="R825" s="472" t="s">
        <v>2435</v>
      </c>
      <c r="S825" s="473" t="s">
        <v>1531</v>
      </c>
      <c r="T825" s="474" t="s">
        <v>1413</v>
      </c>
      <c r="U825" s="484">
        <v>1345</v>
      </c>
      <c r="V825" s="484" t="s">
        <v>553</v>
      </c>
      <c r="W825" s="495">
        <v>1.3</v>
      </c>
      <c r="X825" s="496" t="s">
        <v>1620</v>
      </c>
      <c r="Y825" s="486">
        <v>10</v>
      </c>
      <c r="Z825" s="487" t="s">
        <v>1620</v>
      </c>
      <c r="AA825" s="394">
        <v>3.2499999999999999E-4</v>
      </c>
      <c r="AB825" s="395" t="s">
        <v>553</v>
      </c>
    </row>
    <row r="826" spans="1:28" ht="30.6" thickBot="1">
      <c r="A826" s="392" t="s">
        <v>2016</v>
      </c>
      <c r="B826" s="393" t="s">
        <v>2017</v>
      </c>
      <c r="E826" s="438">
        <v>91.22</v>
      </c>
      <c r="F826" s="439" t="s">
        <v>553</v>
      </c>
      <c r="G826" s="442" t="s">
        <v>1531</v>
      </c>
      <c r="H826" s="442" t="s">
        <v>1531</v>
      </c>
      <c r="I826" s="443" t="s">
        <v>1413</v>
      </c>
      <c r="J826" s="440">
        <v>0</v>
      </c>
      <c r="K826" s="441" t="s">
        <v>2204</v>
      </c>
      <c r="L826" s="457">
        <v>1854.7</v>
      </c>
      <c r="M826" s="458" t="s">
        <v>1618</v>
      </c>
      <c r="N826" s="459">
        <v>6.52</v>
      </c>
      <c r="O826" s="460" t="s">
        <v>1618</v>
      </c>
      <c r="P826" s="479" t="s">
        <v>1531</v>
      </c>
      <c r="Q826" s="479" t="s">
        <v>1531</v>
      </c>
      <c r="R826" s="480" t="s">
        <v>1413</v>
      </c>
      <c r="S826" s="481">
        <v>3000</v>
      </c>
      <c r="T826" s="481" t="s">
        <v>2155</v>
      </c>
      <c r="U826" s="477" t="s">
        <v>1531</v>
      </c>
      <c r="V826" s="478" t="s">
        <v>1413</v>
      </c>
      <c r="W826" s="499" t="s">
        <v>1531</v>
      </c>
      <c r="X826" s="500" t="s">
        <v>1413</v>
      </c>
      <c r="Y826" s="490" t="s">
        <v>1531</v>
      </c>
      <c r="Z826" s="491" t="s">
        <v>1413</v>
      </c>
      <c r="AA826" s="396">
        <v>1E-3</v>
      </c>
      <c r="AB826" s="397" t="s">
        <v>1668</v>
      </c>
    </row>
  </sheetData>
  <sheetProtection algorithmName="SHA-512" hashValue="PVxVEP97PYBwngNJ0QrfCX251+TSiSLGLpAtD3Ewqo0ZlS4enLEfZf3ir5WG6nCGJdoWOJecRY9NUd+w2NBl1Q==" saltValue="xgyPno4l08pzOR7a9+dffA==" spinCount="100000" sheet="1" selectLockedCells="1" autoFilter="0"/>
  <autoFilter ref="A2:AB826">
    <sortState ref="A183:AB809">
      <sortCondition ref="A2:A826"/>
    </sortState>
  </autoFilter>
  <mergeCells count="9">
    <mergeCell ref="Y1:Z1"/>
    <mergeCell ref="AA1:AB1"/>
    <mergeCell ref="A1:B1"/>
    <mergeCell ref="E1:F1"/>
    <mergeCell ref="G1:I1"/>
    <mergeCell ref="N1:O1"/>
    <mergeCell ref="P1:R1"/>
    <mergeCell ref="S1:V1"/>
    <mergeCell ref="W1:X1"/>
  </mergeCells>
  <pageMargins left="0.7" right="0.7" top="0.75" bottom="0.75" header="0.3" footer="0.3"/>
  <pageSetup scale="29" fitToHeight="0" orientation="landscape" r:id="rId1"/>
  <headerFooter>
    <oddHeader>&amp;CVISL Version 3.5
Updated October 2017
Current Toxicity Values from June 2017 RSL Update</oddHeader>
    <oddFooter>&amp;LVISL Calculator Version 3.5, June 2017 RSLs&amp;CUpdated October 2017&amp;RPage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24"/>
  <sheetViews>
    <sheetView zoomScaleNormal="100" workbookViewId="0">
      <pane ySplit="528" topLeftCell="A13" activePane="bottomLeft"/>
      <selection activeCell="I16" sqref="I16"/>
      <selection pane="bottomLeft" activeCell="C28" sqref="C28"/>
    </sheetView>
  </sheetViews>
  <sheetFormatPr defaultRowHeight="13.2"/>
  <cols>
    <col min="1" max="1" width="9.109375" style="205"/>
    <col min="2" max="2" width="11" style="205" customWidth="1"/>
    <col min="3" max="3" width="97.109375" style="204" customWidth="1"/>
  </cols>
  <sheetData>
    <row r="1" spans="1:3">
      <c r="A1" s="206" t="s">
        <v>1820</v>
      </c>
      <c r="B1" s="206" t="s">
        <v>1821</v>
      </c>
      <c r="C1" s="207" t="s">
        <v>1823</v>
      </c>
    </row>
    <row r="2" spans="1:3">
      <c r="A2" s="208">
        <v>1</v>
      </c>
      <c r="B2" s="209">
        <v>40982</v>
      </c>
      <c r="C2" s="210" t="s">
        <v>1822</v>
      </c>
    </row>
    <row r="3" spans="1:3" ht="26.4">
      <c r="A3" s="211">
        <v>1.1000000000000001</v>
      </c>
      <c r="B3" s="209">
        <v>41011</v>
      </c>
      <c r="C3" s="212" t="s">
        <v>1898</v>
      </c>
    </row>
    <row r="4" spans="1:3" s="243" customFormat="1" ht="92.4">
      <c r="A4" s="241">
        <v>2</v>
      </c>
      <c r="B4" s="252">
        <v>41109</v>
      </c>
      <c r="C4" s="242" t="s">
        <v>1877</v>
      </c>
    </row>
    <row r="5" spans="1:3" ht="55.2">
      <c r="A5" s="241">
        <v>3</v>
      </c>
      <c r="B5" s="253">
        <v>41340</v>
      </c>
      <c r="C5" s="212" t="s">
        <v>2020</v>
      </c>
    </row>
    <row r="6" spans="1:3" ht="26.4">
      <c r="A6" s="254">
        <v>3.1</v>
      </c>
      <c r="B6" s="253">
        <v>41409</v>
      </c>
      <c r="C6" s="242" t="s">
        <v>2039</v>
      </c>
    </row>
    <row r="7" spans="1:3" ht="66">
      <c r="A7" s="211">
        <v>3.2</v>
      </c>
      <c r="B7" s="209">
        <v>41618</v>
      </c>
      <c r="C7" s="242" t="s">
        <v>2055</v>
      </c>
    </row>
    <row r="8" spans="1:3" ht="39.6">
      <c r="A8" s="211" t="s">
        <v>2071</v>
      </c>
      <c r="B8" s="209">
        <v>41675</v>
      </c>
      <c r="C8" s="212" t="s">
        <v>2072</v>
      </c>
    </row>
    <row r="9" spans="1:3" s="190" customFormat="1" ht="105.6">
      <c r="A9" s="211">
        <v>3.3</v>
      </c>
      <c r="B9" s="252">
        <v>41788</v>
      </c>
      <c r="C9" s="212" t="s">
        <v>2422</v>
      </c>
    </row>
    <row r="10" spans="1:3" s="190" customFormat="1" ht="26.4">
      <c r="A10" s="211" t="s">
        <v>2096</v>
      </c>
      <c r="B10" s="252">
        <v>41814</v>
      </c>
      <c r="C10" s="212" t="s">
        <v>2097</v>
      </c>
    </row>
    <row r="11" spans="1:3" ht="79.2">
      <c r="A11" s="254">
        <v>3.4</v>
      </c>
      <c r="B11" s="252">
        <v>42167</v>
      </c>
      <c r="C11" s="242" t="s">
        <v>2421</v>
      </c>
    </row>
    <row r="12" spans="1:3">
      <c r="A12" s="211" t="s">
        <v>2274</v>
      </c>
      <c r="B12" s="209">
        <v>42236</v>
      </c>
      <c r="C12" s="360" t="s">
        <v>2419</v>
      </c>
    </row>
    <row r="13" spans="1:3">
      <c r="A13" s="211" t="s">
        <v>2275</v>
      </c>
      <c r="B13" s="209">
        <v>42250</v>
      </c>
      <c r="C13" s="360" t="s">
        <v>2276</v>
      </c>
    </row>
    <row r="14" spans="1:3" ht="26.4">
      <c r="A14" s="384" t="s">
        <v>2277</v>
      </c>
      <c r="B14" s="385">
        <v>42275</v>
      </c>
      <c r="C14" s="386" t="s">
        <v>2418</v>
      </c>
    </row>
    <row r="15" spans="1:3">
      <c r="A15" s="211" t="s">
        <v>2278</v>
      </c>
      <c r="B15" s="209">
        <v>42340</v>
      </c>
      <c r="C15" s="360" t="s">
        <v>2279</v>
      </c>
    </row>
    <row r="16" spans="1:3" ht="26.4">
      <c r="A16" s="387" t="s">
        <v>2415</v>
      </c>
      <c r="B16" s="388">
        <v>42347</v>
      </c>
      <c r="C16" s="212" t="s">
        <v>2423</v>
      </c>
    </row>
    <row r="17" spans="1:3">
      <c r="A17" s="211" t="s">
        <v>2425</v>
      </c>
      <c r="B17" s="209">
        <v>42388</v>
      </c>
      <c r="C17" s="360" t="s">
        <v>2426</v>
      </c>
    </row>
    <row r="18" spans="1:3">
      <c r="A18" s="211" t="s">
        <v>2425</v>
      </c>
      <c r="B18" s="209">
        <v>43017</v>
      </c>
      <c r="C18" s="210" t="s">
        <v>2473</v>
      </c>
    </row>
    <row r="19" spans="1:3" s="190" customFormat="1" ht="26.4">
      <c r="A19" s="387">
        <v>3.5</v>
      </c>
      <c r="B19" s="388">
        <v>42549</v>
      </c>
      <c r="C19" s="212" t="s">
        <v>2479</v>
      </c>
    </row>
    <row r="20" spans="1:3" s="190" customFormat="1">
      <c r="A20" s="387" t="s">
        <v>2480</v>
      </c>
      <c r="B20" s="388">
        <v>42562</v>
      </c>
      <c r="C20" s="212" t="s">
        <v>2481</v>
      </c>
    </row>
    <row r="21" spans="1:3">
      <c r="A21" s="211" t="s">
        <v>2482</v>
      </c>
      <c r="B21" s="209">
        <v>43020</v>
      </c>
      <c r="C21" s="360" t="s">
        <v>2474</v>
      </c>
    </row>
    <row r="22" spans="1:3" ht="26.4">
      <c r="A22" s="420" t="s">
        <v>2482</v>
      </c>
      <c r="B22" s="421">
        <v>43026</v>
      </c>
      <c r="C22" s="212" t="s">
        <v>2484</v>
      </c>
    </row>
    <row r="23" spans="1:3">
      <c r="A23" s="599" t="s">
        <v>2482</v>
      </c>
      <c r="B23" s="421">
        <v>43083</v>
      </c>
      <c r="C23" s="600" t="s">
        <v>2541</v>
      </c>
    </row>
    <row r="24" spans="1:3" ht="26.4">
      <c r="A24" s="599" t="s">
        <v>2482</v>
      </c>
      <c r="B24" s="421">
        <v>43104</v>
      </c>
      <c r="C24" s="600" t="s">
        <v>2545</v>
      </c>
    </row>
  </sheetData>
  <sheetProtection algorithmName="SHA-512" hashValue="0LNfW8Dn+Pbhx/w3AmuPWkAtBxSRGZUlBZUjPF3GH1LJcTc7mCq4zA2yM04ioNRYZZLy1TC5o1PrMsU2UPgs1w==" saltValue="xqykL8hJbuGKeq8l9gQ2Dg==" spinCount="100000" sheet="1" selectLockedCells="1" autoFilter="0"/>
  <pageMargins left="0.7" right="0.7" top="0.75" bottom="0.75" header="0.3" footer="0.3"/>
  <pageSetup fitToHeight="0" orientation="landscape" r:id="rId1"/>
  <headerFooter>
    <oddHeader>&amp;CVISL Version 3.5
Updated October 2017
Current Toxicity Values from June 2017 RSL Update</oddHeader>
    <oddFooter>&amp;LVISL Calculator Version 3.5, June 2017 RSLs&amp;CUpdated October 2017&amp;RPage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181</vt:i4>
      </vt:variant>
    </vt:vector>
  </HeadingPairs>
  <TitlesOfParts>
    <vt:vector size="190" baseType="lpstr">
      <vt:lpstr>Navigation Guide</vt:lpstr>
      <vt:lpstr>VISL</vt:lpstr>
      <vt:lpstr>SG_IA_calc</vt:lpstr>
      <vt:lpstr>GW_IA_calc</vt:lpstr>
      <vt:lpstr>IA_risk_calc</vt:lpstr>
      <vt:lpstr>Chem Props</vt:lpstr>
      <vt:lpstr>Tox Summary</vt:lpstr>
      <vt:lpstr>Parameters Summary</vt:lpstr>
      <vt:lpstr>Version Notes</vt:lpstr>
      <vt:lpstr>_VP25</vt:lpstr>
      <vt:lpstr>AFgw</vt:lpstr>
      <vt:lpstr>AFgw_C</vt:lpstr>
      <vt:lpstr>AFgw_C_GW</vt:lpstr>
      <vt:lpstr>AFgw_C_IA</vt:lpstr>
      <vt:lpstr>AFgw_C_SG</vt:lpstr>
      <vt:lpstr>AFgw_GW</vt:lpstr>
      <vt:lpstr>AFgw_IA</vt:lpstr>
      <vt:lpstr>AFgw_R</vt:lpstr>
      <vt:lpstr>AFgw_R_GW</vt:lpstr>
      <vt:lpstr>AFgw_R_IA</vt:lpstr>
      <vt:lpstr>AFgw_R_SG</vt:lpstr>
      <vt:lpstr>AFgw_SG</vt:lpstr>
      <vt:lpstr>Afss</vt:lpstr>
      <vt:lpstr>AFss_C</vt:lpstr>
      <vt:lpstr>AFss_C_GW</vt:lpstr>
      <vt:lpstr>AFss_C_IA</vt:lpstr>
      <vt:lpstr>AFss_C_SG</vt:lpstr>
      <vt:lpstr>AFss_GW</vt:lpstr>
      <vt:lpstr>AFss_IA</vt:lpstr>
      <vt:lpstr>AFss_R</vt:lpstr>
      <vt:lpstr>AFss_R_GW</vt:lpstr>
      <vt:lpstr>AFss_R_IA</vt:lpstr>
      <vt:lpstr>AFss_R_SG</vt:lpstr>
      <vt:lpstr>AFss_SG</vt:lpstr>
      <vt:lpstr>AllChemProps</vt:lpstr>
      <vt:lpstr>Atc</vt:lpstr>
      <vt:lpstr>ATc_C</vt:lpstr>
      <vt:lpstr>ATc_C_GW</vt:lpstr>
      <vt:lpstr>ATc_C_IA</vt:lpstr>
      <vt:lpstr>ATc_C_SG</vt:lpstr>
      <vt:lpstr>ATc_GW</vt:lpstr>
      <vt:lpstr>ATc_IA</vt:lpstr>
      <vt:lpstr>ATc_R</vt:lpstr>
      <vt:lpstr>ATc_R_GW</vt:lpstr>
      <vt:lpstr>ATc_R_IA</vt:lpstr>
      <vt:lpstr>ATc_R_SG</vt:lpstr>
      <vt:lpstr>ATc_SG</vt:lpstr>
      <vt:lpstr>Atnc</vt:lpstr>
      <vt:lpstr>ATnc_C</vt:lpstr>
      <vt:lpstr>ATnc_C_GW</vt:lpstr>
      <vt:lpstr>ATnc_C_IA</vt:lpstr>
      <vt:lpstr>ATnc_C_SG</vt:lpstr>
      <vt:lpstr>Atnc_GW</vt:lpstr>
      <vt:lpstr>ATnc_IA</vt:lpstr>
      <vt:lpstr>ATnc_R</vt:lpstr>
      <vt:lpstr>ATnc_R_GW</vt:lpstr>
      <vt:lpstr>ATnc_R_IA</vt:lpstr>
      <vt:lpstr>ATnc_R_SG</vt:lpstr>
      <vt:lpstr>ATnc_SG</vt:lpstr>
      <vt:lpstr>CASNoChem</vt:lpstr>
      <vt:lpstr>CASNoParams</vt:lpstr>
      <vt:lpstr>CASNoTox</vt:lpstr>
      <vt:lpstr>ChemNameChem</vt:lpstr>
      <vt:lpstr>ChemNameTox</vt:lpstr>
      <vt:lpstr>Cia</vt:lpstr>
      <vt:lpstr>DaParams</vt:lpstr>
      <vt:lpstr>Dia_Ref</vt:lpstr>
      <vt:lpstr>DwParams</vt:lpstr>
      <vt:lpstr>ED</vt:lpstr>
      <vt:lpstr>ED_C</vt:lpstr>
      <vt:lpstr>ED_C_GW</vt:lpstr>
      <vt:lpstr>ED_C_IA</vt:lpstr>
      <vt:lpstr>ED_C_SG</vt:lpstr>
      <vt:lpstr>ED_GW</vt:lpstr>
      <vt:lpstr>ED_IA</vt:lpstr>
      <vt:lpstr>ED_R</vt:lpstr>
      <vt:lpstr>ED_R_GW</vt:lpstr>
      <vt:lpstr>ED_R_IA</vt:lpstr>
      <vt:lpstr>ED_R_SG</vt:lpstr>
      <vt:lpstr>ED_SG</vt:lpstr>
      <vt:lpstr>EF</vt:lpstr>
      <vt:lpstr>EF_C</vt:lpstr>
      <vt:lpstr>EF_C_GW</vt:lpstr>
      <vt:lpstr>EF_C_IA</vt:lpstr>
      <vt:lpstr>EF_C_SG</vt:lpstr>
      <vt:lpstr>EF_GW</vt:lpstr>
      <vt:lpstr>EF_IA</vt:lpstr>
      <vt:lpstr>EF_R</vt:lpstr>
      <vt:lpstr>EF_R_GW</vt:lpstr>
      <vt:lpstr>EF_R_IA</vt:lpstr>
      <vt:lpstr>EF_R_SG</vt:lpstr>
      <vt:lpstr>EF_SG</vt:lpstr>
      <vt:lpstr>ET</vt:lpstr>
      <vt:lpstr>ET_C</vt:lpstr>
      <vt:lpstr>ET_C_GW</vt:lpstr>
      <vt:lpstr>ET_C_IA</vt:lpstr>
      <vt:lpstr>ET_C_SG</vt:lpstr>
      <vt:lpstr>ET_GW</vt:lpstr>
      <vt:lpstr>ET_IA</vt:lpstr>
      <vt:lpstr>ET_R</vt:lpstr>
      <vt:lpstr>ET_R_GW</vt:lpstr>
      <vt:lpstr>ET_R_IA</vt:lpstr>
      <vt:lpstr>ET_R_SG</vt:lpstr>
      <vt:lpstr>ET_SG</vt:lpstr>
      <vt:lpstr>H25C</vt:lpstr>
      <vt:lpstr>Hc25Params</vt:lpstr>
      <vt:lpstr>HLC</vt:lpstr>
      <vt:lpstr>HLC_GW</vt:lpstr>
      <vt:lpstr>HLC_source</vt:lpstr>
      <vt:lpstr>HTgw</vt:lpstr>
      <vt:lpstr>HTgw_GW</vt:lpstr>
      <vt:lpstr>IUR</vt:lpstr>
      <vt:lpstr>IURSource</vt:lpstr>
      <vt:lpstr>IURTCE</vt:lpstr>
      <vt:lpstr>IURTCE_C</vt:lpstr>
      <vt:lpstr>IURTCE_C_GW</vt:lpstr>
      <vt:lpstr>IURTCE_C_IA</vt:lpstr>
      <vt:lpstr>IURTCE_C_SG</vt:lpstr>
      <vt:lpstr>IURTCE_GW</vt:lpstr>
      <vt:lpstr>IURTCE_IA</vt:lpstr>
      <vt:lpstr>IURTCE_R</vt:lpstr>
      <vt:lpstr>IURTCE_R_GW</vt:lpstr>
      <vt:lpstr>IURTCE_R_IA</vt:lpstr>
      <vt:lpstr>IURTCE_R_SG</vt:lpstr>
      <vt:lpstr>IURTCE_SG</vt:lpstr>
      <vt:lpstr>Koc_ref</vt:lpstr>
      <vt:lpstr>KocParams</vt:lpstr>
      <vt:lpstr>LEL</vt:lpstr>
      <vt:lpstr>LELsource</vt:lpstr>
      <vt:lpstr>MCL</vt:lpstr>
      <vt:lpstr>MCLParams</vt:lpstr>
      <vt:lpstr>mIURTCE</vt:lpstr>
      <vt:lpstr>mIURTCE_C</vt:lpstr>
      <vt:lpstr>mIURTCE_C_GW</vt:lpstr>
      <vt:lpstr>mIURTCE_C_IA</vt:lpstr>
      <vt:lpstr>mIURTCE_C_SG</vt:lpstr>
      <vt:lpstr>mIURTCE_GW</vt:lpstr>
      <vt:lpstr>mIURTCE_IA</vt:lpstr>
      <vt:lpstr>mIURTCE_R</vt:lpstr>
      <vt:lpstr>mIURTCE_R_GW</vt:lpstr>
      <vt:lpstr>mIURTCE_R_IA</vt:lpstr>
      <vt:lpstr>mIURTCE_R_SG</vt:lpstr>
      <vt:lpstr>mIURTCE_SG</vt:lpstr>
      <vt:lpstr>MMOAAF</vt:lpstr>
      <vt:lpstr>MMOAAF_GW</vt:lpstr>
      <vt:lpstr>MMOAAF_IA</vt:lpstr>
      <vt:lpstr>MMOAAF_SG</vt:lpstr>
      <vt:lpstr>Mutagen</vt:lpstr>
      <vt:lpstr>MW</vt:lpstr>
      <vt:lpstr>MW_ref</vt:lpstr>
      <vt:lpstr>MWParams</vt:lpstr>
      <vt:lpstr>'Chem Props'!Print_Area</vt:lpstr>
      <vt:lpstr>GW_IA_calc!Print_Area</vt:lpstr>
      <vt:lpstr>IA_risk_calc!Print_Area</vt:lpstr>
      <vt:lpstr>'Navigation Guide'!Print_Area</vt:lpstr>
      <vt:lpstr>SG_IA_calc!Print_Area</vt:lpstr>
      <vt:lpstr>VISL!Print_Area</vt:lpstr>
      <vt:lpstr>'Chem Props'!Print_Titles</vt:lpstr>
      <vt:lpstr>GW_IA_calc!Print_Titles</vt:lpstr>
      <vt:lpstr>IA_risk_calc!Print_Titles</vt:lpstr>
      <vt:lpstr>'Parameters Summary'!Print_Titles</vt:lpstr>
      <vt:lpstr>SG_IA_calc!Print_Titles</vt:lpstr>
      <vt:lpstr>'Tox Summary'!Print_Titles</vt:lpstr>
      <vt:lpstr>VISL!Print_Titles</vt:lpstr>
      <vt:lpstr>PWCS</vt:lpstr>
      <vt:lpstr>PWCSParams</vt:lpstr>
      <vt:lpstr>RFC</vt:lpstr>
      <vt:lpstr>RFCSource</vt:lpstr>
      <vt:lpstr>S_Ref</vt:lpstr>
      <vt:lpstr>Scenario</vt:lpstr>
      <vt:lpstr>Scenario_GW</vt:lpstr>
      <vt:lpstr>Scenario_IA</vt:lpstr>
      <vt:lpstr>Scenario_SG</vt:lpstr>
      <vt:lpstr>Sol</vt:lpstr>
      <vt:lpstr>TCR</vt:lpstr>
      <vt:lpstr>TCR_GW</vt:lpstr>
      <vt:lpstr>TCR_IA</vt:lpstr>
      <vt:lpstr>TCR_SG</vt:lpstr>
      <vt:lpstr>Tgw</vt:lpstr>
      <vt:lpstr>Tgw_GW</vt:lpstr>
      <vt:lpstr>THQ</vt:lpstr>
      <vt:lpstr>THQ_GW</vt:lpstr>
      <vt:lpstr>THQ_IA</vt:lpstr>
      <vt:lpstr>THQ_SG</vt:lpstr>
      <vt:lpstr>Vapor_Pressure</vt:lpstr>
      <vt:lpstr>VIScreening</vt:lpstr>
      <vt:lpstr>VOC</vt:lpstr>
      <vt:lpstr>VP</vt:lpstr>
      <vt:lpstr>VP_source</vt:lpstr>
      <vt:lpstr>VPTgw</vt:lpstr>
    </vt:vector>
  </TitlesOfParts>
  <Company>US EPA Region 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Dawson;Alicia Frame</dc:creator>
  <cp:lastModifiedBy>Frame, Alicia</cp:lastModifiedBy>
  <cp:lastPrinted>2014-08-14T14:32:09Z</cp:lastPrinted>
  <dcterms:created xsi:type="dcterms:W3CDTF">2002-04-22T16:44:04Z</dcterms:created>
  <dcterms:modified xsi:type="dcterms:W3CDTF">2018-01-04T14:24:58Z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0fba629a-824c-4551-bab4-04bf60076c8a</vt:lpwstr>
  </property>
</Properties>
</file>